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custom.xml" ContentType="application/vnd.openxmlformats-officedocument.custom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11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ustomProperty3.bin" ContentType="application/vnd.openxmlformats-officedocument.spreadsheetml.customProperty"/>
  <Override PartName="/xl/externalLinks/externalLink5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9.xml" ContentType="application/vnd.openxmlformats-officedocument.spreadsheetml.externalLink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Cost Recovery Mechanism for Gas (CRM)\2020 Filing\August 2020 CRM Filing\File send to WUTC\"/>
    </mc:Choice>
  </mc:AlternateContent>
  <bookViews>
    <workbookView xWindow="-975" yWindow="195" windowWidth="17370" windowHeight="4965" tabRatio="817"/>
  </bookViews>
  <sheets>
    <sheet name="Summary" sheetId="67" r:id="rId1"/>
    <sheet name="Work Papers--&gt;" sheetId="27" r:id="rId2"/>
    <sheet name="2020 CAP CRM" sheetId="76" r:id="rId3"/>
    <sheet name="2020 C&amp;OM" sheetId="77" r:id="rId4"/>
    <sheet name="CRM CAP Forecast" sheetId="71" r:id="rId5"/>
    <sheet name="2019 CRM+True Up " sheetId="74" r:id="rId6"/>
    <sheet name="2019 CRM Orig Flng" sheetId="83" r:id="rId7"/>
    <sheet name="2019TrueUp" sheetId="69" r:id="rId8"/>
    <sheet name="2017 CRM" sheetId="79" r:id="rId9"/>
    <sheet name="2018 CRM" sheetId="80" r:id="rId10"/>
    <sheet name="2017 4.01 G" sheetId="72" r:id="rId11"/>
    <sheet name="2019 GRC" sheetId="82" r:id="rId12"/>
    <sheet name="MACRS 20" sheetId="7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123Graph_ABUDG6_DSCRPR">[5]Quant!$D$71:$O$71</definedName>
    <definedName name="__123Graph_ABUDG6_ESCRPR1">[5]Quant!$D$100:$O$100</definedName>
    <definedName name="__123Graph_BBUDG6_DSCRPR">[5]Quant!$D$72:$O$72</definedName>
    <definedName name="__123Graph_BBUDG6_ESCRPR1">[5]Quant!$D$88:$O$88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y04">[1]BS!$V$7:$V$3582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1__123Graph_ABUDG6_D_ESCRPR">[5]Quant!$D$71:$O$71</definedName>
    <definedName name="_3__123Graph_BBUDG6_D_ESCRPR">[5]Quant!$D$72:$O$72</definedName>
    <definedName name="_4__123Graph_BBUDG6_Dtons_inv">[5]Quant!$D$9:$O$9</definedName>
    <definedName name="_5__123Graph_CBUDG6_D_ESCRPR">[5]Quant!$D$100:$O$100</definedName>
    <definedName name="_6__123Graph_DBUDG6_D_ESCRPR">[5]Quant!$D$88:$O$88</definedName>
    <definedName name="_7__123Graph_XBUDG6_D_ESCRPR">[5]Quant!$D$5:$O$5</definedName>
    <definedName name="_8__123Graph_XBUDG6_Dtons_inv">[5]Quant!$D$5:$O$5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Feb04">[1]BS!$S$7:$S$3582</definedName>
    <definedName name="_FEB09" xml:space="preserve"> [2]BS!$S$7:$S$1726</definedName>
    <definedName name="_FEDERAL_INCOME_TAX">'[6]MJS-7'!$N$21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Mar04">[1]BS!$T$7:$T$3582</definedName>
    <definedName name="_May04">[1]BS!$V$7:$V$3582</definedName>
    <definedName name="_May09" xml:space="preserve"> [2]BS!$V$7:$V$1726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rder1">0</definedName>
    <definedName name="_Order2">0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[3]BS!$Q$7:$Q$3582</definedName>
    <definedName name="_Sep04">[1]BS!$Z$7:$Z$3582</definedName>
    <definedName name="AccessDatabase">"I:\COMTREL\FINICLE\TradeSummary.mdb"</definedName>
    <definedName name="Acct2281SO">'[7]Func Study'!$H$2190</definedName>
    <definedName name="Acct2283SO">'[7]Func Study'!$H$2198</definedName>
    <definedName name="Acct228SO">'[7]Func Study'!$H$2194</definedName>
    <definedName name="Acct350">'[7]Func Study'!$H$1628</definedName>
    <definedName name="Acct352">'[7]Func Study'!$H$1635</definedName>
    <definedName name="Acct353">'[7]Func Study'!$H$1641</definedName>
    <definedName name="Acct354">'[7]Func Study'!$H$1647</definedName>
    <definedName name="Acct355">'[7]Func Study'!$H$1654</definedName>
    <definedName name="Acct356">'[7]Func Study'!$H$1660</definedName>
    <definedName name="Acct357">'[7]Func Study'!$H$1666</definedName>
    <definedName name="Acct358">'[7]Func Study'!$H$1672</definedName>
    <definedName name="Acct359">'[7]Func Study'!$H$1678</definedName>
    <definedName name="Acct360">'[7]Func Study'!$H$1698</definedName>
    <definedName name="Acct361">'[7]Func Study'!$H$1704</definedName>
    <definedName name="Acct362">'[7]Func Study'!$H$1710</definedName>
    <definedName name="Acct364">'[7]Func Study'!$H$1717</definedName>
    <definedName name="Acct365">'[7]Func Study'!$H$1724</definedName>
    <definedName name="Acct366">'[7]Func Study'!$H$1731</definedName>
    <definedName name="Acct367">'[7]Func Study'!$H$1738</definedName>
    <definedName name="Acct368">'[7]Func Study'!$H$1744</definedName>
    <definedName name="Acct369">'[7]Func Study'!$H$1751</definedName>
    <definedName name="Acct370">'[7]Func Study'!$H$1762</definedName>
    <definedName name="Acct371">'[7]Func Study'!$H$1769</definedName>
    <definedName name="Acct372">'[7]Func Study'!$H$1776</definedName>
    <definedName name="Acct372A">'[7]Func Study'!$H$1775</definedName>
    <definedName name="Acct372DP">'[7]Func Study'!$H$1773</definedName>
    <definedName name="Acct372DS">'[7]Func Study'!$H$1774</definedName>
    <definedName name="Acct373">'[7]Func Study'!$H$1782</definedName>
    <definedName name="Acct448S">'[7]Func Study'!$H$274</definedName>
    <definedName name="Acct450S">'[7]Func Study'!$H$302</definedName>
    <definedName name="Acct451S">'[7]Func Study'!$H$307</definedName>
    <definedName name="Acct454S">'[7]Func Study'!$H$318</definedName>
    <definedName name="Acct456S">'[7]Func Study'!$H$325</definedName>
    <definedName name="ACCT557CAGE">'[7]Func Study'!$H$683</definedName>
    <definedName name="Acct557CT">'[7]Func Study'!$H$681</definedName>
    <definedName name="Acct580">'[7]Func Study'!$H$791</definedName>
    <definedName name="Acct581">'[7]Func Study'!$H$796</definedName>
    <definedName name="Acct582">'[7]Func Study'!$H$801</definedName>
    <definedName name="Acct583">'[7]Func Study'!$H$806</definedName>
    <definedName name="Acct584">'[7]Func Study'!$H$811</definedName>
    <definedName name="Acct585">'[7]Func Study'!$H$816</definedName>
    <definedName name="Acct586">'[7]Func Study'!$H$821</definedName>
    <definedName name="Acct587">'[7]Func Study'!$H$826</definedName>
    <definedName name="Acct588">'[7]Func Study'!$H$831</definedName>
    <definedName name="Acct589">'[7]Func Study'!$H$836</definedName>
    <definedName name="Acct590">'[7]Func Study'!$H$841</definedName>
    <definedName name="Acct591">'[7]Func Study'!$H$846</definedName>
    <definedName name="Acct592">'[7]Func Study'!$H$851</definedName>
    <definedName name="Acct593">'[7]Func Study'!$H$856</definedName>
    <definedName name="Acct594">'[7]Func Study'!$H$861</definedName>
    <definedName name="Acct595">'[7]Func Study'!$H$866</definedName>
    <definedName name="Acct596">'[7]Func Study'!$H$876</definedName>
    <definedName name="Acct597">'[7]Func Study'!$H$881</definedName>
    <definedName name="Acct598">'[7]Func Study'!$H$886</definedName>
    <definedName name="AcctAGA">'[7]Func Study'!$H$296</definedName>
    <definedName name="AcctTable">[8]Variables!$AK$42:$AK$396</definedName>
    <definedName name="AcctTS0">'[7]Func Study'!$H$1686</definedName>
    <definedName name="Acq1Plant">'[9]Acquisition Inputs'!$C$8</definedName>
    <definedName name="Acq2Plant">'[9]Acquisition Inputs'!$C$70</definedName>
    <definedName name="ActualROR">'[10]G+T+D+R+M'!$H$61</definedName>
    <definedName name="ADJPTDCE.T">[4]INTERNAL!$A$31:$IV$33</definedName>
    <definedName name="Adjs2avg">[11]Inputs!$L$255:'[11]Inputs'!$T$505</definedName>
    <definedName name="After_Tax_Cash_Discount">'[12]Assumptions (Input)'!$D$37</definedName>
    <definedName name="afudc_flag">'[12]Assumptions (Input)'!$B$13</definedName>
    <definedName name="ANCIL">[4]EXTERNAL!$A$163:$IV$165</definedName>
    <definedName name="Apr04AMA">[1]BS!$AG$7:$AG$3582</definedName>
    <definedName name="APR09AMA">[2]BS!$AN$7:$AN$1725</definedName>
    <definedName name="Apr10AMA">[2]BS!$AZ$7:$AZ$1726</definedName>
    <definedName name="aquila_lookup">'[13]Cabot Gas Replacement'!$B$8:$F$16</definedName>
    <definedName name="AS2DocOpenMode">"AS2DocumentEdit"</definedName>
    <definedName name="Assessment_Rate">'[12]Assumptions (Input)'!$B$7</definedName>
    <definedName name="Asset_Class_Switch">[14]Assumptions!$D$5</definedName>
    <definedName name="Aug04AMA">[1]BS!$AK$7:$AK$3582</definedName>
    <definedName name="Aug09AMA">[2]BS!$AR$7:$AR$1726</definedName>
    <definedName name="Aurora_Prices">"Monthly Price Summary'!$C$4:$H$63"</definedName>
    <definedName name="AvgFactors">[8]Factors!$B$3:$P$99</definedName>
    <definedName name="Beg_Unb_KWHs">[15]LeadSht!$L$10</definedName>
    <definedName name="BOOK_LIFE">'[16]Lvl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[17]Readings!$B$2</definedName>
    <definedName name="Capital_Inflation">'[12]Assumptions (Input)'!$B$11</definedName>
    <definedName name="CASE">[18]INPUTS!$C$8</definedName>
    <definedName name="Case_Name">'[19]KJB-6,13 Cmn Adj'!$B$8</definedName>
    <definedName name="CaseDescription">'[9]Dispatch Cases'!$C$11</definedName>
    <definedName name="CBWorkbookPriority">-2060790043</definedName>
    <definedName name="CCGT_HeatRate">[9]Assumptions!$H$23</definedName>
    <definedName name="CCGTPrice">[9]Assumptions!$H$22</definedName>
    <definedName name="CL_RT2">'[20]Transp Data'!$A$6:$C$81</definedName>
    <definedName name="Close_Date">'[12]Capital Projects(Input)'!$D$7:$D$53</definedName>
    <definedName name="Construction_OH">'[21]Virtual 49 Back-Up'!$E$54</definedName>
    <definedName name="ConversionFactor">[9]Assumptions!$I$65</definedName>
    <definedName name="COSFacVal">[7]Inputs!$R$5</definedName>
    <definedName name="CurrQtr">'[22]Inc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.Avg">'[22]Avg Amts'!$A$5:$BP$34</definedName>
    <definedName name="Data.Qtrs.Avg">'[22]Avg Amts'!$A$5:$IV$5</definedName>
    <definedName name="data1">'[23]Mix Variance'!$O$5:$T$25</definedName>
    <definedName name="DebtPerc">[9]Assumptions!$I$58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[24]Inputs!$D$11</definedName>
    <definedName name="DES1.T">[4]INTERNAL!$A$40:$IV$42</definedName>
    <definedName name="DES2.T">[4]INTERNAL!$A$43:$IV$45</definedName>
    <definedName name="DF_HeatRate">[9]Assumptions!$L$23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'[7]Func Study'!$AB$250</definedName>
    <definedName name="Discount_for_Revenue_Reqmt">'[25]Assumptions of Purchase'!$B$45</definedName>
    <definedName name="DisFac">'[7]Func Dist Factor Table'!$A$11:$G$25</definedName>
    <definedName name="DocketNumber">'[26]JHS-4'!$AP$2</definedName>
    <definedName name="DP.T">[4]INTERNAL!$A$46:$IV$48</definedName>
    <definedName name="EBFIT.T">[4]INTERNAL!$A$88:$IV$90</definedName>
    <definedName name="EffTax">[4]INPUTS!$F$31</definedName>
    <definedName name="Electric_Prices">'[27]Monthly Price Summary'!$B$4:$E$27</definedName>
    <definedName name="ElRBLine">[1]BS!$AQ$7:$AQ$3303</definedName>
    <definedName name="EndDate">[9]Assumptions!$C$11</definedName>
    <definedName name="ENERGY_1">[4]EXTERNAL!$A$4:$IV$6</definedName>
    <definedName name="ENERGY_2">[4]EXTERNAL!$A$145:$IV$147</definedName>
    <definedName name="Engy">[10]Inputs!$D$9</definedName>
    <definedName name="Engy2">[24]Inputs!$D$12</definedName>
    <definedName name="EPIS.T">[4]INTERNAL!$A$49:$IV$51</definedName>
    <definedName name="Escalator">1.025</definedName>
    <definedName name="Exhibit_No.______MJS_4">'[6]MJS-4'!$O$3</definedName>
    <definedName name="Exhibit_No.______MJS_5">'[6]MJS-5'!$E$3</definedName>
    <definedName name="Exhibit_No.______MJS_6">'[6]MJS-6'!$F$3</definedName>
    <definedName name="Factorck">'[7]COS Factor Table'!$O$15:$O$113</definedName>
    <definedName name="FactorType">[8]Variables!$AK$2:$AL$12</definedName>
    <definedName name="FactSum">'[7]COS Factor Table'!$A$14:$O$113</definedName>
    <definedName name="FCR">'[21]Virtual 49 Back-Up'!$B$20</definedName>
    <definedName name="Feb04AMA">[1]BS!$AE$7:$AE$3582</definedName>
    <definedName name="Feb09AMA">[2]BS!$AL$7:$AL$1725</definedName>
    <definedName name="Feb10AMA">[2]BS!$AX$7:$AX$1726</definedName>
    <definedName name="Fed_Cap_Tax">[28]Inputs!$E$112</definedName>
    <definedName name="FedTaxRate">[9]Assumptions!$C$33</definedName>
    <definedName name="FERC_Lookup">'[29]Map Table'!$E$2:$F$58</definedName>
    <definedName name="FIT">'[30]ROR &amp; CONV FACTOR'!$J$20</definedName>
    <definedName name="FIT_Tax_Rate">'[12]Assumptions (Input)'!$B$5</definedName>
    <definedName name="FranchiseTax">[11]Variables!$D$26</definedName>
    <definedName name="FTAX">[4]INPUTS!$F$30</definedName>
    <definedName name="Func">'[7]Func Factor Table'!$A$10:$H$77</definedName>
    <definedName name="Function">'[7]Func Study'!$AB$250</definedName>
    <definedName name="GasRBLine">[1]BS!$AS$7:$AS$3631</definedName>
    <definedName name="GasWC_LineItem">[1]BS!$AR$7:$AR$3631</definedName>
    <definedName name="GP.T">[4]INTERNAL!$A$52:$IV$54</definedName>
    <definedName name="HTML_CodePage">1252</definedName>
    <definedName name="HTML_Control" localSheetId="8">{"'Sheet1'!$A$1:$J$121"}</definedName>
    <definedName name="HTML_Control" localSheetId="6">{"'Sheet1'!$A$1:$J$121"}</definedName>
    <definedName name="HTML_Control" localSheetId="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'[12]Assumptions (Input)'!$B$9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>[1]BS!$AD$7:$AD$3582</definedName>
    <definedName name="Jan09AMA">[2]BS!$AK$7:$AK$1743</definedName>
    <definedName name="Jan10AMA">[2]BS!$AW$7:$AW$1726</definedName>
    <definedName name="jjj">[31]Inputs!$N$18</definedName>
    <definedName name="JP_Bal">[32]ACCOUNTS!$AG$31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Jurisdiction">[8]Variables!$AK$15</definedName>
    <definedName name="JurisNumber">[8]Variables!$AL$15</definedName>
    <definedName name="k_Docket_Number">'[19]KJB-12 Sum'!$AS$2</definedName>
    <definedName name="k_FITrate">'[19]KJB-3,11 Def'!$L$20</definedName>
    <definedName name="keep_Docket_Number">'[33]KJB-3 Sum'!$AQ$2</definedName>
    <definedName name="keep_FIT">'[33]KJB-7 Def'!$L$20</definedName>
    <definedName name="keep_KJB_3_Rate_Increase">'[33]KJB-7 Def'!$C$3</definedName>
    <definedName name="keep_KJB_4_Electric_Summary">'[33]KJB-3 Sum'!$AQ$3</definedName>
    <definedName name="keep_KJB_8_Common_Adjs">'[33]KJB-5 Cmn Adj'!$L$3</definedName>
    <definedName name="keep_KJB_9_Electric_Only">'[33]KJB-5 El Adj'!$E$3</definedName>
    <definedName name="keep_PSE">'[34]Gas Summary'!$I$5</definedName>
    <definedName name="keep_TESTYEAR">'[34]Gas Detail Pages'!$A$8</definedName>
    <definedName name="kp_DOCKET">'[34]Gas Detail Pages'!$A$9</definedName>
    <definedName name="Last_Row" localSheetId="8">IF([35]!Values_Entered,Header_Row+[35]!Number_of_Payments,Header_Row)</definedName>
    <definedName name="Last_Row" localSheetId="6">IF('2019 CRM Orig Flng'!Values_Entered,Header_Row+'2019 CRM Orig Flng'!Number_of_Payments,Header_Row)</definedName>
    <definedName name="Last_Row" localSheetId="5">IF('2019 CRM+True Up '!Values_Entered,Header_Row+'2019 CRM+True Up '!Number_of_Payments,Header_Row)</definedName>
    <definedName name="Last_Row" localSheetId="2">IF('2020 CAP CRM'!Values_Entered,Header_Row+'2020 CAP CRM'!Number_of_Payments,Header_Row)</definedName>
    <definedName name="Last_Row">IF([35]!Values_Entered,Header_Row+[35]!Number_of_Payments,Header_Row)</definedName>
    <definedName name="Levy_Rate">'[12]Assumptions (Input)'!$B$6</definedName>
    <definedName name="limcount">1</definedName>
    <definedName name="LINE.T">[4]INTERNAL!$A$55:$IV$57</definedName>
    <definedName name="LinkCos">'[7]JAM Download'!$K$4</definedName>
    <definedName name="Load_Factor">[32]ACCOUNTS!$AG$167</definedName>
    <definedName name="LoadArray">'[36]Load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[37]M9100F4!$A$1:$V$99</definedName>
    <definedName name="MACRS">'[12]MACRS RATES'!$A$3:$AT$10</definedName>
    <definedName name="Mar04AMA">[1]BS!$AF$7:$AF$3582</definedName>
    <definedName name="MAR09AMA">[2]BS!$AM$7:$AM$1725</definedName>
    <definedName name="Mar10AMA">[2]BS!$AY$7:$AY$1726</definedName>
    <definedName name="May04AMA">[1]BS!$AH$7:$AH$3582</definedName>
    <definedName name="MAY09AMA">[2]BS!$AO$7:$AO$1726</definedName>
    <definedName name="May10AMA">[2]BS!$BA$7:$BA$1726</definedName>
    <definedName name="menu1_Button5_Click" localSheetId="6">[38]!menu1_Button5_Click</definedName>
    <definedName name="menu1_Button5_Click" localSheetId="5">[38]!menu1_Button5_Click</definedName>
    <definedName name="menu1_Button5_Click" localSheetId="2">[38]!menu1_Button5_Click</definedName>
    <definedName name="menu1_Button5_Click">[38]!menu1_Button5_Click</definedName>
    <definedName name="menu1_Button6_Click" localSheetId="6">[38]!menu1_Button6_Click</definedName>
    <definedName name="menu1_Button6_Click" localSheetId="5">[38]!menu1_Button6_Click</definedName>
    <definedName name="menu1_Button6_Click" localSheetId="2">[38]!menu1_Button6_Click</definedName>
    <definedName name="menu1_Button6_Click">[38]!menu1_Button6_Click</definedName>
    <definedName name="MERGER_COST">[39]Sheet1!$AF$3:$AJ$28</definedName>
    <definedName name="METER">[4]EXTERNAL!$A$34:$IV$36</definedName>
    <definedName name="Method">[10]Inputs!$C$6</definedName>
    <definedName name="monthlist">[40]Table!$R$2:$S$13</definedName>
    <definedName name="monthtotals">'[40]WA SBC'!$D$40:$O$40</definedName>
    <definedName name="MTD_Format">[41]Mthly!$B$11:$D$11,[41]Mthly!$B$32:$D$32</definedName>
    <definedName name="MTR_YR3">[42]Variables!$E$14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[7]Inputs!$G$8</definedName>
    <definedName name="NetToGross">[11]Variables!$D$23</definedName>
    <definedName name="Nov03AMA">[3]BS!$AI$7:$AI$3582</definedName>
    <definedName name="Nov04AMA">[1]BS!$AN$7:$AN$3582</definedName>
    <definedName name="Nov09AMA">[2]BS!$AU$7:$AU$1726</definedName>
    <definedName name="NPC">[43]Inputs!$N$18</definedName>
    <definedName name="NRG">[4]CLASSIFIERS!$A$5:$IV$5</definedName>
    <definedName name="Number_of_Payments" localSheetId="8">MATCH(0.01,End_Bal,-1)+1</definedName>
    <definedName name="Number_of_Payments" localSheetId="6">MATCH(0.01,End_Bal,-1)+1</definedName>
    <definedName name="Number_of_Payments" localSheetId="5">MATCH(0.01,End_Bal,-1)+1</definedName>
    <definedName name="Number_of_Payments" localSheetId="2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'[12]MiscItems(Input)'!$B$5:$AO$8,'[12]MiscItems(Input)'!$B$13:$AO$13,'[12]MiscItems(Input)'!$B$15:$B$17,'[12]MiscItems(Input)'!$B$17:$AO$17,'[12]MiscItems(Input)'!$B$15:$AO$15</definedName>
    <definedName name="O_M_Rate">'[21]Virtual 49 Back-Up'!$B$21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'[44]Dist Misc'!$F$120</definedName>
    <definedName name="OthRCF">[18]INPUTS!$F$41</definedName>
    <definedName name="OthUnc">[4]INPUTS!$F$36</definedName>
    <definedName name="outlookdata">'[45]pivoted data'!$D$3:$Q$90</definedName>
    <definedName name="peak_new_table">'[46]2008 Extreme Peaks - 080403'!$E$5:$AD$8</definedName>
    <definedName name="peak_table">'[46]Peaks-F01'!$C$5:$E$243</definedName>
    <definedName name="PeakMethod">[10]Inputs!$T$5</definedName>
    <definedName name="Percent_debt">[28]Inputs!$E$129</definedName>
    <definedName name="Plant_Input">'[12]Plant(Input)'!$B$7:$AP$9,'[12]Plant(Input)'!$B$11,'[12]Plant(Input)'!$B$15:$AP$15,'[12]Plant(Input)'!$B$18,'[12]Plant(Input)'!$B$20:$AP$20</definedName>
    <definedName name="POWER.T">[4]INTERNAL!$A$58:$IV$60</definedName>
    <definedName name="PP.T">[4]INTERNAL!$A$61:$IV$63</definedName>
    <definedName name="PreTaxDebtCost">[9]Assumptions!$I$56</definedName>
    <definedName name="PreTaxWACC">[9]Assumptions!$I$62</definedName>
    <definedName name="Prices_Aurora">'[27]Monthly Price Summary'!$C$4:$H$63</definedName>
    <definedName name="_xlnm.Print_Area" localSheetId="10">'2017 4.01 G'!$B$1:$F$21</definedName>
    <definedName name="Prior_Month">[47]Sch_120!$I$21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[48]Sheet1!$A$1147:$B$1887</definedName>
    <definedName name="Prov_Cap_Tax">[28]Inputs!$E$111</definedName>
    <definedName name="PSE">'[49]4.04'!$A$6</definedName>
    <definedName name="PSE_Pre_Tax_Equity_Rate">'[25]Assumptions of Purchase'!$B$42</definedName>
    <definedName name="PTDGP.T">[4]INTERNAL!$A$64:$IV$66</definedName>
    <definedName name="PTDP.T">[4]INTERNAL!$A$67:$IV$69</definedName>
    <definedName name="QTD_Format">[50]QTD!$B$11:$D$11,[50]QTD!$B$35:$D$35</definedName>
    <definedName name="RATE2">'[20]Transp Data'!$A$8:$I$112</definedName>
    <definedName name="Rates">[51]Codes!$A$1:$C$500</definedName>
    <definedName name="RB.T">[4]INTERNAL!$A$70:$IV$72</definedName>
    <definedName name="RCF">[32]INPUTS!$F$48</definedName>
    <definedName name="Requlated_scenario">'[12]Assumptions (Input)'!$B$12</definedName>
    <definedName name="ResExchCrRate">[47]Sch_194!$M$31</definedName>
    <definedName name="RESID">[4]EXTERNAL!$A$88:$IV$90</definedName>
    <definedName name="resource_lookup">'[52]#REF'!$B$3:$C$112</definedName>
    <definedName name="ResourceSupplier">[11]Variables!$D$28</definedName>
    <definedName name="ResRCF">[18]INPUTS!$F$39</definedName>
    <definedName name="ResUnc">[4]INPUTS!$F$34</definedName>
    <definedName name="RevClass">[51]Codes!$F$2:$G$10</definedName>
    <definedName name="revenue_flag">'[12]Assumptions (Input)'!$C$12</definedName>
    <definedName name="Revenue_Taxes">'[12]Assumptions (Input)'!$B$8</definedName>
    <definedName name="REVFAC1.T">[4]INTERNAL!$A$73:$IV$75</definedName>
    <definedName name="ROD">[53]INPUTS!$F$25</definedName>
    <definedName name="ROR">[54]INPUTS!$F$29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[18]INPUTS!$F$40</definedName>
    <definedName name="SbUnc">[4]INPUTS!$F$35</definedName>
    <definedName name="Sch194Rlfwd">'[55]Sch94 Rlfwd'!$B$11</definedName>
    <definedName name="Schedule">[43]Inputs!$N$14</definedName>
    <definedName name="Sep03AMA">[3]BS!$AG$7:$AG$3582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>[9]Assumptions!$C$9</definedName>
    <definedName name="STATE_UTILITY_TAX">'[6]MJS-7'!$N$16</definedName>
    <definedName name="STAX">[4]INPUTS!$F$29</definedName>
    <definedName name="SW.T">[4]INTERNAL!$A$76:$IV$78</definedName>
    <definedName name="SWPTD.T">[4]INTERNAL!$A$79:$IV$81</definedName>
    <definedName name="TableName">"Dummy"</definedName>
    <definedName name="TargetROR">[10]Inputs!$G$29</definedName>
    <definedName name="TDP.T">[4]INTERNAL!$A$82:$IV$84</definedName>
    <definedName name="TestPeriod">[7]Inputs!$C$5</definedName>
    <definedName name="TESTYEAR">'[26]JHS-6'!$A$7</definedName>
    <definedName name="TFR">[4]CLASSIFIERS!$A$11:$IV$11</definedName>
    <definedName name="ThermalBookLife">[9]Assumptions!$C$25</definedName>
    <definedName name="Title">[9]Assumptions!$A$1</definedName>
    <definedName name="Total_Payment" localSheetId="8">Scheduled_Payment+Extra_Payment</definedName>
    <definedName name="Total_Payment" localSheetId="6">Scheduled_Payment+Extra_Payment</definedName>
    <definedName name="Total_Payment" localSheetId="5">Scheduled_Payment+Extra_Payment</definedName>
    <definedName name="Total_Payment" localSheetId="2">Scheduled_Payment+Extra_Payment</definedName>
    <definedName name="Total_Payment">Scheduled_Payment+Extra_Payment</definedName>
    <definedName name="TotalRateBase">'[7]G+T+D+R+M'!$H$58</definedName>
    <definedName name="TP.T">[4]INTERNAL!$A$91:$IV$93</definedName>
    <definedName name="transdb">'[56]Transp Unbilled'!$A$8:$E$174</definedName>
    <definedName name="TRANSM_2">[57]Transm2!$A$1:$M$461:'[57]10 Yr FC'!$M$47</definedName>
    <definedName name="UAcct103">'[7]Func Study'!$AB$1613</definedName>
    <definedName name="UAcct105Dnpg">'[7]Func Study'!$AB$2010</definedName>
    <definedName name="UAcct105S">'[7]Func Study'!$AB$2005</definedName>
    <definedName name="UAcct105Seu">'[7]Func Study'!$AB$2009</definedName>
    <definedName name="UAcct105Snppo">'[7]Func Study'!$AB$2008</definedName>
    <definedName name="UAcct105Snpps">'[7]Func Study'!$AB$2006</definedName>
    <definedName name="UAcct105Snpt">'[7]Func Study'!$AB$2007</definedName>
    <definedName name="UAcct1081390">'[7]Func Study'!$AB$2451</definedName>
    <definedName name="UAcct1081390Rcl">'[7]Func Study'!$AB$2450</definedName>
    <definedName name="UAcct1081399">'[7]Func Study'!$AB$2459</definedName>
    <definedName name="UAcct1081399Rcl">'[7]Func Study'!$AB$2458</definedName>
    <definedName name="UAcct108360">'[7]Func Study'!$AB$2355</definedName>
    <definedName name="UAcct108361">'[7]Func Study'!$AB$2359</definedName>
    <definedName name="UAcct108362">'[7]Func Study'!$AB$2363</definedName>
    <definedName name="UAcct108364">'[7]Func Study'!$AB$2367</definedName>
    <definedName name="UAcct108365">'[7]Func Study'!$AB$2371</definedName>
    <definedName name="UAcct108366">'[7]Func Study'!$AB$2375</definedName>
    <definedName name="UAcct108367">'[7]Func Study'!$AB$2379</definedName>
    <definedName name="UAcct108368">'[7]Func Study'!$AB$2383</definedName>
    <definedName name="UAcct108369">'[7]Func Study'!$AB$2387</definedName>
    <definedName name="UAcct108370">'[7]Func Study'!$AB$2391</definedName>
    <definedName name="UAcct108371">'[7]Func Study'!$AB$2395</definedName>
    <definedName name="UAcct108372">'[7]Func Study'!$AB$2399</definedName>
    <definedName name="UAcct108373">'[7]Func Study'!$AB$2403</definedName>
    <definedName name="UAcct108D">'[7]Func Study'!$AB$2415</definedName>
    <definedName name="UAcct108D00">'[7]Func Study'!$AB$2407</definedName>
    <definedName name="UAcct108Ds">'[7]Func Study'!$AB$2411</definedName>
    <definedName name="UAcct108Ep">'[7]Func Study'!$AB$2327</definedName>
    <definedName name="UAcct108Gpcn">'[7]Func Study'!$AB$2429</definedName>
    <definedName name="UAcct108Gps">'[7]Func Study'!$AB$2425</definedName>
    <definedName name="UAcct108Gpse">'[7]Func Study'!$AB$2431</definedName>
    <definedName name="UAcct108Gpsg">'[7]Func Study'!$AB$2428</definedName>
    <definedName name="UAcct108Gpsgp">'[7]Func Study'!$AB$2426</definedName>
    <definedName name="UAcct108Gpsgu">'[7]Func Study'!$AB$2427</definedName>
    <definedName name="UAcct108Gpso">'[7]Func Study'!$AB$2430</definedName>
    <definedName name="UACCT108GPSSGCH">'[7]Func Study'!$AB$2434</definedName>
    <definedName name="UACCT108GPSSGCT">'[7]Func Study'!$AB$2433</definedName>
    <definedName name="UAcct108Hp">'[7]Func Study'!$AB$2313</definedName>
    <definedName name="UAcct108Mp">'[7]Func Study'!$AB$2444</definedName>
    <definedName name="UAcct108Np">'[7]Func Study'!$AB$2305</definedName>
    <definedName name="UAcct108Op">'[7]Func Study'!$AB$2322</definedName>
    <definedName name="UACCT108OPSSCCT">'[7]Func Study'!$AB$2321</definedName>
    <definedName name="UAcct108Sp">'[7]Func Study'!$AB$2299</definedName>
    <definedName name="UACCT108SPSSGCH">'[7]Func Study'!$AB$2298</definedName>
    <definedName name="UAcct108Tp">'[7]Func Study'!$AB$2346</definedName>
    <definedName name="UAcct111Clg">'[7]Func Study'!$AB$2487</definedName>
    <definedName name="UAcct111Clgsou">'[7]Func Study'!$AB$2485</definedName>
    <definedName name="UAcct111Clh">'[7]Func Study'!$AB$2493</definedName>
    <definedName name="UAcct111Cls">'[7]Func Study'!$AB$2478</definedName>
    <definedName name="UAcct111Ipcn">'[7]Func Study'!$AB$2502</definedName>
    <definedName name="UAcct111Ips">'[7]Func Study'!$AB$2497</definedName>
    <definedName name="UAcct111Ipse">'[7]Func Study'!$AB$2500</definedName>
    <definedName name="UAcct111Ipsg">'[7]Func Study'!$AB$2501</definedName>
    <definedName name="UAcct111Ipsgp">'[7]Func Study'!$AB$2498</definedName>
    <definedName name="UAcct111Ipsgu">'[7]Func Study'!$AB$2499</definedName>
    <definedName name="UAcct111Ipso">'[7]Func Study'!$AB$2506</definedName>
    <definedName name="UACCT111IPSSGCH">'[7]Func Study'!$AB$2505</definedName>
    <definedName name="UACCT111IPSSGCT">'[7]Func Study'!$AB$2504</definedName>
    <definedName name="UAcct114">'[7]Func Study'!$AB$2017</definedName>
    <definedName name="UAcct120">'[7]Func Study'!$AB$2021</definedName>
    <definedName name="UAcct124">'[7]Func Study'!$AB$2026</definedName>
    <definedName name="UAcct141">'[7]Func Study'!$AB$2173</definedName>
    <definedName name="UAcct151">'[7]Func Study'!$AB$2049</definedName>
    <definedName name="Uacct151SSECT">'[7]Func Study'!$AB$2047</definedName>
    <definedName name="UAcct154">'[7]Func Study'!$AB$2083</definedName>
    <definedName name="Uacct154SSGCT">'[7]Func Study'!$AB$2080</definedName>
    <definedName name="UAcct163">'[7]Func Study'!$AB$2093</definedName>
    <definedName name="UAcct165">'[7]Func Study'!$AB$2108</definedName>
    <definedName name="UAcct165Gps">'[7]Func Study'!$AB$2104</definedName>
    <definedName name="UAcct182">'[7]Func Study'!$AB$2033</definedName>
    <definedName name="UAcct18222">'[7]Func Study'!$AB$2163</definedName>
    <definedName name="UAcct182M">'[7]Func Study'!$AB$2118</definedName>
    <definedName name="UAcct182MSSGCH">'[7]Func Study'!$AB$2113</definedName>
    <definedName name="UAcct186">'[7]Func Study'!$AB$2041</definedName>
    <definedName name="UAcct1869">'[7]Func Study'!$AB$2168</definedName>
    <definedName name="UAcct186M">'[7]Func Study'!$AB$2129</definedName>
    <definedName name="UAcct190">'[7]Func Study'!$AB$2243</definedName>
    <definedName name="UAcct190Baddebt">'[7]Func Study'!$AB$2237</definedName>
    <definedName name="UAcct190Dop">'[7]Func Study'!$AB$2235</definedName>
    <definedName name="UAcct2281">'[7]Func Study'!$AB$2191</definedName>
    <definedName name="UAcct2282">'[7]Func Study'!$AB$2195</definedName>
    <definedName name="UAcct2283">'[7]Func Study'!$AB$2200</definedName>
    <definedName name="UACCT22841SG">'[7]Func Study'!$AB$2205</definedName>
    <definedName name="UAcct22842">'[7]Func Study'!$AB$2211</definedName>
    <definedName name="UAcct235">'[7]Func Study'!$AB$2187</definedName>
    <definedName name="UACCT235CN">'[7]Func Study'!$AB$2186</definedName>
    <definedName name="UAcct252">'[7]Func Study'!$AB$2219</definedName>
    <definedName name="UAcct25316">'[7]Func Study'!$AB$2057</definedName>
    <definedName name="UAcct25317">'[7]Func Study'!$AB$2061</definedName>
    <definedName name="UAcct25318">'[7]Func Study'!$AB$2098</definedName>
    <definedName name="UAcct25319">'[7]Func Study'!$AB$2065</definedName>
    <definedName name="uacct25398">'[7]Func Study'!$AB$2222</definedName>
    <definedName name="UAcct25399">'[7]Func Study'!$AB$2230</definedName>
    <definedName name="UACCT254SO">'[7]Func Study'!$AB$2202</definedName>
    <definedName name="UAcct255">'[7]Func Study'!$AB$2284</definedName>
    <definedName name="UAcct281">'[7]Func Study'!$AB$2249</definedName>
    <definedName name="UAcct282">'[7]Func Study'!$AB$2259</definedName>
    <definedName name="UAcct282Cn">'[7]Func Study'!$AB$2256</definedName>
    <definedName name="UAcct282So">'[7]Func Study'!$AB$2255</definedName>
    <definedName name="UAcct283">'[7]Func Study'!$AB$2271</definedName>
    <definedName name="UAcct283So">'[7]Func Study'!$AB$2265</definedName>
    <definedName name="UAcct301S">'[7]Func Study'!$AB$1964</definedName>
    <definedName name="UAcct301Sg">'[7]Func Study'!$AB$1966</definedName>
    <definedName name="UAcct301So">'[7]Func Study'!$AB$1965</definedName>
    <definedName name="UAcct302S">'[7]Func Study'!$AB$1969</definedName>
    <definedName name="UAcct302Sg">'[7]Func Study'!$AB$1970</definedName>
    <definedName name="UAcct302Sgp">'[7]Func Study'!$AB$1971</definedName>
    <definedName name="UAcct302Sgu">'[7]Func Study'!$AB$1972</definedName>
    <definedName name="UAcct303Cn">'[7]Func Study'!$AB$1980</definedName>
    <definedName name="UAcct303S">'[7]Func Study'!$AB$1976</definedName>
    <definedName name="UAcct303Se">'[7]Func Study'!$AB$1979</definedName>
    <definedName name="UAcct303Sg">'[7]Func Study'!$AB$1977</definedName>
    <definedName name="UAcct303Sgu">'[7]Func Study'!$AB$1981</definedName>
    <definedName name="UAcct303So">'[7]Func Study'!$AB$1978</definedName>
    <definedName name="UACCT303SSGCH">'[7]Func Study'!$AB$1983</definedName>
    <definedName name="UAcct310">'[7]Func Study'!$AB$1414</definedName>
    <definedName name="UAcct310JBG">'[7]Func Study'!$AB$1413</definedName>
    <definedName name="UAcct311">'[7]Func Study'!$AB$1421</definedName>
    <definedName name="UAcct311JBG">'[7]Func Study'!$AB$1420</definedName>
    <definedName name="UAcct312">'[7]Func Study'!$AB$1428</definedName>
    <definedName name="UAcct312JBG">'[7]Func Study'!$AB$1427</definedName>
    <definedName name="UAcct314">'[7]Func Study'!$AB$1435</definedName>
    <definedName name="UAcct314JBG">'[7]Func Study'!$AB$1434</definedName>
    <definedName name="UAcct315">'[7]Func Study'!$AB$1442</definedName>
    <definedName name="UAcct315JBG">'[7]Func Study'!$AB$1441</definedName>
    <definedName name="UAcct316">'[7]Func Study'!$AB$1450</definedName>
    <definedName name="UAcct316JBG">'[7]Func Study'!$AB$1449</definedName>
    <definedName name="UAcct320">'[7]Func Study'!$AB$1466</definedName>
    <definedName name="UAcct321">'[7]Func Study'!$AB$1471</definedName>
    <definedName name="UAcct322">'[7]Func Study'!$AB$1476</definedName>
    <definedName name="UAcct323">'[7]Func Study'!$AB$1481</definedName>
    <definedName name="UAcct324">'[7]Func Study'!$AB$1486</definedName>
    <definedName name="UAcct325">'[7]Func Study'!$AB$1491</definedName>
    <definedName name="UAcct33">'[7]Func Study'!$AB$295</definedName>
    <definedName name="UAcct330">'[7]Func Study'!$AB$1508</definedName>
    <definedName name="UAcct331">'[7]Func Study'!$AB$1513</definedName>
    <definedName name="UAcct332">'[7]Func Study'!$AB$1518</definedName>
    <definedName name="UAcct333">'[7]Func Study'!$AB$1523</definedName>
    <definedName name="UAcct334">'[7]Func Study'!$AB$1528</definedName>
    <definedName name="UAcct335">'[7]Func Study'!$AB$1533</definedName>
    <definedName name="UAcct336">'[7]Func Study'!$AB$1539</definedName>
    <definedName name="UAcct340Dgu">'[7]Func Study'!$AB$1564</definedName>
    <definedName name="UAcct340Sgu">'[7]Func Study'!$AB$1565</definedName>
    <definedName name="UAcct341Dgu">'[7]Func Study'!$AB$1569</definedName>
    <definedName name="UAcct341Sgu">'[7]Func Study'!$AB$1570</definedName>
    <definedName name="UAcct342Dgu">'[7]Func Study'!$AB$1574</definedName>
    <definedName name="UAcct342Sgu">'[7]Func Study'!$AB$1575</definedName>
    <definedName name="UAcct343">'[7]Func Study'!$AB$1584</definedName>
    <definedName name="UAcct344S">'[7]Func Study'!$AB$1587</definedName>
    <definedName name="UAcct344Sgp">'[7]Func Study'!$AB$1588</definedName>
    <definedName name="UAcct345Dgu">'[7]Func Study'!$AB$1594</definedName>
    <definedName name="UAcct345Sgu">'[7]Func Study'!$AB$1595</definedName>
    <definedName name="UAcct346">'[7]Func Study'!$AB$1601</definedName>
    <definedName name="UAcct350">'[7]Func Study'!$AB$1628</definedName>
    <definedName name="UAcct352">'[7]Func Study'!$AB$1635</definedName>
    <definedName name="UAcct353">'[7]Func Study'!$AB$1641</definedName>
    <definedName name="UAcct354">'[7]Func Study'!$AB$1647</definedName>
    <definedName name="UAcct355">'[7]Func Study'!$AB$1654</definedName>
    <definedName name="UAcct356">'[7]Func Study'!$AB$1660</definedName>
    <definedName name="UAcct357">'[7]Func Study'!$AB$1666</definedName>
    <definedName name="UAcct358">'[7]Func Study'!$AB$1672</definedName>
    <definedName name="UAcct359">'[7]Func Study'!$AB$1678</definedName>
    <definedName name="UAcct360">'[7]Func Study'!$AB$1698</definedName>
    <definedName name="UAcct361">'[7]Func Study'!$AB$1704</definedName>
    <definedName name="UAcct362">'[7]Func Study'!$AB$1710</definedName>
    <definedName name="UAcct368">'[7]Func Study'!$AB$1744</definedName>
    <definedName name="UAcct369">'[7]Func Study'!$AB$1751</definedName>
    <definedName name="UAcct370">'[7]Func Study'!$AB$1762</definedName>
    <definedName name="UAcct372A">'[7]Func Study'!$AB$1775</definedName>
    <definedName name="UAcct372Dp">'[7]Func Study'!$AB$1773</definedName>
    <definedName name="UAcct372Ds">'[7]Func Study'!$AB$1774</definedName>
    <definedName name="UAcct373">'[7]Func Study'!$AB$1782</definedName>
    <definedName name="UAcct389Cn">'[7]Func Study'!$AB$1800</definedName>
    <definedName name="UAcct389S">'[7]Func Study'!$AB$1799</definedName>
    <definedName name="UAcct389Sg">'[7]Func Study'!$AB$1802</definedName>
    <definedName name="UAcct389Sgu">'[7]Func Study'!$AB$1801</definedName>
    <definedName name="UAcct389So">'[7]Func Study'!$AB$1803</definedName>
    <definedName name="UAcct390Cn">'[7]Func Study'!$AB$1810</definedName>
    <definedName name="UAcct390JBG">'[7]Func Study'!$AB$1812</definedName>
    <definedName name="UAcct390L">'[7]Func Study'!$AB$1927</definedName>
    <definedName name="UACCT390LRCL">'[7]Func Study'!$AB$1929</definedName>
    <definedName name="UAcct390S">'[7]Func Study'!$AB$1807</definedName>
    <definedName name="UAcct390Sgp">'[7]Func Study'!$AB$1808</definedName>
    <definedName name="UAcct390Sgu">'[7]Func Study'!$AB$1809</definedName>
    <definedName name="UAcct390Sop">'[7]Func Study'!$AB$1811</definedName>
    <definedName name="UAcct390Sou">'[7]Func Study'!$AB$1813</definedName>
    <definedName name="UAcct391Cn">'[7]Func Study'!$AB$1820</definedName>
    <definedName name="UACCT391JBE">'[7]Func Study'!$AB$1825</definedName>
    <definedName name="UAcct391S">'[7]Func Study'!$AB$1817</definedName>
    <definedName name="UAcct391Sg">'[7]Func Study'!$AB$1821</definedName>
    <definedName name="UAcct391Sgp">'[7]Func Study'!$AB$1818</definedName>
    <definedName name="UAcct391Sgu">'[7]Func Study'!$AB$1819</definedName>
    <definedName name="UAcct391So">'[7]Func Study'!$AB$1823</definedName>
    <definedName name="UACCT391SSGCH">'[7]Func Study'!$AB$1824</definedName>
    <definedName name="UAcct392Cn">'[7]Func Study'!$AB$1832</definedName>
    <definedName name="UAcct392L">'[7]Func Study'!$AB$1935</definedName>
    <definedName name="UAcct392Lrcl">'[7]Func Study'!$AB$1937</definedName>
    <definedName name="UAcct392S">'[7]Func Study'!$AB$1829</definedName>
    <definedName name="UAcct392Se">'[7]Func Study'!$AB$1834</definedName>
    <definedName name="UAcct392Sg">'[7]Func Study'!$AB$1831</definedName>
    <definedName name="UAcct392Sgp">'[7]Func Study'!$AB$1835</definedName>
    <definedName name="UAcct392Sgu">'[7]Func Study'!$AB$1833</definedName>
    <definedName name="UAcct392So">'[7]Func Study'!$AB$1830</definedName>
    <definedName name="UACCT392SSGCH">'[7]Func Study'!$AB$1836</definedName>
    <definedName name="UAcct393S">'[7]Func Study'!$AB$1841</definedName>
    <definedName name="UAcct393Sg">'[7]Func Study'!$AB$1845</definedName>
    <definedName name="UAcct393Sgp">'[7]Func Study'!$AB$1842</definedName>
    <definedName name="UAcct393Sgu">'[7]Func Study'!$AB$1843</definedName>
    <definedName name="UAcct393So">'[7]Func Study'!$AB$1844</definedName>
    <definedName name="UACCT393SSGCT">'[7]Func Study'!$AB$1846</definedName>
    <definedName name="UAcct394S">'[7]Func Study'!$AB$1850</definedName>
    <definedName name="UAcct394Se">'[7]Func Study'!$AB$1854</definedName>
    <definedName name="UAcct394Sg">'[7]Func Study'!$AB$1855</definedName>
    <definedName name="UAcct394Sgp">'[7]Func Study'!$AB$1851</definedName>
    <definedName name="UAcct394Sgu">'[7]Func Study'!$AB$1852</definedName>
    <definedName name="UAcct394So">'[7]Func Study'!$AB$1853</definedName>
    <definedName name="UACCT394SSGCH">'[7]Func Study'!$AB$1856</definedName>
    <definedName name="UAcct395S">'[7]Func Study'!$AB$1861</definedName>
    <definedName name="UAcct395Se">'[7]Func Study'!$AB$1865</definedName>
    <definedName name="UAcct395Sg">'[7]Func Study'!$AB$1866</definedName>
    <definedName name="UAcct395Sgp">'[7]Func Study'!$AB$1862</definedName>
    <definedName name="UAcct395Sgu">'[7]Func Study'!$AB$1863</definedName>
    <definedName name="UAcct395So">'[7]Func Study'!$AB$1864</definedName>
    <definedName name="UACCT395SSGCH">'[7]Func Study'!$AB$1867</definedName>
    <definedName name="UAcct396S">'[7]Func Study'!$AB$1872</definedName>
    <definedName name="UAcct396Se">'[7]Func Study'!$AB$1877</definedName>
    <definedName name="UAcct396Sg">'[7]Func Study'!$AB$1874</definedName>
    <definedName name="UAcct396Sgp">'[7]Func Study'!$AB$1873</definedName>
    <definedName name="UAcct396Sgu">'[7]Func Study'!$AB$1876</definedName>
    <definedName name="UAcct396So">'[7]Func Study'!$AB$1875</definedName>
    <definedName name="UACCT396SSGCH">'[7]Func Study'!$AB$1879</definedName>
    <definedName name="UACCT396SSGCT">'[7]Func Study'!$AB$1878</definedName>
    <definedName name="UAcct397Cn">'[7]Func Study'!$AB$1890</definedName>
    <definedName name="UAcct397JBG">'[7]Func Study'!$AB$1893</definedName>
    <definedName name="UAcct397S">'[7]Func Study'!$AB$1886</definedName>
    <definedName name="UAcct397Se">'[7]Func Study'!$AB$1892</definedName>
    <definedName name="UAcct397Sg">'[7]Func Study'!$AB$1891</definedName>
    <definedName name="UAcct397Sgp">'[7]Func Study'!$AB$1887</definedName>
    <definedName name="UAcct397Sgu">'[7]Func Study'!$AB$1888</definedName>
    <definedName name="UAcct397So">'[7]Func Study'!$AB$1889</definedName>
    <definedName name="UAcct398Cn">'[7]Func Study'!$AB$1902</definedName>
    <definedName name="UAcct398S">'[7]Func Study'!$AB$1899</definedName>
    <definedName name="UAcct398Se">'[7]Func Study'!$AB$1904</definedName>
    <definedName name="UAcct398Sg">'[7]Func Study'!$AB$1905</definedName>
    <definedName name="UAcct398Sgp">'[7]Func Study'!$AB$1900</definedName>
    <definedName name="UAcct398Sgu">'[7]Func Study'!$AB$1901</definedName>
    <definedName name="UAcct398So">'[7]Func Study'!$AB$1903</definedName>
    <definedName name="UACCT398SSGCT">'[7]Func Study'!$AB$1906</definedName>
    <definedName name="UAcct399">'[7]Func Study'!$AB$1913</definedName>
    <definedName name="UAcct399G">'[7]Func Study'!$AB$1955</definedName>
    <definedName name="UAcct399L">'[7]Func Study'!$AB$1917</definedName>
    <definedName name="UAcct399Lrcl">'[7]Func Study'!$AB$1919</definedName>
    <definedName name="UAcct403360">'[7]Func Study'!$AB$1090</definedName>
    <definedName name="UAcct403361">'[7]Func Study'!$AB$1091</definedName>
    <definedName name="UAcct403362">'[7]Func Study'!$AB$1092</definedName>
    <definedName name="UAcct403364">'[7]Func Study'!$AB$1094</definedName>
    <definedName name="UAcct403365">'[7]Func Study'!$AB$1095</definedName>
    <definedName name="UAcct403366">'[7]Func Study'!$AB$1096</definedName>
    <definedName name="UAcct403367">'[7]Func Study'!$AB$1097</definedName>
    <definedName name="UAcct403368">'[7]Func Study'!$AB$1098</definedName>
    <definedName name="UAcct403369">'[7]Func Study'!$AB$1099</definedName>
    <definedName name="UAcct403370">'[7]Func Study'!$AB$1100</definedName>
    <definedName name="UAcct403371">'[7]Func Study'!$AB$1101</definedName>
    <definedName name="UAcct403372">'[7]Func Study'!$AB$1102</definedName>
    <definedName name="UAcct403373">'[7]Func Study'!$AB$1103</definedName>
    <definedName name="UAcct403Ep">'[7]Func Study'!$AB$1130</definedName>
    <definedName name="UAcct403Gpcn">'[7]Func Study'!$AB$1111</definedName>
    <definedName name="UAcct403GPDGP">'[7]Func Study'!$AB$1108</definedName>
    <definedName name="UAcct403GPDGU">'[7]Func Study'!$AB$1109</definedName>
    <definedName name="UAcct403GPJBG">'[7]Func Study'!$AB$1115</definedName>
    <definedName name="UAcct403Gps">'[7]Func Study'!$AB$1107</definedName>
    <definedName name="UAcct403Gpsg">'[7]Func Study'!$AB$1112</definedName>
    <definedName name="UAcct403Gpso">'[7]Func Study'!$AB$1113</definedName>
    <definedName name="UAcct403Gv0">'[7]Func Study'!$AB$1121</definedName>
    <definedName name="UAcct403Hp">'[7]Func Study'!$AB$1072</definedName>
    <definedName name="UACCT403JBE">'[7]Func Study'!$AB$1116</definedName>
    <definedName name="UAcct403Mp">'[7]Func Study'!$AB$1125</definedName>
    <definedName name="UAcct403Np">'[7]Func Study'!$AB$1065</definedName>
    <definedName name="UAcct403Op">'[7]Func Study'!$AB$1080</definedName>
    <definedName name="UAcct403OPCAGE">'[7]Func Study'!$AB$1078</definedName>
    <definedName name="UAcct403Sp">'[7]Func Study'!$AB$1061</definedName>
    <definedName name="UAcct403SPJBG">'[7]Func Study'!$AB$1058</definedName>
    <definedName name="UAcct403Tp">'[7]Func Study'!$AB$1087</definedName>
    <definedName name="UAcct404330">'[7]Func Study'!$AB$1177</definedName>
    <definedName name="UACCT404GP">'[7]Func Study'!$AB$1146</definedName>
    <definedName name="UACCT404GPCN">'[7]Func Study'!$AB$1143</definedName>
    <definedName name="UACCT404GPSO">'[7]Func Study'!$AB$1141</definedName>
    <definedName name="UAcct404Ipcn">'[7]Func Study'!$AB$1158</definedName>
    <definedName name="UAcct404IPJBG">'[7]Func Study'!$AB$1163</definedName>
    <definedName name="UAcct404Ips">'[7]Func Study'!$AB$1154</definedName>
    <definedName name="UAcct404Ipse">'[7]Func Study'!$AB$1155</definedName>
    <definedName name="UAcct404Ipsg">'[7]Func Study'!$AB$1156</definedName>
    <definedName name="UAcct404Ipsg1">'[7]Func Study'!$AB$1159</definedName>
    <definedName name="UAcct404Ipsg2">'[7]Func Study'!$AB$1160</definedName>
    <definedName name="UAcct404Ipso">'[7]Func Study'!$AB$1157</definedName>
    <definedName name="UAcct404M">'[7]Func Study'!$AB$1168</definedName>
    <definedName name="UACCT404OP">'[7]Func Study'!$AB$1172</definedName>
    <definedName name="UACCT404SP">'[7]Func Study'!$AB$1151</definedName>
    <definedName name="UAcct405">'[7]Func Study'!$AB$1185</definedName>
    <definedName name="UAcct406">'[7]Func Study'!$AB$1193</definedName>
    <definedName name="UAcct407">'[7]Func Study'!$AB$1202</definedName>
    <definedName name="UAcct408">'[7]Func Study'!$AB$1221</definedName>
    <definedName name="UAcct408S">'[7]Func Study'!$AB$1213</definedName>
    <definedName name="UAcct41010">'[7]Func Study'!$AB$1294</definedName>
    <definedName name="UAcct41011">'[7]Func Study'!$AB$1309</definedName>
    <definedName name="UAcct41110">'[7]Func Study'!$AB$1325</definedName>
    <definedName name="UAcct41140">'[7]Func Study'!$AB$1232</definedName>
    <definedName name="UAcct41141">'[7]Func Study'!$AB$1237</definedName>
    <definedName name="UAcct41160">'[7]Func Study'!$AB$369</definedName>
    <definedName name="UAcct41170">'[7]Func Study'!$AB$374</definedName>
    <definedName name="UAcct4118">'[7]Func Study'!$AB$378</definedName>
    <definedName name="UAcct41181">'[7]Func Study'!$AB$381</definedName>
    <definedName name="UAcct4194">'[7]Func Study'!$AB$385</definedName>
    <definedName name="UAcct421">'[7]Func Study'!$AB$394</definedName>
    <definedName name="UAcct4311">'[7]Func Study'!$AB$401</definedName>
    <definedName name="UAcct442Se">'[7]Func Study'!$AB$259</definedName>
    <definedName name="UAcct442Sg">'[7]Func Study'!$AB$260</definedName>
    <definedName name="UAcct447">'[7]Func Study'!$AB$281</definedName>
    <definedName name="UACCT447NPC">'[7]Func Study'!$AB$289</definedName>
    <definedName name="UACCT447NPCCAEW">'[7]Func Study'!$AB$286</definedName>
    <definedName name="UACCT447NPCCAGW">'[7]Func Study'!$AB$287</definedName>
    <definedName name="UACCT447NPCDGP">'[7]Func Study'!$AB$288</definedName>
    <definedName name="UAcct447S">'[7]Func Study'!$AB$280</definedName>
    <definedName name="UAcct448S">'[7]Func Study'!$AB$274</definedName>
    <definedName name="UAcct448So">'[7]Func Study'!$AB$275</definedName>
    <definedName name="UAcct449">'[7]Func Study'!$AB$294</definedName>
    <definedName name="UAcct450">'[7]Func Study'!$AB$304</definedName>
    <definedName name="UAcct450S">'[7]Func Study'!$AB$302</definedName>
    <definedName name="UAcct450So">'[7]Func Study'!$AB$303</definedName>
    <definedName name="UAcct451S">'[7]Func Study'!$AB$307</definedName>
    <definedName name="UAcct451Sg">'[7]Func Study'!$AB$308</definedName>
    <definedName name="UAcct451So">'[7]Func Study'!$AB$309</definedName>
    <definedName name="UAcct453">'[7]Func Study'!$AB$315</definedName>
    <definedName name="UAcct454">'[7]Func Study'!$AB$322</definedName>
    <definedName name="UAcct454JBG">'[7]Func Study'!$AB$319</definedName>
    <definedName name="UAcct454S">'[7]Func Study'!$AB$318</definedName>
    <definedName name="UAcct454Sg">'[7]Func Study'!$AB$320</definedName>
    <definedName name="UAcct454So">'[7]Func Study'!$AB$321</definedName>
    <definedName name="UAcct456">'[7]Func Study'!$AB$332</definedName>
    <definedName name="UAcct456CAEW">'[7]Func Study'!$AB$331</definedName>
    <definedName name="UAcct456S">'[7]Func Study'!$AB$325</definedName>
    <definedName name="UAcct456So">'[7]Func Study'!$AB$329</definedName>
    <definedName name="UAcct500">'[7]Func Study'!$AB$416</definedName>
    <definedName name="UAcct500JBG">'[7]Func Study'!$AB$414</definedName>
    <definedName name="UAcct501">'[7]Func Study'!$AB$423</definedName>
    <definedName name="UAcct501CAEW">'[7]Func Study'!$AB$420</definedName>
    <definedName name="UAcct501JBE">'[7]Func Study'!$AB$421</definedName>
    <definedName name="UACCT501NPCCAEW">'[7]Func Study'!$AB$426</definedName>
    <definedName name="UAcct502">'[7]Func Study'!$AB$433</definedName>
    <definedName name="UAcct502CAGE">'[7]Func Study'!$AB$431</definedName>
    <definedName name="UAcct503">'[7]Func Study'!$AB$437</definedName>
    <definedName name="UACCT503NPC">'[7]Func Study'!$AB$443</definedName>
    <definedName name="UAcct505">'[7]Func Study'!$AB$449</definedName>
    <definedName name="UAcct505CAGE">'[7]Func Study'!$AB$447</definedName>
    <definedName name="UAcct506">'[7]Func Study'!$AB$455</definedName>
    <definedName name="UAcct506CAGE">'[7]Func Study'!$AB$452</definedName>
    <definedName name="UAcct507">'[7]Func Study'!$AB$464</definedName>
    <definedName name="UAcct507CAGE">'[7]Func Study'!$AB$462</definedName>
    <definedName name="UAcct510">'[7]Func Study'!$AB$469</definedName>
    <definedName name="UAcct510CAGE">'[7]Func Study'!$AB$467</definedName>
    <definedName name="UAcct511">'[7]Func Study'!$AB$474</definedName>
    <definedName name="UAcct511CAGE">'[7]Func Study'!$AB$472</definedName>
    <definedName name="UAcct512">'[7]Func Study'!$AB$479</definedName>
    <definedName name="UAcct512CAGE">'[7]Func Study'!$AB$477</definedName>
    <definedName name="UAcct513">'[7]Func Study'!$AB$484</definedName>
    <definedName name="UAcct513CAGE">'[7]Func Study'!$AB$482</definedName>
    <definedName name="UAcct514">'[7]Func Study'!$AB$489</definedName>
    <definedName name="UAcct514CAGE">'[7]Func Study'!$AB$487</definedName>
    <definedName name="UAcct517">'[7]Func Study'!$AB$498</definedName>
    <definedName name="UAcct518">'[7]Func Study'!$AB$502</definedName>
    <definedName name="UAcct519">'[7]Func Study'!$AB$507</definedName>
    <definedName name="UAcct520">'[7]Func Study'!$AB$511</definedName>
    <definedName name="UAcct523">'[7]Func Study'!$AB$515</definedName>
    <definedName name="UAcct524">'[7]Func Study'!$AB$519</definedName>
    <definedName name="UAcct528">'[7]Func Study'!$AB$523</definedName>
    <definedName name="UAcct529">'[7]Func Study'!$AB$527</definedName>
    <definedName name="UAcct530">'[7]Func Study'!$AB$531</definedName>
    <definedName name="UAcct531">'[7]Func Study'!$AB$535</definedName>
    <definedName name="UAcct532">'[7]Func Study'!$AB$539</definedName>
    <definedName name="UAcct535">'[7]Func Study'!$AB$551</definedName>
    <definedName name="UAcct536">'[7]Func Study'!$AB$555</definedName>
    <definedName name="UAcct537">'[7]Func Study'!$AB$559</definedName>
    <definedName name="UAcct538">'[7]Func Study'!$AB$563</definedName>
    <definedName name="UAcct539">'[7]Func Study'!$AB$568</definedName>
    <definedName name="UAcct540">'[7]Func Study'!$AB$572</definedName>
    <definedName name="UAcct541">'[7]Func Study'!$AB$576</definedName>
    <definedName name="UAcct542">'[7]Func Study'!$AB$580</definedName>
    <definedName name="UAcct543">'[7]Func Study'!$AB$584</definedName>
    <definedName name="UAcct544">'[7]Func Study'!$AB$588</definedName>
    <definedName name="UAcct545">'[7]Func Study'!$AB$592</definedName>
    <definedName name="UAcct546">'[7]Func Study'!$AB$606</definedName>
    <definedName name="UAcct546CAGE">'[7]Func Study'!$AB$605</definedName>
    <definedName name="UAcct547CAEW">'[7]Func Study'!$AB$610</definedName>
    <definedName name="UACCT547NPCCAEW">'[7]Func Study'!$AB$613</definedName>
    <definedName name="UAcct547Se">'[7]Func Study'!$AB$609</definedName>
    <definedName name="UAcct548">'[7]Func Study'!$AB$621</definedName>
    <definedName name="UACCT548CAGE">'[7]Func Study'!$AB$620</definedName>
    <definedName name="UAcct549">'[7]Func Study'!$AB$626</definedName>
    <definedName name="Uacct549CAGE">'[7]Func Study'!$AB$625</definedName>
    <definedName name="UAcct551CAGE">'[7]Func Study'!$AB$634</definedName>
    <definedName name="UACCT551SG">'[7]Func Study'!$AB$635</definedName>
    <definedName name="UACCT552CAGE">'[7]Func Study'!$AB$640</definedName>
    <definedName name="UAcct552SG">'[7]Func Study'!$AB$639</definedName>
    <definedName name="UACCT553CAGE">'[7]Func Study'!$AB$646</definedName>
    <definedName name="UAcct553SG">'[7]Func Study'!$AB$645</definedName>
    <definedName name="UACCT554CAGE">'[7]Func Study'!$AB$651</definedName>
    <definedName name="UAcct554SG">'[7]Func Study'!$AB$650</definedName>
    <definedName name="UAcct555CAEW">'[7]Func Study'!$AB$665</definedName>
    <definedName name="UAcct555CAGW">'[7]Func Study'!$AB$664</definedName>
    <definedName name="UACCT555DGP">'[7]Func Study'!$AB$670</definedName>
    <definedName name="UACCT555NPCCAEW">'[7]Func Study'!$AB$669</definedName>
    <definedName name="UACCT555NPCCAGW">'[7]Func Study'!$AB$668</definedName>
    <definedName name="UAcct555S">'[7]Func Study'!$AB$663</definedName>
    <definedName name="UAcct555Se">'[7]Func Study'!$AB$665</definedName>
    <definedName name="UACCT555SG">'[7]Func Study'!$AB$664</definedName>
    <definedName name="UAcct556">'[7]Func Study'!$AB$676</definedName>
    <definedName name="UAcct557">'[7]Func Study'!$AB$685</definedName>
    <definedName name="UAcct560">'[7]Func Study'!$AB$715</definedName>
    <definedName name="UAcct561">'[7]Func Study'!$AB$720</definedName>
    <definedName name="UAcct562">'[7]Func Study'!$AB$726</definedName>
    <definedName name="UAcct563">'[7]Func Study'!$AB$731</definedName>
    <definedName name="UAcct564">'[7]Func Study'!$AB$735</definedName>
    <definedName name="UAcct565">'[7]Func Study'!$AB$739</definedName>
    <definedName name="UACCT565NPC">'[7]Func Study'!$AB$744</definedName>
    <definedName name="UACCT565NPCCAGW">'[7]Func Study'!$AB$742</definedName>
    <definedName name="UAcct566">'[7]Func Study'!$AB$748</definedName>
    <definedName name="UAcct567">'[7]Func Study'!$AB$752</definedName>
    <definedName name="UAcct568">'[7]Func Study'!$AB$756</definedName>
    <definedName name="UAcct569">'[7]Func Study'!$AB$760</definedName>
    <definedName name="UAcct570">'[7]Func Study'!$AB$765</definedName>
    <definedName name="UAcct571">'[7]Func Study'!$AB$770</definedName>
    <definedName name="UAcct572">'[7]Func Study'!$AB$774</definedName>
    <definedName name="UAcct573">'[7]Func Study'!$AB$778</definedName>
    <definedName name="UAcct580">'[7]Func Study'!$AB$791</definedName>
    <definedName name="UAcct581">'[7]Func Study'!$AB$796</definedName>
    <definedName name="UAcct582">'[7]Func Study'!$AB$801</definedName>
    <definedName name="UAcct583">'[7]Func Study'!$AB$806</definedName>
    <definedName name="UAcct584">'[7]Func Study'!$AB$811</definedName>
    <definedName name="UAcct585">'[7]Func Study'!$AB$816</definedName>
    <definedName name="UAcct586">'[7]Func Study'!$AB$821</definedName>
    <definedName name="UAcct587">'[7]Func Study'!$AB$826</definedName>
    <definedName name="UAcct588">'[7]Func Study'!$AB$831</definedName>
    <definedName name="UAcct589">'[7]Func Study'!$AB$836</definedName>
    <definedName name="UAcct590">'[7]Func Study'!$AB$841</definedName>
    <definedName name="UAcct591">'[7]Func Study'!$AB$846</definedName>
    <definedName name="UAcct592">'[7]Func Study'!$AB$851</definedName>
    <definedName name="UAcct593">'[7]Func Study'!$AB$856</definedName>
    <definedName name="UAcct594">'[7]Func Study'!$AB$861</definedName>
    <definedName name="UAcct595">'[7]Func Study'!$AB$866</definedName>
    <definedName name="UAcct596">'[7]Func Study'!$AB$876</definedName>
    <definedName name="UAcct597">'[7]Func Study'!$AB$881</definedName>
    <definedName name="UAcct598">'[7]Func Study'!$AB$886</definedName>
    <definedName name="UAcct901">'[7]Func Study'!$AB$898</definedName>
    <definedName name="UAcct902">'[7]Func Study'!$AB$903</definedName>
    <definedName name="UAcct903">'[7]Func Study'!$AB$908</definedName>
    <definedName name="UAcct904">'[7]Func Study'!$AB$914</definedName>
    <definedName name="UAcct905">'[7]Func Study'!$AB$919</definedName>
    <definedName name="UAcct907">'[7]Func Study'!$AB$933</definedName>
    <definedName name="UAcct908">'[7]Func Study'!$AB$938</definedName>
    <definedName name="UAcct909">'[7]Func Study'!$AB$943</definedName>
    <definedName name="UAcct910">'[7]Func Study'!$AB$948</definedName>
    <definedName name="UAcct911">'[7]Func Study'!$AB$959</definedName>
    <definedName name="UAcct912">'[7]Func Study'!$AB$964</definedName>
    <definedName name="UAcct913">'[7]Func Study'!$AB$969</definedName>
    <definedName name="UAcct916">'[7]Func Study'!$AB$974</definedName>
    <definedName name="UAcct920">'[7]Func Study'!$AB$985</definedName>
    <definedName name="UAcct920Cn">'[7]Func Study'!$AB$983</definedName>
    <definedName name="UAcct921">'[7]Func Study'!$AB$991</definedName>
    <definedName name="UAcct921Cn">'[7]Func Study'!$AB$989</definedName>
    <definedName name="UAcct923">'[7]Func Study'!$AB$997</definedName>
    <definedName name="UAcct923CAGW">'[7]Func Study'!$AB$995</definedName>
    <definedName name="UAcct924">'[7]Func Study'!$AB$1001</definedName>
    <definedName name="UAcct925">'[7]Func Study'!$AB$1005</definedName>
    <definedName name="UAcct926">'[7]Func Study'!$AB$1011</definedName>
    <definedName name="UAcct927">'[7]Func Study'!$AB$1016</definedName>
    <definedName name="UAcct928">'[7]Func Study'!$AB$1023</definedName>
    <definedName name="UAcct929">'[7]Func Study'!$AB$1028</definedName>
    <definedName name="UAcct930">'[7]Func Study'!$AB$1034</definedName>
    <definedName name="UAcct931">'[7]Func Study'!$AB$1039</definedName>
    <definedName name="UAcct935">'[7]Func Study'!$AB$1045</definedName>
    <definedName name="UAcctAGA">'[7]Func Study'!$AB$296</definedName>
    <definedName name="UAcctcwc">'[7]Func Study'!$AB$2136</definedName>
    <definedName name="UAcctd00">'[7]Func Study'!$AB$1786</definedName>
    <definedName name="UAcctds0">'[7]Func Study'!$AB$1790</definedName>
    <definedName name="UACCTECDDGP">'[7]Func Study'!$AB$687</definedName>
    <definedName name="UACCTECDMC">'[7]Func Study'!$AB$689</definedName>
    <definedName name="UACCTECDS">'[7]Func Study'!$AB$691</definedName>
    <definedName name="UACCTECDSG1">'[7]Func Study'!$AB$688</definedName>
    <definedName name="UACCTECDSG2">'[7]Func Study'!$AB$690</definedName>
    <definedName name="UACCTECDSG3">'[7]Func Study'!$AB$692</definedName>
    <definedName name="UAcctfit">'[7]Func Study'!$AB$1395</definedName>
    <definedName name="UAcctg00">'[7]Func Study'!$AB$1947</definedName>
    <definedName name="UAccth00">'[7]Func Study'!$AB$1545</definedName>
    <definedName name="UAccti00">'[7]Func Study'!$AB$1993</definedName>
    <definedName name="UAcctn00">'[7]Func Study'!$AB$1496</definedName>
    <definedName name="UAccto00">'[7]Func Study'!$AB$1606</definedName>
    <definedName name="UAcctowc">'[7]Func Study'!$AB$2149</definedName>
    <definedName name="UACCTOWCSSECH">'[7]Func Study'!$AB$2148</definedName>
    <definedName name="UAccts00">'[7]Func Study'!$AB$1455</definedName>
    <definedName name="UAcctsttax">'[7]Func Study'!$AB$1377</definedName>
    <definedName name="UAcctt00">'[7]Func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[11]Variables!$D$25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[11]Variables!$D$29</definedName>
    <definedName name="ValidAccount">[8]Variables!$AK$43:$AK$369</definedName>
    <definedName name="Values_Entered" localSheetId="8">IF(Loan_Amount*Interest_Rate*Loan_Years*Loan_Start&gt;0,1,0)</definedName>
    <definedName name="Values_Entered" localSheetId="6">IF(Loan_Amount*Interest_Rate*Loan_Years*Loan_Start&gt;0,1,0)</definedName>
    <definedName name="Values_Entered" localSheetId="5">IF(Loan_Amount*Interest_Rate*Loan_Years*Loan_Start&gt;0,1,0)</definedName>
    <definedName name="Values_Entered" localSheetId="2">IF(Loan_Amount*Interest_Rate*Loan_Years*Loan_Start&gt;0,1,0)</definedName>
    <definedName name="Values_Entered">IF(Loan_Amount*Interest_Rate*Loan_Years*Loan_Start&gt;0,1,0)</definedName>
    <definedName name="VOMEsc">[9]Assumptions!$C$21</definedName>
    <definedName name="WACC">[9]Assumptions!$I$61</definedName>
    <definedName name="WaRevenueTax">[11]Variables!$D$27</definedName>
    <definedName name="Winter">'[58]Input Tab'!$B$11</definedName>
    <definedName name="WinterPeak">'[59]Load Data'!$D$9:$H$12,'[59]Load Data'!$D$20:$H$22</definedName>
    <definedName name="WUTC_Docket_No._UG_11____">'[6]MJS-6'!$F$2</definedName>
    <definedName name="WUTC_FILING_FEE">'[6]MJS-7'!$O$15</definedName>
    <definedName name="Years_evaluated">'[60]Revison Inputs'!$B$6</definedName>
    <definedName name="YEFactors">[8]Factors!$S$3:$AG$99</definedName>
    <definedName name="YTD_Format">[50]YTD!$B$13:$D$13,[50]YTD!$B$36:$D$36</definedName>
  </definedNames>
  <calcPr calcId="162913"/>
</workbook>
</file>

<file path=xl/calcChain.xml><?xml version="1.0" encoding="utf-8"?>
<calcChain xmlns="http://schemas.openxmlformats.org/spreadsheetml/2006/main">
  <c r="F66" i="74" l="1"/>
  <c r="G65" i="74"/>
  <c r="Y62" i="74"/>
  <c r="X62" i="74"/>
  <c r="W62" i="74"/>
  <c r="V62" i="74"/>
  <c r="U62" i="74"/>
  <c r="T62" i="74"/>
  <c r="S62" i="74"/>
  <c r="R62" i="74"/>
  <c r="Q62" i="74"/>
  <c r="P62" i="74"/>
  <c r="O62" i="74"/>
  <c r="N62" i="74"/>
  <c r="M62" i="74"/>
  <c r="L62" i="74"/>
  <c r="K62" i="74"/>
  <c r="J62" i="74"/>
  <c r="I62" i="74"/>
  <c r="H62" i="74"/>
  <c r="G62" i="74"/>
  <c r="F62" i="74"/>
  <c r="G16" i="74" l="1"/>
  <c r="G15" i="74"/>
  <c r="G12" i="74"/>
  <c r="G11" i="74"/>
  <c r="G13" i="74"/>
  <c r="D43" i="69" l="1"/>
  <c r="X62" i="83"/>
  <c r="T62" i="83"/>
  <c r="P62" i="83"/>
  <c r="L62" i="83"/>
  <c r="H62" i="83"/>
  <c r="Y62" i="83"/>
  <c r="W62" i="83"/>
  <c r="V62" i="83"/>
  <c r="U62" i="83"/>
  <c r="S62" i="83"/>
  <c r="R62" i="83"/>
  <c r="Q62" i="83"/>
  <c r="O62" i="83"/>
  <c r="N62" i="83"/>
  <c r="M62" i="83"/>
  <c r="K62" i="83"/>
  <c r="J62" i="83"/>
  <c r="I62" i="83"/>
  <c r="G62" i="83"/>
  <c r="F62" i="83"/>
  <c r="E62" i="83"/>
  <c r="B62" i="83"/>
  <c r="AT57" i="83"/>
  <c r="AU56" i="83"/>
  <c r="AU55" i="83"/>
  <c r="AU51" i="83"/>
  <c r="AU50" i="83"/>
  <c r="AU41" i="83"/>
  <c r="AU40" i="83"/>
  <c r="AU36" i="83"/>
  <c r="A29" i="83"/>
  <c r="A32" i="83" s="1"/>
  <c r="A33" i="83" s="1"/>
  <c r="A34" i="83" s="1"/>
  <c r="A35" i="83" s="1"/>
  <c r="A37" i="83" s="1"/>
  <c r="A38" i="83" s="1"/>
  <c r="A39" i="83" s="1"/>
  <c r="A40" i="83" s="1"/>
  <c r="A41" i="83" s="1"/>
  <c r="A42" i="83" s="1"/>
  <c r="A43" i="83" s="1"/>
  <c r="A44" i="83" s="1"/>
  <c r="A45" i="83" s="1"/>
  <c r="A46" i="83" s="1"/>
  <c r="A47" i="83" s="1"/>
  <c r="A48" i="83" s="1"/>
  <c r="A49" i="83" s="1"/>
  <c r="A50" i="83" s="1"/>
  <c r="A51" i="83" s="1"/>
  <c r="A52" i="83" s="1"/>
  <c r="A53" i="83" s="1"/>
  <c r="A54" i="83" s="1"/>
  <c r="A55" i="83" s="1"/>
  <c r="A56" i="83" s="1"/>
  <c r="A57" i="83" s="1"/>
  <c r="A58" i="83" s="1"/>
  <c r="A59" i="83" s="1"/>
  <c r="A60" i="83" s="1"/>
  <c r="A61" i="83" s="1"/>
  <c r="A62" i="83" s="1"/>
  <c r="A63" i="83" s="1"/>
  <c r="A64" i="83" s="1"/>
  <c r="A65" i="83" s="1"/>
  <c r="A66" i="83" s="1"/>
  <c r="AR58" i="83"/>
  <c r="AM27" i="83"/>
  <c r="D28" i="69"/>
  <c r="E28" i="69" s="1"/>
  <c r="F13" i="83"/>
  <c r="D13" i="83"/>
  <c r="AD27" i="83" l="1"/>
  <c r="AB58" i="83"/>
  <c r="F27" i="83"/>
  <c r="F57" i="83" s="1"/>
  <c r="AL27" i="83"/>
  <c r="AL57" i="83" s="1"/>
  <c r="V27" i="83"/>
  <c r="N27" i="83"/>
  <c r="I27" i="83"/>
  <c r="I57" i="83" s="1"/>
  <c r="Q27" i="83"/>
  <c r="Q57" i="83" s="1"/>
  <c r="Y27" i="83"/>
  <c r="AG27" i="83"/>
  <c r="AG57" i="83" s="1"/>
  <c r="AO27" i="83"/>
  <c r="AO57" i="83" s="1"/>
  <c r="J27" i="83"/>
  <c r="J57" i="83" s="1"/>
  <c r="R27" i="83"/>
  <c r="Z27" i="83"/>
  <c r="Z57" i="83" s="1"/>
  <c r="AH27" i="83"/>
  <c r="AH57" i="83" s="1"/>
  <c r="AP27" i="83"/>
  <c r="AP57" i="83" s="1"/>
  <c r="AJ58" i="83"/>
  <c r="E27" i="83"/>
  <c r="D8" i="69" s="1"/>
  <c r="M27" i="83"/>
  <c r="U27" i="83"/>
  <c r="AC27" i="83"/>
  <c r="AC57" i="83" s="1"/>
  <c r="AK27" i="83"/>
  <c r="AK57" i="83" s="1"/>
  <c r="AP66" i="83"/>
  <c r="AM57" i="83"/>
  <c r="Y57" i="83"/>
  <c r="N57" i="83"/>
  <c r="V57" i="83"/>
  <c r="AD57" i="83"/>
  <c r="R57" i="83"/>
  <c r="M57" i="83"/>
  <c r="U57" i="83"/>
  <c r="AS57" i="83"/>
  <c r="G27" i="83"/>
  <c r="K27" i="83"/>
  <c r="O27" i="83"/>
  <c r="S27" i="83"/>
  <c r="W27" i="83"/>
  <c r="AA27" i="83"/>
  <c r="AE27" i="83"/>
  <c r="AI27" i="83"/>
  <c r="AQ27" i="83"/>
  <c r="AV27" i="83"/>
  <c r="L58" i="83"/>
  <c r="AT58" i="83"/>
  <c r="AT59" i="83" s="1"/>
  <c r="AT60" i="83" s="1"/>
  <c r="AP58" i="83"/>
  <c r="AL58" i="83"/>
  <c r="AH58" i="83"/>
  <c r="AD58" i="83"/>
  <c r="Z58" i="83"/>
  <c r="V58" i="83"/>
  <c r="R58" i="83"/>
  <c r="R59" i="83" s="1"/>
  <c r="R60" i="83" s="1"/>
  <c r="N58" i="83"/>
  <c r="J58" i="83"/>
  <c r="F58" i="83"/>
  <c r="AS58" i="83"/>
  <c r="AO58" i="83"/>
  <c r="AK58" i="83"/>
  <c r="AG58" i="83"/>
  <c r="AC58" i="83"/>
  <c r="Y58" i="83"/>
  <c r="Y59" i="83" s="1"/>
  <c r="Y60" i="83" s="1"/>
  <c r="U58" i="83"/>
  <c r="Q58" i="83"/>
  <c r="M58" i="83"/>
  <c r="I58" i="83"/>
  <c r="E58" i="83"/>
  <c r="D39" i="69" s="1"/>
  <c r="AQ58" i="83"/>
  <c r="AM58" i="83"/>
  <c r="AM59" i="83" s="1"/>
  <c r="AM60" i="83" s="1"/>
  <c r="AI58" i="83"/>
  <c r="AE58" i="83"/>
  <c r="AA58" i="83"/>
  <c r="W58" i="83"/>
  <c r="S58" i="83"/>
  <c r="O58" i="83"/>
  <c r="K58" i="83"/>
  <c r="G58" i="83"/>
  <c r="AF58" i="83"/>
  <c r="P58" i="83"/>
  <c r="AN58" i="83"/>
  <c r="X58" i="83"/>
  <c r="H58" i="83"/>
  <c r="H27" i="83"/>
  <c r="L27" i="83"/>
  <c r="P27" i="83"/>
  <c r="T27" i="83"/>
  <c r="X27" i="83"/>
  <c r="AB27" i="83"/>
  <c r="AF27" i="83"/>
  <c r="AJ27" i="83"/>
  <c r="AN27" i="83"/>
  <c r="AR27" i="83"/>
  <c r="T58" i="83"/>
  <c r="Z59" i="83" l="1"/>
  <c r="Z60" i="83" s="1"/>
  <c r="J59" i="83"/>
  <c r="J60" i="83" s="1"/>
  <c r="AP59" i="83"/>
  <c r="AP60" i="83" s="1"/>
  <c r="I59" i="83"/>
  <c r="I60" i="83" s="1"/>
  <c r="AO59" i="83"/>
  <c r="AO60" i="83" s="1"/>
  <c r="M59" i="83"/>
  <c r="M60" i="83" s="1"/>
  <c r="AC59" i="83"/>
  <c r="AC60" i="83" s="1"/>
  <c r="AS59" i="83"/>
  <c r="AS60" i="83" s="1"/>
  <c r="AH59" i="83"/>
  <c r="AH60" i="83" s="1"/>
  <c r="E47" i="83"/>
  <c r="Q59" i="83"/>
  <c r="Q60" i="83" s="1"/>
  <c r="AG59" i="83"/>
  <c r="AG60" i="83" s="1"/>
  <c r="F59" i="83"/>
  <c r="F60" i="83" s="1"/>
  <c r="V59" i="83"/>
  <c r="V60" i="83" s="1"/>
  <c r="AL59" i="83"/>
  <c r="AL60" i="83" s="1"/>
  <c r="E57" i="83"/>
  <c r="D38" i="69" s="1"/>
  <c r="AF57" i="83"/>
  <c r="G57" i="83"/>
  <c r="G59" i="83" s="1"/>
  <c r="G60" i="83" s="1"/>
  <c r="AB57" i="83"/>
  <c r="AB59" i="83" s="1"/>
  <c r="AB60" i="83" s="1"/>
  <c r="L57" i="83"/>
  <c r="L59" i="83" s="1"/>
  <c r="L60" i="83" s="1"/>
  <c r="AF59" i="83"/>
  <c r="AF60" i="83" s="1"/>
  <c r="AI57" i="83"/>
  <c r="AI59" i="83" s="1"/>
  <c r="AI60" i="83" s="1"/>
  <c r="S57" i="83"/>
  <c r="S59" i="83" s="1"/>
  <c r="S60" i="83" s="1"/>
  <c r="AQ57" i="83"/>
  <c r="AQ59" i="83" s="1"/>
  <c r="AQ60" i="83" s="1"/>
  <c r="X57" i="83"/>
  <c r="X59" i="83" s="1"/>
  <c r="X60" i="83" s="1"/>
  <c r="H57" i="83"/>
  <c r="H59" i="83" s="1"/>
  <c r="H60" i="83" s="1"/>
  <c r="AU58" i="83"/>
  <c r="U59" i="83"/>
  <c r="U60" i="83" s="1"/>
  <c r="AK59" i="83"/>
  <c r="AK60" i="83" s="1"/>
  <c r="AE57" i="83"/>
  <c r="AE59" i="83" s="1"/>
  <c r="AE60" i="83" s="1"/>
  <c r="O57" i="83"/>
  <c r="O59" i="83" s="1"/>
  <c r="O60" i="83" s="1"/>
  <c r="P57" i="83"/>
  <c r="P59" i="83" s="1"/>
  <c r="P60" i="83" s="1"/>
  <c r="W57" i="83"/>
  <c r="W59" i="83" s="1"/>
  <c r="W60" i="83" s="1"/>
  <c r="AR57" i="83"/>
  <c r="AR59" i="83" s="1"/>
  <c r="AR60" i="83" s="1"/>
  <c r="AN57" i="83"/>
  <c r="AN59" i="83" s="1"/>
  <c r="AN60" i="83" s="1"/>
  <c r="AJ57" i="83"/>
  <c r="AJ59" i="83" s="1"/>
  <c r="AJ60" i="83" s="1"/>
  <c r="T57" i="83"/>
  <c r="T59" i="83" s="1"/>
  <c r="T60" i="83" s="1"/>
  <c r="N59" i="83"/>
  <c r="N60" i="83" s="1"/>
  <c r="AD59" i="83"/>
  <c r="AD60" i="83" s="1"/>
  <c r="AA57" i="83"/>
  <c r="AA59" i="83" s="1"/>
  <c r="AA60" i="83" s="1"/>
  <c r="K57" i="83"/>
  <c r="K59" i="83" s="1"/>
  <c r="K60" i="83" s="1"/>
  <c r="AU27" i="83"/>
  <c r="E59" i="83" l="1"/>
  <c r="D40" i="69" s="1"/>
  <c r="AU57" i="83"/>
  <c r="E60" i="83"/>
  <c r="X49" i="83" s="1"/>
  <c r="AU59" i="83"/>
  <c r="AB49" i="83" l="1"/>
  <c r="AK49" i="83"/>
  <c r="AD49" i="83"/>
  <c r="S49" i="83"/>
  <c r="S34" i="83" s="1"/>
  <c r="S52" i="83" s="1"/>
  <c r="O49" i="83"/>
  <c r="H49" i="83"/>
  <c r="AE49" i="83"/>
  <c r="AJ49" i="83"/>
  <c r="AJ34" i="83" s="1"/>
  <c r="AJ52" i="83" s="1"/>
  <c r="N49" i="83"/>
  <c r="P49" i="83"/>
  <c r="P32" i="83" s="1"/>
  <c r="AQ49" i="83"/>
  <c r="AQ34" i="83" s="1"/>
  <c r="AQ52" i="83" s="1"/>
  <c r="U49" i="83"/>
  <c r="U32" i="83" s="1"/>
  <c r="AN49" i="83"/>
  <c r="L49" i="83"/>
  <c r="L34" i="83" s="1"/>
  <c r="L52" i="83" s="1"/>
  <c r="D41" i="69"/>
  <c r="AA49" i="83"/>
  <c r="AA33" i="83" s="1"/>
  <c r="L32" i="83"/>
  <c r="H34" i="83"/>
  <c r="H52" i="83" s="1"/>
  <c r="H33" i="83"/>
  <c r="H32" i="83"/>
  <c r="AB34" i="83"/>
  <c r="AB52" i="83" s="1"/>
  <c r="AB33" i="83"/>
  <c r="AB32" i="83"/>
  <c r="U33" i="83"/>
  <c r="AN34" i="83"/>
  <c r="AN52" i="83" s="1"/>
  <c r="AN33" i="83"/>
  <c r="AN32" i="83"/>
  <c r="P34" i="83"/>
  <c r="P52" i="83" s="1"/>
  <c r="P33" i="83"/>
  <c r="X34" i="83"/>
  <c r="X52" i="83" s="1"/>
  <c r="X33" i="83"/>
  <c r="X32" i="83"/>
  <c r="AQ32" i="83"/>
  <c r="AK34" i="83"/>
  <c r="AK52" i="83" s="1"/>
  <c r="AK33" i="83"/>
  <c r="AK32" i="83"/>
  <c r="N34" i="83"/>
  <c r="N52" i="83" s="1"/>
  <c r="N33" i="83"/>
  <c r="N32" i="83"/>
  <c r="AE34" i="83"/>
  <c r="AE52" i="83" s="1"/>
  <c r="AE33" i="83"/>
  <c r="AE32" i="83"/>
  <c r="W49" i="83"/>
  <c r="O34" i="83"/>
  <c r="O52" i="83" s="1"/>
  <c r="O33" i="83"/>
  <c r="O32" i="83"/>
  <c r="AJ32" i="83"/>
  <c r="AD34" i="83"/>
  <c r="AD52" i="83" s="1"/>
  <c r="AD33" i="83"/>
  <c r="AD32" i="83"/>
  <c r="AU60" i="83"/>
  <c r="E48" i="83"/>
  <c r="E49" i="83"/>
  <c r="D30" i="69" s="1"/>
  <c r="I49" i="83"/>
  <c r="AT49" i="83"/>
  <c r="V49" i="83"/>
  <c r="AS49" i="83"/>
  <c r="Y49" i="83"/>
  <c r="AG49" i="83"/>
  <c r="AM49" i="83"/>
  <c r="AP49" i="83"/>
  <c r="AF49" i="83"/>
  <c r="AC49" i="83"/>
  <c r="AH49" i="83"/>
  <c r="AO49" i="83"/>
  <c r="J49" i="83"/>
  <c r="G49" i="83"/>
  <c r="AL49" i="83"/>
  <c r="R49" i="83"/>
  <c r="F49" i="83"/>
  <c r="Z49" i="83"/>
  <c r="Q49" i="83"/>
  <c r="M49" i="83"/>
  <c r="AR49" i="83"/>
  <c r="AI49" i="83"/>
  <c r="T49" i="83"/>
  <c r="K49" i="83"/>
  <c r="AJ33" i="83" l="1"/>
  <c r="U34" i="83"/>
  <c r="U52" i="83" s="1"/>
  <c r="S32" i="83"/>
  <c r="AQ33" i="83"/>
  <c r="AQ35" i="83" s="1"/>
  <c r="S33" i="83"/>
  <c r="AA34" i="83"/>
  <c r="AA52" i="83" s="1"/>
  <c r="L33" i="83"/>
  <c r="O35" i="83"/>
  <c r="AE35" i="83"/>
  <c r="X35" i="83"/>
  <c r="AB35" i="83"/>
  <c r="AA32" i="83"/>
  <c r="AA35" i="83" s="1"/>
  <c r="U35" i="83"/>
  <c r="L35" i="83"/>
  <c r="AR34" i="83"/>
  <c r="AR52" i="83" s="1"/>
  <c r="AR33" i="83"/>
  <c r="AR32" i="83"/>
  <c r="R34" i="83"/>
  <c r="R52" i="83" s="1"/>
  <c r="R32" i="83"/>
  <c r="R33" i="83"/>
  <c r="AP34" i="83"/>
  <c r="AP52" i="83" s="1"/>
  <c r="AP33" i="83"/>
  <c r="AP32" i="83"/>
  <c r="AU49" i="83"/>
  <c r="E33" i="83"/>
  <c r="D14" i="69" s="1"/>
  <c r="E32" i="83"/>
  <c r="E34" i="83"/>
  <c r="D15" i="69" s="1"/>
  <c r="AK53" i="83"/>
  <c r="AK29" i="83" s="1"/>
  <c r="H53" i="83"/>
  <c r="H29" i="83" s="1"/>
  <c r="Q34" i="83"/>
  <c r="Q52" i="83" s="1"/>
  <c r="Q33" i="83"/>
  <c r="Q32" i="83"/>
  <c r="AL34" i="83"/>
  <c r="AL52" i="83" s="1"/>
  <c r="AL33" i="83"/>
  <c r="AL32" i="83"/>
  <c r="AH34" i="83"/>
  <c r="AH52" i="83" s="1"/>
  <c r="AH32" i="83"/>
  <c r="AH33" i="83"/>
  <c r="AM34" i="83"/>
  <c r="AM52" i="83" s="1"/>
  <c r="AM33" i="83"/>
  <c r="AM32" i="83"/>
  <c r="V34" i="83"/>
  <c r="V52" i="83" s="1"/>
  <c r="V33" i="83"/>
  <c r="V32" i="83"/>
  <c r="AD53" i="83"/>
  <c r="AD29" i="83" s="1"/>
  <c r="N53" i="83"/>
  <c r="N29" i="83" s="1"/>
  <c r="P53" i="83"/>
  <c r="P29" i="83" s="1"/>
  <c r="S53" i="83"/>
  <c r="S29" i="83" s="1"/>
  <c r="K34" i="83"/>
  <c r="K52" i="83" s="1"/>
  <c r="K33" i="83"/>
  <c r="K32" i="83"/>
  <c r="M34" i="83"/>
  <c r="M52" i="83" s="1"/>
  <c r="M32" i="83"/>
  <c r="M33" i="83"/>
  <c r="AO34" i="83"/>
  <c r="AO52" i="83" s="1"/>
  <c r="AO33" i="83"/>
  <c r="AO32" i="83"/>
  <c r="AS34" i="83"/>
  <c r="AS52" i="83" s="1"/>
  <c r="AS32" i="83"/>
  <c r="AS33" i="83"/>
  <c r="AJ53" i="83"/>
  <c r="AJ29" i="83" s="1"/>
  <c r="AN53" i="83"/>
  <c r="AN29" i="83" s="1"/>
  <c r="T34" i="83"/>
  <c r="T52" i="83" s="1"/>
  <c r="T33" i="83"/>
  <c r="T32" i="83"/>
  <c r="AI34" i="83"/>
  <c r="AI52" i="83" s="1"/>
  <c r="AI33" i="83"/>
  <c r="AI32" i="83"/>
  <c r="Z34" i="83"/>
  <c r="Z52" i="83" s="1"/>
  <c r="Z32" i="83"/>
  <c r="Z33" i="83"/>
  <c r="G34" i="83"/>
  <c r="G52" i="83" s="1"/>
  <c r="G33" i="83"/>
  <c r="G32" i="83"/>
  <c r="AC34" i="83"/>
  <c r="AC52" i="83" s="1"/>
  <c r="AC32" i="83"/>
  <c r="AC33" i="83"/>
  <c r="AG32" i="83"/>
  <c r="AG33" i="83"/>
  <c r="AG34" i="83"/>
  <c r="AG52" i="83" s="1"/>
  <c r="AT34" i="83"/>
  <c r="AT52" i="83" s="1"/>
  <c r="AT33" i="83"/>
  <c r="AT32" i="83"/>
  <c r="AJ35" i="83"/>
  <c r="O53" i="83"/>
  <c r="O29" i="83" s="1"/>
  <c r="AE53" i="83"/>
  <c r="AE29" i="83" s="1"/>
  <c r="AE37" i="83" s="1"/>
  <c r="AK35" i="83"/>
  <c r="X53" i="83"/>
  <c r="X29" i="83" s="1"/>
  <c r="X37" i="83" s="1"/>
  <c r="AN35" i="83"/>
  <c r="AB53" i="83"/>
  <c r="AB29" i="83" s="1"/>
  <c r="AB37" i="83" s="1"/>
  <c r="AB54" i="83"/>
  <c r="H35" i="83"/>
  <c r="F34" i="83"/>
  <c r="F52" i="83" s="1"/>
  <c r="F33" i="83"/>
  <c r="F32" i="83"/>
  <c r="J34" i="83"/>
  <c r="J52" i="83" s="1"/>
  <c r="J32" i="83"/>
  <c r="J33" i="83"/>
  <c r="AF34" i="83"/>
  <c r="AF52" i="83" s="1"/>
  <c r="AF33" i="83"/>
  <c r="AF32" i="83"/>
  <c r="Y34" i="83"/>
  <c r="Y52" i="83" s="1"/>
  <c r="Y32" i="83"/>
  <c r="Y33" i="83"/>
  <c r="I34" i="83"/>
  <c r="I52" i="83" s="1"/>
  <c r="I32" i="83"/>
  <c r="I33" i="83"/>
  <c r="AD35" i="83"/>
  <c r="AA53" i="83"/>
  <c r="AA29" i="83" s="1"/>
  <c r="W34" i="83"/>
  <c r="W52" i="83" s="1"/>
  <c r="W33" i="83"/>
  <c r="W32" i="83"/>
  <c r="N35" i="83"/>
  <c r="AQ53" i="83"/>
  <c r="AQ29" i="83" s="1"/>
  <c r="P35" i="83"/>
  <c r="U53" i="83"/>
  <c r="U29" i="83" s="1"/>
  <c r="S35" i="83"/>
  <c r="L53" i="83"/>
  <c r="L29" i="83" s="1"/>
  <c r="L37" i="83" s="1"/>
  <c r="AQ37" i="83" l="1"/>
  <c r="O37" i="83"/>
  <c r="AA37" i="83"/>
  <c r="AA38" i="83" s="1"/>
  <c r="AA39" i="83" s="1"/>
  <c r="AA42" i="83" s="1"/>
  <c r="AA45" i="83" s="1"/>
  <c r="AR35" i="83"/>
  <c r="AD37" i="83"/>
  <c r="Y35" i="83"/>
  <c r="F35" i="83"/>
  <c r="X54" i="83"/>
  <c r="V35" i="83"/>
  <c r="Q35" i="83"/>
  <c r="AQ54" i="83"/>
  <c r="S37" i="83"/>
  <c r="S38" i="83" s="1"/>
  <c r="S39" i="83" s="1"/>
  <c r="S42" i="83" s="1"/>
  <c r="S45" i="83" s="1"/>
  <c r="AG35" i="83"/>
  <c r="G35" i="83"/>
  <c r="Z35" i="83"/>
  <c r="AN37" i="83"/>
  <c r="AN38" i="83" s="1"/>
  <c r="AN39" i="83" s="1"/>
  <c r="AN42" i="83" s="1"/>
  <c r="AN45" i="83" s="1"/>
  <c r="K35" i="83"/>
  <c r="AL35" i="83"/>
  <c r="H54" i="83"/>
  <c r="U37" i="83"/>
  <c r="U38" i="83" s="1"/>
  <c r="U39" i="83" s="1"/>
  <c r="U42" i="83" s="1"/>
  <c r="U45" i="83" s="1"/>
  <c r="L54" i="83"/>
  <c r="T35" i="83"/>
  <c r="AJ54" i="83"/>
  <c r="N37" i="83"/>
  <c r="N38" i="83" s="1"/>
  <c r="AF53" i="83"/>
  <c r="AF29" i="83" s="1"/>
  <c r="AI53" i="83"/>
  <c r="AI29" i="83" s="1"/>
  <c r="M53" i="83"/>
  <c r="M29" i="83" s="1"/>
  <c r="AH53" i="83"/>
  <c r="AH29" i="83" s="1"/>
  <c r="Y53" i="83"/>
  <c r="Y29" i="83" s="1"/>
  <c r="Y37" i="83" s="1"/>
  <c r="O54" i="83"/>
  <c r="Z53" i="83"/>
  <c r="Z29" i="83" s="1"/>
  <c r="AS35" i="83"/>
  <c r="AO53" i="83"/>
  <c r="AO29" i="83" s="1"/>
  <c r="S54" i="83"/>
  <c r="AM53" i="83"/>
  <c r="AM29" i="83" s="1"/>
  <c r="AU33" i="83"/>
  <c r="I53" i="83"/>
  <c r="I29" i="83" s="1"/>
  <c r="J35" i="83"/>
  <c r="G53" i="83"/>
  <c r="G29" i="83" s="1"/>
  <c r="AS53" i="83"/>
  <c r="AS29" i="83" s="1"/>
  <c r="AS37" i="83" s="1"/>
  <c r="AD38" i="83"/>
  <c r="AD39" i="83" s="1"/>
  <c r="AD42" i="83" s="1"/>
  <c r="AD45" i="83" s="1"/>
  <c r="V53" i="83"/>
  <c r="V29" i="83" s="1"/>
  <c r="Q53" i="83"/>
  <c r="Q29" i="83" s="1"/>
  <c r="Q37" i="83" s="1"/>
  <c r="AK54" i="83"/>
  <c r="W53" i="83"/>
  <c r="W29" i="83" s="1"/>
  <c r="O38" i="83"/>
  <c r="O39" i="83" s="1"/>
  <c r="O42" i="83" s="1"/>
  <c r="O45" i="83" s="1"/>
  <c r="AU32" i="83"/>
  <c r="E35" i="83"/>
  <c r="D16" i="69" s="1"/>
  <c r="R53" i="83"/>
  <c r="R29" i="83" s="1"/>
  <c r="U54" i="83"/>
  <c r="I35" i="83"/>
  <c r="AB38" i="83"/>
  <c r="AB39" i="83" s="1"/>
  <c r="AB42" i="83" s="1"/>
  <c r="AB45" i="83" s="1"/>
  <c r="AT53" i="83"/>
  <c r="AT29" i="83" s="1"/>
  <c r="AN54" i="83"/>
  <c r="N54" i="83"/>
  <c r="AK37" i="83"/>
  <c r="AP53" i="83"/>
  <c r="AP29" i="83" s="1"/>
  <c r="L38" i="83"/>
  <c r="L39" i="83" s="1"/>
  <c r="L42" i="83" s="1"/>
  <c r="L45" i="83" s="1"/>
  <c r="W35" i="83"/>
  <c r="AA54" i="83"/>
  <c r="AF35" i="83"/>
  <c r="F53" i="83"/>
  <c r="F29" i="83" s="1"/>
  <c r="F37" i="83" s="1"/>
  <c r="AE38" i="83"/>
  <c r="AE39" i="83" s="1"/>
  <c r="AE42" i="83" s="1"/>
  <c r="AE45" i="83" s="1"/>
  <c r="AG53" i="83"/>
  <c r="AG29" i="83" s="1"/>
  <c r="AG37" i="83" s="1"/>
  <c r="AC35" i="83"/>
  <c r="AI35" i="83"/>
  <c r="P37" i="83"/>
  <c r="AQ38" i="83"/>
  <c r="AQ39" i="83" s="1"/>
  <c r="AQ42" i="83" s="1"/>
  <c r="AQ45" i="83" s="1"/>
  <c r="J53" i="83"/>
  <c r="J29" i="83" s="1"/>
  <c r="X38" i="83"/>
  <c r="X39" i="83" s="1"/>
  <c r="X42" i="83" s="1"/>
  <c r="X45" i="83" s="1"/>
  <c r="AE54" i="83"/>
  <c r="AT35" i="83"/>
  <c r="AC53" i="83"/>
  <c r="AC29" i="83" s="1"/>
  <c r="AC37" i="83" s="1"/>
  <c r="T53" i="83"/>
  <c r="T29" i="83" s="1"/>
  <c r="T37" i="83" s="1"/>
  <c r="AJ37" i="83"/>
  <c r="AO35" i="83"/>
  <c r="M35" i="83"/>
  <c r="K53" i="83"/>
  <c r="K29" i="83" s="1"/>
  <c r="K37" i="83" s="1"/>
  <c r="P54" i="83"/>
  <c r="AD54" i="83"/>
  <c r="AM35" i="83"/>
  <c r="AH35" i="83"/>
  <c r="AL53" i="83"/>
  <c r="AL29" i="83" s="1"/>
  <c r="H37" i="83"/>
  <c r="E52" i="83"/>
  <c r="AU34" i="83"/>
  <c r="AP35" i="83"/>
  <c r="R35" i="83"/>
  <c r="AR53" i="83"/>
  <c r="AR29" i="83" s="1"/>
  <c r="AR54" i="83"/>
  <c r="AR37" i="83" l="1"/>
  <c r="Z37" i="83"/>
  <c r="V37" i="83"/>
  <c r="N39" i="83"/>
  <c r="N42" i="83" s="1"/>
  <c r="N45" i="83" s="1"/>
  <c r="Z54" i="83"/>
  <c r="R37" i="83"/>
  <c r="R38" i="83" s="1"/>
  <c r="R39" i="83" s="1"/>
  <c r="R42" i="83" s="1"/>
  <c r="R45" i="83" s="1"/>
  <c r="AO37" i="83"/>
  <c r="D33" i="69"/>
  <c r="AL37" i="83"/>
  <c r="AL38" i="83" s="1"/>
  <c r="AL39" i="83" s="1"/>
  <c r="AL42" i="83" s="1"/>
  <c r="AL45" i="83" s="1"/>
  <c r="J54" i="83"/>
  <c r="AT37" i="83"/>
  <c r="AT38" i="83" s="1"/>
  <c r="AT39" i="83" s="1"/>
  <c r="AT42" i="83" s="1"/>
  <c r="AT45" i="83" s="1"/>
  <c r="Q54" i="83"/>
  <c r="G37" i="83"/>
  <c r="G38" i="83" s="1"/>
  <c r="G39" i="83" s="1"/>
  <c r="G42" i="83" s="1"/>
  <c r="G45" i="83" s="1"/>
  <c r="AM37" i="83"/>
  <c r="T38" i="83"/>
  <c r="T39" i="83" s="1"/>
  <c r="T42" i="83" s="1"/>
  <c r="T45" i="83" s="1"/>
  <c r="AI37" i="83"/>
  <c r="AL54" i="83"/>
  <c r="R54" i="83"/>
  <c r="V38" i="83"/>
  <c r="V39" i="83" s="1"/>
  <c r="V42" i="83" s="1"/>
  <c r="V45" i="83" s="1"/>
  <c r="AO54" i="83"/>
  <c r="AI54" i="83"/>
  <c r="E53" i="83"/>
  <c r="D34" i="69" s="1"/>
  <c r="AU52" i="83"/>
  <c r="AJ38" i="83"/>
  <c r="AJ39" i="83" s="1"/>
  <c r="AJ42" i="83" s="1"/>
  <c r="AJ45" i="83" s="1"/>
  <c r="AC54" i="83"/>
  <c r="F38" i="83"/>
  <c r="F39" i="83" s="1"/>
  <c r="F42" i="83" s="1"/>
  <c r="F45" i="83" s="1"/>
  <c r="AP54" i="83"/>
  <c r="W37" i="83"/>
  <c r="AS54" i="83"/>
  <c r="AO38" i="83"/>
  <c r="AO39" i="83" s="1"/>
  <c r="AO42" i="83" s="1"/>
  <c r="AO45" i="83" s="1"/>
  <c r="AC38" i="83"/>
  <c r="AC39" i="83" s="1"/>
  <c r="AC42" i="83" s="1"/>
  <c r="AC45" i="83" s="1"/>
  <c r="AP37" i="83"/>
  <c r="AS38" i="83"/>
  <c r="AS39" i="83" s="1"/>
  <c r="AS42" i="83" s="1"/>
  <c r="AS45" i="83" s="1"/>
  <c r="AR38" i="83"/>
  <c r="AR39" i="83" s="1"/>
  <c r="AR42" i="83" s="1"/>
  <c r="AR45" i="83" s="1"/>
  <c r="K38" i="83"/>
  <c r="K39" i="83" s="1"/>
  <c r="K42" i="83" s="1"/>
  <c r="K45" i="83" s="1"/>
  <c r="AG38" i="83"/>
  <c r="AG39" i="83" s="1"/>
  <c r="AG42" i="83" s="1"/>
  <c r="AG45" i="83" s="1"/>
  <c r="AU35" i="83"/>
  <c r="V54" i="83"/>
  <c r="I37" i="83"/>
  <c r="AM54" i="83"/>
  <c r="Y38" i="83"/>
  <c r="Y39" i="83" s="1"/>
  <c r="Y42" i="83" s="1"/>
  <c r="Y45" i="83" s="1"/>
  <c r="AH37" i="83"/>
  <c r="M37" i="83"/>
  <c r="AF37" i="83"/>
  <c r="H38" i="83"/>
  <c r="H39" i="83" s="1"/>
  <c r="H42" i="83" s="1"/>
  <c r="H45" i="83" s="1"/>
  <c r="K54" i="83"/>
  <c r="T54" i="83"/>
  <c r="J37" i="83"/>
  <c r="P38" i="83"/>
  <c r="P39" i="83" s="1"/>
  <c r="P42" i="83" s="1"/>
  <c r="P45" i="83" s="1"/>
  <c r="AG54" i="83"/>
  <c r="F54" i="83"/>
  <c r="AK38" i="83"/>
  <c r="AK39" i="83" s="1"/>
  <c r="AK42" i="83" s="1"/>
  <c r="AK45" i="83" s="1"/>
  <c r="AT54" i="83"/>
  <c r="W54" i="83"/>
  <c r="Q38" i="83"/>
  <c r="Q39" i="83" s="1"/>
  <c r="Q42" i="83" s="1"/>
  <c r="Q45" i="83" s="1"/>
  <c r="G54" i="83"/>
  <c r="I54" i="83"/>
  <c r="Z38" i="83"/>
  <c r="Z39" i="83" s="1"/>
  <c r="Z42" i="83" s="1"/>
  <c r="Z45" i="83" s="1"/>
  <c r="Y54" i="83"/>
  <c r="AH54" i="83"/>
  <c r="M54" i="83"/>
  <c r="AF54" i="83"/>
  <c r="E54" i="83" l="1"/>
  <c r="AM38" i="83"/>
  <c r="AM39" i="83" s="1"/>
  <c r="AM42" i="83" s="1"/>
  <c r="AM45" i="83" s="1"/>
  <c r="D35" i="69"/>
  <c r="AI38" i="83"/>
  <c r="AI39" i="83" s="1"/>
  <c r="AI42" i="83" s="1"/>
  <c r="AI45" i="83" s="1"/>
  <c r="AF38" i="83"/>
  <c r="AF39" i="83"/>
  <c r="AF42" i="83" s="1"/>
  <c r="AF45" i="83" s="1"/>
  <c r="AU54" i="83"/>
  <c r="M38" i="83"/>
  <c r="M39" i="83" s="1"/>
  <c r="M42" i="83" s="1"/>
  <c r="M45" i="83" s="1"/>
  <c r="AH38" i="83"/>
  <c r="AH39" i="83" s="1"/>
  <c r="AH42" i="83" s="1"/>
  <c r="AH45" i="83" s="1"/>
  <c r="I38" i="83"/>
  <c r="I39" i="83" s="1"/>
  <c r="I42" i="83" s="1"/>
  <c r="I45" i="83" s="1"/>
  <c r="J38" i="83"/>
  <c r="J39" i="83" s="1"/>
  <c r="J42" i="83" s="1"/>
  <c r="J45" i="83" s="1"/>
  <c r="AP38" i="83"/>
  <c r="AP39" i="83" s="1"/>
  <c r="AP42" i="83" s="1"/>
  <c r="AP45" i="83" s="1"/>
  <c r="W38" i="83"/>
  <c r="W39" i="83" s="1"/>
  <c r="W42" i="83" s="1"/>
  <c r="W45" i="83" s="1"/>
  <c r="AU53" i="83"/>
  <c r="E29" i="83"/>
  <c r="D10" i="69" s="1"/>
  <c r="AU29" i="83" l="1"/>
  <c r="E37" i="83"/>
  <c r="D18" i="69" s="1"/>
  <c r="E38" i="83" l="1"/>
  <c r="AU37" i="83"/>
  <c r="AU38" i="83" l="1"/>
  <c r="D19" i="69"/>
  <c r="D20" i="69" s="1"/>
  <c r="D23" i="69" s="1"/>
  <c r="E39" i="83"/>
  <c r="E42" i="83" l="1"/>
  <c r="AU39" i="83"/>
  <c r="E45" i="83" l="1"/>
  <c r="AU42" i="83"/>
  <c r="E26" i="69" l="1"/>
  <c r="D26" i="69"/>
  <c r="F16" i="76"/>
  <c r="F15" i="76"/>
  <c r="F12" i="76"/>
  <c r="F11" i="76"/>
  <c r="E12" i="76"/>
  <c r="E11" i="76"/>
  <c r="D12" i="76"/>
  <c r="D11" i="76"/>
  <c r="F23" i="77"/>
  <c r="E9" i="71" l="1"/>
  <c r="E13" i="71" s="1"/>
  <c r="D10" i="71" l="1"/>
  <c r="C10" i="71"/>
  <c r="E6" i="77" l="1"/>
  <c r="F5" i="77" l="1"/>
  <c r="W62" i="80" l="1"/>
  <c r="S62" i="80"/>
  <c r="P62" i="80"/>
  <c r="O62" i="80"/>
  <c r="L62" i="80"/>
  <c r="K62" i="80"/>
  <c r="H62" i="80"/>
  <c r="G62" i="80"/>
  <c r="Y62" i="80"/>
  <c r="X62" i="80"/>
  <c r="V62" i="80"/>
  <c r="U62" i="80"/>
  <c r="T62" i="80"/>
  <c r="R62" i="80"/>
  <c r="Q62" i="80"/>
  <c r="N62" i="80"/>
  <c r="M62" i="80"/>
  <c r="J62" i="80"/>
  <c r="I62" i="80"/>
  <c r="F62" i="80"/>
  <c r="E62" i="80"/>
  <c r="B62" i="80"/>
  <c r="AT56" i="80"/>
  <c r="AT55" i="80"/>
  <c r="AT51" i="80"/>
  <c r="AT50" i="80"/>
  <c r="AT41" i="80"/>
  <c r="AT40" i="80"/>
  <c r="A40" i="80"/>
  <c r="A41" i="80" s="1"/>
  <c r="A42" i="80" s="1"/>
  <c r="A43" i="80" s="1"/>
  <c r="A44" i="80" s="1"/>
  <c r="A45" i="80" s="1"/>
  <c r="A46" i="80" s="1"/>
  <c r="A47" i="80" s="1"/>
  <c r="A48" i="80" s="1"/>
  <c r="A49" i="80" s="1"/>
  <c r="A50" i="80" s="1"/>
  <c r="A51" i="80" s="1"/>
  <c r="A52" i="80" s="1"/>
  <c r="A53" i="80" s="1"/>
  <c r="A54" i="80" s="1"/>
  <c r="A55" i="80" s="1"/>
  <c r="A56" i="80" s="1"/>
  <c r="A57" i="80" s="1"/>
  <c r="A58" i="80" s="1"/>
  <c r="A59" i="80" s="1"/>
  <c r="A60" i="80" s="1"/>
  <c r="A61" i="80" s="1"/>
  <c r="A62" i="80" s="1"/>
  <c r="A63" i="80" s="1"/>
  <c r="A64" i="80" s="1"/>
  <c r="A65" i="80" s="1"/>
  <c r="A66" i="80" s="1"/>
  <c r="AT36" i="80"/>
  <c r="A34" i="80"/>
  <c r="A35" i="80" s="1"/>
  <c r="A37" i="80" s="1"/>
  <c r="A38" i="80" s="1"/>
  <c r="A39" i="80" s="1"/>
  <c r="A29" i="80"/>
  <c r="AS57" i="80"/>
  <c r="M9" i="80"/>
  <c r="M10" i="80" s="1"/>
  <c r="M11" i="80" s="1"/>
  <c r="M12" i="80" s="1"/>
  <c r="M13" i="80" s="1"/>
  <c r="M14" i="80" s="1"/>
  <c r="M15" i="80" s="1"/>
  <c r="M16" i="80" s="1"/>
  <c r="M17" i="80" s="1"/>
  <c r="M18" i="80" s="1"/>
  <c r="M19" i="80" s="1"/>
  <c r="J13" i="80"/>
  <c r="H13" i="80"/>
  <c r="F13" i="80"/>
  <c r="D13" i="80"/>
  <c r="M8" i="80"/>
  <c r="X62" i="79"/>
  <c r="W62" i="79"/>
  <c r="V62" i="79"/>
  <c r="T62" i="79"/>
  <c r="S62" i="79"/>
  <c r="P62" i="79"/>
  <c r="O62" i="79"/>
  <c r="N62" i="79"/>
  <c r="L62" i="79"/>
  <c r="J62" i="79"/>
  <c r="H62" i="79"/>
  <c r="G62" i="79"/>
  <c r="Y62" i="79"/>
  <c r="U62" i="79"/>
  <c r="R62" i="79"/>
  <c r="Q62" i="79"/>
  <c r="M62" i="79"/>
  <c r="K62" i="79"/>
  <c r="I62" i="79"/>
  <c r="E62" i="79"/>
  <c r="B62" i="79"/>
  <c r="A29" i="79"/>
  <c r="A32" i="79" s="1"/>
  <c r="A33" i="79" s="1"/>
  <c r="A34" i="79" s="1"/>
  <c r="A35" i="79" s="1"/>
  <c r="A37" i="79" s="1"/>
  <c r="A38" i="79" s="1"/>
  <c r="A39" i="79" s="1"/>
  <c r="A40" i="79" s="1"/>
  <c r="A41" i="79" s="1"/>
  <c r="A42" i="79" s="1"/>
  <c r="A43" i="79" s="1"/>
  <c r="A44" i="79" s="1"/>
  <c r="A45" i="79" s="1"/>
  <c r="A46" i="79" s="1"/>
  <c r="A47" i="79" s="1"/>
  <c r="A48" i="79" s="1"/>
  <c r="A49" i="79" s="1"/>
  <c r="A50" i="79" s="1"/>
  <c r="A51" i="79" s="1"/>
  <c r="A52" i="79" s="1"/>
  <c r="A53" i="79" s="1"/>
  <c r="A54" i="79" s="1"/>
  <c r="A55" i="79" s="1"/>
  <c r="A56" i="79" s="1"/>
  <c r="A57" i="79" s="1"/>
  <c r="A58" i="79" s="1"/>
  <c r="A59" i="79" s="1"/>
  <c r="A60" i="79" s="1"/>
  <c r="A61" i="79" s="1"/>
  <c r="A62" i="79" s="1"/>
  <c r="A63" i="79" s="1"/>
  <c r="A64" i="79" s="1"/>
  <c r="A65" i="79" s="1"/>
  <c r="A66" i="79" s="1"/>
  <c r="AF58" i="79"/>
  <c r="AI27" i="79"/>
  <c r="Q13" i="79"/>
  <c r="J13" i="79"/>
  <c r="H13" i="79"/>
  <c r="F13" i="79"/>
  <c r="D13" i="79"/>
  <c r="Q12" i="79"/>
  <c r="Q11" i="79"/>
  <c r="Q10" i="79"/>
  <c r="Q9" i="79"/>
  <c r="Q8" i="79"/>
  <c r="T27" i="80" l="1"/>
  <c r="M27" i="79"/>
  <c r="M57" i="79" s="1"/>
  <c r="F27" i="79"/>
  <c r="F57" i="79" s="1"/>
  <c r="AO27" i="80"/>
  <c r="AO57" i="80" s="1"/>
  <c r="Q27" i="79"/>
  <c r="Q57" i="79" s="1"/>
  <c r="U27" i="79"/>
  <c r="U57" i="79" s="1"/>
  <c r="AC27" i="79"/>
  <c r="AC57" i="79" s="1"/>
  <c r="AG27" i="79"/>
  <c r="AG57" i="79" s="1"/>
  <c r="I27" i="79"/>
  <c r="I57" i="79" s="1"/>
  <c r="Y27" i="79"/>
  <c r="Y57" i="79" s="1"/>
  <c r="X58" i="79"/>
  <c r="AP66" i="79"/>
  <c r="K27" i="79"/>
  <c r="K57" i="79" s="1"/>
  <c r="S27" i="79"/>
  <c r="S57" i="79" s="1"/>
  <c r="AA27" i="79"/>
  <c r="AA57" i="79" s="1"/>
  <c r="AK27" i="79"/>
  <c r="AK57" i="79" s="1"/>
  <c r="AP66" i="80"/>
  <c r="E27" i="79"/>
  <c r="G27" i="79"/>
  <c r="G57" i="79" s="1"/>
  <c r="O27" i="79"/>
  <c r="O57" i="79" s="1"/>
  <c r="W27" i="79"/>
  <c r="W57" i="79" s="1"/>
  <c r="AE27" i="79"/>
  <c r="AE57" i="79" s="1"/>
  <c r="H58" i="79"/>
  <c r="F62" i="79"/>
  <c r="AI57" i="79"/>
  <c r="J27" i="79"/>
  <c r="N27" i="79"/>
  <c r="R27" i="79"/>
  <c r="V27" i="79"/>
  <c r="Z27" i="79"/>
  <c r="AD27" i="79"/>
  <c r="AH27" i="79"/>
  <c r="AL27" i="79"/>
  <c r="L58" i="79"/>
  <c r="AB58" i="79"/>
  <c r="AQ58" i="80"/>
  <c r="AM58" i="80"/>
  <c r="AI58" i="80"/>
  <c r="AE58" i="80"/>
  <c r="AA58" i="80"/>
  <c r="W58" i="80"/>
  <c r="S58" i="80"/>
  <c r="O58" i="80"/>
  <c r="K58" i="80"/>
  <c r="G58" i="80"/>
  <c r="AP58" i="80"/>
  <c r="AL58" i="80"/>
  <c r="AH58" i="80"/>
  <c r="AD58" i="80"/>
  <c r="Z58" i="80"/>
  <c r="V58" i="80"/>
  <c r="R58" i="80"/>
  <c r="N58" i="80"/>
  <c r="J58" i="80"/>
  <c r="F58" i="80"/>
  <c r="AS58" i="80"/>
  <c r="AS59" i="80" s="1"/>
  <c r="AS60" i="80" s="1"/>
  <c r="AO58" i="80"/>
  <c r="AK58" i="80"/>
  <c r="AG58" i="80"/>
  <c r="AC58" i="80"/>
  <c r="Y58" i="80"/>
  <c r="U58" i="80"/>
  <c r="Q58" i="80"/>
  <c r="M58" i="80"/>
  <c r="I58" i="80"/>
  <c r="E58" i="80"/>
  <c r="AJ58" i="80"/>
  <c r="T58" i="80"/>
  <c r="AQ27" i="80"/>
  <c r="AM27" i="80"/>
  <c r="AI27" i="80"/>
  <c r="AE27" i="80"/>
  <c r="AA27" i="80"/>
  <c r="W27" i="80"/>
  <c r="S27" i="80"/>
  <c r="O27" i="80"/>
  <c r="K27" i="80"/>
  <c r="G27" i="80"/>
  <c r="AF58" i="80"/>
  <c r="P58" i="80"/>
  <c r="AR58" i="80"/>
  <c r="AB58" i="80"/>
  <c r="L58" i="80"/>
  <c r="AN27" i="80"/>
  <c r="AH27" i="80"/>
  <c r="AC27" i="80"/>
  <c r="X27" i="80"/>
  <c r="R27" i="80"/>
  <c r="M27" i="80"/>
  <c r="H27" i="80"/>
  <c r="N5" i="80"/>
  <c r="AN58" i="80"/>
  <c r="AR27" i="80"/>
  <c r="AL27" i="80"/>
  <c r="AG27" i="80"/>
  <c r="AB27" i="80"/>
  <c r="V27" i="80"/>
  <c r="Q27" i="80"/>
  <c r="L27" i="80"/>
  <c r="F27" i="80"/>
  <c r="X58" i="80"/>
  <c r="AP27" i="80"/>
  <c r="AK27" i="80"/>
  <c r="AF27" i="80"/>
  <c r="Z27" i="80"/>
  <c r="U27" i="80"/>
  <c r="P27" i="80"/>
  <c r="J27" i="80"/>
  <c r="Y27" i="80"/>
  <c r="P58" i="79"/>
  <c r="I27" i="80"/>
  <c r="AD27" i="80"/>
  <c r="H58" i="80"/>
  <c r="E57" i="79"/>
  <c r="E47" i="79"/>
  <c r="T57" i="80"/>
  <c r="AM58" i="79"/>
  <c r="AI58" i="79"/>
  <c r="AI59" i="79" s="1"/>
  <c r="AI60" i="79" s="1"/>
  <c r="AE58" i="79"/>
  <c r="AE59" i="79" s="1"/>
  <c r="AE60" i="79" s="1"/>
  <c r="AA58" i="79"/>
  <c r="AA59" i="79" s="1"/>
  <c r="AA60" i="79" s="1"/>
  <c r="W58" i="79"/>
  <c r="S58" i="79"/>
  <c r="S59" i="79" s="1"/>
  <c r="S60" i="79" s="1"/>
  <c r="O58" i="79"/>
  <c r="K58" i="79"/>
  <c r="G58" i="79"/>
  <c r="G59" i="79" s="1"/>
  <c r="G60" i="79" s="1"/>
  <c r="AL58" i="79"/>
  <c r="AH58" i="79"/>
  <c r="AD58" i="79"/>
  <c r="Z58" i="79"/>
  <c r="V58" i="79"/>
  <c r="R58" i="79"/>
  <c r="N58" i="79"/>
  <c r="J58" i="79"/>
  <c r="F58" i="79"/>
  <c r="AK58" i="79"/>
  <c r="AG58" i="79"/>
  <c r="AG59" i="79" s="1"/>
  <c r="AG60" i="79" s="1"/>
  <c r="AC58" i="79"/>
  <c r="AC59" i="79" s="1"/>
  <c r="AC60" i="79" s="1"/>
  <c r="Y58" i="79"/>
  <c r="Y59" i="79" s="1"/>
  <c r="Y60" i="79" s="1"/>
  <c r="U58" i="79"/>
  <c r="U59" i="79" s="1"/>
  <c r="U60" i="79" s="1"/>
  <c r="Q58" i="79"/>
  <c r="M58" i="79"/>
  <c r="M59" i="79" s="1"/>
  <c r="M60" i="79" s="1"/>
  <c r="I58" i="79"/>
  <c r="E58" i="79"/>
  <c r="H27" i="79"/>
  <c r="L27" i="79"/>
  <c r="P27" i="79"/>
  <c r="T27" i="79"/>
  <c r="X27" i="79"/>
  <c r="AB27" i="79"/>
  <c r="AF27" i="79"/>
  <c r="AJ27" i="79"/>
  <c r="T58" i="79"/>
  <c r="AJ58" i="79"/>
  <c r="N27" i="80"/>
  <c r="AJ27" i="80"/>
  <c r="I59" i="79" l="1"/>
  <c r="I60" i="79" s="1"/>
  <c r="F59" i="79"/>
  <c r="F60" i="79" s="1"/>
  <c r="W59" i="79"/>
  <c r="W60" i="79" s="1"/>
  <c r="AO59" i="80"/>
  <c r="AO60" i="80" s="1"/>
  <c r="F47" i="79"/>
  <c r="Q59" i="79"/>
  <c r="Q60" i="79" s="1"/>
  <c r="K59" i="79"/>
  <c r="K60" i="79" s="1"/>
  <c r="E59" i="79"/>
  <c r="E60" i="79" s="1"/>
  <c r="F49" i="79" s="1"/>
  <c r="AK59" i="79"/>
  <c r="AK60" i="79" s="1"/>
  <c r="O59" i="79"/>
  <c r="O60" i="79" s="1"/>
  <c r="I57" i="80"/>
  <c r="I59" i="80" s="1"/>
  <c r="I60" i="80" s="1"/>
  <c r="Y57" i="80"/>
  <c r="Y59" i="80" s="1"/>
  <c r="Y60" i="80" s="1"/>
  <c r="L57" i="80"/>
  <c r="L59" i="80" s="1"/>
  <c r="L60" i="80" s="1"/>
  <c r="R57" i="80"/>
  <c r="AE57" i="80"/>
  <c r="AE59" i="80" s="1"/>
  <c r="AE60" i="80" s="1"/>
  <c r="R57" i="79"/>
  <c r="R59" i="79" s="1"/>
  <c r="R60" i="79" s="1"/>
  <c r="AB57" i="79"/>
  <c r="L57" i="79"/>
  <c r="L59" i="79" s="1"/>
  <c r="L60" i="79" s="1"/>
  <c r="G47" i="79"/>
  <c r="J57" i="80"/>
  <c r="AF57" i="80"/>
  <c r="Q57" i="80"/>
  <c r="Q59" i="80" s="1"/>
  <c r="Q60" i="80" s="1"/>
  <c r="AL57" i="80"/>
  <c r="N19" i="80"/>
  <c r="N17" i="80"/>
  <c r="N16" i="80"/>
  <c r="N15" i="80"/>
  <c r="N13" i="80"/>
  <c r="N11" i="80"/>
  <c r="N9" i="80"/>
  <c r="N18" i="80"/>
  <c r="N14" i="80"/>
  <c r="N12" i="80"/>
  <c r="N10" i="80"/>
  <c r="N8" i="80"/>
  <c r="X57" i="80"/>
  <c r="X59" i="80" s="1"/>
  <c r="X60" i="80" s="1"/>
  <c r="AF59" i="80"/>
  <c r="AF60" i="80" s="1"/>
  <c r="S57" i="80"/>
  <c r="S59" i="80" s="1"/>
  <c r="S60" i="80" s="1"/>
  <c r="AI57" i="80"/>
  <c r="AI59" i="80" s="1"/>
  <c r="AI60" i="80" s="1"/>
  <c r="R59" i="80"/>
  <c r="R60" i="80" s="1"/>
  <c r="AB59" i="79"/>
  <c r="AB60" i="79" s="1"/>
  <c r="AD57" i="79"/>
  <c r="N57" i="79"/>
  <c r="N59" i="79" s="1"/>
  <c r="N60" i="79" s="1"/>
  <c r="Z57" i="80"/>
  <c r="Z59" i="80" s="1"/>
  <c r="Z60" i="80" s="1"/>
  <c r="AG57" i="80"/>
  <c r="AG59" i="80" s="1"/>
  <c r="AG60" i="80" s="1"/>
  <c r="H57" i="79"/>
  <c r="H59" i="79" s="1"/>
  <c r="H60" i="79" s="1"/>
  <c r="P57" i="80"/>
  <c r="P59" i="80" s="1"/>
  <c r="P60" i="80" s="1"/>
  <c r="AK57" i="80"/>
  <c r="V57" i="80"/>
  <c r="V59" i="80" s="1"/>
  <c r="V60" i="80" s="1"/>
  <c r="AR57" i="80"/>
  <c r="AR59" i="80" s="1"/>
  <c r="AR60" i="80" s="1"/>
  <c r="H57" i="80"/>
  <c r="H59" i="80" s="1"/>
  <c r="H60" i="80" s="1"/>
  <c r="AC57" i="80"/>
  <c r="AC59" i="80" s="1"/>
  <c r="AC60" i="80" s="1"/>
  <c r="G57" i="80"/>
  <c r="G59" i="80" s="1"/>
  <c r="G60" i="80" s="1"/>
  <c r="W57" i="80"/>
  <c r="W59" i="80" s="1"/>
  <c r="W60" i="80" s="1"/>
  <c r="AM57" i="80"/>
  <c r="AL59" i="80"/>
  <c r="AL60" i="80" s="1"/>
  <c r="Z57" i="79"/>
  <c r="Z59" i="79" s="1"/>
  <c r="Z60" i="79" s="1"/>
  <c r="J57" i="79"/>
  <c r="AF57" i="79"/>
  <c r="AF59" i="79" s="1"/>
  <c r="AF60" i="79" s="1"/>
  <c r="P57" i="79"/>
  <c r="P59" i="79" s="1"/>
  <c r="P60" i="79" s="1"/>
  <c r="AN57" i="80"/>
  <c r="AN59" i="80" s="1"/>
  <c r="AN60" i="80" s="1"/>
  <c r="O57" i="80"/>
  <c r="O59" i="80" s="1"/>
  <c r="O60" i="80" s="1"/>
  <c r="AH57" i="79"/>
  <c r="AH59" i="79" s="1"/>
  <c r="AH60" i="79" s="1"/>
  <c r="AJ57" i="80"/>
  <c r="AJ59" i="80" s="1"/>
  <c r="AJ60" i="80" s="1"/>
  <c r="X57" i="79"/>
  <c r="X59" i="79" s="1"/>
  <c r="X60" i="79" s="1"/>
  <c r="J59" i="79"/>
  <c r="J60" i="79" s="1"/>
  <c r="N57" i="80"/>
  <c r="N59" i="80" s="1"/>
  <c r="N60" i="80" s="1"/>
  <c r="AJ57" i="79"/>
  <c r="AJ59" i="79" s="1"/>
  <c r="AJ60" i="79" s="1"/>
  <c r="T57" i="79"/>
  <c r="T59" i="79" s="1"/>
  <c r="T60" i="79" s="1"/>
  <c r="AD59" i="79"/>
  <c r="AD60" i="79" s="1"/>
  <c r="AD57" i="80"/>
  <c r="AD59" i="80" s="1"/>
  <c r="AD60" i="80" s="1"/>
  <c r="U57" i="80"/>
  <c r="U59" i="80" s="1"/>
  <c r="U60" i="80" s="1"/>
  <c r="AP57" i="80"/>
  <c r="AP59" i="80" s="1"/>
  <c r="AP60" i="80" s="1"/>
  <c r="F57" i="80"/>
  <c r="F59" i="80" s="1"/>
  <c r="F60" i="80" s="1"/>
  <c r="AB57" i="80"/>
  <c r="AB59" i="80" s="1"/>
  <c r="AB60" i="80" s="1"/>
  <c r="M57" i="80"/>
  <c r="M59" i="80" s="1"/>
  <c r="M60" i="80" s="1"/>
  <c r="AH57" i="80"/>
  <c r="AH59" i="80" s="1"/>
  <c r="AH60" i="80" s="1"/>
  <c r="K57" i="80"/>
  <c r="K59" i="80" s="1"/>
  <c r="K60" i="80" s="1"/>
  <c r="AA57" i="80"/>
  <c r="AA59" i="80" s="1"/>
  <c r="AA60" i="80" s="1"/>
  <c r="AQ57" i="80"/>
  <c r="AQ59" i="80" s="1"/>
  <c r="AQ60" i="80" s="1"/>
  <c r="T59" i="80"/>
  <c r="T60" i="80" s="1"/>
  <c r="AT58" i="80"/>
  <c r="AK59" i="80"/>
  <c r="AK60" i="80" s="1"/>
  <c r="J59" i="80"/>
  <c r="J60" i="80" s="1"/>
  <c r="AM59" i="80"/>
  <c r="AM60" i="80" s="1"/>
  <c r="AL57" i="79"/>
  <c r="AL59" i="79" s="1"/>
  <c r="AL60" i="79" s="1"/>
  <c r="V57" i="79"/>
  <c r="V59" i="79" s="1"/>
  <c r="V60" i="79" s="1"/>
  <c r="AM27" i="79"/>
  <c r="D4" i="69"/>
  <c r="I49" i="79" l="1"/>
  <c r="E49" i="79"/>
  <c r="G49" i="79"/>
  <c r="G33" i="79" s="1"/>
  <c r="F48" i="79"/>
  <c r="G48" i="79"/>
  <c r="J49" i="79"/>
  <c r="E48" i="79"/>
  <c r="F34" i="79"/>
  <c r="F52" i="79" s="1"/>
  <c r="F53" i="79" s="1"/>
  <c r="F29" i="79" s="1"/>
  <c r="F33" i="79"/>
  <c r="V49" i="79"/>
  <c r="P49" i="79"/>
  <c r="P34" i="79" s="1"/>
  <c r="P52" i="79" s="1"/>
  <c r="T49" i="79"/>
  <c r="T34" i="79" s="1"/>
  <c r="T52" i="79" s="1"/>
  <c r="R49" i="79"/>
  <c r="V34" i="79"/>
  <c r="V52" i="79" s="1"/>
  <c r="V33" i="79"/>
  <c r="V35" i="79" s="1"/>
  <c r="AH49" i="79"/>
  <c r="Z49" i="79"/>
  <c r="J34" i="79"/>
  <c r="J52" i="79" s="1"/>
  <c r="J33" i="79"/>
  <c r="R34" i="79"/>
  <c r="R52" i="79" s="1"/>
  <c r="R33" i="79"/>
  <c r="AL49" i="79"/>
  <c r="AJ49" i="79"/>
  <c r="X49" i="79"/>
  <c r="L49" i="79"/>
  <c r="AB49" i="79"/>
  <c r="AD49" i="79"/>
  <c r="AG49" i="79"/>
  <c r="AF49" i="79"/>
  <c r="AK49" i="79"/>
  <c r="AI49" i="79"/>
  <c r="K49" i="79"/>
  <c r="I33" i="79"/>
  <c r="I34" i="79"/>
  <c r="I52" i="79" s="1"/>
  <c r="AE49" i="79"/>
  <c r="N20" i="80"/>
  <c r="E27" i="80" s="1"/>
  <c r="U49" i="79"/>
  <c r="AA49" i="79"/>
  <c r="S49" i="79"/>
  <c r="AM57" i="79"/>
  <c r="AM59" i="79" s="1"/>
  <c r="AM60" i="79" s="1"/>
  <c r="AM49" i="79" s="1"/>
  <c r="AP27" i="79"/>
  <c r="M49" i="79"/>
  <c r="N49" i="79"/>
  <c r="Q49" i="79"/>
  <c r="L6" i="79"/>
  <c r="E34" i="79"/>
  <c r="E33" i="79"/>
  <c r="G34" i="79"/>
  <c r="G52" i="79" s="1"/>
  <c r="W49" i="79"/>
  <c r="Y49" i="79"/>
  <c r="O49" i="79"/>
  <c r="H49" i="79"/>
  <c r="AC49" i="79"/>
  <c r="AN27" i="79"/>
  <c r="AN28" i="79" s="1"/>
  <c r="T33" i="79" l="1"/>
  <c r="F35" i="79"/>
  <c r="I35" i="79"/>
  <c r="P33" i="79"/>
  <c r="P35" i="79" s="1"/>
  <c r="G53" i="79"/>
  <c r="G29" i="79" s="1"/>
  <c r="U33" i="79"/>
  <c r="U34" i="79"/>
  <c r="U52" i="79" s="1"/>
  <c r="J53" i="79"/>
  <c r="J29" i="79" s="1"/>
  <c r="Z34" i="79"/>
  <c r="Z52" i="79" s="1"/>
  <c r="Z33" i="79"/>
  <c r="Z35" i="79" s="1"/>
  <c r="AC34" i="79"/>
  <c r="AC52" i="79" s="1"/>
  <c r="AC33" i="79"/>
  <c r="AC35" i="79" s="1"/>
  <c r="Y34" i="79"/>
  <c r="Y52" i="79" s="1"/>
  <c r="Y33" i="79"/>
  <c r="E35" i="79"/>
  <c r="N34" i="79"/>
  <c r="N52" i="79" s="1"/>
  <c r="N33" i="79"/>
  <c r="E57" i="80"/>
  <c r="E47" i="80"/>
  <c r="AT27" i="80"/>
  <c r="K34" i="79"/>
  <c r="K52" i="79" s="1"/>
  <c r="K33" i="79"/>
  <c r="X34" i="79"/>
  <c r="X52" i="79" s="1"/>
  <c r="X33" i="79"/>
  <c r="R35" i="79"/>
  <c r="T35" i="79"/>
  <c r="P53" i="79"/>
  <c r="P29" i="79" s="1"/>
  <c r="Q34" i="79"/>
  <c r="Q52" i="79" s="1"/>
  <c r="Q33" i="79"/>
  <c r="AD34" i="79"/>
  <c r="AD52" i="79" s="1"/>
  <c r="AD33" i="79"/>
  <c r="E53" i="79"/>
  <c r="E29" i="79" s="1"/>
  <c r="E37" i="79" s="1"/>
  <c r="E52" i="79"/>
  <c r="S33" i="79"/>
  <c r="S34" i="79"/>
  <c r="S52" i="79" s="1"/>
  <c r="F37" i="79"/>
  <c r="AF34" i="79"/>
  <c r="AF52" i="79" s="1"/>
  <c r="AF33" i="79"/>
  <c r="AB34" i="79"/>
  <c r="AB52" i="79" s="1"/>
  <c r="AB33" i="79"/>
  <c r="AJ34" i="79"/>
  <c r="AJ52" i="79" s="1"/>
  <c r="AJ33" i="79"/>
  <c r="R53" i="79"/>
  <c r="R29" i="79" s="1"/>
  <c r="T53" i="79"/>
  <c r="T29" i="79" s="1"/>
  <c r="O34" i="79"/>
  <c r="O52" i="79" s="1"/>
  <c r="O33" i="79"/>
  <c r="W34" i="79"/>
  <c r="W52" i="79" s="1"/>
  <c r="W33" i="79"/>
  <c r="AM34" i="79"/>
  <c r="AM52" i="79" s="1"/>
  <c r="AM33" i="79"/>
  <c r="AE34" i="79"/>
  <c r="AE52" i="79" s="1"/>
  <c r="AE33" i="79"/>
  <c r="AI34" i="79"/>
  <c r="AI52" i="79" s="1"/>
  <c r="AI33" i="79"/>
  <c r="H34" i="79"/>
  <c r="H52" i="79" s="1"/>
  <c r="H33" i="79"/>
  <c r="G35" i="79"/>
  <c r="M34" i="79"/>
  <c r="M52" i="79" s="1"/>
  <c r="M33" i="79"/>
  <c r="AA34" i="79"/>
  <c r="AA52" i="79" s="1"/>
  <c r="AA33" i="79"/>
  <c r="I53" i="79"/>
  <c r="I29" i="79" s="1"/>
  <c r="I37" i="79" s="1"/>
  <c r="F54" i="79"/>
  <c r="AK34" i="79"/>
  <c r="AK52" i="79" s="1"/>
  <c r="AK33" i="79"/>
  <c r="AG34" i="79"/>
  <c r="AG52" i="79" s="1"/>
  <c r="AG33" i="79"/>
  <c r="L34" i="79"/>
  <c r="L52" i="79" s="1"/>
  <c r="L33" i="79"/>
  <c r="AL34" i="79"/>
  <c r="AL52" i="79" s="1"/>
  <c r="AL33" i="79"/>
  <c r="J35" i="79"/>
  <c r="AH34" i="79"/>
  <c r="AH52" i="79" s="1"/>
  <c r="AH33" i="79"/>
  <c r="AH35" i="79" s="1"/>
  <c r="V53" i="79"/>
  <c r="V29" i="79" s="1"/>
  <c r="V37" i="79" s="1"/>
  <c r="E17" i="77"/>
  <c r="T54" i="79" l="1"/>
  <c r="R37" i="79"/>
  <c r="P37" i="79"/>
  <c r="K35" i="79"/>
  <c r="Y35" i="79"/>
  <c r="AL35" i="79"/>
  <c r="AG35" i="79"/>
  <c r="H35" i="79"/>
  <c r="AE35" i="79"/>
  <c r="W35" i="79"/>
  <c r="T37" i="79"/>
  <c r="T38" i="79" s="1"/>
  <c r="E54" i="79"/>
  <c r="Q35" i="79"/>
  <c r="N35" i="79"/>
  <c r="L35" i="79"/>
  <c r="AK35" i="79"/>
  <c r="I54" i="79"/>
  <c r="AI35" i="79"/>
  <c r="AM35" i="79"/>
  <c r="O35" i="79"/>
  <c r="AD35" i="79"/>
  <c r="S53" i="79"/>
  <c r="S29" i="79" s="1"/>
  <c r="AT57" i="80"/>
  <c r="E59" i="80"/>
  <c r="U53" i="79"/>
  <c r="U29" i="79" s="1"/>
  <c r="AL53" i="79"/>
  <c r="AL29" i="79" s="1"/>
  <c r="AL37" i="79" s="1"/>
  <c r="AL54" i="79"/>
  <c r="L53" i="79"/>
  <c r="L29" i="79" s="1"/>
  <c r="L37" i="79" s="1"/>
  <c r="AK53" i="79"/>
  <c r="AK29" i="79" s="1"/>
  <c r="AA35" i="79"/>
  <c r="AI53" i="79"/>
  <c r="AI29" i="79" s="1"/>
  <c r="AI37" i="79" s="1"/>
  <c r="AM53" i="79"/>
  <c r="AM29" i="79" s="1"/>
  <c r="AM37" i="79" s="1"/>
  <c r="O53" i="79"/>
  <c r="O29" i="79" s="1"/>
  <c r="AJ35" i="79"/>
  <c r="AF35" i="79"/>
  <c r="S35" i="79"/>
  <c r="AD53" i="79"/>
  <c r="AD29" i="79" s="1"/>
  <c r="X35" i="79"/>
  <c r="Y53" i="79"/>
  <c r="Y29" i="79" s="1"/>
  <c r="Y37" i="79" s="1"/>
  <c r="Z53" i="79"/>
  <c r="Z29" i="79" s="1"/>
  <c r="Z37" i="79" s="1"/>
  <c r="U35" i="79"/>
  <c r="M53" i="79"/>
  <c r="M29" i="79" s="1"/>
  <c r="AA53" i="79"/>
  <c r="AA29" i="79" s="1"/>
  <c r="AA37" i="79" s="1"/>
  <c r="AJ53" i="79"/>
  <c r="AJ29" i="79" s="1"/>
  <c r="AF53" i="79"/>
  <c r="AF29" i="79" s="1"/>
  <c r="P38" i="79"/>
  <c r="P39" i="79" s="1"/>
  <c r="P42" i="79" s="1"/>
  <c r="P45" i="79" s="1"/>
  <c r="X53" i="79"/>
  <c r="X29" i="79" s="1"/>
  <c r="N53" i="79"/>
  <c r="N29" i="79" s="1"/>
  <c r="N37" i="79" s="1"/>
  <c r="J37" i="79"/>
  <c r="G37" i="79"/>
  <c r="V38" i="79"/>
  <c r="V39" i="79" s="1"/>
  <c r="V42" i="79" s="1"/>
  <c r="V45" i="79" s="1"/>
  <c r="R38" i="79"/>
  <c r="R39" i="79" s="1"/>
  <c r="R42" i="79" s="1"/>
  <c r="R45" i="79" s="1"/>
  <c r="AB53" i="79"/>
  <c r="AB29" i="79" s="1"/>
  <c r="V54" i="79"/>
  <c r="AH53" i="79"/>
  <c r="AH29" i="79" s="1"/>
  <c r="AH37" i="79" s="1"/>
  <c r="AG53" i="79"/>
  <c r="AG29" i="79" s="1"/>
  <c r="AG37" i="79" s="1"/>
  <c r="I38" i="79"/>
  <c r="I39" i="79" s="1"/>
  <c r="I42" i="79" s="1"/>
  <c r="I45" i="79" s="1"/>
  <c r="M35" i="79"/>
  <c r="H53" i="79"/>
  <c r="H29" i="79" s="1"/>
  <c r="AE53" i="79"/>
  <c r="AE29" i="79" s="1"/>
  <c r="W53" i="79"/>
  <c r="W29" i="79" s="1"/>
  <c r="W37" i="79" s="1"/>
  <c r="R54" i="79"/>
  <c r="AB35" i="79"/>
  <c r="F38" i="79"/>
  <c r="F39" i="79" s="1"/>
  <c r="F42" i="79" s="1"/>
  <c r="F45" i="79" s="1"/>
  <c r="E38" i="79"/>
  <c r="E39" i="79" s="1"/>
  <c r="E42" i="79" s="1"/>
  <c r="E45" i="79" s="1"/>
  <c r="Q53" i="79"/>
  <c r="Q29" i="79" s="1"/>
  <c r="Q37" i="79" s="1"/>
  <c r="P54" i="79"/>
  <c r="K53" i="79"/>
  <c r="K29" i="79" s="1"/>
  <c r="AC53" i="79"/>
  <c r="AC29" i="79" s="1"/>
  <c r="AC37" i="79" s="1"/>
  <c r="J54" i="79"/>
  <c r="G54" i="79"/>
  <c r="E19" i="77"/>
  <c r="AF37" i="79" l="1"/>
  <c r="T39" i="79"/>
  <c r="T42" i="79" s="1"/>
  <c r="T45" i="79" s="1"/>
  <c r="AC54" i="79"/>
  <c r="K37" i="79"/>
  <c r="K54" i="79"/>
  <c r="H37" i="79"/>
  <c r="O37" i="79"/>
  <c r="O38" i="79" s="1"/>
  <c r="O39" i="79" s="1"/>
  <c r="O42" i="79" s="1"/>
  <c r="O45" i="79" s="1"/>
  <c r="AK37" i="79"/>
  <c r="AK38" i="79" s="1"/>
  <c r="AK39" i="79" s="1"/>
  <c r="AK42" i="79" s="1"/>
  <c r="AK45" i="79" s="1"/>
  <c r="AG54" i="79"/>
  <c r="AJ37" i="79"/>
  <c r="AD37" i="79"/>
  <c r="AD38" i="79" s="1"/>
  <c r="AD39" i="79" s="1"/>
  <c r="AD42" i="79" s="1"/>
  <c r="AD45" i="79" s="1"/>
  <c r="AM54" i="79"/>
  <c r="X37" i="79"/>
  <c r="X38" i="79" s="1"/>
  <c r="X39" i="79" s="1"/>
  <c r="X42" i="79" s="1"/>
  <c r="X45" i="79" s="1"/>
  <c r="AE37" i="79"/>
  <c r="Y54" i="79"/>
  <c r="W38" i="79"/>
  <c r="W39" i="79" s="1"/>
  <c r="W42" i="79" s="1"/>
  <c r="W45" i="79" s="1"/>
  <c r="AH38" i="79"/>
  <c r="AH39" i="79" s="1"/>
  <c r="AH42" i="79" s="1"/>
  <c r="AH45" i="79" s="1"/>
  <c r="E60" i="80"/>
  <c r="AT59" i="80"/>
  <c r="K38" i="79"/>
  <c r="K39" i="79" s="1"/>
  <c r="K42" i="79" s="1"/>
  <c r="K45" i="79" s="1"/>
  <c r="Q54" i="79"/>
  <c r="W54" i="79"/>
  <c r="H54" i="79"/>
  <c r="AG38" i="79"/>
  <c r="AG39" i="79" s="1"/>
  <c r="AG42" i="79" s="1"/>
  <c r="AG45" i="79" s="1"/>
  <c r="J38" i="79"/>
  <c r="J39" i="79" s="1"/>
  <c r="J42" i="79" s="1"/>
  <c r="J45" i="79" s="1"/>
  <c r="X54" i="79"/>
  <c r="AF54" i="79"/>
  <c r="AA54" i="79"/>
  <c r="Z38" i="79"/>
  <c r="Z39" i="79" s="1"/>
  <c r="Z42" i="79" s="1"/>
  <c r="Z45" i="79" s="1"/>
  <c r="AI38" i="79"/>
  <c r="AI39" i="79" s="1"/>
  <c r="AI42" i="79" s="1"/>
  <c r="AI45" i="79" s="1"/>
  <c r="AK54" i="79"/>
  <c r="AL38" i="79"/>
  <c r="AL39" i="79" s="1"/>
  <c r="AL42" i="79" s="1"/>
  <c r="AL45" i="79" s="1"/>
  <c r="H38" i="79"/>
  <c r="H39" i="79" s="1"/>
  <c r="H42" i="79" s="1"/>
  <c r="H45" i="79" s="1"/>
  <c r="AA38" i="79"/>
  <c r="AA39" i="79" s="1"/>
  <c r="AA42" i="79" s="1"/>
  <c r="AA45" i="79" s="1"/>
  <c r="AE38" i="79"/>
  <c r="AE39" i="79" s="1"/>
  <c r="AE42" i="79" s="1"/>
  <c r="AE45" i="79" s="1"/>
  <c r="AB37" i="79"/>
  <c r="AJ38" i="79"/>
  <c r="AJ39" i="79" s="1"/>
  <c r="AJ42" i="79" s="1"/>
  <c r="AJ45" i="79" s="1"/>
  <c r="M37" i="79"/>
  <c r="Z54" i="79"/>
  <c r="O54" i="79"/>
  <c r="AI54" i="79"/>
  <c r="L38" i="79"/>
  <c r="L39" i="79" s="1"/>
  <c r="L42" i="79" s="1"/>
  <c r="L45" i="79" s="1"/>
  <c r="U37" i="79"/>
  <c r="S37" i="79"/>
  <c r="Q38" i="79"/>
  <c r="Q39" i="79" s="1"/>
  <c r="Q42" i="79" s="1"/>
  <c r="Q45" i="79" s="1"/>
  <c r="G38" i="79"/>
  <c r="G39" i="79" s="1"/>
  <c r="G42" i="79" s="1"/>
  <c r="G45" i="79" s="1"/>
  <c r="AF38" i="79"/>
  <c r="AF39" i="79" s="1"/>
  <c r="AF42" i="79" s="1"/>
  <c r="AF45" i="79" s="1"/>
  <c r="N38" i="79"/>
  <c r="N39" i="79" s="1"/>
  <c r="N42" i="79" s="1"/>
  <c r="N45" i="79" s="1"/>
  <c r="AC38" i="79"/>
  <c r="AC39" i="79" s="1"/>
  <c r="AC42" i="79" s="1"/>
  <c r="AC45" i="79" s="1"/>
  <c r="AE54" i="79"/>
  <c r="AH54" i="79"/>
  <c r="AB54" i="79"/>
  <c r="N54" i="79"/>
  <c r="AJ54" i="79"/>
  <c r="M54" i="79"/>
  <c r="Y38" i="79"/>
  <c r="Y39" i="79" s="1"/>
  <c r="Y42" i="79" s="1"/>
  <c r="Y45" i="79" s="1"/>
  <c r="AD54" i="79"/>
  <c r="AM38" i="79"/>
  <c r="AM39" i="79" s="1"/>
  <c r="AM42" i="79" s="1"/>
  <c r="AM45" i="79" s="1"/>
  <c r="L54" i="79"/>
  <c r="U54" i="79"/>
  <c r="S54" i="79"/>
  <c r="AT60" i="80" l="1"/>
  <c r="E48" i="80"/>
  <c r="O49" i="80"/>
  <c r="G49" i="80"/>
  <c r="P49" i="80"/>
  <c r="Y49" i="80"/>
  <c r="AM49" i="80"/>
  <c r="AR49" i="80"/>
  <c r="T49" i="80"/>
  <c r="AH49" i="80"/>
  <c r="AG49" i="80"/>
  <c r="AD49" i="80"/>
  <c r="AI49" i="80"/>
  <c r="V49" i="80"/>
  <c r="J49" i="80"/>
  <c r="L49" i="80"/>
  <c r="AE49" i="80"/>
  <c r="AS49" i="80"/>
  <c r="AO49" i="80"/>
  <c r="N49" i="80"/>
  <c r="AA49" i="80"/>
  <c r="AN49" i="80"/>
  <c r="AL49" i="80"/>
  <c r="H49" i="80"/>
  <c r="AQ49" i="80"/>
  <c r="E49" i="80"/>
  <c r="AK49" i="80"/>
  <c r="M49" i="80"/>
  <c r="Z49" i="80"/>
  <c r="AF49" i="80"/>
  <c r="AP49" i="80"/>
  <c r="AJ49" i="80"/>
  <c r="U49" i="80"/>
  <c r="R49" i="80"/>
  <c r="AB49" i="80"/>
  <c r="Q49" i="80"/>
  <c r="K49" i="80"/>
  <c r="F49" i="80"/>
  <c r="S49" i="80"/>
  <c r="X49" i="80"/>
  <c r="W49" i="80"/>
  <c r="I49" i="80"/>
  <c r="AC49" i="80"/>
  <c r="AB38" i="79"/>
  <c r="AB39" i="79" s="1"/>
  <c r="AB42" i="79" s="1"/>
  <c r="AB45" i="79" s="1"/>
  <c r="S38" i="79"/>
  <c r="S39" i="79" s="1"/>
  <c r="S42" i="79" s="1"/>
  <c r="S45" i="79" s="1"/>
  <c r="U38" i="79"/>
  <c r="U39" i="79" s="1"/>
  <c r="U42" i="79" s="1"/>
  <c r="U45" i="79" s="1"/>
  <c r="M38" i="79"/>
  <c r="M39" i="79" s="1"/>
  <c r="M42" i="79" s="1"/>
  <c r="M45" i="79" s="1"/>
  <c r="F4" i="77"/>
  <c r="F6" i="77" s="1"/>
  <c r="F16" i="77"/>
  <c r="E31" i="76"/>
  <c r="F9" i="77" l="1"/>
  <c r="F10" i="77"/>
  <c r="Q34" i="80"/>
  <c r="Q52" i="80" s="1"/>
  <c r="Q33" i="80"/>
  <c r="Q35" i="80" s="1"/>
  <c r="H33" i="80"/>
  <c r="H34" i="80"/>
  <c r="H52" i="80" s="1"/>
  <c r="AR34" i="80"/>
  <c r="AR52" i="80" s="1"/>
  <c r="AR33" i="80"/>
  <c r="AR35" i="80" s="1"/>
  <c r="S34" i="80"/>
  <c r="S52" i="80" s="1"/>
  <c r="S33" i="80"/>
  <c r="S35" i="80" s="1"/>
  <c r="AB34" i="80"/>
  <c r="AB52" i="80" s="1"/>
  <c r="AB33" i="80"/>
  <c r="AB35" i="80" s="1"/>
  <c r="AP33" i="80"/>
  <c r="AP34" i="80"/>
  <c r="AP52" i="80" s="1"/>
  <c r="AK34" i="80"/>
  <c r="AK52" i="80" s="1"/>
  <c r="AK33" i="80"/>
  <c r="AK35" i="80" s="1"/>
  <c r="AL33" i="80"/>
  <c r="AL34" i="80"/>
  <c r="AL52" i="80" s="1"/>
  <c r="AO34" i="80"/>
  <c r="AO52" i="80" s="1"/>
  <c r="AO33" i="80"/>
  <c r="AO35" i="80" s="1"/>
  <c r="J33" i="80"/>
  <c r="J34" i="80"/>
  <c r="J52" i="80" s="1"/>
  <c r="AG34" i="80"/>
  <c r="AG52" i="80" s="1"/>
  <c r="AG33" i="80"/>
  <c r="AG35" i="80" s="1"/>
  <c r="AM34" i="80"/>
  <c r="AM52" i="80" s="1"/>
  <c r="AM33" i="80"/>
  <c r="AM35" i="80" s="1"/>
  <c r="O34" i="80"/>
  <c r="O52" i="80" s="1"/>
  <c r="O33" i="80"/>
  <c r="O35" i="80" s="1"/>
  <c r="X33" i="80"/>
  <c r="X34" i="80"/>
  <c r="X52" i="80" s="1"/>
  <c r="M34" i="80"/>
  <c r="M52" i="80" s="1"/>
  <c r="M33" i="80"/>
  <c r="M35" i="80" s="1"/>
  <c r="L34" i="80"/>
  <c r="L52" i="80" s="1"/>
  <c r="L33" i="80"/>
  <c r="L35" i="80" s="1"/>
  <c r="G34" i="80"/>
  <c r="G52" i="80" s="1"/>
  <c r="G33" i="80"/>
  <c r="G35" i="80" s="1"/>
  <c r="I34" i="80"/>
  <c r="I52" i="80" s="1"/>
  <c r="I33" i="80"/>
  <c r="I35" i="80" s="1"/>
  <c r="F33" i="80"/>
  <c r="F34" i="80"/>
  <c r="F52" i="80" s="1"/>
  <c r="R33" i="80"/>
  <c r="R34" i="80"/>
  <c r="R52" i="80" s="1"/>
  <c r="AF34" i="80"/>
  <c r="AF52" i="80" s="1"/>
  <c r="AF33" i="80"/>
  <c r="AF35" i="80" s="1"/>
  <c r="AT49" i="80"/>
  <c r="E34" i="80"/>
  <c r="E33" i="80"/>
  <c r="AN34" i="80"/>
  <c r="AN52" i="80" s="1"/>
  <c r="AN33" i="80"/>
  <c r="AS33" i="80"/>
  <c r="AS34" i="80"/>
  <c r="AS52" i="80" s="1"/>
  <c r="V33" i="80"/>
  <c r="V35" i="80" s="1"/>
  <c r="V34" i="80"/>
  <c r="V52" i="80" s="1"/>
  <c r="AH33" i="80"/>
  <c r="AH34" i="80"/>
  <c r="AH52" i="80" s="1"/>
  <c r="Y34" i="80"/>
  <c r="Y52" i="80" s="1"/>
  <c r="Y33" i="80"/>
  <c r="AJ34" i="80"/>
  <c r="AJ52" i="80" s="1"/>
  <c r="AJ33" i="80"/>
  <c r="N33" i="80"/>
  <c r="N35" i="80" s="1"/>
  <c r="N34" i="80"/>
  <c r="N52" i="80" s="1"/>
  <c r="AD33" i="80"/>
  <c r="AD34" i="80"/>
  <c r="AD52" i="80" s="1"/>
  <c r="AC34" i="80"/>
  <c r="AC52" i="80" s="1"/>
  <c r="AC33" i="80"/>
  <c r="W34" i="80"/>
  <c r="W52" i="80" s="1"/>
  <c r="W33" i="80"/>
  <c r="K34" i="80"/>
  <c r="K52" i="80" s="1"/>
  <c r="K33" i="80"/>
  <c r="U34" i="80"/>
  <c r="U52" i="80" s="1"/>
  <c r="U33" i="80"/>
  <c r="Z33" i="80"/>
  <c r="Z35" i="80" s="1"/>
  <c r="Z34" i="80"/>
  <c r="Z52" i="80" s="1"/>
  <c r="AQ34" i="80"/>
  <c r="AQ52" i="80" s="1"/>
  <c r="AQ33" i="80"/>
  <c r="AA34" i="80"/>
  <c r="AA52" i="80" s="1"/>
  <c r="AA33" i="80"/>
  <c r="AE34" i="80"/>
  <c r="AE52" i="80" s="1"/>
  <c r="AE33" i="80"/>
  <c r="AI34" i="80"/>
  <c r="AI52" i="80" s="1"/>
  <c r="AI33" i="80"/>
  <c r="T34" i="80"/>
  <c r="T52" i="80" s="1"/>
  <c r="T33" i="80"/>
  <c r="P34" i="80"/>
  <c r="P52" i="80" s="1"/>
  <c r="P33" i="80"/>
  <c r="F15" i="77"/>
  <c r="F25" i="77" s="1"/>
  <c r="F26" i="77" s="1"/>
  <c r="D17" i="77"/>
  <c r="F17" i="77" s="1"/>
  <c r="D6" i="77"/>
  <c r="F14" i="77"/>
  <c r="F24" i="77" s="1"/>
  <c r="AD35" i="80" l="1"/>
  <c r="AH35" i="80"/>
  <c r="AS35" i="80"/>
  <c r="P35" i="80"/>
  <c r="AI35" i="80"/>
  <c r="AE53" i="80"/>
  <c r="AE29" i="80" s="1"/>
  <c r="W53" i="80"/>
  <c r="W29" i="80" s="1"/>
  <c r="E52" i="80"/>
  <c r="AT34" i="80"/>
  <c r="AL53" i="80"/>
  <c r="AL29" i="80" s="1"/>
  <c r="H53" i="80"/>
  <c r="H29" i="80" s="1"/>
  <c r="H54" i="80"/>
  <c r="AA35" i="80"/>
  <c r="Z53" i="80"/>
  <c r="Z29" i="80" s="1"/>
  <c r="Z37" i="80" s="1"/>
  <c r="K35" i="80"/>
  <c r="AC35" i="80"/>
  <c r="N53" i="80"/>
  <c r="N29" i="80" s="1"/>
  <c r="N37" i="80" s="1"/>
  <c r="Y35" i="80"/>
  <c r="V53" i="80"/>
  <c r="V29" i="80" s="1"/>
  <c r="V37" i="80" s="1"/>
  <c r="V54" i="80"/>
  <c r="AN35" i="80"/>
  <c r="R35" i="80"/>
  <c r="I53" i="80"/>
  <c r="I29" i="80" s="1"/>
  <c r="I37" i="80" s="1"/>
  <c r="L53" i="80"/>
  <c r="L29" i="80" s="1"/>
  <c r="L37" i="80" s="1"/>
  <c r="X35" i="80"/>
  <c r="AM53" i="80"/>
  <c r="AM29" i="80" s="1"/>
  <c r="AM37" i="80" s="1"/>
  <c r="J35" i="80"/>
  <c r="AL35" i="80"/>
  <c r="AP35" i="80"/>
  <c r="S53" i="80"/>
  <c r="S29" i="80" s="1"/>
  <c r="S37" i="80" s="1"/>
  <c r="H35" i="80"/>
  <c r="AQ53" i="80"/>
  <c r="AQ29" i="80" s="1"/>
  <c r="AJ53" i="80"/>
  <c r="AJ29" i="80" s="1"/>
  <c r="R53" i="80"/>
  <c r="R29" i="80" s="1"/>
  <c r="X53" i="80"/>
  <c r="X29" i="80" s="1"/>
  <c r="AP53" i="80"/>
  <c r="AP29" i="80" s="1"/>
  <c r="P53" i="80"/>
  <c r="P29" i="80" s="1"/>
  <c r="AA53" i="80"/>
  <c r="AA29" i="80" s="1"/>
  <c r="K53" i="80"/>
  <c r="K29" i="80" s="1"/>
  <c r="AN53" i="80"/>
  <c r="AN29" i="80" s="1"/>
  <c r="F53" i="80"/>
  <c r="F29" i="80" s="1"/>
  <c r="T53" i="80"/>
  <c r="T29" i="80" s="1"/>
  <c r="U53" i="80"/>
  <c r="U29" i="80" s="1"/>
  <c r="J53" i="80"/>
  <c r="J29" i="80" s="1"/>
  <c r="J37" i="80" s="1"/>
  <c r="AI53" i="80"/>
  <c r="AI29" i="80" s="1"/>
  <c r="AI37" i="80" s="1"/>
  <c r="AC53" i="80"/>
  <c r="AC29" i="80" s="1"/>
  <c r="Y53" i="80"/>
  <c r="Y29" i="80" s="1"/>
  <c r="T35" i="80"/>
  <c r="AE35" i="80"/>
  <c r="AQ35" i="80"/>
  <c r="U35" i="80"/>
  <c r="W35" i="80"/>
  <c r="AD53" i="80"/>
  <c r="AD29" i="80" s="1"/>
  <c r="AD37" i="80" s="1"/>
  <c r="AJ35" i="80"/>
  <c r="AH53" i="80"/>
  <c r="AH29" i="80" s="1"/>
  <c r="AH37" i="80" s="1"/>
  <c r="AS53" i="80"/>
  <c r="AS29" i="80" s="1"/>
  <c r="AS37" i="80" s="1"/>
  <c r="AT33" i="80"/>
  <c r="E35" i="80"/>
  <c r="AF53" i="80"/>
  <c r="AF29" i="80" s="1"/>
  <c r="AF37" i="80" s="1"/>
  <c r="F35" i="80"/>
  <c r="G53" i="80"/>
  <c r="G29" i="80" s="1"/>
  <c r="G37" i="80" s="1"/>
  <c r="M53" i="80"/>
  <c r="M29" i="80" s="1"/>
  <c r="M37" i="80" s="1"/>
  <c r="O53" i="80"/>
  <c r="O29" i="80" s="1"/>
  <c r="O37" i="80" s="1"/>
  <c r="AG53" i="80"/>
  <c r="AG29" i="80" s="1"/>
  <c r="AG37" i="80" s="1"/>
  <c r="AO53" i="80"/>
  <c r="AO29" i="80" s="1"/>
  <c r="AO37" i="80" s="1"/>
  <c r="AK53" i="80"/>
  <c r="AK29" i="80" s="1"/>
  <c r="AK37" i="80" s="1"/>
  <c r="AB53" i="80"/>
  <c r="AB29" i="80" s="1"/>
  <c r="AB37" i="80" s="1"/>
  <c r="AR53" i="80"/>
  <c r="AR29" i="80" s="1"/>
  <c r="AR37" i="80" s="1"/>
  <c r="Q53" i="80"/>
  <c r="Q29" i="80" s="1"/>
  <c r="Q37" i="80" s="1"/>
  <c r="D19" i="77"/>
  <c r="F19" i="77" s="1"/>
  <c r="P37" i="80" l="1"/>
  <c r="AN37" i="80"/>
  <c r="Y37" i="80"/>
  <c r="AC37" i="80"/>
  <c r="AA37" i="80"/>
  <c r="R37" i="80"/>
  <c r="R38" i="80" s="1"/>
  <c r="R39" i="80" s="1"/>
  <c r="R42" i="80" s="1"/>
  <c r="R45" i="80" s="1"/>
  <c r="S54" i="80"/>
  <c r="AS54" i="80"/>
  <c r="AE54" i="80"/>
  <c r="O54" i="80"/>
  <c r="AC54" i="80"/>
  <c r="U54" i="80"/>
  <c r="K37" i="80"/>
  <c r="X37" i="80"/>
  <c r="L54" i="80"/>
  <c r="AB54" i="80"/>
  <c r="G54" i="80"/>
  <c r="AQ37" i="80"/>
  <c r="AQ38" i="80" s="1"/>
  <c r="AQ39" i="80" s="1"/>
  <c r="AQ42" i="80" s="1"/>
  <c r="AQ45" i="80" s="1"/>
  <c r="AL54" i="80"/>
  <c r="W54" i="80"/>
  <c r="AR54" i="80"/>
  <c r="AD54" i="80"/>
  <c r="Y54" i="80"/>
  <c r="AJ54" i="80"/>
  <c r="AP37" i="80"/>
  <c r="AG38" i="80"/>
  <c r="AG39" i="80" s="1"/>
  <c r="AG42" i="80" s="1"/>
  <c r="AG45" i="80" s="1"/>
  <c r="AN38" i="80"/>
  <c r="AN39" i="80" s="1"/>
  <c r="AN42" i="80" s="1"/>
  <c r="AN45" i="80" s="1"/>
  <c r="AM38" i="80"/>
  <c r="AM39" i="80" s="1"/>
  <c r="AM42" i="80" s="1"/>
  <c r="AM45" i="80" s="1"/>
  <c r="Z38" i="80"/>
  <c r="Z39" i="80" s="1"/>
  <c r="Z42" i="80" s="1"/>
  <c r="Z45" i="80" s="1"/>
  <c r="AR38" i="80"/>
  <c r="AR39" i="80" s="1"/>
  <c r="AR42" i="80" s="1"/>
  <c r="AR45" i="80" s="1"/>
  <c r="AK54" i="80"/>
  <c r="AG54" i="80"/>
  <c r="M54" i="80"/>
  <c r="AF54" i="80"/>
  <c r="AS38" i="80"/>
  <c r="AS39" i="80" s="1"/>
  <c r="AS42" i="80" s="1"/>
  <c r="AS45" i="80" s="1"/>
  <c r="Y38" i="80"/>
  <c r="Y39" i="80" s="1"/>
  <c r="Y42" i="80" s="1"/>
  <c r="Y45" i="80" s="1"/>
  <c r="AI54" i="80"/>
  <c r="U37" i="80"/>
  <c r="F54" i="80"/>
  <c r="K54" i="80"/>
  <c r="P54" i="80"/>
  <c r="X54" i="80"/>
  <c r="I54" i="80"/>
  <c r="V38" i="80"/>
  <c r="V39" i="80" s="1"/>
  <c r="V42" i="80" s="1"/>
  <c r="V45" i="80" s="1"/>
  <c r="AL37" i="80"/>
  <c r="W37" i="80"/>
  <c r="AK38" i="80"/>
  <c r="AK39" i="80" s="1"/>
  <c r="AK42" i="80" s="1"/>
  <c r="AK45" i="80" s="1"/>
  <c r="J38" i="80"/>
  <c r="J39" i="80" s="1"/>
  <c r="J42" i="80" s="1"/>
  <c r="J45" i="80" s="1"/>
  <c r="I38" i="80"/>
  <c r="I39" i="80" s="1"/>
  <c r="I42" i="80" s="1"/>
  <c r="I45" i="80" s="1"/>
  <c r="Q38" i="80"/>
  <c r="Q39" i="80" s="1"/>
  <c r="Q42" i="80" s="1"/>
  <c r="Q45" i="80" s="1"/>
  <c r="AF38" i="80"/>
  <c r="AF39" i="80" s="1"/>
  <c r="AF42" i="80" s="1"/>
  <c r="AF45" i="80" s="1"/>
  <c r="AI38" i="80"/>
  <c r="AI39" i="80" s="1"/>
  <c r="AI42" i="80" s="1"/>
  <c r="AI45" i="80" s="1"/>
  <c r="F37" i="80"/>
  <c r="K38" i="80"/>
  <c r="K39" i="80" s="1"/>
  <c r="K42" i="80" s="1"/>
  <c r="K45" i="80" s="1"/>
  <c r="P38" i="80"/>
  <c r="P39" i="80" s="1"/>
  <c r="P42" i="80" s="1"/>
  <c r="P45" i="80" s="1"/>
  <c r="X38" i="80"/>
  <c r="X39" i="80" s="1"/>
  <c r="X42" i="80" s="1"/>
  <c r="X45" i="80" s="1"/>
  <c r="AJ37" i="80"/>
  <c r="M38" i="80"/>
  <c r="M39" i="80" s="1"/>
  <c r="M42" i="80" s="1"/>
  <c r="M45" i="80" s="1"/>
  <c r="AH38" i="80"/>
  <c r="AH39" i="80" s="1"/>
  <c r="AH42" i="80" s="1"/>
  <c r="AH45" i="80" s="1"/>
  <c r="T37" i="80"/>
  <c r="AA38" i="80"/>
  <c r="AA39" i="80" s="1"/>
  <c r="AA42" i="80" s="1"/>
  <c r="AA45" i="80" s="1"/>
  <c r="N38" i="80"/>
  <c r="N39" i="80" s="1"/>
  <c r="N42" i="80" s="1"/>
  <c r="N45" i="80" s="1"/>
  <c r="AO38" i="80"/>
  <c r="AO39" i="80" s="1"/>
  <c r="AO42" i="80" s="1"/>
  <c r="AO45" i="80" s="1"/>
  <c r="Q54" i="80"/>
  <c r="AB38" i="80"/>
  <c r="AB39" i="80" s="1"/>
  <c r="AB42" i="80" s="1"/>
  <c r="AB45" i="80" s="1"/>
  <c r="AO54" i="80"/>
  <c r="O38" i="80"/>
  <c r="O39" i="80" s="1"/>
  <c r="O42" i="80" s="1"/>
  <c r="O45" i="80" s="1"/>
  <c r="G38" i="80"/>
  <c r="G39" i="80" s="1"/>
  <c r="G42" i="80" s="1"/>
  <c r="G45" i="80" s="1"/>
  <c r="AT35" i="80"/>
  <c r="AH54" i="80"/>
  <c r="AD38" i="80"/>
  <c r="AD39" i="80" s="1"/>
  <c r="AD42" i="80" s="1"/>
  <c r="AD45" i="80" s="1"/>
  <c r="AC38" i="80"/>
  <c r="AC39" i="80" s="1"/>
  <c r="AC42" i="80" s="1"/>
  <c r="AC45" i="80" s="1"/>
  <c r="J54" i="80"/>
  <c r="T54" i="80"/>
  <c r="AN54" i="80"/>
  <c r="AA54" i="80"/>
  <c r="AP54" i="80"/>
  <c r="R54" i="80"/>
  <c r="AQ54" i="80"/>
  <c r="S38" i="80"/>
  <c r="S39" i="80" s="1"/>
  <c r="S42" i="80" s="1"/>
  <c r="S45" i="80" s="1"/>
  <c r="AM54" i="80"/>
  <c r="L38" i="80"/>
  <c r="L39" i="80" s="1"/>
  <c r="L42" i="80" s="1"/>
  <c r="L45" i="80" s="1"/>
  <c r="N54" i="80"/>
  <c r="Z54" i="80"/>
  <c r="H37" i="80"/>
  <c r="AT52" i="80"/>
  <c r="E53" i="80"/>
  <c r="E54" i="80" s="1"/>
  <c r="AE37" i="80"/>
  <c r="F22" i="76"/>
  <c r="AP38" i="80" l="1"/>
  <c r="AP39" i="80" s="1"/>
  <c r="AP42" i="80" s="1"/>
  <c r="AP45" i="80" s="1"/>
  <c r="AT54" i="80"/>
  <c r="AE38" i="80"/>
  <c r="AE39" i="80" s="1"/>
  <c r="AE42" i="80" s="1"/>
  <c r="AE45" i="80" s="1"/>
  <c r="H38" i="80"/>
  <c r="H39" i="80" s="1"/>
  <c r="H42" i="80" s="1"/>
  <c r="H45" i="80" s="1"/>
  <c r="W38" i="80"/>
  <c r="W39" i="80" s="1"/>
  <c r="W42" i="80" s="1"/>
  <c r="W45" i="80" s="1"/>
  <c r="AT53" i="80"/>
  <c r="E29" i="80"/>
  <c r="T38" i="80"/>
  <c r="T39" i="80" s="1"/>
  <c r="T42" i="80" s="1"/>
  <c r="T45" i="80" s="1"/>
  <c r="F38" i="80"/>
  <c r="F39" i="80" s="1"/>
  <c r="F42" i="80" s="1"/>
  <c r="F45" i="80" s="1"/>
  <c r="AL38" i="80"/>
  <c r="AL39" i="80" s="1"/>
  <c r="AL42" i="80" s="1"/>
  <c r="AL45" i="80" s="1"/>
  <c r="U38" i="80"/>
  <c r="U39" i="80" s="1"/>
  <c r="U42" i="80" s="1"/>
  <c r="U45" i="80" s="1"/>
  <c r="AJ38" i="80"/>
  <c r="AJ39" i="80" s="1"/>
  <c r="AJ42" i="80" s="1"/>
  <c r="AJ45" i="80" s="1"/>
  <c r="E43" i="69"/>
  <c r="AT29" i="80" l="1"/>
  <c r="E37" i="80"/>
  <c r="AP66" i="76"/>
  <c r="Y66" i="76"/>
  <c r="X66" i="76"/>
  <c r="W66" i="76"/>
  <c r="V66" i="76"/>
  <c r="U66" i="76"/>
  <c r="T66" i="76"/>
  <c r="S66" i="76"/>
  <c r="R66" i="76"/>
  <c r="Q66" i="76"/>
  <c r="P66" i="76"/>
  <c r="O66" i="76"/>
  <c r="N66" i="76"/>
  <c r="M66" i="76"/>
  <c r="L66" i="76"/>
  <c r="K66" i="76"/>
  <c r="J66" i="76"/>
  <c r="I66" i="76"/>
  <c r="H66" i="76"/>
  <c r="G66" i="76"/>
  <c r="F66" i="76"/>
  <c r="E66" i="76"/>
  <c r="Y65" i="76"/>
  <c r="X65" i="76"/>
  <c r="W65" i="76"/>
  <c r="V65" i="76"/>
  <c r="U65" i="76"/>
  <c r="T65" i="76"/>
  <c r="S65" i="76"/>
  <c r="R65" i="76"/>
  <c r="Q65" i="76"/>
  <c r="P65" i="76"/>
  <c r="O65" i="76"/>
  <c r="N65" i="76"/>
  <c r="M65" i="76"/>
  <c r="L65" i="76"/>
  <c r="K65" i="76"/>
  <c r="J65" i="76"/>
  <c r="I65" i="76"/>
  <c r="H65" i="76"/>
  <c r="G65" i="76"/>
  <c r="F65" i="76"/>
  <c r="E65" i="76"/>
  <c r="Y62" i="76"/>
  <c r="X62" i="76"/>
  <c r="W62" i="76"/>
  <c r="V62" i="76"/>
  <c r="U62" i="76"/>
  <c r="T62" i="76"/>
  <c r="S62" i="76"/>
  <c r="R62" i="76"/>
  <c r="Q62" i="76"/>
  <c r="P62" i="76"/>
  <c r="O62" i="76"/>
  <c r="N62" i="76"/>
  <c r="M62" i="76"/>
  <c r="L62" i="76"/>
  <c r="K62" i="76"/>
  <c r="J62" i="76"/>
  <c r="I62" i="76"/>
  <c r="H62" i="76"/>
  <c r="G62" i="76"/>
  <c r="F62" i="76"/>
  <c r="E62" i="76"/>
  <c r="B62" i="76"/>
  <c r="AT57" i="76"/>
  <c r="AU56" i="76"/>
  <c r="AU55" i="76"/>
  <c r="AU51" i="76"/>
  <c r="AU50" i="76"/>
  <c r="A45" i="76"/>
  <c r="A46" i="76" s="1"/>
  <c r="A47" i="76" s="1"/>
  <c r="A48" i="76" s="1"/>
  <c r="A49" i="76" s="1"/>
  <c r="A50" i="76" s="1"/>
  <c r="A51" i="76" s="1"/>
  <c r="A52" i="76" s="1"/>
  <c r="A53" i="76" s="1"/>
  <c r="A54" i="76" s="1"/>
  <c r="A55" i="76" s="1"/>
  <c r="A56" i="76" s="1"/>
  <c r="A57" i="76" s="1"/>
  <c r="A58" i="76" s="1"/>
  <c r="A59" i="76" s="1"/>
  <c r="A60" i="76" s="1"/>
  <c r="A61" i="76" s="1"/>
  <c r="A62" i="76" s="1"/>
  <c r="A63" i="76" s="1"/>
  <c r="A64" i="76" s="1"/>
  <c r="A65" i="76" s="1"/>
  <c r="A66" i="76" s="1"/>
  <c r="AU41" i="76"/>
  <c r="A41" i="76"/>
  <c r="A42" i="76" s="1"/>
  <c r="A43" i="76" s="1"/>
  <c r="A44" i="76" s="1"/>
  <c r="AU40" i="76"/>
  <c r="AU36" i="76"/>
  <c r="A29" i="76"/>
  <c r="A32" i="76" s="1"/>
  <c r="A33" i="76" s="1"/>
  <c r="A34" i="76" s="1"/>
  <c r="A35" i="76" s="1"/>
  <c r="A37" i="76" s="1"/>
  <c r="A38" i="76" s="1"/>
  <c r="A39" i="76" s="1"/>
  <c r="A40" i="76" s="1"/>
  <c r="F13" i="76"/>
  <c r="D13" i="76"/>
  <c r="E38" i="80" l="1"/>
  <c r="AT38" i="80" s="1"/>
  <c r="AT37" i="80"/>
  <c r="E39" i="80" l="1"/>
  <c r="AT39" i="80" s="1"/>
  <c r="E42" i="80" l="1"/>
  <c r="E45" i="80" s="1"/>
  <c r="B20" i="71"/>
  <c r="G4" i="77" s="1"/>
  <c r="H4" i="77" s="1"/>
  <c r="B19" i="71"/>
  <c r="G5" i="77" s="1"/>
  <c r="H5" i="77" s="1"/>
  <c r="Y65" i="74"/>
  <c r="X65" i="74"/>
  <c r="W65" i="74"/>
  <c r="V65" i="74"/>
  <c r="U65" i="74"/>
  <c r="T65" i="74"/>
  <c r="S65" i="74"/>
  <c r="R65" i="74"/>
  <c r="Q65" i="74"/>
  <c r="P65" i="74"/>
  <c r="O65" i="74"/>
  <c r="N65" i="74"/>
  <c r="M65" i="74"/>
  <c r="L65" i="74"/>
  <c r="K65" i="74"/>
  <c r="J65" i="74"/>
  <c r="I65" i="74"/>
  <c r="H65" i="74"/>
  <c r="F65" i="74"/>
  <c r="E65" i="74"/>
  <c r="E62" i="74"/>
  <c r="B62" i="74"/>
  <c r="AU56" i="74"/>
  <c r="AU55" i="74"/>
  <c r="AU51" i="74"/>
  <c r="AU50" i="74"/>
  <c r="AU41" i="74"/>
  <c r="AU40" i="74"/>
  <c r="AU36" i="74"/>
  <c r="A29" i="74"/>
  <c r="A32" i="74" s="1"/>
  <c r="A33" i="74" s="1"/>
  <c r="A34" i="74" s="1"/>
  <c r="A35" i="74" s="1"/>
  <c r="A37" i="74" s="1"/>
  <c r="A38" i="74" s="1"/>
  <c r="A39" i="74" s="1"/>
  <c r="A40" i="74" s="1"/>
  <c r="A41" i="74" s="1"/>
  <c r="A42" i="74" s="1"/>
  <c r="A43" i="74" s="1"/>
  <c r="A44" i="74" s="1"/>
  <c r="A45" i="74" s="1"/>
  <c r="A46" i="74" s="1"/>
  <c r="A47" i="74" s="1"/>
  <c r="A48" i="74" s="1"/>
  <c r="A49" i="74" s="1"/>
  <c r="A50" i="74" s="1"/>
  <c r="A51" i="74" s="1"/>
  <c r="A52" i="74" s="1"/>
  <c r="A53" i="74" s="1"/>
  <c r="A54" i="74" s="1"/>
  <c r="A55" i="74" s="1"/>
  <c r="A56" i="74" s="1"/>
  <c r="A57" i="74" s="1"/>
  <c r="A58" i="74" s="1"/>
  <c r="A59" i="74" s="1"/>
  <c r="A60" i="74" s="1"/>
  <c r="A61" i="74" s="1"/>
  <c r="A62" i="74" s="1"/>
  <c r="A63" i="74" s="1"/>
  <c r="A64" i="74" s="1"/>
  <c r="A65" i="74" s="1"/>
  <c r="A66" i="74" s="1"/>
  <c r="F16" i="74"/>
  <c r="F13" i="74"/>
  <c r="D13" i="74"/>
  <c r="AT42" i="80" l="1"/>
  <c r="H6" i="77"/>
  <c r="E8" i="71"/>
  <c r="D20" i="71" s="1"/>
  <c r="E7" i="71"/>
  <c r="E12" i="71" s="1"/>
  <c r="G7" i="77" l="1"/>
  <c r="H9" i="77"/>
  <c r="H10" i="77"/>
  <c r="E10" i="71"/>
  <c r="C19" i="71"/>
  <c r="D21" i="71"/>
  <c r="E20" i="71"/>
  <c r="F17" i="76" l="1"/>
  <c r="E27" i="76" s="1"/>
  <c r="E14" i="71"/>
  <c r="E15" i="71"/>
  <c r="E57" i="76"/>
  <c r="AV27" i="76"/>
  <c r="AH58" i="76"/>
  <c r="R58" i="76"/>
  <c r="AS58" i="76"/>
  <c r="AC58" i="76"/>
  <c r="M58" i="76"/>
  <c r="AN58" i="76"/>
  <c r="X58" i="76"/>
  <c r="H58" i="76"/>
  <c r="AM58" i="76"/>
  <c r="K58" i="76"/>
  <c r="AT58" i="76"/>
  <c r="AT59" i="76" s="1"/>
  <c r="AT60" i="76" s="1"/>
  <c r="AD58" i="76"/>
  <c r="N58" i="76"/>
  <c r="AO58" i="76"/>
  <c r="Y58" i="76"/>
  <c r="I58" i="76"/>
  <c r="AJ58" i="76"/>
  <c r="T58" i="76"/>
  <c r="AQ58" i="76"/>
  <c r="W58" i="76"/>
  <c r="S58" i="76"/>
  <c r="AP58" i="76"/>
  <c r="Z58" i="76"/>
  <c r="J58" i="76"/>
  <c r="AK58" i="76"/>
  <c r="U58" i="76"/>
  <c r="E58" i="76"/>
  <c r="AF58" i="76"/>
  <c r="P58" i="76"/>
  <c r="AA58" i="76"/>
  <c r="G58" i="76"/>
  <c r="AL58" i="76"/>
  <c r="V58" i="76"/>
  <c r="F58" i="76"/>
  <c r="AG58" i="76"/>
  <c r="Q58" i="76"/>
  <c r="AR58" i="76"/>
  <c r="AB58" i="76"/>
  <c r="L58" i="76"/>
  <c r="O58" i="76"/>
  <c r="AI58" i="76"/>
  <c r="AE58" i="76"/>
  <c r="F22" i="74"/>
  <c r="AU58" i="76" l="1"/>
  <c r="AV27" i="74"/>
  <c r="AS58" i="74"/>
  <c r="C21" i="71"/>
  <c r="E21" i="71" s="1"/>
  <c r="E19" i="71"/>
  <c r="AS27" i="74" l="1"/>
  <c r="E22" i="71"/>
  <c r="E24" i="71"/>
  <c r="E23" i="71"/>
  <c r="F17" i="74" l="1"/>
  <c r="AS57" i="74"/>
  <c r="AS59" i="74" s="1"/>
  <c r="AS60" i="74" s="1"/>
  <c r="AS27" i="76"/>
  <c r="H27" i="74" l="1"/>
  <c r="X27" i="74"/>
  <c r="AN27" i="74"/>
  <c r="AK27" i="74"/>
  <c r="AD27" i="74"/>
  <c r="M27" i="74"/>
  <c r="F27" i="74"/>
  <c r="AH27" i="74"/>
  <c r="S27" i="74"/>
  <c r="AI27" i="74"/>
  <c r="P27" i="74"/>
  <c r="AF27" i="74"/>
  <c r="U27" i="74"/>
  <c r="R27" i="74"/>
  <c r="AP27" i="74"/>
  <c r="Y27" i="74"/>
  <c r="N27" i="74"/>
  <c r="K27" i="74"/>
  <c r="AA27" i="74"/>
  <c r="I27" i="74"/>
  <c r="O27" i="74"/>
  <c r="L27" i="74"/>
  <c r="AB27" i="74"/>
  <c r="AR27" i="74"/>
  <c r="AO27" i="74"/>
  <c r="AL27" i="74"/>
  <c r="Q27" i="74"/>
  <c r="J27" i="74"/>
  <c r="G27" i="74"/>
  <c r="W27" i="74"/>
  <c r="AM27" i="74"/>
  <c r="AQ27" i="74"/>
  <c r="T27" i="74"/>
  <c r="AJ27" i="74"/>
  <c r="AC27" i="74"/>
  <c r="Z27" i="74"/>
  <c r="AG27" i="74"/>
  <c r="V27" i="74"/>
  <c r="AE27" i="74"/>
  <c r="E27" i="74"/>
  <c r="E38" i="69" s="1"/>
  <c r="AQ27" i="76"/>
  <c r="AQ57" i="76" s="1"/>
  <c r="AQ59" i="76" s="1"/>
  <c r="AQ60" i="76" s="1"/>
  <c r="I27" i="76"/>
  <c r="I57" i="76" s="1"/>
  <c r="I59" i="76" s="1"/>
  <c r="I60" i="76" s="1"/>
  <c r="AF27" i="76"/>
  <c r="Q27" i="76"/>
  <c r="Q57" i="76" s="1"/>
  <c r="Q59" i="76" s="1"/>
  <c r="Q60" i="76" s="1"/>
  <c r="F27" i="76"/>
  <c r="F57" i="76" s="1"/>
  <c r="F59" i="76" s="1"/>
  <c r="F60" i="76" s="1"/>
  <c r="M27" i="76"/>
  <c r="M57" i="76" s="1"/>
  <c r="M59" i="76" s="1"/>
  <c r="M60" i="76" s="1"/>
  <c r="AD27" i="76"/>
  <c r="AD57" i="76" s="1"/>
  <c r="AD59" i="76" s="1"/>
  <c r="AD60" i="76" s="1"/>
  <c r="AC27" i="76"/>
  <c r="AC57" i="76" s="1"/>
  <c r="AC59" i="76" s="1"/>
  <c r="AC60" i="76" s="1"/>
  <c r="J27" i="76"/>
  <c r="J57" i="76" s="1"/>
  <c r="J59" i="76" s="1"/>
  <c r="J60" i="76" s="1"/>
  <c r="V27" i="76"/>
  <c r="V57" i="76" s="1"/>
  <c r="V59" i="76" s="1"/>
  <c r="V60" i="76" s="1"/>
  <c r="S27" i="76"/>
  <c r="S57" i="76" s="1"/>
  <c r="S59" i="76" s="1"/>
  <c r="S60" i="76" s="1"/>
  <c r="AP27" i="76"/>
  <c r="AB27" i="76"/>
  <c r="G27" i="76"/>
  <c r="G57" i="76" s="1"/>
  <c r="G59" i="76" s="1"/>
  <c r="G60" i="76" s="1"/>
  <c r="Y27" i="76"/>
  <c r="Y57" i="76" s="1"/>
  <c r="Y59" i="76" s="1"/>
  <c r="Y60" i="76" s="1"/>
  <c r="AR27" i="76"/>
  <c r="AR57" i="76" s="1"/>
  <c r="AR59" i="76" s="1"/>
  <c r="AR60" i="76" s="1"/>
  <c r="X27" i="76"/>
  <c r="X57" i="76" s="1"/>
  <c r="X59" i="76" s="1"/>
  <c r="X60" i="76" s="1"/>
  <c r="AJ27" i="76"/>
  <c r="AJ57" i="76" s="1"/>
  <c r="AJ59" i="76" s="1"/>
  <c r="AJ60" i="76" s="1"/>
  <c r="AN27" i="76"/>
  <c r="P27" i="76"/>
  <c r="P57" i="76" s="1"/>
  <c r="P59" i="76" s="1"/>
  <c r="P60" i="76" s="1"/>
  <c r="N27" i="76"/>
  <c r="N57" i="76" s="1"/>
  <c r="N59" i="76" s="1"/>
  <c r="N60" i="76" s="1"/>
  <c r="U27" i="76"/>
  <c r="R27" i="76"/>
  <c r="R57" i="76" s="1"/>
  <c r="R59" i="76" s="1"/>
  <c r="R60" i="76" s="1"/>
  <c r="Z27" i="76"/>
  <c r="Z57" i="76" s="1"/>
  <c r="Z59" i="76" s="1"/>
  <c r="Z60" i="76" s="1"/>
  <c r="AO27" i="76"/>
  <c r="AO57" i="76" s="1"/>
  <c r="AO59" i="76" s="1"/>
  <c r="AO60" i="76" s="1"/>
  <c r="AM27" i="76"/>
  <c r="O27" i="76"/>
  <c r="AL27" i="76"/>
  <c r="AL57" i="76" s="1"/>
  <c r="AL59" i="76" s="1"/>
  <c r="AL60" i="76" s="1"/>
  <c r="T27" i="76"/>
  <c r="AI27" i="76"/>
  <c r="W27" i="76"/>
  <c r="AH27" i="76"/>
  <c r="AH57" i="76" s="1"/>
  <c r="AH59" i="76" s="1"/>
  <c r="AH60" i="76" s="1"/>
  <c r="L27" i="76"/>
  <c r="H27" i="76"/>
  <c r="H57" i="76" s="1"/>
  <c r="H59" i="76" s="1"/>
  <c r="H60" i="76" s="1"/>
  <c r="K27" i="76"/>
  <c r="AA27" i="76"/>
  <c r="AK27" i="76"/>
  <c r="AE27" i="76"/>
  <c r="AE57" i="76" s="1"/>
  <c r="AE59" i="76" s="1"/>
  <c r="AE60" i="76" s="1"/>
  <c r="AG27" i="76"/>
  <c r="AG57" i="76" s="1"/>
  <c r="AG59" i="76" s="1"/>
  <c r="AG60" i="76" s="1"/>
  <c r="AS57" i="76"/>
  <c r="AS59" i="76" s="1"/>
  <c r="AS60" i="76" s="1"/>
  <c r="V7" i="73"/>
  <c r="U7" i="73"/>
  <c r="T7" i="73"/>
  <c r="S7" i="73"/>
  <c r="R7" i="73"/>
  <c r="Q7" i="73"/>
  <c r="P7" i="73"/>
  <c r="O7" i="73"/>
  <c r="N7" i="73"/>
  <c r="M7" i="73"/>
  <c r="L7" i="73"/>
  <c r="K7" i="73"/>
  <c r="J7" i="73"/>
  <c r="I7" i="73"/>
  <c r="H7" i="73"/>
  <c r="G7" i="73"/>
  <c r="F7" i="73"/>
  <c r="E7" i="73"/>
  <c r="D7" i="73"/>
  <c r="C7" i="73"/>
  <c r="B7" i="73"/>
  <c r="W7" i="73" s="1"/>
  <c r="V6" i="73"/>
  <c r="Y66" i="74" s="1"/>
  <c r="U6" i="73"/>
  <c r="X66" i="74" s="1"/>
  <c r="T6" i="73"/>
  <c r="W66" i="74" s="1"/>
  <c r="S6" i="73"/>
  <c r="V66" i="74" s="1"/>
  <c r="R6" i="73"/>
  <c r="U66" i="74" s="1"/>
  <c r="Q6" i="73"/>
  <c r="T66" i="74" s="1"/>
  <c r="P6" i="73"/>
  <c r="S66" i="74" s="1"/>
  <c r="O6" i="73"/>
  <c r="R66" i="74" s="1"/>
  <c r="N6" i="73"/>
  <c r="Q66" i="74" s="1"/>
  <c r="M6" i="73"/>
  <c r="P66" i="74" s="1"/>
  <c r="L6" i="73"/>
  <c r="O66" i="74" s="1"/>
  <c r="K6" i="73"/>
  <c r="N66" i="74" s="1"/>
  <c r="J6" i="73"/>
  <c r="M66" i="74" s="1"/>
  <c r="I6" i="73"/>
  <c r="L66" i="74" s="1"/>
  <c r="H6" i="73"/>
  <c r="K66" i="74" s="1"/>
  <c r="G6" i="73"/>
  <c r="J66" i="74" s="1"/>
  <c r="F6" i="73"/>
  <c r="I66" i="74" s="1"/>
  <c r="E6" i="73"/>
  <c r="H66" i="74" s="1"/>
  <c r="D6" i="73"/>
  <c r="G66" i="74" s="1"/>
  <c r="C6" i="73"/>
  <c r="B6" i="73"/>
  <c r="E66" i="74" s="1"/>
  <c r="W5" i="73"/>
  <c r="B65" i="71"/>
  <c r="B64" i="71"/>
  <c r="B57" i="71"/>
  <c r="B56" i="71"/>
  <c r="D47" i="71"/>
  <c r="C47" i="71"/>
  <c r="E46" i="71"/>
  <c r="E50" i="71" s="1"/>
  <c r="E45" i="71"/>
  <c r="E44" i="71"/>
  <c r="B36" i="71"/>
  <c r="B35" i="71"/>
  <c r="B87" i="71"/>
  <c r="B86" i="71"/>
  <c r="D78" i="71"/>
  <c r="C78" i="71"/>
  <c r="E77" i="71"/>
  <c r="E81" i="71" s="1"/>
  <c r="E76" i="71"/>
  <c r="E75" i="71"/>
  <c r="A10" i="69"/>
  <c r="A13" i="69" s="1"/>
  <c r="A14" i="69" s="1"/>
  <c r="A15" i="69" s="1"/>
  <c r="A16" i="69" s="1"/>
  <c r="A18" i="69" s="1"/>
  <c r="A19" i="69" s="1"/>
  <c r="A20" i="69" s="1"/>
  <c r="A21" i="69" s="1"/>
  <c r="A22" i="69" s="1"/>
  <c r="A23" i="69" s="1"/>
  <c r="A24" i="69" s="1"/>
  <c r="A25" i="69" s="1"/>
  <c r="A26" i="69" s="1"/>
  <c r="A27" i="69" s="1"/>
  <c r="A28" i="69" s="1"/>
  <c r="A29" i="69" s="1"/>
  <c r="A30" i="69" s="1"/>
  <c r="A31" i="69" s="1"/>
  <c r="A32" i="69" s="1"/>
  <c r="A33" i="69" s="1"/>
  <c r="A34" i="69" s="1"/>
  <c r="A35" i="69" s="1"/>
  <c r="A36" i="69" s="1"/>
  <c r="A37" i="69" s="1"/>
  <c r="A38" i="69" s="1"/>
  <c r="A39" i="69" s="1"/>
  <c r="A40" i="69" s="1"/>
  <c r="A41" i="69" s="1"/>
  <c r="A42" i="69" s="1"/>
  <c r="A43" i="69" s="1"/>
  <c r="F43" i="69"/>
  <c r="K57" i="76" l="1"/>
  <c r="K59" i="76" s="1"/>
  <c r="K60" i="76" s="1"/>
  <c r="O57" i="76"/>
  <c r="O59" i="76" s="1"/>
  <c r="O60" i="76" s="1"/>
  <c r="AI57" i="76"/>
  <c r="AI59" i="76" s="1"/>
  <c r="AI60" i="76" s="1"/>
  <c r="AM57" i="76"/>
  <c r="AM59" i="76" s="1"/>
  <c r="AM60" i="76" s="1"/>
  <c r="U57" i="76"/>
  <c r="U59" i="76" s="1"/>
  <c r="U60" i="76" s="1"/>
  <c r="AF57" i="76"/>
  <c r="AF59" i="76" s="1"/>
  <c r="AF60" i="76" s="1"/>
  <c r="W57" i="76"/>
  <c r="W59" i="76" s="1"/>
  <c r="W60" i="76" s="1"/>
  <c r="AN57" i="76"/>
  <c r="AN59" i="76" s="1"/>
  <c r="AN60" i="76" s="1"/>
  <c r="AK57" i="76"/>
  <c r="AK59" i="76" s="1"/>
  <c r="AK60" i="76" s="1"/>
  <c r="L57" i="76"/>
  <c r="L59" i="76" s="1"/>
  <c r="L60" i="76" s="1"/>
  <c r="T57" i="76"/>
  <c r="T59" i="76" s="1"/>
  <c r="T60" i="76" s="1"/>
  <c r="AB57" i="76"/>
  <c r="AB59" i="76" s="1"/>
  <c r="AB60" i="76" s="1"/>
  <c r="AA57" i="76"/>
  <c r="AA59" i="76" s="1"/>
  <c r="AA60" i="76" s="1"/>
  <c r="AP57" i="76"/>
  <c r="AP59" i="76" s="1"/>
  <c r="AP60" i="76" s="1"/>
  <c r="AU27" i="76"/>
  <c r="E47" i="76"/>
  <c r="AP66" i="74"/>
  <c r="W6" i="73"/>
  <c r="E47" i="71"/>
  <c r="D65" i="71"/>
  <c r="D57" i="71"/>
  <c r="E78" i="71"/>
  <c r="E80" i="71"/>
  <c r="C86" i="71" s="1"/>
  <c r="E49" i="71"/>
  <c r="C56" i="71" s="1"/>
  <c r="D36" i="71"/>
  <c r="D87" i="71"/>
  <c r="C35" i="71" l="1"/>
  <c r="C37" i="71" s="1"/>
  <c r="AU57" i="76"/>
  <c r="E59" i="76"/>
  <c r="E60" i="76" s="1"/>
  <c r="E52" i="71"/>
  <c r="E65" i="71"/>
  <c r="D66" i="71"/>
  <c r="E57" i="71"/>
  <c r="D58" i="71"/>
  <c r="E51" i="71"/>
  <c r="C64" i="71"/>
  <c r="E64" i="71" s="1"/>
  <c r="AM58" i="74"/>
  <c r="W58" i="74"/>
  <c r="G58" i="74"/>
  <c r="AD58" i="74"/>
  <c r="N58" i="74"/>
  <c r="AO58" i="74"/>
  <c r="Y58" i="74"/>
  <c r="I58" i="74"/>
  <c r="AR58" i="74"/>
  <c r="X58" i="74"/>
  <c r="H58" i="74"/>
  <c r="V58" i="74"/>
  <c r="Q58" i="74"/>
  <c r="AA58" i="74"/>
  <c r="AH58" i="74"/>
  <c r="AT58" i="74"/>
  <c r="M58" i="74"/>
  <c r="AJ58" i="74"/>
  <c r="AI58" i="74"/>
  <c r="S58" i="74"/>
  <c r="AP58" i="74"/>
  <c r="Z58" i="74"/>
  <c r="J58" i="74"/>
  <c r="AK58" i="74"/>
  <c r="U58" i="74"/>
  <c r="E58" i="74"/>
  <c r="E39" i="69" s="1"/>
  <c r="AB58" i="74"/>
  <c r="T58" i="74"/>
  <c r="AE58" i="74"/>
  <c r="O58" i="74"/>
  <c r="AL58" i="74"/>
  <c r="F58" i="74"/>
  <c r="AG58" i="74"/>
  <c r="AF58" i="74"/>
  <c r="L58" i="74"/>
  <c r="AQ58" i="74"/>
  <c r="K58" i="74"/>
  <c r="R58" i="74"/>
  <c r="AC58" i="74"/>
  <c r="P58" i="74"/>
  <c r="AN58" i="74"/>
  <c r="E83" i="71"/>
  <c r="E82" i="71"/>
  <c r="E35" i="71"/>
  <c r="C88" i="71"/>
  <c r="E86" i="71"/>
  <c r="D88" i="71"/>
  <c r="E87" i="71"/>
  <c r="D37" i="71"/>
  <c r="E36" i="71"/>
  <c r="C58" i="71"/>
  <c r="E56" i="71"/>
  <c r="C66" i="71"/>
  <c r="E66" i="71" s="1"/>
  <c r="AU59" i="76" l="1"/>
  <c r="E58" i="71"/>
  <c r="E59" i="71" s="1"/>
  <c r="AU58" i="74"/>
  <c r="E88" i="71"/>
  <c r="E91" i="71" s="1"/>
  <c r="E37" i="71"/>
  <c r="E38" i="71" s="1"/>
  <c r="E68" i="71"/>
  <c r="F39" i="69"/>
  <c r="E67" i="71"/>
  <c r="E69" i="71"/>
  <c r="F71" i="71" l="1"/>
  <c r="E71" i="71" s="1"/>
  <c r="E48" i="76"/>
  <c r="AU60" i="76"/>
  <c r="AP49" i="76"/>
  <c r="N49" i="76"/>
  <c r="V49" i="76"/>
  <c r="AH49" i="76"/>
  <c r="I49" i="76"/>
  <c r="T49" i="76"/>
  <c r="AC49" i="76"/>
  <c r="L49" i="76"/>
  <c r="J49" i="76"/>
  <c r="AQ49" i="76"/>
  <c r="M49" i="76"/>
  <c r="E49" i="76"/>
  <c r="E34" i="76" s="1"/>
  <c r="X49" i="76"/>
  <c r="W49" i="76"/>
  <c r="AN49" i="76"/>
  <c r="AL49" i="76"/>
  <c r="AI49" i="76"/>
  <c r="AB49" i="76"/>
  <c r="G49" i="76"/>
  <c r="AK49" i="76"/>
  <c r="F49" i="76"/>
  <c r="Q49" i="76"/>
  <c r="AE49" i="76"/>
  <c r="AG49" i="76"/>
  <c r="AJ49" i="76"/>
  <c r="AT49" i="76"/>
  <c r="Z49" i="76"/>
  <c r="O49" i="76"/>
  <c r="AS49" i="76"/>
  <c r="AD49" i="76"/>
  <c r="R49" i="76"/>
  <c r="U49" i="76"/>
  <c r="AR49" i="76"/>
  <c r="AA49" i="76"/>
  <c r="H49" i="76"/>
  <c r="AF49" i="76"/>
  <c r="AM49" i="76"/>
  <c r="AO49" i="76"/>
  <c r="K49" i="76"/>
  <c r="Y49" i="76"/>
  <c r="P49" i="76"/>
  <c r="S49" i="76"/>
  <c r="E61" i="71"/>
  <c r="E90" i="71"/>
  <c r="E60" i="71"/>
  <c r="AA57" i="74"/>
  <c r="AA59" i="74" s="1"/>
  <c r="AA60" i="74" s="1"/>
  <c r="I57" i="74"/>
  <c r="I59" i="74" s="1"/>
  <c r="I60" i="74" s="1"/>
  <c r="U57" i="74"/>
  <c r="U59" i="74" s="1"/>
  <c r="U60" i="74" s="1"/>
  <c r="AL57" i="74"/>
  <c r="AL59" i="74" s="1"/>
  <c r="AL60" i="74" s="1"/>
  <c r="V57" i="74"/>
  <c r="V59" i="74" s="1"/>
  <c r="V60" i="74" s="1"/>
  <c r="AI57" i="74"/>
  <c r="AI59" i="74" s="1"/>
  <c r="AI60" i="74" s="1"/>
  <c r="AH57" i="74"/>
  <c r="AH59" i="74" s="1"/>
  <c r="AH60" i="74" s="1"/>
  <c r="AN57" i="74"/>
  <c r="AN59" i="74" s="1"/>
  <c r="AN60" i="74" s="1"/>
  <c r="AM57" i="74"/>
  <c r="AM59" i="74" s="1"/>
  <c r="AM60" i="74" s="1"/>
  <c r="AJ57" i="74"/>
  <c r="AJ59" i="74" s="1"/>
  <c r="AJ60" i="74" s="1"/>
  <c r="AQ57" i="74"/>
  <c r="AQ59" i="74" s="1"/>
  <c r="AQ60" i="74" s="1"/>
  <c r="X57" i="74"/>
  <c r="X59" i="74" s="1"/>
  <c r="X60" i="74" s="1"/>
  <c r="W57" i="74"/>
  <c r="W59" i="74" s="1"/>
  <c r="W60" i="74" s="1"/>
  <c r="AB57" i="74"/>
  <c r="AB59" i="74" s="1"/>
  <c r="AB60" i="74" s="1"/>
  <c r="Z57" i="74"/>
  <c r="Z59" i="74" s="1"/>
  <c r="Z60" i="74" s="1"/>
  <c r="AP57" i="74"/>
  <c r="AP59" i="74" s="1"/>
  <c r="AP60" i="74" s="1"/>
  <c r="M57" i="74"/>
  <c r="M59" i="74" s="1"/>
  <c r="M60" i="74" s="1"/>
  <c r="AF57" i="74"/>
  <c r="AF59" i="74" s="1"/>
  <c r="AF60" i="74" s="1"/>
  <c r="Y57" i="74"/>
  <c r="Y59" i="74" s="1"/>
  <c r="Y60" i="74" s="1"/>
  <c r="R57" i="74"/>
  <c r="R59" i="74" s="1"/>
  <c r="R60" i="74" s="1"/>
  <c r="AO57" i="74"/>
  <c r="AO59" i="74" s="1"/>
  <c r="AO60" i="74" s="1"/>
  <c r="L57" i="74"/>
  <c r="L59" i="74" s="1"/>
  <c r="L60" i="74" s="1"/>
  <c r="S57" i="74"/>
  <c r="S59" i="74" s="1"/>
  <c r="S60" i="74" s="1"/>
  <c r="AG57" i="74"/>
  <c r="AG59" i="74" s="1"/>
  <c r="AG60" i="74" s="1"/>
  <c r="E89" i="71"/>
  <c r="AA32" i="76" l="1"/>
  <c r="AA34" i="76"/>
  <c r="AA52" i="76" s="1"/>
  <c r="AA33" i="76"/>
  <c r="Q34" i="76"/>
  <c r="Q52" i="76" s="1"/>
  <c r="Q33" i="76"/>
  <c r="Q32" i="76"/>
  <c r="AB32" i="76"/>
  <c r="AB33" i="76"/>
  <c r="AB34" i="76"/>
  <c r="AB52" i="76" s="1"/>
  <c r="T32" i="76"/>
  <c r="T34" i="76"/>
  <c r="T52" i="76" s="1"/>
  <c r="T33" i="76"/>
  <c r="N34" i="76"/>
  <c r="N52" i="76" s="1"/>
  <c r="N33" i="76"/>
  <c r="N32" i="76"/>
  <c r="P33" i="76"/>
  <c r="P34" i="76"/>
  <c r="P52" i="76" s="1"/>
  <c r="P32" i="76"/>
  <c r="AM32" i="76"/>
  <c r="AM33" i="76"/>
  <c r="AM34" i="76"/>
  <c r="AM52" i="76" s="1"/>
  <c r="AR33" i="76"/>
  <c r="AR34" i="76"/>
  <c r="AR52" i="76" s="1"/>
  <c r="AR32" i="76"/>
  <c r="AS33" i="76"/>
  <c r="AS32" i="76"/>
  <c r="AS34" i="76"/>
  <c r="AS52" i="76" s="1"/>
  <c r="AJ34" i="76"/>
  <c r="AJ52" i="76" s="1"/>
  <c r="AJ32" i="76"/>
  <c r="AJ33" i="76"/>
  <c r="F33" i="76"/>
  <c r="F32" i="76"/>
  <c r="F34" i="76"/>
  <c r="F52" i="76" s="1"/>
  <c r="AI32" i="76"/>
  <c r="AI34" i="76"/>
  <c r="AI52" i="76" s="1"/>
  <c r="AI33" i="76"/>
  <c r="X33" i="76"/>
  <c r="X32" i="76"/>
  <c r="X34" i="76"/>
  <c r="X52" i="76" s="1"/>
  <c r="J34" i="76"/>
  <c r="J52" i="76" s="1"/>
  <c r="J33" i="76"/>
  <c r="J32" i="76"/>
  <c r="I32" i="76"/>
  <c r="I33" i="76"/>
  <c r="I34" i="76"/>
  <c r="I52" i="76" s="1"/>
  <c r="AP33" i="76"/>
  <c r="AP32" i="76"/>
  <c r="AP34" i="76"/>
  <c r="AP52" i="76" s="1"/>
  <c r="AO33" i="76"/>
  <c r="AO32" i="76"/>
  <c r="AO34" i="76"/>
  <c r="AO52" i="76" s="1"/>
  <c r="AD34" i="76"/>
  <c r="AD52" i="76" s="1"/>
  <c r="AD33" i="76"/>
  <c r="AD32" i="76"/>
  <c r="W33" i="76"/>
  <c r="W32" i="76"/>
  <c r="W34" i="76"/>
  <c r="W52" i="76" s="1"/>
  <c r="Y34" i="76"/>
  <c r="Y52" i="76" s="1"/>
  <c r="Y33" i="76"/>
  <c r="Y32" i="76"/>
  <c r="AF32" i="76"/>
  <c r="AF33" i="76"/>
  <c r="AF34" i="76"/>
  <c r="AF52" i="76" s="1"/>
  <c r="U32" i="76"/>
  <c r="U34" i="76"/>
  <c r="U52" i="76" s="1"/>
  <c r="U33" i="76"/>
  <c r="O34" i="76"/>
  <c r="O52" i="76" s="1"/>
  <c r="O32" i="76"/>
  <c r="O33" i="76"/>
  <c r="AG34" i="76"/>
  <c r="AG52" i="76" s="1"/>
  <c r="AG33" i="76"/>
  <c r="AG32" i="76"/>
  <c r="AK32" i="76"/>
  <c r="AK34" i="76"/>
  <c r="AK52" i="76" s="1"/>
  <c r="AK33" i="76"/>
  <c r="AL32" i="76"/>
  <c r="AL34" i="76"/>
  <c r="AL52" i="76" s="1"/>
  <c r="AL33" i="76"/>
  <c r="E32" i="76"/>
  <c r="E33" i="76"/>
  <c r="AU49" i="76"/>
  <c r="L34" i="76"/>
  <c r="L52" i="76" s="1"/>
  <c r="L32" i="76"/>
  <c r="L33" i="76"/>
  <c r="AH34" i="76"/>
  <c r="AH52" i="76" s="1"/>
  <c r="AH33" i="76"/>
  <c r="AH32" i="76"/>
  <c r="S34" i="76"/>
  <c r="S52" i="76" s="1"/>
  <c r="S33" i="76"/>
  <c r="S32" i="76"/>
  <c r="AT33" i="76"/>
  <c r="AT32" i="76"/>
  <c r="AT34" i="76"/>
  <c r="AT52" i="76" s="1"/>
  <c r="AQ34" i="76"/>
  <c r="AQ52" i="76" s="1"/>
  <c r="AQ32" i="76"/>
  <c r="AQ33" i="76"/>
  <c r="K33" i="76"/>
  <c r="K32" i="76"/>
  <c r="K34" i="76"/>
  <c r="K52" i="76" s="1"/>
  <c r="H32" i="76"/>
  <c r="H34" i="76"/>
  <c r="H52" i="76" s="1"/>
  <c r="H33" i="76"/>
  <c r="R34" i="76"/>
  <c r="R52" i="76" s="1"/>
  <c r="R33" i="76"/>
  <c r="R32" i="76"/>
  <c r="Z32" i="76"/>
  <c r="Z34" i="76"/>
  <c r="Z52" i="76" s="1"/>
  <c r="Z33" i="76"/>
  <c r="AE34" i="76"/>
  <c r="AE52" i="76" s="1"/>
  <c r="AE33" i="76"/>
  <c r="AE32" i="76"/>
  <c r="G34" i="76"/>
  <c r="G52" i="76" s="1"/>
  <c r="G32" i="76"/>
  <c r="G33" i="76"/>
  <c r="AN32" i="76"/>
  <c r="AN33" i="76"/>
  <c r="AN34" i="76"/>
  <c r="AN52" i="76" s="1"/>
  <c r="M34" i="76"/>
  <c r="M52" i="76" s="1"/>
  <c r="M33" i="76"/>
  <c r="M32" i="76"/>
  <c r="AC34" i="76"/>
  <c r="AC52" i="76" s="1"/>
  <c r="AC33" i="76"/>
  <c r="AC32" i="76"/>
  <c r="V33" i="76"/>
  <c r="V32" i="76"/>
  <c r="V34" i="76"/>
  <c r="V52" i="76" s="1"/>
  <c r="F57" i="74"/>
  <c r="F59" i="74" s="1"/>
  <c r="F60" i="74" s="1"/>
  <c r="J57" i="74"/>
  <c r="J59" i="74" s="1"/>
  <c r="J60" i="74" s="1"/>
  <c r="AK57" i="74"/>
  <c r="AK59" i="74" s="1"/>
  <c r="AK60" i="74" s="1"/>
  <c r="AD57" i="74"/>
  <c r="AD59" i="74" s="1"/>
  <c r="AD60" i="74" s="1"/>
  <c r="H57" i="74"/>
  <c r="H59" i="74" s="1"/>
  <c r="H60" i="74" s="1"/>
  <c r="AT57" i="74"/>
  <c r="AT59" i="74" s="1"/>
  <c r="AT60" i="74" s="1"/>
  <c r="P57" i="74"/>
  <c r="P59" i="74" s="1"/>
  <c r="P60" i="74" s="1"/>
  <c r="AC57" i="74"/>
  <c r="AC59" i="74" s="1"/>
  <c r="AC60" i="74" s="1"/>
  <c r="AR57" i="74"/>
  <c r="AR59" i="74" s="1"/>
  <c r="AR60" i="74" s="1"/>
  <c r="O57" i="74"/>
  <c r="O59" i="74" s="1"/>
  <c r="O60" i="74" s="1"/>
  <c r="N57" i="74"/>
  <c r="N59" i="74" s="1"/>
  <c r="N60" i="74" s="1"/>
  <c r="G57" i="74"/>
  <c r="G59" i="74" s="1"/>
  <c r="G60" i="74" s="1"/>
  <c r="K57" i="74"/>
  <c r="K59" i="74" s="1"/>
  <c r="K60" i="74" s="1"/>
  <c r="T57" i="74"/>
  <c r="T59" i="74" s="1"/>
  <c r="T60" i="74" s="1"/>
  <c r="AE57" i="74"/>
  <c r="AE59" i="74" s="1"/>
  <c r="AE60" i="74" s="1"/>
  <c r="Q57" i="74"/>
  <c r="Q59" i="74" s="1"/>
  <c r="Q60" i="74" s="1"/>
  <c r="O35" i="76" l="1"/>
  <c r="W35" i="76"/>
  <c r="F35" i="76"/>
  <c r="AQ35" i="76"/>
  <c r="L35" i="76"/>
  <c r="AC35" i="76"/>
  <c r="AN35" i="76"/>
  <c r="AE35" i="76"/>
  <c r="AH35" i="76"/>
  <c r="AL35" i="76"/>
  <c r="AG35" i="76"/>
  <c r="U35" i="76"/>
  <c r="Y35" i="76"/>
  <c r="AR35" i="76"/>
  <c r="V35" i="76"/>
  <c r="G35" i="76"/>
  <c r="AO35" i="76"/>
  <c r="X35" i="76"/>
  <c r="AS35" i="76"/>
  <c r="Z53" i="76"/>
  <c r="Z29" i="76" s="1"/>
  <c r="K53" i="76"/>
  <c r="K29" i="76" s="1"/>
  <c r="AU33" i="76"/>
  <c r="AD53" i="76"/>
  <c r="AD29" i="76" s="1"/>
  <c r="AP53" i="76"/>
  <c r="AP29" i="76" s="1"/>
  <c r="J53" i="76"/>
  <c r="J29" i="76" s="1"/>
  <c r="AJ53" i="76"/>
  <c r="AJ29" i="76" s="1"/>
  <c r="Q53" i="76"/>
  <c r="Q29" i="76" s="1"/>
  <c r="V53" i="76"/>
  <c r="V29" i="76" s="1"/>
  <c r="M53" i="76"/>
  <c r="M29" i="76" s="1"/>
  <c r="Z35" i="76"/>
  <c r="K35" i="76"/>
  <c r="AQ53" i="76"/>
  <c r="AQ29" i="76" s="1"/>
  <c r="AQ37" i="76" s="1"/>
  <c r="AQ38" i="76" s="1"/>
  <c r="AQ39" i="76" s="1"/>
  <c r="AQ42" i="76" s="1"/>
  <c r="AQ45" i="76" s="1"/>
  <c r="S35" i="76"/>
  <c r="L53" i="76"/>
  <c r="L29" i="76" s="1"/>
  <c r="L37" i="76" s="1"/>
  <c r="L38" i="76" s="1"/>
  <c r="L39" i="76" s="1"/>
  <c r="L42" i="76" s="1"/>
  <c r="L45" i="76" s="1"/>
  <c r="AU32" i="76"/>
  <c r="E35" i="76"/>
  <c r="O53" i="76"/>
  <c r="O29" i="76" s="1"/>
  <c r="O37" i="76" s="1"/>
  <c r="O38" i="76" s="1"/>
  <c r="O39" i="76" s="1"/>
  <c r="O42" i="76" s="1"/>
  <c r="O45" i="76" s="1"/>
  <c r="AF53" i="76"/>
  <c r="AF29" i="76" s="1"/>
  <c r="AO53" i="76"/>
  <c r="AO29" i="76" s="1"/>
  <c r="AP35" i="76"/>
  <c r="I35" i="76"/>
  <c r="X53" i="76"/>
  <c r="X29" i="76" s="1"/>
  <c r="AI53" i="76"/>
  <c r="AI29" i="76" s="1"/>
  <c r="AS53" i="76"/>
  <c r="AS29" i="76" s="1"/>
  <c r="AR53" i="76"/>
  <c r="AR29" i="76" s="1"/>
  <c r="AM35" i="76"/>
  <c r="N35" i="76"/>
  <c r="T53" i="76"/>
  <c r="T29" i="76" s="1"/>
  <c r="AB35" i="76"/>
  <c r="AC53" i="76"/>
  <c r="AC29" i="76" s="1"/>
  <c r="AC37" i="76" s="1"/>
  <c r="AC38" i="76" s="1"/>
  <c r="AC39" i="76" s="1"/>
  <c r="AC42" i="76" s="1"/>
  <c r="AC45" i="76" s="1"/>
  <c r="AN53" i="76"/>
  <c r="AN29" i="76" s="1"/>
  <c r="AN37" i="76" s="1"/>
  <c r="AN38" i="76" s="1"/>
  <c r="AN39" i="76" s="1"/>
  <c r="AN42" i="76" s="1"/>
  <c r="AN45" i="76" s="1"/>
  <c r="AE53" i="76"/>
  <c r="AE29" i="76" s="1"/>
  <c r="AE37" i="76" s="1"/>
  <c r="AE38" i="76" s="1"/>
  <c r="AE39" i="76" s="1"/>
  <c r="AE42" i="76" s="1"/>
  <c r="AE45" i="76" s="1"/>
  <c r="R35" i="76"/>
  <c r="H53" i="76"/>
  <c r="H29" i="76" s="1"/>
  <c r="AT53" i="76"/>
  <c r="AT29" i="76" s="1"/>
  <c r="AH53" i="76"/>
  <c r="AH29" i="76" s="1"/>
  <c r="E52" i="76"/>
  <c r="AU34" i="76"/>
  <c r="AK53" i="76"/>
  <c r="AK29" i="76" s="1"/>
  <c r="AG53" i="76"/>
  <c r="AG29" i="76" s="1"/>
  <c r="Y53" i="76"/>
  <c r="Y29" i="76" s="1"/>
  <c r="AD35" i="76"/>
  <c r="J35" i="76"/>
  <c r="AI35" i="76"/>
  <c r="P35" i="76"/>
  <c r="T35" i="76"/>
  <c r="Q35" i="76"/>
  <c r="AA53" i="76"/>
  <c r="AA29" i="76" s="1"/>
  <c r="R53" i="76"/>
  <c r="R29" i="76" s="1"/>
  <c r="M35" i="76"/>
  <c r="G53" i="76"/>
  <c r="G29" i="76" s="1"/>
  <c r="H35" i="76"/>
  <c r="AT35" i="76"/>
  <c r="S53" i="76"/>
  <c r="S29" i="76" s="1"/>
  <c r="AL53" i="76"/>
  <c r="AL29" i="76" s="1"/>
  <c r="AL37" i="76" s="1"/>
  <c r="AK35" i="76"/>
  <c r="U53" i="76"/>
  <c r="U29" i="76" s="1"/>
  <c r="AF35" i="76"/>
  <c r="W53" i="76"/>
  <c r="W29" i="76" s="1"/>
  <c r="W37" i="76" s="1"/>
  <c r="W38" i="76" s="1"/>
  <c r="W39" i="76" s="1"/>
  <c r="W42" i="76" s="1"/>
  <c r="W45" i="76" s="1"/>
  <c r="I53" i="76"/>
  <c r="I29" i="76" s="1"/>
  <c r="F53" i="76"/>
  <c r="F29" i="76" s="1"/>
  <c r="AJ35" i="76"/>
  <c r="AM53" i="76"/>
  <c r="AM29" i="76" s="1"/>
  <c r="AM37" i="76" s="1"/>
  <c r="AM38" i="76" s="1"/>
  <c r="AM39" i="76" s="1"/>
  <c r="AM42" i="76" s="1"/>
  <c r="AM45" i="76" s="1"/>
  <c r="P53" i="76"/>
  <c r="P29" i="76" s="1"/>
  <c r="N53" i="76"/>
  <c r="N29" i="76" s="1"/>
  <c r="AB53" i="76"/>
  <c r="AB29" i="76" s="1"/>
  <c r="AA35" i="76"/>
  <c r="F37" i="76" l="1"/>
  <c r="F38" i="76" s="1"/>
  <c r="F39" i="76" s="1"/>
  <c r="F42" i="76" s="1"/>
  <c r="F45" i="76" s="1"/>
  <c r="AR37" i="76"/>
  <c r="AR38" i="76" s="1"/>
  <c r="AR39" i="76" s="1"/>
  <c r="AR42" i="76" s="1"/>
  <c r="AR45" i="76" s="1"/>
  <c r="G37" i="76"/>
  <c r="G38" i="76" s="1"/>
  <c r="G39" i="76" s="1"/>
  <c r="G42" i="76" s="1"/>
  <c r="G45" i="76" s="1"/>
  <c r="AG37" i="76"/>
  <c r="AG38" i="76" s="1"/>
  <c r="AG39" i="76" s="1"/>
  <c r="AG42" i="76" s="1"/>
  <c r="AG45" i="76" s="1"/>
  <c r="AS37" i="76"/>
  <c r="AS38" i="76" s="1"/>
  <c r="AS39" i="76" s="1"/>
  <c r="AS42" i="76" s="1"/>
  <c r="AS45" i="76" s="1"/>
  <c r="V37" i="76"/>
  <c r="AH37" i="76"/>
  <c r="AH38" i="76" s="1"/>
  <c r="AH39" i="76" s="1"/>
  <c r="AH42" i="76" s="1"/>
  <c r="AH45" i="76" s="1"/>
  <c r="U37" i="76"/>
  <c r="U38" i="76" s="1"/>
  <c r="U39" i="76" s="1"/>
  <c r="U42" i="76" s="1"/>
  <c r="U45" i="76" s="1"/>
  <c r="Y37" i="76"/>
  <c r="Y38" i="76" s="1"/>
  <c r="Y39" i="76" s="1"/>
  <c r="Y42" i="76" s="1"/>
  <c r="Y45" i="76" s="1"/>
  <c r="K54" i="76"/>
  <c r="AO37" i="76"/>
  <c r="AO38" i="76" s="1"/>
  <c r="AO39" i="76" s="1"/>
  <c r="AO42" i="76" s="1"/>
  <c r="AO45" i="76" s="1"/>
  <c r="AM54" i="76"/>
  <c r="AG54" i="76"/>
  <c r="AT54" i="76"/>
  <c r="AB37" i="76"/>
  <c r="AB38" i="76" s="1"/>
  <c r="AB39" i="76" s="1"/>
  <c r="AB42" i="76" s="1"/>
  <c r="AB45" i="76" s="1"/>
  <c r="I37" i="76"/>
  <c r="I38" i="76" s="1"/>
  <c r="I39" i="76" s="1"/>
  <c r="I42" i="76" s="1"/>
  <c r="I45" i="76" s="1"/>
  <c r="AE54" i="76"/>
  <c r="N54" i="76"/>
  <c r="X37" i="76"/>
  <c r="X38" i="76" s="1"/>
  <c r="X39" i="76" s="1"/>
  <c r="X42" i="76" s="1"/>
  <c r="X45" i="76" s="1"/>
  <c r="L54" i="76"/>
  <c r="Z54" i="76"/>
  <c r="Y54" i="76"/>
  <c r="AK54" i="76"/>
  <c r="AH54" i="76"/>
  <c r="H54" i="76"/>
  <c r="T54" i="76"/>
  <c r="N37" i="76"/>
  <c r="N38" i="76" s="1"/>
  <c r="N39" i="76" s="1"/>
  <c r="N42" i="76" s="1"/>
  <c r="N45" i="76" s="1"/>
  <c r="R37" i="76"/>
  <c r="R38" i="76" s="1"/>
  <c r="R39" i="76" s="1"/>
  <c r="R42" i="76" s="1"/>
  <c r="R45" i="76" s="1"/>
  <c r="AI54" i="76"/>
  <c r="AF37" i="76"/>
  <c r="AF38" i="76" s="1"/>
  <c r="AF39" i="76" s="1"/>
  <c r="AF42" i="76" s="1"/>
  <c r="AF45" i="76" s="1"/>
  <c r="AP37" i="76"/>
  <c r="AP38" i="76" s="1"/>
  <c r="AP39" i="76" s="1"/>
  <c r="AP42" i="76" s="1"/>
  <c r="AP45" i="76" s="1"/>
  <c r="AB54" i="76"/>
  <c r="P54" i="76"/>
  <c r="AA54" i="76"/>
  <c r="U54" i="76"/>
  <c r="AL54" i="76"/>
  <c r="AS54" i="76"/>
  <c r="X54" i="76"/>
  <c r="AO54" i="76"/>
  <c r="J54" i="76"/>
  <c r="AU35" i="76"/>
  <c r="V38" i="76"/>
  <c r="V39" i="76" s="1"/>
  <c r="V42" i="76" s="1"/>
  <c r="V45" i="76" s="1"/>
  <c r="AJ37" i="76"/>
  <c r="AJ38" i="76" s="1"/>
  <c r="AJ39" i="76" s="1"/>
  <c r="AJ42" i="76" s="1"/>
  <c r="AJ45" i="76" s="1"/>
  <c r="P37" i="76"/>
  <c r="F54" i="76"/>
  <c r="W54" i="76"/>
  <c r="S54" i="76"/>
  <c r="G54" i="76"/>
  <c r="R54" i="76"/>
  <c r="E53" i="76"/>
  <c r="AU52" i="76"/>
  <c r="AT37" i="76"/>
  <c r="AC54" i="76"/>
  <c r="T37" i="76"/>
  <c r="T38" i="76" s="1"/>
  <c r="T39" i="76" s="1"/>
  <c r="T42" i="76" s="1"/>
  <c r="T45" i="76" s="1"/>
  <c r="AR54" i="76"/>
  <c r="AI37" i="76"/>
  <c r="AF54" i="76"/>
  <c r="AQ54" i="76"/>
  <c r="M54" i="76"/>
  <c r="Q54" i="76"/>
  <c r="AD37" i="76"/>
  <c r="K37" i="76"/>
  <c r="S37" i="76"/>
  <c r="S38" i="76" s="1"/>
  <c r="S39" i="76" s="1"/>
  <c r="S42" i="76" s="1"/>
  <c r="S45" i="76" s="1"/>
  <c r="M37" i="76"/>
  <c r="M38" i="76" s="1"/>
  <c r="M39" i="76" s="1"/>
  <c r="M42" i="76" s="1"/>
  <c r="M45" i="76" s="1"/>
  <c r="Q37" i="76"/>
  <c r="Q38" i="76" s="1"/>
  <c r="Q39" i="76" s="1"/>
  <c r="Q42" i="76" s="1"/>
  <c r="Q45" i="76" s="1"/>
  <c r="J37" i="76"/>
  <c r="J38" i="76" s="1"/>
  <c r="J39" i="76" s="1"/>
  <c r="J42" i="76" s="1"/>
  <c r="J45" i="76" s="1"/>
  <c r="AD54" i="76"/>
  <c r="I54" i="76"/>
  <c r="AL38" i="76"/>
  <c r="AL39" i="76" s="1"/>
  <c r="AL42" i="76" s="1"/>
  <c r="AL45" i="76" s="1"/>
  <c r="AA37" i="76"/>
  <c r="AK37" i="76"/>
  <c r="AK38" i="76" s="1"/>
  <c r="AK39" i="76" s="1"/>
  <c r="AK42" i="76" s="1"/>
  <c r="AK45" i="76" s="1"/>
  <c r="H37" i="76"/>
  <c r="AN54" i="76"/>
  <c r="O54" i="76"/>
  <c r="V54" i="76"/>
  <c r="AJ54" i="76"/>
  <c r="AP54" i="76"/>
  <c r="Z37" i="76"/>
  <c r="Z38" i="76" s="1"/>
  <c r="Z39" i="76" s="1"/>
  <c r="Z42" i="76" s="1"/>
  <c r="Z45" i="76" s="1"/>
  <c r="H38" i="76" l="1"/>
  <c r="H39" i="76" s="1"/>
  <c r="H42" i="76" s="1"/>
  <c r="H45" i="76" s="1"/>
  <c r="AA38" i="76"/>
  <c r="AA39" i="76" s="1"/>
  <c r="AA42" i="76" s="1"/>
  <c r="AA45" i="76" s="1"/>
  <c r="AD38" i="76"/>
  <c r="AD39" i="76" s="1"/>
  <c r="AD42" i="76" s="1"/>
  <c r="AD45" i="76" s="1"/>
  <c r="AU53" i="76"/>
  <c r="E29" i="76"/>
  <c r="E37" i="76" s="1"/>
  <c r="E38" i="76" s="1"/>
  <c r="K38" i="76"/>
  <c r="K39" i="76" s="1"/>
  <c r="K42" i="76" s="1"/>
  <c r="K45" i="76" s="1"/>
  <c r="AI38" i="76"/>
  <c r="AI39" i="76" s="1"/>
  <c r="AI42" i="76" s="1"/>
  <c r="AI45" i="76" s="1"/>
  <c r="AT38" i="76"/>
  <c r="AT39" i="76" s="1"/>
  <c r="AT42" i="76" s="1"/>
  <c r="AT45" i="76" s="1"/>
  <c r="E54" i="76"/>
  <c r="AU54" i="76" s="1"/>
  <c r="P38" i="76"/>
  <c r="P39" i="76" s="1"/>
  <c r="P42" i="76" s="1"/>
  <c r="P45" i="76" s="1"/>
  <c r="AU29" i="76" l="1"/>
  <c r="AU38" i="76" l="1"/>
  <c r="AU37" i="76"/>
  <c r="E39" i="76" l="1"/>
  <c r="E42" i="76" s="1"/>
  <c r="E45" i="76" s="1"/>
  <c r="AU39" i="76" l="1"/>
  <c r="F27" i="77"/>
  <c r="F28" i="77" s="1"/>
  <c r="B13" i="67" s="1"/>
  <c r="AU42" i="76"/>
  <c r="E47" i="74" l="1"/>
  <c r="AU27" i="74"/>
  <c r="E57" i="74"/>
  <c r="AU57" i="74" l="1"/>
  <c r="E59" i="74"/>
  <c r="E60" i="74" s="1"/>
  <c r="AU59" i="74" l="1"/>
  <c r="E8" i="69"/>
  <c r="E40" i="69"/>
  <c r="F38" i="69"/>
  <c r="AS49" i="74" l="1"/>
  <c r="E41" i="69"/>
  <c r="F41" i="69" s="1"/>
  <c r="AU60" i="74"/>
  <c r="E48" i="74"/>
  <c r="N49" i="74"/>
  <c r="AD49" i="74"/>
  <c r="W49" i="74"/>
  <c r="S49" i="74"/>
  <c r="V49" i="74"/>
  <c r="R49" i="74"/>
  <c r="K49" i="74"/>
  <c r="AT49" i="74"/>
  <c r="T49" i="74"/>
  <c r="AC49" i="74"/>
  <c r="P49" i="74"/>
  <c r="J49" i="74"/>
  <c r="I49" i="74"/>
  <c r="Y49" i="74"/>
  <c r="AF49" i="74"/>
  <c r="AE49" i="74"/>
  <c r="AA49" i="74"/>
  <c r="AP49" i="74"/>
  <c r="Q49" i="74"/>
  <c r="AR49" i="74"/>
  <c r="AB49" i="74"/>
  <c r="AJ49" i="74"/>
  <c r="AG49" i="74"/>
  <c r="O49" i="74"/>
  <c r="U49" i="74"/>
  <c r="AN49" i="74"/>
  <c r="Z49" i="74"/>
  <c r="M49" i="74"/>
  <c r="AH49" i="74"/>
  <c r="L49" i="74"/>
  <c r="E49" i="74"/>
  <c r="E30" i="69" s="1"/>
  <c r="H8" i="69" s="1"/>
  <c r="AQ49" i="74"/>
  <c r="AK49" i="74"/>
  <c r="AI49" i="74"/>
  <c r="AL49" i="74"/>
  <c r="AO49" i="74"/>
  <c r="H49" i="74"/>
  <c r="X49" i="74"/>
  <c r="G49" i="74"/>
  <c r="AM49" i="74"/>
  <c r="F49" i="74"/>
  <c r="F8" i="69"/>
  <c r="F40" i="69"/>
  <c r="F32" i="74" l="1"/>
  <c r="F33" i="74"/>
  <c r="AO34" i="74"/>
  <c r="AO52" i="74" s="1"/>
  <c r="AO53" i="74" s="1"/>
  <c r="AO33" i="74"/>
  <c r="AR34" i="74"/>
  <c r="AR52" i="74" s="1"/>
  <c r="AR53" i="74" s="1"/>
  <c r="AR33" i="74"/>
  <c r="J34" i="74"/>
  <c r="J52" i="74" s="1"/>
  <c r="J53" i="74" s="1"/>
  <c r="J33" i="74"/>
  <c r="S34" i="74"/>
  <c r="S52" i="74" s="1"/>
  <c r="S53" i="74" s="1"/>
  <c r="S33" i="74"/>
  <c r="G34" i="74"/>
  <c r="G52" i="74" s="1"/>
  <c r="G53" i="74" s="1"/>
  <c r="G33" i="74"/>
  <c r="AL34" i="74"/>
  <c r="AL52" i="74" s="1"/>
  <c r="AL53" i="74" s="1"/>
  <c r="AL33" i="74"/>
  <c r="Z34" i="74"/>
  <c r="Z52" i="74" s="1"/>
  <c r="Z53" i="74" s="1"/>
  <c r="Z33" i="74"/>
  <c r="AG34" i="74"/>
  <c r="AG52" i="74" s="1"/>
  <c r="AG53" i="74" s="1"/>
  <c r="AG33" i="74"/>
  <c r="Q34" i="74"/>
  <c r="Q52" i="74" s="1"/>
  <c r="Q53" i="74" s="1"/>
  <c r="Q33" i="74"/>
  <c r="AF34" i="74"/>
  <c r="AF52" i="74" s="1"/>
  <c r="AF53" i="74" s="1"/>
  <c r="AF33" i="74"/>
  <c r="P34" i="74"/>
  <c r="P52" i="74" s="1"/>
  <c r="P53" i="74" s="1"/>
  <c r="P33" i="74"/>
  <c r="K34" i="74"/>
  <c r="K52" i="74" s="1"/>
  <c r="K53" i="74" s="1"/>
  <c r="K33" i="74"/>
  <c r="W34" i="74"/>
  <c r="W52" i="74" s="1"/>
  <c r="W53" i="74" s="1"/>
  <c r="W33" i="74"/>
  <c r="AM34" i="74"/>
  <c r="AM52" i="74" s="1"/>
  <c r="AM53" i="74" s="1"/>
  <c r="AM33" i="74"/>
  <c r="M34" i="74"/>
  <c r="M52" i="74" s="1"/>
  <c r="M53" i="74" s="1"/>
  <c r="M33" i="74"/>
  <c r="AT34" i="74"/>
  <c r="AT52" i="74" s="1"/>
  <c r="AT53" i="74" s="1"/>
  <c r="AT33" i="74"/>
  <c r="X34" i="74"/>
  <c r="X52" i="74" s="1"/>
  <c r="X53" i="74" s="1"/>
  <c r="X33" i="74"/>
  <c r="AI34" i="74"/>
  <c r="AI52" i="74" s="1"/>
  <c r="AI53" i="74" s="1"/>
  <c r="AI33" i="74"/>
  <c r="L34" i="74"/>
  <c r="L52" i="74" s="1"/>
  <c r="L53" i="74" s="1"/>
  <c r="L33" i="74"/>
  <c r="AN34" i="74"/>
  <c r="AN52" i="74" s="1"/>
  <c r="AN53" i="74" s="1"/>
  <c r="AN33" i="74"/>
  <c r="AJ34" i="74"/>
  <c r="AJ52" i="74" s="1"/>
  <c r="AJ53" i="74" s="1"/>
  <c r="AJ33" i="74"/>
  <c r="AP34" i="74"/>
  <c r="AP52" i="74" s="1"/>
  <c r="AP53" i="74" s="1"/>
  <c r="AP33" i="74"/>
  <c r="Y34" i="74"/>
  <c r="Y52" i="74" s="1"/>
  <c r="Y53" i="74" s="1"/>
  <c r="Y33" i="74"/>
  <c r="AC34" i="74"/>
  <c r="AC52" i="74" s="1"/>
  <c r="AC53" i="74" s="1"/>
  <c r="AC33" i="74"/>
  <c r="R34" i="74"/>
  <c r="R52" i="74" s="1"/>
  <c r="R53" i="74" s="1"/>
  <c r="R33" i="74"/>
  <c r="AD34" i="74"/>
  <c r="AD52" i="74" s="1"/>
  <c r="AD53" i="74" s="1"/>
  <c r="AD33" i="74"/>
  <c r="AQ34" i="74"/>
  <c r="AQ52" i="74" s="1"/>
  <c r="AQ53" i="74" s="1"/>
  <c r="AQ33" i="74"/>
  <c r="O34" i="74"/>
  <c r="O52" i="74" s="1"/>
  <c r="O53" i="74" s="1"/>
  <c r="O33" i="74"/>
  <c r="AE34" i="74"/>
  <c r="AE52" i="74" s="1"/>
  <c r="AE53" i="74" s="1"/>
  <c r="AE33" i="74"/>
  <c r="F34" i="74"/>
  <c r="F52" i="74" s="1"/>
  <c r="F53" i="74" s="1"/>
  <c r="H34" i="74"/>
  <c r="H52" i="74" s="1"/>
  <c r="H53" i="74" s="1"/>
  <c r="H33" i="74"/>
  <c r="AK34" i="74"/>
  <c r="AK52" i="74" s="1"/>
  <c r="AK53" i="74" s="1"/>
  <c r="AK33" i="74"/>
  <c r="AH34" i="74"/>
  <c r="AH52" i="74" s="1"/>
  <c r="AH53" i="74" s="1"/>
  <c r="AH33" i="74"/>
  <c r="U34" i="74"/>
  <c r="U52" i="74" s="1"/>
  <c r="U53" i="74" s="1"/>
  <c r="U33" i="74"/>
  <c r="AB34" i="74"/>
  <c r="AB52" i="74" s="1"/>
  <c r="AB53" i="74" s="1"/>
  <c r="AB33" i="74"/>
  <c r="AA34" i="74"/>
  <c r="AA52" i="74" s="1"/>
  <c r="AA53" i="74" s="1"/>
  <c r="AA33" i="74"/>
  <c r="I34" i="74"/>
  <c r="I52" i="74" s="1"/>
  <c r="I53" i="74" s="1"/>
  <c r="I33" i="74"/>
  <c r="T34" i="74"/>
  <c r="T52" i="74" s="1"/>
  <c r="T53" i="74" s="1"/>
  <c r="T33" i="74"/>
  <c r="V34" i="74"/>
  <c r="V52" i="74" s="1"/>
  <c r="V53" i="74" s="1"/>
  <c r="V33" i="74"/>
  <c r="N34" i="74"/>
  <c r="N52" i="74" s="1"/>
  <c r="N53" i="74" s="1"/>
  <c r="N33" i="74"/>
  <c r="AS32" i="74"/>
  <c r="AS34" i="74"/>
  <c r="AS52" i="74" s="1"/>
  <c r="AS53" i="74" s="1"/>
  <c r="AS29" i="74" s="1"/>
  <c r="AS33" i="74"/>
  <c r="AK32" i="74"/>
  <c r="U32" i="74"/>
  <c r="AA32" i="74"/>
  <c r="T32" i="74"/>
  <c r="N32" i="74"/>
  <c r="AO32" i="74"/>
  <c r="M32" i="74"/>
  <c r="AR32" i="74"/>
  <c r="AT32" i="74"/>
  <c r="G32" i="74"/>
  <c r="X32" i="74"/>
  <c r="AI32" i="74"/>
  <c r="L32" i="74"/>
  <c r="AN32" i="74"/>
  <c r="AJ32" i="74"/>
  <c r="AP32" i="74"/>
  <c r="Y32" i="74"/>
  <c r="AC32" i="74"/>
  <c r="R32" i="74"/>
  <c r="AD32" i="74"/>
  <c r="H32" i="74"/>
  <c r="AH32" i="74"/>
  <c r="AB32" i="74"/>
  <c r="I32" i="74"/>
  <c r="V32" i="74"/>
  <c r="AM32" i="74"/>
  <c r="AQ32" i="74"/>
  <c r="O32" i="74"/>
  <c r="AE32" i="74"/>
  <c r="J32" i="74"/>
  <c r="S32" i="74"/>
  <c r="AL32" i="74"/>
  <c r="E32" i="74"/>
  <c r="AU49" i="74"/>
  <c r="E34" i="74"/>
  <c r="E15" i="69" s="1"/>
  <c r="E33" i="74"/>
  <c r="E14" i="69" s="1"/>
  <c r="Z32" i="74"/>
  <c r="AG32" i="74"/>
  <c r="Q32" i="74"/>
  <c r="AF32" i="74"/>
  <c r="P32" i="74"/>
  <c r="K32" i="74"/>
  <c r="W32" i="74"/>
  <c r="F30" i="69"/>
  <c r="AS35" i="74" l="1"/>
  <c r="AS37" i="74" s="1"/>
  <c r="AS54" i="74"/>
  <c r="I35" i="74"/>
  <c r="N35" i="74"/>
  <c r="W35" i="74"/>
  <c r="P35" i="74"/>
  <c r="AB35" i="74"/>
  <c r="H35" i="74"/>
  <c r="AI35" i="74"/>
  <c r="G35" i="74"/>
  <c r="T35" i="74"/>
  <c r="Z29" i="74"/>
  <c r="AU32" i="74"/>
  <c r="E35" i="74"/>
  <c r="AH29" i="74"/>
  <c r="AC29" i="74"/>
  <c r="AR29" i="74"/>
  <c r="M29" i="74"/>
  <c r="AO29" i="74"/>
  <c r="U29" i="74"/>
  <c r="K35" i="74"/>
  <c r="Q29" i="74"/>
  <c r="AU33" i="74"/>
  <c r="AQ35" i="74"/>
  <c r="AD29" i="74"/>
  <c r="AJ35" i="74"/>
  <c r="X29" i="74"/>
  <c r="T29" i="74"/>
  <c r="AA35" i="74"/>
  <c r="P29" i="74"/>
  <c r="Q35" i="74"/>
  <c r="E52" i="74"/>
  <c r="E33" i="69" s="1"/>
  <c r="AU34" i="74"/>
  <c r="S35" i="74"/>
  <c r="O29" i="74"/>
  <c r="AQ29" i="74"/>
  <c r="V35" i="74"/>
  <c r="AB29" i="74"/>
  <c r="F35" i="74"/>
  <c r="AD35" i="74"/>
  <c r="Y29" i="74"/>
  <c r="AP29" i="74"/>
  <c r="L35" i="74"/>
  <c r="AT29" i="74"/>
  <c r="AO35" i="74"/>
  <c r="N29" i="74"/>
  <c r="AG29" i="74"/>
  <c r="S29" i="74"/>
  <c r="AE29" i="74"/>
  <c r="V29" i="74"/>
  <c r="R29" i="74"/>
  <c r="AN29" i="74"/>
  <c r="AA29" i="74"/>
  <c r="W29" i="74"/>
  <c r="AF29" i="74"/>
  <c r="AL29" i="74"/>
  <c r="J35" i="74"/>
  <c r="AM29" i="74"/>
  <c r="R35" i="74"/>
  <c r="AP35" i="74"/>
  <c r="AI29" i="74"/>
  <c r="AR35" i="74"/>
  <c r="AK29" i="74"/>
  <c r="K29" i="74"/>
  <c r="AF35" i="74"/>
  <c r="AG35" i="74"/>
  <c r="Z35" i="74"/>
  <c r="AL35" i="74"/>
  <c r="J29" i="74"/>
  <c r="AE35" i="74"/>
  <c r="O35" i="74"/>
  <c r="AM35" i="74"/>
  <c r="I29" i="74"/>
  <c r="AH35" i="74"/>
  <c r="H29" i="74"/>
  <c r="F29" i="74"/>
  <c r="AC35" i="74"/>
  <c r="Y35" i="74"/>
  <c r="AJ29" i="74"/>
  <c r="AN35" i="74"/>
  <c r="L29" i="74"/>
  <c r="X35" i="74"/>
  <c r="G29" i="74"/>
  <c r="AT35" i="74"/>
  <c r="M35" i="74"/>
  <c r="U35" i="74"/>
  <c r="AK35" i="74"/>
  <c r="F14" i="69"/>
  <c r="F15" i="69"/>
  <c r="AS38" i="74" l="1"/>
  <c r="AS39" i="74" s="1"/>
  <c r="AS42" i="74" s="1"/>
  <c r="AS45" i="74" s="1"/>
  <c r="I37" i="74"/>
  <c r="I38" i="74" s="1"/>
  <c r="K37" i="74"/>
  <c r="AN54" i="74"/>
  <c r="AE37" i="74"/>
  <c r="P37" i="74"/>
  <c r="AO54" i="74"/>
  <c r="L37" i="74"/>
  <c r="AQ54" i="74"/>
  <c r="AD54" i="74"/>
  <c r="AL54" i="74"/>
  <c r="N54" i="74"/>
  <c r="AI37" i="74"/>
  <c r="W37" i="74"/>
  <c r="R37" i="74"/>
  <c r="U54" i="74"/>
  <c r="AT54" i="74"/>
  <c r="K54" i="74"/>
  <c r="W54" i="74"/>
  <c r="S54" i="74"/>
  <c r="N37" i="74"/>
  <c r="H37" i="74"/>
  <c r="T37" i="74"/>
  <c r="AC37" i="74"/>
  <c r="AJ54" i="74"/>
  <c r="J54" i="74"/>
  <c r="AA37" i="74"/>
  <c r="V54" i="74"/>
  <c r="AB37" i="74"/>
  <c r="X54" i="74"/>
  <c r="AH54" i="74"/>
  <c r="Z54" i="74"/>
  <c r="O37" i="74"/>
  <c r="G37" i="74"/>
  <c r="J37" i="74"/>
  <c r="AM37" i="74"/>
  <c r="AF54" i="74"/>
  <c r="AA54" i="74"/>
  <c r="R54" i="74"/>
  <c r="AE54" i="74"/>
  <c r="AG54" i="74"/>
  <c r="AP54" i="74"/>
  <c r="AQ37" i="74"/>
  <c r="AQ38" i="74" s="1"/>
  <c r="T54" i="74"/>
  <c r="AR54" i="74"/>
  <c r="M37" i="74"/>
  <c r="AK37" i="74"/>
  <c r="AK38" i="74" s="1"/>
  <c r="G54" i="74"/>
  <c r="H54" i="74"/>
  <c r="AF37" i="74"/>
  <c r="AG37" i="74"/>
  <c r="AP37" i="74"/>
  <c r="AP38" i="74" s="1"/>
  <c r="Q37" i="74"/>
  <c r="U37" i="74"/>
  <c r="M54" i="74"/>
  <c r="AC54" i="74"/>
  <c r="AJ37" i="74"/>
  <c r="F54" i="74"/>
  <c r="AT37" i="74"/>
  <c r="Y37" i="74"/>
  <c r="P54" i="74"/>
  <c r="AD37" i="74"/>
  <c r="Q54" i="74"/>
  <c r="I39" i="74"/>
  <c r="I42" i="74" s="1"/>
  <c r="I45" i="74" s="1"/>
  <c r="AU35" i="74"/>
  <c r="AK54" i="74"/>
  <c r="L54" i="74"/>
  <c r="F37" i="74"/>
  <c r="F38" i="74" s="1"/>
  <c r="I54" i="74"/>
  <c r="AI54" i="74"/>
  <c r="AM54" i="74"/>
  <c r="AL37" i="74"/>
  <c r="AL38" i="74" s="1"/>
  <c r="AN37" i="74"/>
  <c r="V37" i="74"/>
  <c r="V38" i="74" s="1"/>
  <c r="S37" i="74"/>
  <c r="Y54" i="74"/>
  <c r="AB54" i="74"/>
  <c r="O54" i="74"/>
  <c r="E53" i="74"/>
  <c r="AU52" i="74"/>
  <c r="X37" i="74"/>
  <c r="AO37" i="74"/>
  <c r="AR37" i="74"/>
  <c r="AR38" i="74" s="1"/>
  <c r="AH37" i="74"/>
  <c r="AH38" i="74" s="1"/>
  <c r="Z37" i="74"/>
  <c r="Z38" i="74" s="1"/>
  <c r="F13" i="69"/>
  <c r="E16" i="69"/>
  <c r="F16" i="69" s="1"/>
  <c r="S38" i="74" l="1"/>
  <c r="S39" i="74" s="1"/>
  <c r="S42" i="74" s="1"/>
  <c r="S45" i="74" s="1"/>
  <c r="AT38" i="74"/>
  <c r="AT39" i="74" s="1"/>
  <c r="AT42" i="74" s="1"/>
  <c r="AT45" i="74" s="1"/>
  <c r="AG38" i="74"/>
  <c r="AG39" i="74" s="1"/>
  <c r="AG42" i="74" s="1"/>
  <c r="AG45" i="74" s="1"/>
  <c r="J38" i="74"/>
  <c r="J39" i="74" s="1"/>
  <c r="J42" i="74" s="1"/>
  <c r="J45" i="74" s="1"/>
  <c r="AA38" i="74"/>
  <c r="AA39" i="74" s="1"/>
  <c r="AA42" i="74" s="1"/>
  <c r="AA45" i="74" s="1"/>
  <c r="T38" i="74"/>
  <c r="T39" i="74" s="1"/>
  <c r="T42" i="74" s="1"/>
  <c r="T45" i="74" s="1"/>
  <c r="R38" i="74"/>
  <c r="R39" i="74" s="1"/>
  <c r="R42" i="74" s="1"/>
  <c r="R45" i="74" s="1"/>
  <c r="K38" i="74"/>
  <c r="K39" i="74" s="1"/>
  <c r="K42" i="74" s="1"/>
  <c r="K45" i="74" s="1"/>
  <c r="AO38" i="74"/>
  <c r="AO39" i="74" s="1"/>
  <c r="AO42" i="74" s="1"/>
  <c r="AO45" i="74" s="1"/>
  <c r="AD38" i="74"/>
  <c r="AD39" i="74" s="1"/>
  <c r="AD42" i="74" s="1"/>
  <c r="AD45" i="74" s="1"/>
  <c r="U38" i="74"/>
  <c r="U39" i="74" s="1"/>
  <c r="U42" i="74" s="1"/>
  <c r="U45" i="74" s="1"/>
  <c r="AF38" i="74"/>
  <c r="AF39" i="74" s="1"/>
  <c r="AF42" i="74" s="1"/>
  <c r="AF45" i="74" s="1"/>
  <c r="M38" i="74"/>
  <c r="M39" i="74" s="1"/>
  <c r="M42" i="74" s="1"/>
  <c r="M45" i="74" s="1"/>
  <c r="G38" i="74"/>
  <c r="G39" i="74" s="1"/>
  <c r="G42" i="74" s="1"/>
  <c r="G45" i="74" s="1"/>
  <c r="H38" i="74"/>
  <c r="H39" i="74" s="1"/>
  <c r="H42" i="74" s="1"/>
  <c r="H45" i="74" s="1"/>
  <c r="W38" i="74"/>
  <c r="W39" i="74" s="1"/>
  <c r="W42" i="74" s="1"/>
  <c r="W45" i="74" s="1"/>
  <c r="P38" i="74"/>
  <c r="P39" i="74" s="1"/>
  <c r="P42" i="74" s="1"/>
  <c r="P45" i="74" s="1"/>
  <c r="X38" i="74"/>
  <c r="X39" i="74" s="1"/>
  <c r="X42" i="74" s="1"/>
  <c r="X45" i="74" s="1"/>
  <c r="AN38" i="74"/>
  <c r="AN39" i="74" s="1"/>
  <c r="AN42" i="74" s="1"/>
  <c r="AN45" i="74" s="1"/>
  <c r="AJ38" i="74"/>
  <c r="AJ39" i="74" s="1"/>
  <c r="AJ42" i="74" s="1"/>
  <c r="AJ45" i="74" s="1"/>
  <c r="Q38" i="74"/>
  <c r="Q39" i="74" s="1"/>
  <c r="Q42" i="74" s="1"/>
  <c r="Q45" i="74" s="1"/>
  <c r="O38" i="74"/>
  <c r="O39" i="74" s="1"/>
  <c r="O42" i="74" s="1"/>
  <c r="O45" i="74" s="1"/>
  <c r="AB38" i="74"/>
  <c r="AB39" i="74" s="1"/>
  <c r="AB42" i="74" s="1"/>
  <c r="AB45" i="74" s="1"/>
  <c r="N38" i="74"/>
  <c r="N39" i="74" s="1"/>
  <c r="N42" i="74" s="1"/>
  <c r="N45" i="74" s="1"/>
  <c r="AI38" i="74"/>
  <c r="AI39" i="74" s="1"/>
  <c r="AI42" i="74" s="1"/>
  <c r="AI45" i="74" s="1"/>
  <c r="AE38" i="74"/>
  <c r="AE39" i="74" s="1"/>
  <c r="AE42" i="74" s="1"/>
  <c r="AE45" i="74" s="1"/>
  <c r="Y38" i="74"/>
  <c r="Y39" i="74" s="1"/>
  <c r="Y42" i="74" s="1"/>
  <c r="Y45" i="74" s="1"/>
  <c r="AM38" i="74"/>
  <c r="AM39" i="74" s="1"/>
  <c r="AM42" i="74" s="1"/>
  <c r="AM45" i="74" s="1"/>
  <c r="AC38" i="74"/>
  <c r="AC39" i="74" s="1"/>
  <c r="AC42" i="74" s="1"/>
  <c r="AC45" i="74" s="1"/>
  <c r="L38" i="74"/>
  <c r="L39" i="74" s="1"/>
  <c r="L42" i="74" s="1"/>
  <c r="L45" i="74" s="1"/>
  <c r="E34" i="69"/>
  <c r="E10" i="69"/>
  <c r="AQ39" i="74"/>
  <c r="AQ42" i="74" s="1"/>
  <c r="AQ45" i="74" s="1"/>
  <c r="AU53" i="74"/>
  <c r="E29" i="74"/>
  <c r="E54" i="74"/>
  <c r="AU54" i="74" s="1"/>
  <c r="AH39" i="74"/>
  <c r="AH42" i="74" s="1"/>
  <c r="AH45" i="74" s="1"/>
  <c r="AP39" i="74"/>
  <c r="AP42" i="74" s="1"/>
  <c r="AP45" i="74" s="1"/>
  <c r="AR39" i="74"/>
  <c r="AR42" i="74" s="1"/>
  <c r="AR45" i="74" s="1"/>
  <c r="F39" i="74"/>
  <c r="F42" i="74" s="1"/>
  <c r="Z39" i="74"/>
  <c r="Z42" i="74" s="1"/>
  <c r="Z45" i="74" s="1"/>
  <c r="V39" i="74"/>
  <c r="V42" i="74" s="1"/>
  <c r="V45" i="74" s="1"/>
  <c r="AL39" i="74"/>
  <c r="AL42" i="74" s="1"/>
  <c r="AL45" i="74" s="1"/>
  <c r="AK39" i="74"/>
  <c r="AK42" i="74" s="1"/>
  <c r="AK45" i="74" s="1"/>
  <c r="F33" i="69"/>
  <c r="F45" i="74" l="1"/>
  <c r="B11" i="67"/>
  <c r="AU29" i="74"/>
  <c r="E37" i="74"/>
  <c r="E38" i="74" l="1"/>
  <c r="AU37" i="74"/>
  <c r="F34" i="69"/>
  <c r="E35" i="69"/>
  <c r="F35" i="69" s="1"/>
  <c r="F10" i="69"/>
  <c r="E18" i="69"/>
  <c r="AU38" i="74" l="1"/>
  <c r="E19" i="69"/>
  <c r="E39" i="74"/>
  <c r="AU39" i="74" s="1"/>
  <c r="F18" i="69"/>
  <c r="E42" i="74" l="1"/>
  <c r="E45" i="74" l="1"/>
  <c r="AU42" i="74"/>
  <c r="F19" i="69"/>
  <c r="E20" i="69"/>
  <c r="F20" i="69" l="1"/>
  <c r="E23" i="69"/>
  <c r="F26" i="69"/>
  <c r="E4" i="69" l="1"/>
  <c r="E24" i="69"/>
  <c r="F23" i="69"/>
  <c r="F4" i="69" s="1"/>
  <c r="B12" i="67" l="1"/>
  <c r="B14" i="67" l="1"/>
</calcChain>
</file>

<file path=xl/sharedStrings.xml><?xml version="1.0" encoding="utf-8"?>
<sst xmlns="http://schemas.openxmlformats.org/spreadsheetml/2006/main" count="682" uniqueCount="230">
  <si>
    <t>Puget Sound Energy</t>
  </si>
  <si>
    <t>IPL-CRM REVENUE REQUIREMENT MODEL</t>
  </si>
  <si>
    <t>Program Year</t>
  </si>
  <si>
    <t>(Spending November 1 to October 31)</t>
  </si>
  <si>
    <t>Input Capital Costs and Rates</t>
  </si>
  <si>
    <t xml:space="preserve">Weighted </t>
  </si>
  <si>
    <t>Cost of Capital</t>
  </si>
  <si>
    <t>% of Capital</t>
  </si>
  <si>
    <t>Cost</t>
  </si>
  <si>
    <t>Common Equity</t>
  </si>
  <si>
    <t>Total Pre Tax Cost of Capital</t>
  </si>
  <si>
    <t>Federal Tax Rate</t>
  </si>
  <si>
    <t xml:space="preserve">Revenue Sensitive Rate </t>
  </si>
  <si>
    <t>Depreciation Rate</t>
  </si>
  <si>
    <t>Bonus Tax Depreciation toggled  (1 = yes, 2 = no)</t>
  </si>
  <si>
    <t>Replacement Plan Investment</t>
  </si>
  <si>
    <t>Normalized Investment (baseline)</t>
  </si>
  <si>
    <t>Investment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</si>
  <si>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</si>
  <si>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</si>
  <si>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</si>
  <si>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</si>
  <si>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</si>
  <si>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</si>
  <si>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</si>
  <si>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</si>
  <si>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</si>
  <si>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</si>
  <si>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</si>
  <si>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</si>
  <si>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</si>
  <si>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</si>
  <si>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</si>
  <si>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</si>
  <si>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</si>
  <si>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</si>
  <si>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</si>
  <si>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</si>
  <si>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</si>
  <si>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</si>
  <si>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</si>
  <si>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</si>
  <si>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</si>
  <si>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</si>
  <si>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</si>
  <si>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</si>
  <si>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</si>
  <si>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</si>
  <si>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Year 31</t>
  </si>
  <si>
    <t>Year 32</t>
  </si>
  <si>
    <t>Year 33</t>
  </si>
  <si>
    <t>Year 34</t>
  </si>
  <si>
    <t>Year 35</t>
  </si>
  <si>
    <t>Depreciation</t>
  </si>
  <si>
    <t>Federal Taxes on Equity Return</t>
  </si>
  <si>
    <t>Return on Rate Base</t>
  </si>
  <si>
    <t>Long Term Debt</t>
  </si>
  <si>
    <t>Short Term Debt</t>
  </si>
  <si>
    <t xml:space="preserve">      Total Return</t>
  </si>
  <si>
    <t xml:space="preserve">Cost of Service </t>
  </si>
  <si>
    <t>Revenue Sensitive Items</t>
  </si>
  <si>
    <t>Total  Cost of Service</t>
  </si>
  <si>
    <t>Total Cost of Service (Capital &amp; O&amp;M)</t>
  </si>
  <si>
    <t>Annual Cost of Service as % of Investment</t>
  </si>
  <si>
    <t>Rate Base - net of deprec. &amp; def. tax</t>
  </si>
  <si>
    <t>Federal Taxable Equity Income</t>
  </si>
  <si>
    <t>Less:  Federal Tax</t>
  </si>
  <si>
    <t>Return</t>
  </si>
  <si>
    <t>Book Depreciation</t>
  </si>
  <si>
    <t>Tax Depreciation</t>
  </si>
  <si>
    <t>Book-Tax Difference</t>
  </si>
  <si>
    <t>Tax Effect</t>
  </si>
  <si>
    <t>MACRS Depreciation - 20</t>
  </si>
  <si>
    <t>MACRS Depreciation - 20 year - Bonus</t>
  </si>
  <si>
    <t>Year 36</t>
  </si>
  <si>
    <t>Year 37</t>
  </si>
  <si>
    <t>PUGET SOUND ENERGY</t>
  </si>
  <si>
    <t>COST RECOVERY MECHANISM</t>
  </si>
  <si>
    <t>COST BREAKDOWN BY PROGRAM</t>
  </si>
  <si>
    <t>WBS Element</t>
  </si>
  <si>
    <t>WBS Description</t>
  </si>
  <si>
    <t>Total CRM Actual and Forecast</t>
  </si>
  <si>
    <t>Grand Total</t>
  </si>
  <si>
    <t>Mains</t>
  </si>
  <si>
    <t>Services</t>
  </si>
  <si>
    <t>DEPRECIATION EXPENSE CALCULATION</t>
  </si>
  <si>
    <t>Type</t>
  </si>
  <si>
    <t>Rate per Study</t>
  </si>
  <si>
    <t>FERC G376</t>
  </si>
  <si>
    <t>FERC G380</t>
  </si>
  <si>
    <t>Total</t>
  </si>
  <si>
    <t>Main</t>
  </si>
  <si>
    <t>Total Annual Depr</t>
  </si>
  <si>
    <t>WEIGHTED AVERAGE COMPOSITE RATE</t>
  </si>
  <si>
    <t>Actuals Nov 2016 - July 2017</t>
  </si>
  <si>
    <t>R.10015.03.04.01</t>
  </si>
  <si>
    <t>G-DIMP DUPONT PIPE REPL-MAIN WITH SERV</t>
  </si>
  <si>
    <t>R.10015.03.04.02</t>
  </si>
  <si>
    <t>G-DIMP OLDER STW REPL-MAIN WITH SERVICE</t>
  </si>
  <si>
    <t>R.10015.03.04.03</t>
  </si>
  <si>
    <t>G-DIMP OLDER STW REPL-SERVICE ONLY</t>
  </si>
  <si>
    <t>Program Years</t>
  </si>
  <si>
    <t>True Up Amount</t>
  </si>
  <si>
    <t>Year</t>
  </si>
  <si>
    <t>Check</t>
  </si>
  <si>
    <t>Table</t>
  </si>
  <si>
    <t>Apply 50% Bonus</t>
  </si>
  <si>
    <t>Apply 40% Bonus</t>
  </si>
  <si>
    <t>LINE</t>
  </si>
  <si>
    <t>NO.</t>
  </si>
  <si>
    <t>DESCRIPTION</t>
  </si>
  <si>
    <t>RATE</t>
  </si>
  <si>
    <t>BAD DEBTS</t>
  </si>
  <si>
    <t>ANNUAL FILING FEE</t>
  </si>
  <si>
    <t>SUM OF TAXES OTHER</t>
  </si>
  <si>
    <t>CONVERSION FACTOR EXCLUDING FEDERAL INCOME TAX ( 1 - LINE 5)</t>
  </si>
  <si>
    <t>FEDERAL INCOME TAX ( LINE 7 * 35%)</t>
  </si>
  <si>
    <t xml:space="preserve">CONVERSION FACTOR INCL FEDERAL INCOME TAX ( LINE 5 + LINE 8 ) </t>
  </si>
  <si>
    <t>As  Filed</t>
  </si>
  <si>
    <t>True Up</t>
  </si>
  <si>
    <t>Current Year</t>
  </si>
  <si>
    <t>Pre Tax Long and Short Term Debt</t>
  </si>
  <si>
    <t>Year 38</t>
  </si>
  <si>
    <t>Year 39</t>
  </si>
  <si>
    <t>Year 40</t>
  </si>
  <si>
    <t>Partial Year 41</t>
  </si>
  <si>
    <t>Actual October 2017</t>
  </si>
  <si>
    <t>Per Depreciation Study Adjustment</t>
  </si>
  <si>
    <t>ACCOUNT</t>
  </si>
  <si>
    <t>Pre Jan 1, 2018</t>
  </si>
  <si>
    <t>17 GRC rate, Jan 1, 2018</t>
  </si>
  <si>
    <t>NUMBER</t>
  </si>
  <si>
    <t>%</t>
  </si>
  <si>
    <t xml:space="preserve">MAINS - PLASTIC                           </t>
  </si>
  <si>
    <t>SERVICES - PLASTIC</t>
  </si>
  <si>
    <t>Rate per 2017 GRC Study</t>
  </si>
  <si>
    <t>FERC G376.2</t>
  </si>
  <si>
    <t>FERC G380.2</t>
  </si>
  <si>
    <t>Page 3.04</t>
  </si>
  <si>
    <t>PUGET SOUND ENERGY-ELECTRIC</t>
  </si>
  <si>
    <t>FOR THE TWELVE MONTHS ENDED SEPTEMBER 30, 2016</t>
  </si>
  <si>
    <t>STATE UTILITY TAX - NET OF BAD DEBTS ( 3.8734% - ( LINE 1 * 3.8734%) )</t>
  </si>
  <si>
    <t>Percent Mains</t>
  </si>
  <si>
    <t>Percent Services</t>
  </si>
  <si>
    <t>Rate per 2007 GRC Study</t>
  </si>
  <si>
    <t>CONVERSION FACTOR - GAS</t>
  </si>
  <si>
    <t>Revenue Sensitive Items Rate</t>
  </si>
  <si>
    <t>2018 Projects 
In Service November to September Actual Costs</t>
  </si>
  <si>
    <t>2018 Projects 
 October Project Forecast</t>
  </si>
  <si>
    <t>Rates beginning November 1, 2019</t>
  </si>
  <si>
    <t>41 years of depr</t>
  </si>
  <si>
    <t>Partial last year due to composite rate</t>
  </si>
  <si>
    <t>2019 Projects 
In Service November to September Actual Costs</t>
  </si>
  <si>
    <t>2018 - 2019</t>
  </si>
  <si>
    <t>2020 CRM Program, Year 1</t>
  </si>
  <si>
    <t>2019 CRM Program, Year 1 True Up to Actuals</t>
  </si>
  <si>
    <t>Depreciation, Capital Spendings</t>
  </si>
  <si>
    <t>Program Year 2019</t>
  </si>
  <si>
    <t>True up of 2019 CRM Year One</t>
  </si>
  <si>
    <t>O&amp;M</t>
  </si>
  <si>
    <t>WBS</t>
  </si>
  <si>
    <t>Forecast</t>
  </si>
  <si>
    <t>Buried Meters mitigations</t>
  </si>
  <si>
    <t>R.99999.04.20.03</t>
  </si>
  <si>
    <t>Legacy Cross Bore inspections</t>
  </si>
  <si>
    <t>R.99999.04.37.10</t>
  </si>
  <si>
    <t>Legacy Cross Bore repairs</t>
  </si>
  <si>
    <t>R.99999.04.37.11</t>
  </si>
  <si>
    <t>CAPITAL</t>
  </si>
  <si>
    <t>Buried Meters replacements</t>
  </si>
  <si>
    <t>R.10015.03.09.15</t>
  </si>
  <si>
    <t>DuPont Pipe Replacement Program</t>
  </si>
  <si>
    <t>Total for all programs</t>
  </si>
  <si>
    <t>Actual Amount</t>
  </si>
  <si>
    <t>Depr. Exp</t>
  </si>
  <si>
    <t>Program</t>
  </si>
  <si>
    <t>Total O&amp;M Rev Req</t>
  </si>
  <si>
    <t>Total Cost of Service (Capital)</t>
  </si>
  <si>
    <t>Total Capital from 2020 CRM tab</t>
  </si>
  <si>
    <t>Rev Req for Capital and O&amp;M Investments</t>
  </si>
  <si>
    <t>2019 Projects 
October Project Actuals</t>
  </si>
  <si>
    <t>2020 PROGRAM YEAR</t>
  </si>
  <si>
    <t>2019 - 2020</t>
  </si>
  <si>
    <t>2019 CRM Program, Year 2</t>
  </si>
  <si>
    <t>Total True up</t>
  </si>
  <si>
    <t>Rates beginning December 19, 2018</t>
  </si>
  <si>
    <t>Rates through December 18, 2018</t>
  </si>
  <si>
    <t>check s/b $0</t>
  </si>
  <si>
    <t>Plant Investment</t>
  </si>
  <si>
    <t>Dep Rate</t>
  </si>
  <si>
    <t>Buried Meters O&amp;M Rev Reg</t>
  </si>
  <si>
    <t>Legacy Cross Bore O&amp;M Rev Reg</t>
  </si>
  <si>
    <t>Actual Amount Nov 2019 - July 2020</t>
  </si>
  <si>
    <t>August 2020 FILING</t>
  </si>
  <si>
    <t>Note</t>
  </si>
  <si>
    <t>1.  Buried Meters replacements and mitigations</t>
  </si>
  <si>
    <t>2.  Legacy Cross Bore inspections and repair</t>
  </si>
  <si>
    <t>Increase in 2020 CRM year is due to adding two new spending to the program</t>
  </si>
  <si>
    <t>FERC</t>
  </si>
  <si>
    <t>Description of Charges</t>
  </si>
  <si>
    <t>InfraSource Labor</t>
  </si>
  <si>
    <t>HydroMax Labor</t>
  </si>
  <si>
    <t>No orders yet, once they will be in SAP, they will be in 800 FERC</t>
  </si>
  <si>
    <t>COS Spread</t>
  </si>
  <si>
    <t>EXH. SEF-3G page 2 of 3</t>
  </si>
  <si>
    <t>EXH. SEF-3G page 3 of 4</t>
  </si>
  <si>
    <t>PUGET SOUND ENERGY - NATURAL GAS</t>
  </si>
  <si>
    <t>RESULTS OF OPERATIONS</t>
  </si>
  <si>
    <t>2019 GENERAL RATE CASE</t>
  </si>
  <si>
    <t>12 MONTHS ENDED DECEMBER 31, 2018</t>
  </si>
  <si>
    <t>COST OF CAPITAL - PROFORMA</t>
  </si>
  <si>
    <t>CONVERSION FACTOR</t>
  </si>
  <si>
    <t>WEIGHTED</t>
  </si>
  <si>
    <t>STRUCTURE</t>
  </si>
  <si>
    <t>COST</t>
  </si>
  <si>
    <t>SHORT AND LONG TERM DEBT</t>
  </si>
  <si>
    <t>EQUITY</t>
  </si>
  <si>
    <t>TOTAL</t>
  </si>
  <si>
    <t>STATE UTILITY TAX ( 3.8323% - ( LINE 1 * 3.8323% )  )</t>
  </si>
  <si>
    <t>AFTER TAX SHORT TERM DEBT ( (LINE 1)* 79%)</t>
  </si>
  <si>
    <t>TOTAL AFTER TAX COST OF CAPITAL</t>
  </si>
  <si>
    <t>CONVERSION FACTOR EXCLUDING FEDERAL INCOME TAX ( 1 - LINE 6 )</t>
  </si>
  <si>
    <t>FEDERAL INCOME TAX ( LINE 7  * 21% )</t>
  </si>
  <si>
    <t xml:space="preserve">CONVERSION FACTOR INCL FEDERAL INCOME TAX ( LINE 7 - LINE 8 ) </t>
  </si>
  <si>
    <t>2019 GRC Compliance Filing</t>
  </si>
  <si>
    <t>Total Revenue Requirement For August 2020 Filing</t>
  </si>
  <si>
    <t xml:space="preserve">FILED ON OCT 16, 2019 </t>
  </si>
  <si>
    <t>Forecast, Aug - October 2020</t>
  </si>
  <si>
    <t>2017 GRC</t>
  </si>
  <si>
    <t>2019 GRC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</si>
</sst>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&quot;$&quot;* #,##0_);_(&quot;$&quot;* \(#,##0\);_(&quot;$&quot;* &quot;-&quot;??_);_(@_)"/>
    <numFmt numFmtId="166" formatCode="0.000000"/>
    <numFmt numFmtId="167" formatCode="&quot;$&quot;#,##0"/>
    <numFmt numFmtId="168" formatCode="0.000%"/>
    <numFmt numFmtId="169" formatCode="_(* #,##0_);_(* \(#,##0\);_(* &quot;-&quot;??_);_(@_)"/>
    <numFmt numFmtId="170" formatCode="#,##0.000"/>
    <numFmt numFmtId="171" formatCode="_(* #,##0.00000_);_(* \(#,##0.00000\);_(* &quot;-&quot;??_);_(@_)"/>
    <numFmt numFmtId="172" formatCode="_(* #,##0.0000_);_(* \(#,##0.0000\);_(* &quot;-&quot;??_);_(@_)"/>
    <numFmt numFmtId="173" formatCode="_(* #,##0.000_);_(* \(#,##0.000\);_(* &quot;-&quot;??_);_(@_)"/>
    <numFmt numFmtId="174" formatCode="#,##0.0"/>
  </numFmts>
  <fonts count="4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1"/>
      <name val="Calibri"/>
      <family val="2"/>
    </font>
    <font>
      <sz val="11"/>
      <color indexed="12"/>
      <name val="Calibri"/>
      <family val="2"/>
    </font>
    <font>
      <sz val="11"/>
      <name val="Calibri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Helv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FF"/>
      <name val="Arial"/>
      <family val="2"/>
    </font>
    <font>
      <sz val="8"/>
      <color rgb="FF0000FF"/>
      <name val="Calibri"/>
      <family val="2"/>
    </font>
    <font>
      <b/>
      <u/>
      <sz val="9"/>
      <color rgb="FF0000FF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0000FF"/>
      <name val="Times New Roman"/>
      <family val="1"/>
    </font>
    <font>
      <sz val="11"/>
      <color rgb="FF0000FF"/>
      <name val="Calibri"/>
      <family val="2"/>
    </font>
    <font>
      <b/>
      <sz val="11"/>
      <color rgb="FF0000FF"/>
      <name val="Calibri"/>
      <family val="2"/>
    </font>
    <font>
      <b/>
      <sz val="11"/>
      <color rgb="FFFF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31D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1" fillId="0" borderId="0"/>
    <xf numFmtId="0" fontId="5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355">
    <xf numFmtId="0" fontId="0" fillId="0" borderId="0" xfId="0"/>
    <xf numFmtId="0" fontId="13" fillId="0" borderId="0" xfId="0" applyFont="1" applyFill="1" applyAlignment="1" applyProtection="1">
      <alignment horizontal="left"/>
    </xf>
    <xf numFmtId="0" fontId="13" fillId="0" borderId="0" xfId="0" applyFont="1" applyFill="1" applyAlignment="1">
      <alignment vertical="top"/>
    </xf>
    <xf numFmtId="0" fontId="9" fillId="0" borderId="0" xfId="0" applyFont="1" applyFill="1" applyAlignment="1">
      <alignment vertical="top"/>
    </xf>
    <xf numFmtId="0" fontId="11" fillId="0" borderId="0" xfId="0" applyFont="1" applyFill="1" applyAlignment="1">
      <alignment vertical="top"/>
    </xf>
    <xf numFmtId="3" fontId="9" fillId="0" borderId="0" xfId="0" applyNumberFormat="1" applyFont="1" applyFill="1" applyAlignment="1">
      <alignment vertical="top"/>
    </xf>
    <xf numFmtId="0" fontId="13" fillId="0" borderId="0" xfId="0" applyFont="1" applyFill="1" applyAlignment="1">
      <alignment horizontal="left"/>
    </xf>
    <xf numFmtId="0" fontId="13" fillId="0" borderId="3" xfId="0" quotePrefix="1" applyFont="1" applyFill="1" applyBorder="1" applyAlignment="1">
      <alignment horizontal="left" vertical="top"/>
    </xf>
    <xf numFmtId="0" fontId="13" fillId="0" borderId="4" xfId="0" applyFont="1" applyFill="1" applyBorder="1" applyAlignment="1">
      <alignment vertical="top"/>
    </xf>
    <xf numFmtId="0" fontId="9" fillId="0" borderId="4" xfId="0" applyFont="1" applyFill="1" applyBorder="1" applyAlignment="1">
      <alignment vertical="top"/>
    </xf>
    <xf numFmtId="3" fontId="9" fillId="0" borderId="5" xfId="0" applyNumberFormat="1" applyFont="1" applyFill="1" applyBorder="1" applyAlignment="1">
      <alignment vertical="top"/>
    </xf>
    <xf numFmtId="3" fontId="9" fillId="0" borderId="0" xfId="0" applyNumberFormat="1" applyFont="1" applyFill="1" applyBorder="1" applyAlignment="1">
      <alignment vertical="top"/>
    </xf>
    <xf numFmtId="0" fontId="13" fillId="0" borderId="6" xfId="0" applyFont="1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3" fontId="9" fillId="0" borderId="7" xfId="0" applyNumberFormat="1" applyFont="1" applyFill="1" applyBorder="1" applyAlignment="1">
      <alignment vertical="top"/>
    </xf>
    <xf numFmtId="0" fontId="13" fillId="0" borderId="0" xfId="0" applyFont="1" applyFill="1" applyBorder="1" applyAlignment="1">
      <alignment horizontal="center" vertical="top"/>
    </xf>
    <xf numFmtId="0" fontId="13" fillId="0" borderId="7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0" fontId="13" fillId="0" borderId="8" xfId="0" applyFont="1" applyFill="1" applyBorder="1" applyAlignment="1">
      <alignment horizontal="center" vertical="top"/>
    </xf>
    <xf numFmtId="0" fontId="9" fillId="0" borderId="7" xfId="0" applyFont="1" applyFill="1" applyBorder="1" applyAlignment="1">
      <alignment vertical="top"/>
    </xf>
    <xf numFmtId="42" fontId="9" fillId="0" borderId="0" xfId="0" applyNumberFormat="1" applyFont="1" applyFill="1" applyAlignment="1">
      <alignment vertical="top"/>
    </xf>
    <xf numFmtId="10" fontId="14" fillId="0" borderId="0" xfId="0" applyNumberFormat="1" applyFont="1" applyFill="1" applyBorder="1" applyAlignment="1">
      <alignment vertical="top"/>
    </xf>
    <xf numFmtId="10" fontId="14" fillId="0" borderId="7" xfId="0" applyNumberFormat="1" applyFont="1" applyFill="1" applyBorder="1" applyAlignment="1">
      <alignment vertical="top"/>
    </xf>
    <xf numFmtId="10" fontId="14" fillId="0" borderId="1" xfId="0" applyNumberFormat="1" applyFont="1" applyFill="1" applyBorder="1" applyAlignment="1">
      <alignment vertical="top"/>
    </xf>
    <xf numFmtId="10" fontId="14" fillId="0" borderId="8" xfId="0" applyNumberFormat="1" applyFont="1" applyFill="1" applyBorder="1" applyAlignment="1">
      <alignment vertical="top"/>
    </xf>
    <xf numFmtId="10" fontId="9" fillId="0" borderId="9" xfId="0" applyNumberFormat="1" applyFont="1" applyFill="1" applyBorder="1" applyAlignment="1">
      <alignment vertical="top"/>
    </xf>
    <xf numFmtId="10" fontId="9" fillId="0" borderId="0" xfId="0" applyNumberFormat="1" applyFont="1" applyFill="1" applyBorder="1" applyAlignment="1">
      <alignment vertical="top"/>
    </xf>
    <xf numFmtId="10" fontId="9" fillId="0" borderId="10" xfId="0" applyNumberFormat="1" applyFont="1" applyFill="1" applyBorder="1" applyAlignment="1">
      <alignment vertical="top"/>
    </xf>
    <xf numFmtId="3" fontId="14" fillId="0" borderId="7" xfId="0" applyNumberFormat="1" applyFont="1" applyFill="1" applyBorder="1" applyAlignment="1">
      <alignment vertical="top"/>
    </xf>
    <xf numFmtId="0" fontId="13" fillId="0" borderId="11" xfId="0" applyFont="1" applyFill="1" applyBorder="1" applyAlignment="1">
      <alignment vertical="top"/>
    </xf>
    <xf numFmtId="0" fontId="13" fillId="0" borderId="2" xfId="0" applyFont="1" applyFill="1" applyBorder="1" applyAlignment="1">
      <alignment vertical="top"/>
    </xf>
    <xf numFmtId="0" fontId="9" fillId="0" borderId="2" xfId="0" applyFont="1" applyFill="1" applyBorder="1" applyAlignment="1">
      <alignment vertical="top"/>
    </xf>
    <xf numFmtId="0" fontId="12" fillId="0" borderId="0" xfId="0" applyFont="1" applyFill="1" applyAlignment="1">
      <alignment vertical="top"/>
    </xf>
    <xf numFmtId="3" fontId="9" fillId="0" borderId="0" xfId="0" applyNumberFormat="1" applyFont="1" applyFill="1" applyAlignment="1" applyProtection="1">
      <alignment vertical="top"/>
      <protection hidden="1"/>
    </xf>
    <xf numFmtId="3" fontId="13" fillId="2" borderId="1" xfId="0" quotePrefix="1" applyNumberFormat="1" applyFont="1" applyFill="1" applyBorder="1" applyAlignment="1">
      <alignment horizontal="center" vertical="top"/>
    </xf>
    <xf numFmtId="3" fontId="13" fillId="0" borderId="1" xfId="0" quotePrefix="1" applyNumberFormat="1" applyFont="1" applyFill="1" applyBorder="1" applyAlignment="1">
      <alignment horizontal="center" vertical="top"/>
    </xf>
    <xf numFmtId="42" fontId="8" fillId="2" borderId="0" xfId="0" applyNumberFormat="1" applyFont="1" applyFill="1" applyAlignment="1">
      <alignment vertical="top"/>
    </xf>
    <xf numFmtId="44" fontId="8" fillId="0" borderId="0" xfId="0" applyNumberFormat="1" applyFont="1" applyFill="1" applyAlignment="1">
      <alignment vertical="top"/>
    </xf>
    <xf numFmtId="42" fontId="8" fillId="2" borderId="1" xfId="0" applyNumberFormat="1" applyFont="1" applyFill="1" applyBorder="1" applyAlignment="1">
      <alignment vertical="top"/>
    </xf>
    <xf numFmtId="42" fontId="8" fillId="2" borderId="0" xfId="0" applyNumberFormat="1" applyFont="1" applyFill="1" applyBorder="1" applyAlignment="1">
      <alignment vertical="top"/>
    </xf>
    <xf numFmtId="3" fontId="8" fillId="0" borderId="0" xfId="0" applyNumberFormat="1" applyFont="1" applyFill="1" applyAlignment="1">
      <alignment vertical="top"/>
    </xf>
    <xf numFmtId="5" fontId="8" fillId="2" borderId="0" xfId="0" applyNumberFormat="1" applyFont="1" applyFill="1" applyAlignment="1">
      <alignment vertical="top"/>
    </xf>
    <xf numFmtId="5" fontId="8" fillId="0" borderId="0" xfId="0" applyNumberFormat="1" applyFont="1" applyFill="1" applyAlignment="1">
      <alignment vertical="top"/>
    </xf>
    <xf numFmtId="10" fontId="8" fillId="2" borderId="0" xfId="0" applyNumberFormat="1" applyFont="1" applyFill="1" applyAlignment="1">
      <alignment vertical="top"/>
    </xf>
    <xf numFmtId="0" fontId="13" fillId="0" borderId="0" xfId="0" quotePrefix="1" applyFont="1" applyFill="1" applyAlignment="1">
      <alignment horizontal="left" vertical="top"/>
    </xf>
    <xf numFmtId="0" fontId="15" fillId="0" borderId="0" xfId="0" applyFont="1" applyFill="1" applyAlignment="1">
      <alignment vertical="top"/>
    </xf>
    <xf numFmtId="10" fontId="8" fillId="0" borderId="0" xfId="0" applyNumberFormat="1" applyFont="1" applyFill="1" applyAlignment="1" applyProtection="1">
      <alignment vertical="top"/>
    </xf>
    <xf numFmtId="10" fontId="14" fillId="0" borderId="0" xfId="0" applyNumberFormat="1" applyFont="1" applyFill="1" applyAlignment="1">
      <alignment vertical="top"/>
    </xf>
    <xf numFmtId="0" fontId="16" fillId="0" borderId="0" xfId="0" applyFont="1" applyFill="1" applyAlignment="1">
      <alignment vertical="top"/>
    </xf>
    <xf numFmtId="10" fontId="15" fillId="0" borderId="0" xfId="0" applyNumberFormat="1" applyFont="1" applyFill="1" applyAlignment="1" applyProtection="1">
      <alignment vertical="top"/>
    </xf>
    <xf numFmtId="10" fontId="8" fillId="0" borderId="0" xfId="0" applyNumberFormat="1" applyFont="1" applyFill="1"/>
    <xf numFmtId="10" fontId="16" fillId="0" borderId="0" xfId="0" applyNumberFormat="1" applyFont="1" applyFill="1" applyAlignment="1">
      <alignment vertical="top"/>
    </xf>
    <xf numFmtId="0" fontId="14" fillId="0" borderId="0" xfId="0" applyFont="1" applyFill="1" applyAlignment="1">
      <alignment vertical="top"/>
    </xf>
    <xf numFmtId="0" fontId="7" fillId="0" borderId="0" xfId="0" applyFont="1" applyFill="1"/>
    <xf numFmtId="0" fontId="10" fillId="0" borderId="0" xfId="0" applyFont="1" applyFill="1" applyAlignment="1">
      <alignment vertical="top"/>
    </xf>
    <xf numFmtId="42" fontId="14" fillId="2" borderId="12" xfId="0" applyNumberFormat="1" applyFont="1" applyFill="1" applyBorder="1" applyAlignment="1">
      <alignment vertical="top"/>
    </xf>
    <xf numFmtId="164" fontId="8" fillId="0" borderId="0" xfId="0" applyNumberFormat="1" applyFont="1" applyFill="1" applyAlignment="1" applyProtection="1">
      <alignment vertical="top"/>
    </xf>
    <xf numFmtId="164" fontId="8" fillId="2" borderId="0" xfId="0" applyNumberFormat="1" applyFont="1" applyFill="1" applyAlignment="1" applyProtection="1">
      <alignment vertical="top"/>
    </xf>
    <xf numFmtId="164" fontId="8" fillId="0" borderId="0" xfId="0" applyNumberFormat="1" applyFont="1" applyFill="1"/>
    <xf numFmtId="164" fontId="14" fillId="0" borderId="0" xfId="0" applyNumberFormat="1" applyFont="1" applyFill="1" applyAlignment="1">
      <alignment vertical="top"/>
    </xf>
    <xf numFmtId="164" fontId="15" fillId="2" borderId="0" xfId="0" applyNumberFormat="1" applyFont="1" applyFill="1" applyAlignment="1" applyProtection="1">
      <alignment vertical="top"/>
    </xf>
    <xf numFmtId="0" fontId="26" fillId="0" borderId="0" xfId="0" applyNumberFormat="1" applyFont="1" applyFill="1" applyAlignment="1"/>
    <xf numFmtId="0" fontId="27" fillId="0" borderId="0" xfId="0" applyNumberFormat="1" applyFont="1" applyFill="1" applyAlignment="1"/>
    <xf numFmtId="0" fontId="17" fillId="0" borderId="0" xfId="0" applyNumberFormat="1" applyFont="1" applyAlignment="1"/>
    <xf numFmtId="0" fontId="26" fillId="0" borderId="20" xfId="0" applyNumberFormat="1" applyFont="1" applyFill="1" applyBorder="1" applyAlignment="1">
      <alignment horizontal="right"/>
    </xf>
    <xf numFmtId="0" fontId="26" fillId="0" borderId="0" xfId="0" applyNumberFormat="1" applyFont="1" applyFill="1" applyAlignment="1">
      <alignment horizontal="centerContinuous"/>
    </xf>
    <xf numFmtId="0" fontId="26" fillId="0" borderId="0" xfId="0" applyNumberFormat="1" applyFont="1" applyFill="1" applyAlignment="1" applyProtection="1">
      <alignment horizontal="centerContinuous"/>
      <protection locked="0"/>
    </xf>
    <xf numFmtId="0" fontId="26" fillId="0" borderId="1" xfId="0" applyNumberFormat="1" applyFont="1" applyFill="1" applyBorder="1" applyAlignment="1">
      <alignment horizontal="center"/>
    </xf>
    <xf numFmtId="0" fontId="26" fillId="0" borderId="1" xfId="0" applyNumberFormat="1" applyFont="1" applyFill="1" applyBorder="1" applyAlignment="1" applyProtection="1">
      <protection locked="0"/>
    </xf>
    <xf numFmtId="0" fontId="26" fillId="0" borderId="1" xfId="0" applyNumberFormat="1" applyFont="1" applyFill="1" applyBorder="1" applyAlignment="1"/>
    <xf numFmtId="0" fontId="26" fillId="0" borderId="1" xfId="0" applyNumberFormat="1" applyFont="1" applyFill="1" applyBorder="1" applyAlignment="1">
      <alignment horizontal="right"/>
    </xf>
    <xf numFmtId="0" fontId="27" fillId="0" borderId="0" xfId="0" applyNumberFormat="1" applyFont="1" applyFill="1" applyAlignment="1">
      <alignment horizontal="center"/>
    </xf>
    <xf numFmtId="0" fontId="27" fillId="0" borderId="0" xfId="0" applyNumberFormat="1" applyFont="1" applyFill="1" applyAlignment="1">
      <alignment horizontal="left"/>
    </xf>
    <xf numFmtId="166" fontId="27" fillId="0" borderId="0" xfId="0" applyNumberFormat="1" applyFont="1" applyFill="1" applyAlignment="1"/>
    <xf numFmtId="168" fontId="27" fillId="0" borderId="0" xfId="0" applyNumberFormat="1" applyFont="1" applyFill="1" applyAlignment="1"/>
    <xf numFmtId="166" fontId="27" fillId="0" borderId="1" xfId="0" applyNumberFormat="1" applyFont="1" applyFill="1" applyBorder="1" applyAlignment="1"/>
    <xf numFmtId="166" fontId="27" fillId="0" borderId="0" xfId="0" applyNumberFormat="1" applyFont="1" applyFill="1" applyBorder="1" applyAlignment="1"/>
    <xf numFmtId="166" fontId="17" fillId="0" borderId="0" xfId="0" applyNumberFormat="1" applyFont="1" applyAlignment="1"/>
    <xf numFmtId="9" fontId="27" fillId="0" borderId="0" xfId="0" applyNumberFormat="1" applyFont="1" applyFill="1" applyAlignment="1"/>
    <xf numFmtId="166" fontId="27" fillId="0" borderId="14" xfId="0" applyNumberFormat="1" applyFont="1" applyFill="1" applyBorder="1" applyAlignment="1" applyProtection="1">
      <protection locked="0"/>
    </xf>
    <xf numFmtId="0" fontId="13" fillId="2" borderId="1" xfId="0" quotePrefix="1" applyNumberFormat="1" applyFont="1" applyFill="1" applyBorder="1" applyAlignment="1">
      <alignment horizontal="center" vertical="top"/>
    </xf>
    <xf numFmtId="170" fontId="8" fillId="2" borderId="0" xfId="0" applyNumberFormat="1" applyFont="1" applyFill="1" applyAlignment="1">
      <alignment vertical="top"/>
    </xf>
    <xf numFmtId="3" fontId="7" fillId="2" borderId="0" xfId="0" applyNumberFormat="1" applyFont="1" applyFill="1" applyAlignment="1">
      <alignment vertical="top"/>
    </xf>
    <xf numFmtId="0" fontId="20" fillId="0" borderId="0" xfId="0" applyFont="1" applyAlignment="1">
      <alignment horizontal="centerContinuous"/>
    </xf>
    <xf numFmtId="0" fontId="17" fillId="0" borderId="14" xfId="0" applyFont="1" applyBorder="1" applyAlignment="1">
      <alignment horizontal="center"/>
    </xf>
    <xf numFmtId="0" fontId="17" fillId="0" borderId="14" xfId="0" applyFont="1" applyFill="1" applyBorder="1"/>
    <xf numFmtId="0" fontId="20" fillId="0" borderId="21" xfId="0" applyFont="1" applyFill="1" applyBorder="1"/>
    <xf numFmtId="0" fontId="17" fillId="0" borderId="0" xfId="0" applyFont="1" applyFill="1"/>
    <xf numFmtId="41" fontId="17" fillId="0" borderId="0" xfId="0" applyNumberFormat="1" applyFont="1" applyFill="1"/>
    <xf numFmtId="0" fontId="23" fillId="0" borderId="0" xfId="0" applyFont="1" applyAlignment="1">
      <alignment horizontal="centerContinuous"/>
    </xf>
    <xf numFmtId="0" fontId="23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center"/>
    </xf>
    <xf numFmtId="0" fontId="13" fillId="0" borderId="1" xfId="0" applyFont="1" applyBorder="1" applyAlignment="1">
      <alignment vertical="top"/>
    </xf>
    <xf numFmtId="3" fontId="13" fillId="0" borderId="1" xfId="0" applyNumberFormat="1" applyFont="1" applyFill="1" applyBorder="1" applyAlignment="1">
      <alignment horizontal="center" vertical="top"/>
    </xf>
    <xf numFmtId="0" fontId="13" fillId="0" borderId="0" xfId="0" applyFont="1" applyAlignment="1">
      <alignment vertical="top"/>
    </xf>
    <xf numFmtId="3" fontId="0" fillId="0" borderId="0" xfId="0" applyNumberFormat="1" applyFont="1" applyFill="1" applyAlignment="1" applyProtection="1">
      <alignment vertical="top"/>
      <protection hidden="1"/>
    </xf>
    <xf numFmtId="0" fontId="13" fillId="0" borderId="0" xfId="0" applyFont="1" applyAlignment="1">
      <alignment horizontal="center" vertical="top"/>
    </xf>
    <xf numFmtId="42" fontId="8" fillId="0" borderId="0" xfId="0" applyNumberFormat="1" applyFont="1" applyFill="1" applyBorder="1" applyAlignment="1">
      <alignment vertical="top"/>
    </xf>
    <xf numFmtId="42" fontId="8" fillId="0" borderId="1" xfId="0" applyNumberFormat="1" applyFont="1" applyFill="1" applyBorder="1" applyAlignment="1">
      <alignment vertical="top"/>
    </xf>
    <xf numFmtId="10" fontId="8" fillId="0" borderId="0" xfId="0" applyNumberFormat="1" applyFont="1" applyFill="1" applyAlignment="1">
      <alignment vertical="top"/>
    </xf>
    <xf numFmtId="42" fontId="8" fillId="0" borderId="0" xfId="0" applyNumberFormat="1" applyFont="1" applyFill="1" applyAlignment="1">
      <alignment vertical="top"/>
    </xf>
    <xf numFmtId="37" fontId="8" fillId="0" borderId="0" xfId="0" applyNumberFormat="1" applyFont="1" applyFill="1" applyAlignment="1">
      <alignment vertical="top"/>
    </xf>
    <xf numFmtId="168" fontId="8" fillId="0" borderId="0" xfId="0" applyNumberFormat="1" applyFont="1" applyFill="1" applyAlignment="1" applyProtection="1">
      <alignment vertical="top"/>
    </xf>
    <xf numFmtId="43" fontId="9" fillId="0" borderId="0" xfId="0" applyNumberFormat="1" applyFont="1" applyFill="1" applyAlignment="1">
      <alignment vertical="top"/>
    </xf>
    <xf numFmtId="10" fontId="9" fillId="0" borderId="0" xfId="0" applyNumberFormat="1" applyFont="1" applyFill="1" applyAlignment="1">
      <alignment vertical="top"/>
    </xf>
    <xf numFmtId="0" fontId="25" fillId="0" borderId="0" xfId="0" applyFont="1"/>
    <xf numFmtId="168" fontId="25" fillId="0" borderId="0" xfId="0" applyNumberFormat="1" applyFont="1"/>
    <xf numFmtId="0" fontId="25" fillId="0" borderId="0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14" xfId="0" applyFont="1" applyBorder="1" applyAlignment="1">
      <alignment horizontal="left"/>
    </xf>
    <xf numFmtId="164" fontId="25" fillId="0" borderId="14" xfId="0" applyNumberFormat="1" applyFont="1" applyBorder="1" applyAlignment="1">
      <alignment vertical="center" wrapText="1"/>
    </xf>
    <xf numFmtId="0" fontId="17" fillId="0" borderId="0" xfId="0" applyFont="1"/>
    <xf numFmtId="0" fontId="30" fillId="4" borderId="0" xfId="0" applyFont="1" applyFill="1" applyBorder="1" applyAlignment="1">
      <alignment horizontal="centerContinuous" vertical="top"/>
    </xf>
    <xf numFmtId="3" fontId="30" fillId="4" borderId="7" xfId="0" applyNumberFormat="1" applyFont="1" applyFill="1" applyBorder="1" applyAlignment="1">
      <alignment horizontal="centerContinuous" vertical="top"/>
    </xf>
    <xf numFmtId="0" fontId="9" fillId="0" borderId="0" xfId="0" applyFont="1" applyFill="1" applyAlignment="1">
      <alignment horizontal="center" vertical="top"/>
    </xf>
    <xf numFmtId="42" fontId="10" fillId="0" borderId="0" xfId="0" applyNumberFormat="1" applyFont="1" applyFill="1" applyAlignment="1">
      <alignment vertical="top"/>
    </xf>
    <xf numFmtId="165" fontId="8" fillId="0" borderId="0" xfId="0" applyNumberFormat="1" applyFont="1" applyFill="1" applyBorder="1" applyAlignment="1">
      <alignment vertical="top"/>
    </xf>
    <xf numFmtId="165" fontId="8" fillId="0" borderId="14" xfId="0" applyNumberFormat="1" applyFont="1" applyFill="1" applyBorder="1"/>
    <xf numFmtId="10" fontId="8" fillId="0" borderId="14" xfId="0" applyNumberFormat="1" applyFont="1" applyFill="1" applyBorder="1" applyAlignment="1"/>
    <xf numFmtId="0" fontId="2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vertical="top"/>
    </xf>
    <xf numFmtId="42" fontId="6" fillId="0" borderId="0" xfId="0" applyNumberFormat="1" applyFont="1" applyFill="1" applyAlignment="1">
      <alignment vertical="top"/>
    </xf>
    <xf numFmtId="42" fontId="6" fillId="2" borderId="0" xfId="0" applyNumberFormat="1" applyFont="1" applyFill="1" applyAlignment="1">
      <alignment vertical="top"/>
    </xf>
    <xf numFmtId="0" fontId="6" fillId="0" borderId="0" xfId="0" applyFont="1" applyFill="1"/>
    <xf numFmtId="164" fontId="6" fillId="2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Alignment="1">
      <alignment vertical="top"/>
    </xf>
    <xf numFmtId="0" fontId="6" fillId="0" borderId="0" xfId="0" applyFont="1"/>
    <xf numFmtId="42" fontId="6" fillId="0" borderId="0" xfId="0" applyNumberFormat="1" applyFont="1" applyFill="1"/>
    <xf numFmtId="42" fontId="6" fillId="0" borderId="0" xfId="0" applyNumberFormat="1" applyFont="1" applyFill="1" applyBorder="1"/>
    <xf numFmtId="42" fontId="6" fillId="0" borderId="1" xfId="0" applyNumberFormat="1" applyFont="1" applyFill="1" applyBorder="1"/>
    <xf numFmtId="10" fontId="6" fillId="0" borderId="0" xfId="0" applyNumberFormat="1" applyFont="1" applyFill="1"/>
    <xf numFmtId="168" fontId="6" fillId="0" borderId="0" xfId="0" applyNumberFormat="1" applyFont="1" applyFill="1"/>
    <xf numFmtId="43" fontId="6" fillId="0" borderId="0" xfId="0" applyNumberFormat="1" applyFont="1"/>
    <xf numFmtId="0" fontId="13" fillId="0" borderId="0" xfId="0" applyFont="1" applyFill="1" applyAlignment="1">
      <alignment horizontal="center" vertical="top"/>
    </xf>
    <xf numFmtId="0" fontId="8" fillId="0" borderId="0" xfId="0" applyFont="1" applyFill="1" applyAlignment="1">
      <alignment vertical="top"/>
    </xf>
    <xf numFmtId="0" fontId="6" fillId="0" borderId="16" xfId="0" applyFont="1" applyFill="1" applyBorder="1"/>
    <xf numFmtId="17" fontId="18" fillId="0" borderId="13" xfId="0" applyNumberFormat="1" applyFont="1" applyFill="1" applyBorder="1" applyAlignment="1">
      <alignment horizontal="centerContinuous"/>
    </xf>
    <xf numFmtId="0" fontId="6" fillId="0" borderId="13" xfId="0" applyFont="1" applyFill="1" applyBorder="1" applyAlignment="1">
      <alignment horizontal="centerContinuous"/>
    </xf>
    <xf numFmtId="0" fontId="6" fillId="0" borderId="17" xfId="0" applyFont="1" applyFill="1" applyBorder="1" applyAlignment="1">
      <alignment horizontal="centerContinuous"/>
    </xf>
    <xf numFmtId="0" fontId="8" fillId="0" borderId="18" xfId="0" applyFont="1" applyFill="1" applyBorder="1"/>
    <xf numFmtId="0" fontId="18" fillId="0" borderId="14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wrapText="1"/>
    </xf>
    <xf numFmtId="0" fontId="24" fillId="0" borderId="19" xfId="0" applyFont="1" applyFill="1" applyBorder="1"/>
    <xf numFmtId="167" fontId="8" fillId="0" borderId="14" xfId="0" applyNumberFormat="1" applyFont="1" applyFill="1" applyBorder="1"/>
    <xf numFmtId="0" fontId="8" fillId="0" borderId="14" xfId="0" applyFont="1" applyFill="1" applyBorder="1"/>
    <xf numFmtId="0" fontId="6" fillId="0" borderId="14" xfId="0" applyFont="1" applyFill="1" applyBorder="1"/>
    <xf numFmtId="0" fontId="19" fillId="0" borderId="0" xfId="0" applyNumberFormat="1" applyFont="1" applyFill="1" applyAlignment="1"/>
    <xf numFmtId="0" fontId="18" fillId="0" borderId="0" xfId="0" applyFont="1" applyFill="1" applyAlignment="1">
      <alignment horizontal="centerContinuous"/>
    </xf>
    <xf numFmtId="0" fontId="6" fillId="0" borderId="14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 wrapText="1"/>
    </xf>
    <xf numFmtId="0" fontId="22" fillId="0" borderId="14" xfId="0" applyFont="1" applyFill="1" applyBorder="1" applyAlignment="1">
      <alignment horizontal="center"/>
    </xf>
    <xf numFmtId="43" fontId="8" fillId="0" borderId="14" xfId="0" applyNumberFormat="1" applyFont="1" applyFill="1" applyBorder="1" applyAlignment="1"/>
    <xf numFmtId="0" fontId="8" fillId="0" borderId="14" xfId="0" applyNumberFormat="1" applyFont="1" applyFill="1" applyBorder="1" applyAlignment="1"/>
    <xf numFmtId="0" fontId="22" fillId="0" borderId="14" xfId="0" applyNumberFormat="1" applyFont="1" applyFill="1" applyBorder="1" applyAlignment="1"/>
    <xf numFmtId="0" fontId="13" fillId="0" borderId="0" xfId="0" applyFont="1" applyFill="1" applyAlignment="1">
      <alignment horizontal="center" vertical="top"/>
    </xf>
    <xf numFmtId="0" fontId="17" fillId="0" borderId="14" xfId="0" applyFont="1" applyBorder="1" applyAlignment="1">
      <alignment horizontal="center" wrapText="1"/>
    </xf>
    <xf numFmtId="42" fontId="17" fillId="0" borderId="14" xfId="0" applyNumberFormat="1" applyFont="1" applyFill="1" applyBorder="1"/>
    <xf numFmtId="41" fontId="17" fillId="0" borderId="23" xfId="0" applyNumberFormat="1" applyFont="1" applyFill="1" applyBorder="1"/>
    <xf numFmtId="42" fontId="20" fillId="0" borderId="22" xfId="0" applyNumberFormat="1" applyFont="1" applyFill="1" applyBorder="1"/>
    <xf numFmtId="0" fontId="8" fillId="0" borderId="0" xfId="0" applyFont="1" applyFill="1" applyBorder="1" applyAlignment="1">
      <alignment vertical="top"/>
    </xf>
    <xf numFmtId="0" fontId="13" fillId="5" borderId="0" xfId="0" applyFont="1" applyFill="1" applyAlignment="1">
      <alignment vertical="top"/>
    </xf>
    <xf numFmtId="0" fontId="6" fillId="5" borderId="0" xfId="0" applyFont="1" applyFill="1" applyAlignment="1">
      <alignment vertical="top"/>
    </xf>
    <xf numFmtId="42" fontId="8" fillId="5" borderId="0" xfId="0" applyNumberFormat="1" applyFont="1" applyFill="1" applyAlignment="1">
      <alignment vertical="top"/>
    </xf>
    <xf numFmtId="42" fontId="8" fillId="5" borderId="1" xfId="0" applyNumberFormat="1" applyFont="1" applyFill="1" applyBorder="1" applyAlignment="1">
      <alignment vertical="top"/>
    </xf>
    <xf numFmtId="0" fontId="13" fillId="6" borderId="0" xfId="0" applyFont="1" applyFill="1" applyAlignment="1">
      <alignment vertical="top"/>
    </xf>
    <xf numFmtId="0" fontId="4" fillId="0" borderId="14" xfId="6" applyBorder="1"/>
    <xf numFmtId="0" fontId="4" fillId="0" borderId="0" xfId="6"/>
    <xf numFmtId="0" fontId="31" fillId="0" borderId="14" xfId="6" applyFont="1" applyBorder="1" applyAlignment="1">
      <alignment vertical="center"/>
    </xf>
    <xf numFmtId="0" fontId="31" fillId="0" borderId="19" xfId="6" applyFont="1" applyBorder="1" applyAlignment="1">
      <alignment vertical="center"/>
    </xf>
    <xf numFmtId="0" fontId="31" fillId="0" borderId="25" xfId="6" applyFont="1" applyBorder="1" applyAlignment="1">
      <alignment vertical="center"/>
    </xf>
    <xf numFmtId="0" fontId="31" fillId="0" borderId="0" xfId="6" applyFont="1" applyBorder="1" applyAlignment="1">
      <alignment vertical="center"/>
    </xf>
    <xf numFmtId="0" fontId="32" fillId="0" borderId="26" xfId="6" applyFont="1" applyBorder="1" applyAlignment="1">
      <alignment vertical="center"/>
    </xf>
    <xf numFmtId="0" fontId="32" fillId="0" borderId="21" xfId="6" applyFont="1" applyBorder="1" applyAlignment="1">
      <alignment vertical="center"/>
    </xf>
    <xf numFmtId="0" fontId="32" fillId="0" borderId="14" xfId="6" applyFont="1" applyFill="1" applyBorder="1" applyAlignment="1">
      <alignment vertical="center"/>
    </xf>
    <xf numFmtId="0" fontId="18" fillId="0" borderId="19" xfId="6" applyFont="1" applyBorder="1"/>
    <xf numFmtId="0" fontId="4" fillId="7" borderId="28" xfId="6" applyFill="1" applyBorder="1" applyAlignment="1">
      <alignment wrapText="1"/>
    </xf>
    <xf numFmtId="0" fontId="4" fillId="7" borderId="28" xfId="6" applyFill="1" applyBorder="1"/>
    <xf numFmtId="0" fontId="13" fillId="0" borderId="9" xfId="0" applyFont="1" applyFill="1" applyBorder="1" applyAlignment="1">
      <alignment vertical="top"/>
    </xf>
    <xf numFmtId="3" fontId="8" fillId="0" borderId="9" xfId="0" applyNumberFormat="1" applyFont="1" applyFill="1" applyBorder="1" applyAlignment="1">
      <alignment vertical="top"/>
    </xf>
    <xf numFmtId="42" fontId="6" fillId="0" borderId="9" xfId="0" applyNumberFormat="1" applyFont="1" applyFill="1" applyBorder="1"/>
    <xf numFmtId="0" fontId="23" fillId="0" borderId="29" xfId="0" applyFont="1" applyBorder="1" applyAlignment="1">
      <alignment horizontal="left"/>
    </xf>
    <xf numFmtId="0" fontId="23" fillId="0" borderId="29" xfId="0" applyFont="1" applyBorder="1" applyAlignment="1">
      <alignment horizontal="centerContinuous"/>
    </xf>
    <xf numFmtId="42" fontId="23" fillId="0" borderId="29" xfId="0" applyNumberFormat="1" applyFont="1" applyFill="1" applyBorder="1" applyAlignment="1">
      <alignment horizontal="left"/>
    </xf>
    <xf numFmtId="0" fontId="13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0" fontId="9" fillId="0" borderId="3" xfId="0" applyFont="1" applyFill="1" applyBorder="1" applyAlignment="1">
      <alignment vertical="top"/>
    </xf>
    <xf numFmtId="0" fontId="30" fillId="4" borderId="6" xfId="0" applyFont="1" applyFill="1" applyBorder="1" applyAlignment="1">
      <alignment horizontal="centerContinuous" vertical="top"/>
    </xf>
    <xf numFmtId="0" fontId="13" fillId="0" borderId="6" xfId="0" applyFont="1" applyFill="1" applyBorder="1" applyAlignment="1">
      <alignment horizontal="center" vertical="top"/>
    </xf>
    <xf numFmtId="0" fontId="13" fillId="0" borderId="30" xfId="0" applyFont="1" applyFill="1" applyBorder="1" applyAlignment="1">
      <alignment horizontal="center" vertical="top"/>
    </xf>
    <xf numFmtId="41" fontId="9" fillId="0" borderId="0" xfId="0" applyNumberFormat="1" applyFont="1" applyFill="1" applyAlignment="1">
      <alignment vertical="top"/>
    </xf>
    <xf numFmtId="0" fontId="9" fillId="0" borderId="6" xfId="0" applyFont="1" applyFill="1" applyBorder="1" applyAlignment="1">
      <alignment vertical="top"/>
    </xf>
    <xf numFmtId="10" fontId="14" fillId="0" borderId="6" xfId="0" applyNumberFormat="1" applyFont="1" applyFill="1" applyBorder="1" applyAlignment="1">
      <alignment vertical="top"/>
    </xf>
    <xf numFmtId="10" fontId="14" fillId="0" borderId="30" xfId="0" applyNumberFormat="1" applyFont="1" applyFill="1" applyBorder="1" applyAlignment="1">
      <alignment vertical="top"/>
    </xf>
    <xf numFmtId="10" fontId="9" fillId="0" borderId="31" xfId="0" applyNumberFormat="1" applyFont="1" applyFill="1" applyBorder="1" applyAlignment="1">
      <alignment vertical="top"/>
    </xf>
    <xf numFmtId="171" fontId="9" fillId="0" borderId="0" xfId="0" applyNumberFormat="1" applyFont="1" applyFill="1" applyAlignment="1">
      <alignment vertical="top"/>
    </xf>
    <xf numFmtId="7" fontId="9" fillId="0" borderId="6" xfId="0" applyNumberFormat="1" applyFont="1" applyFill="1" applyBorder="1" applyAlignment="1">
      <alignment vertical="top"/>
    </xf>
    <xf numFmtId="44" fontId="10" fillId="0" borderId="0" xfId="0" applyNumberFormat="1" applyFont="1" applyFill="1" applyAlignment="1">
      <alignment vertical="top"/>
    </xf>
    <xf numFmtId="8" fontId="9" fillId="0" borderId="11" xfId="0" applyNumberFormat="1" applyFont="1" applyFill="1" applyBorder="1" applyAlignment="1">
      <alignment vertical="top"/>
    </xf>
    <xf numFmtId="174" fontId="9" fillId="0" borderId="12" xfId="0" applyNumberFormat="1" applyFont="1" applyFill="1" applyBorder="1" applyAlignment="1">
      <alignment horizontal="center" vertical="top"/>
    </xf>
    <xf numFmtId="43" fontId="9" fillId="0" borderId="0" xfId="0" applyNumberFormat="1" applyFont="1" applyFill="1" applyAlignment="1" applyProtection="1">
      <alignment vertical="top"/>
      <protection hidden="1"/>
    </xf>
    <xf numFmtId="0" fontId="3" fillId="8" borderId="0" xfId="0" applyFont="1" applyFill="1" applyAlignment="1">
      <alignment horizontal="center" vertical="top"/>
    </xf>
    <xf numFmtId="0" fontId="0" fillId="2" borderId="0" xfId="0" applyNumberFormat="1" applyFont="1" applyFill="1" applyAlignment="1" applyProtection="1">
      <alignment horizontal="center" vertical="top"/>
      <protection hidden="1"/>
    </xf>
    <xf numFmtId="43" fontId="3" fillId="8" borderId="0" xfId="0" applyNumberFormat="1" applyFont="1" applyFill="1" applyAlignment="1">
      <alignment horizontal="center" vertical="top"/>
    </xf>
    <xf numFmtId="10" fontId="3" fillId="0" borderId="0" xfId="0" applyNumberFormat="1" applyFont="1" applyFill="1" applyAlignment="1">
      <alignment vertical="top"/>
    </xf>
    <xf numFmtId="42" fontId="3" fillId="0" borderId="0" xfId="0" applyNumberFormat="1" applyFont="1" applyFill="1" applyAlignment="1">
      <alignment vertical="top"/>
    </xf>
    <xf numFmtId="42" fontId="8" fillId="2" borderId="15" xfId="0" applyNumberFormat="1" applyFont="1" applyFill="1" applyBorder="1" applyAlignment="1">
      <alignment vertical="top"/>
    </xf>
    <xf numFmtId="42" fontId="0" fillId="0" borderId="0" xfId="0" applyNumberFormat="1" applyFont="1" applyFill="1" applyBorder="1" applyAlignment="1">
      <alignment vertical="top"/>
    </xf>
    <xf numFmtId="37" fontId="3" fillId="8" borderId="0" xfId="0" applyNumberFormat="1" applyFont="1" applyFill="1" applyAlignment="1">
      <alignment horizontal="right" vertical="top"/>
    </xf>
    <xf numFmtId="3" fontId="8" fillId="2" borderId="0" xfId="0" applyNumberFormat="1" applyFont="1" applyFill="1" applyAlignment="1">
      <alignment vertical="top"/>
    </xf>
    <xf numFmtId="165" fontId="8" fillId="9" borderId="0" xfId="0" applyNumberFormat="1" applyFont="1" applyFill="1" applyBorder="1" applyAlignment="1">
      <alignment vertical="top"/>
    </xf>
    <xf numFmtId="3" fontId="7" fillId="0" borderId="0" xfId="0" applyNumberFormat="1" applyFont="1" applyFill="1" applyAlignment="1">
      <alignment vertical="top"/>
    </xf>
    <xf numFmtId="42" fontId="3" fillId="2" borderId="0" xfId="0" applyNumberFormat="1" applyFont="1" applyFill="1" applyAlignment="1">
      <alignment vertical="top"/>
    </xf>
    <xf numFmtId="42" fontId="8" fillId="3" borderId="0" xfId="0" applyNumberFormat="1" applyFont="1" applyFill="1" applyAlignment="1">
      <alignment vertical="top"/>
    </xf>
    <xf numFmtId="0" fontId="3" fillId="0" borderId="0" xfId="0" applyFont="1" applyFill="1"/>
    <xf numFmtId="164" fontId="3" fillId="2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Alignment="1">
      <alignment vertical="top"/>
    </xf>
    <xf numFmtId="41" fontId="10" fillId="0" borderId="0" xfId="0" applyNumberFormat="1" applyFont="1" applyFill="1" applyAlignment="1">
      <alignment vertical="top"/>
    </xf>
    <xf numFmtId="14" fontId="9" fillId="0" borderId="0" xfId="0" applyNumberFormat="1" applyFont="1" applyFill="1" applyAlignment="1">
      <alignment vertical="top"/>
    </xf>
    <xf numFmtId="0" fontId="30" fillId="10" borderId="27" xfId="6" applyFont="1" applyFill="1" applyBorder="1" applyAlignment="1">
      <alignment horizontal="center" vertical="center"/>
    </xf>
    <xf numFmtId="0" fontId="30" fillId="10" borderId="14" xfId="6" applyFont="1" applyFill="1" applyBorder="1" applyAlignment="1">
      <alignment horizontal="center" vertical="center"/>
    </xf>
    <xf numFmtId="0" fontId="18" fillId="0" borderId="14" xfId="6" applyFont="1" applyBorder="1"/>
    <xf numFmtId="0" fontId="18" fillId="0" borderId="19" xfId="6" applyFont="1" applyBorder="1" applyAlignment="1">
      <alignment horizontal="center"/>
    </xf>
    <xf numFmtId="0" fontId="0" fillId="0" borderId="0" xfId="0" applyBorder="1"/>
    <xf numFmtId="0" fontId="33" fillId="0" borderId="0" xfId="0" applyFont="1"/>
    <xf numFmtId="0" fontId="34" fillId="0" borderId="0" xfId="6" applyFont="1" applyBorder="1" applyAlignment="1">
      <alignment vertical="center"/>
    </xf>
    <xf numFmtId="0" fontId="35" fillId="0" borderId="0" xfId="0" applyFont="1"/>
    <xf numFmtId="0" fontId="2" fillId="0" borderId="0" xfId="0" applyFont="1" applyFill="1"/>
    <xf numFmtId="167" fontId="2" fillId="0" borderId="14" xfId="0" applyNumberFormat="1" applyFont="1" applyFill="1" applyBorder="1"/>
    <xf numFmtId="10" fontId="2" fillId="0" borderId="0" xfId="0" applyNumberFormat="1" applyFont="1" applyFill="1"/>
    <xf numFmtId="0" fontId="22" fillId="0" borderId="0" xfId="0" applyNumberFormat="1" applyFont="1" applyFill="1" applyBorder="1" applyAlignment="1"/>
    <xf numFmtId="0" fontId="13" fillId="0" borderId="0" xfId="0" applyFont="1" applyFill="1" applyAlignment="1">
      <alignment horizontal="center" vertical="top"/>
    </xf>
    <xf numFmtId="10" fontId="8" fillId="0" borderId="1" xfId="0" applyNumberFormat="1" applyFont="1" applyFill="1" applyBorder="1" applyAlignment="1">
      <alignment vertical="top"/>
    </xf>
    <xf numFmtId="0" fontId="36" fillId="0" borderId="0" xfId="0" applyFont="1" applyFill="1"/>
    <xf numFmtId="0" fontId="37" fillId="0" borderId="19" xfId="0" applyFont="1" applyFill="1" applyBorder="1" applyAlignment="1">
      <alignment horizontal="centerContinuous"/>
    </xf>
    <xf numFmtId="0" fontId="37" fillId="0" borderId="32" xfId="0" applyFont="1" applyFill="1" applyBorder="1" applyAlignment="1">
      <alignment horizontal="centerContinuous"/>
    </xf>
    <xf numFmtId="0" fontId="37" fillId="0" borderId="0" xfId="0" applyFont="1" applyFill="1" applyAlignment="1">
      <alignment horizontal="centerContinuous"/>
    </xf>
    <xf numFmtId="0" fontId="36" fillId="0" borderId="0" xfId="0" applyFont="1" applyFill="1" applyAlignment="1">
      <alignment horizontal="centerContinuous"/>
    </xf>
    <xf numFmtId="0" fontId="38" fillId="0" borderId="0" xfId="0" applyNumberFormat="1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0" fontId="39" fillId="0" borderId="0" xfId="0" applyFont="1" applyFill="1"/>
    <xf numFmtId="0" fontId="38" fillId="0" borderId="1" xfId="0" applyNumberFormat="1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/>
    </xf>
    <xf numFmtId="0" fontId="39" fillId="0" borderId="1" xfId="0" applyFont="1" applyFill="1" applyBorder="1"/>
    <xf numFmtId="0" fontId="36" fillId="0" borderId="0" xfId="0" applyNumberFormat="1" applyFont="1" applyFill="1" applyAlignment="1">
      <alignment horizontal="center"/>
    </xf>
    <xf numFmtId="0" fontId="36" fillId="0" borderId="0" xfId="0" applyNumberFormat="1" applyFont="1" applyFill="1" applyAlignment="1"/>
    <xf numFmtId="10" fontId="36" fillId="0" borderId="0" xfId="0" applyNumberFormat="1" applyFont="1" applyFill="1"/>
    <xf numFmtId="0" fontId="36" fillId="0" borderId="0" xfId="0" applyNumberFormat="1" applyFont="1" applyFill="1" applyAlignment="1">
      <alignment horizontal="left"/>
    </xf>
    <xf numFmtId="166" fontId="36" fillId="0" borderId="0" xfId="0" applyNumberFormat="1" applyFont="1" applyFill="1" applyAlignment="1"/>
    <xf numFmtId="10" fontId="36" fillId="0" borderId="15" xfId="0" applyNumberFormat="1" applyFont="1" applyFill="1" applyBorder="1"/>
    <xf numFmtId="0" fontId="36" fillId="0" borderId="15" xfId="0" applyFont="1" applyFill="1" applyBorder="1"/>
    <xf numFmtId="164" fontId="36" fillId="0" borderId="0" xfId="0" applyNumberFormat="1" applyFont="1" applyFill="1" applyAlignment="1"/>
    <xf numFmtId="166" fontId="36" fillId="0" borderId="1" xfId="0" applyNumberFormat="1" applyFont="1" applyFill="1" applyBorder="1" applyAlignment="1"/>
    <xf numFmtId="166" fontId="36" fillId="0" borderId="0" xfId="0" applyNumberFormat="1" applyFont="1" applyFill="1" applyBorder="1" applyAlignment="1"/>
    <xf numFmtId="9" fontId="36" fillId="0" borderId="0" xfId="0" applyNumberFormat="1" applyFont="1" applyFill="1" applyAlignment="1"/>
    <xf numFmtId="166" fontId="37" fillId="0" borderId="24" xfId="0" applyNumberFormat="1" applyFont="1" applyFill="1" applyBorder="1" applyAlignment="1" applyProtection="1">
      <protection locked="0"/>
    </xf>
    <xf numFmtId="169" fontId="36" fillId="0" borderId="0" xfId="0" applyNumberFormat="1" applyFont="1" applyFill="1"/>
    <xf numFmtId="0" fontId="0" fillId="0" borderId="0" xfId="0" applyFont="1" applyFill="1"/>
    <xf numFmtId="0" fontId="40" fillId="0" borderId="0" xfId="0" applyFont="1" applyFill="1"/>
    <xf numFmtId="166" fontId="36" fillId="11" borderId="0" xfId="0" applyNumberFormat="1" applyFont="1" applyFill="1" applyAlignment="1"/>
    <xf numFmtId="10" fontId="36" fillId="11" borderId="15" xfId="0" applyNumberFormat="1" applyFont="1" applyFill="1" applyBorder="1"/>
    <xf numFmtId="0" fontId="42" fillId="0" borderId="4" xfId="0" applyFont="1" applyFill="1" applyBorder="1" applyAlignment="1">
      <alignment vertical="top"/>
    </xf>
    <xf numFmtId="10" fontId="41" fillId="0" borderId="10" xfId="0" applyNumberFormat="1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42" fontId="1" fillId="0" borderId="0" xfId="0" applyNumberFormat="1" applyFont="1" applyFill="1" applyAlignment="1">
      <alignment vertical="top"/>
    </xf>
    <xf numFmtId="42" fontId="1" fillId="2" borderId="0" xfId="0" applyNumberFormat="1" applyFont="1" applyFill="1" applyAlignment="1">
      <alignment vertical="top"/>
    </xf>
    <xf numFmtId="0" fontId="1" fillId="0" borderId="0" xfId="0" applyFont="1" applyFill="1"/>
    <xf numFmtId="164" fontId="1" fillId="2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vertical="top"/>
    </xf>
    <xf numFmtId="3" fontId="43" fillId="0" borderId="0" xfId="0" applyNumberFormat="1" applyFont="1" applyFill="1" applyAlignment="1">
      <alignment vertical="top"/>
    </xf>
    <xf numFmtId="10" fontId="6" fillId="0" borderId="0" xfId="2" applyNumberFormat="1" applyFont="1"/>
    <xf numFmtId="0" fontId="30" fillId="4" borderId="0" xfId="0" applyFont="1" applyFill="1" applyBorder="1" applyAlignment="1">
      <alignment horizontal="left" vertical="top"/>
    </xf>
    <xf numFmtId="3" fontId="14" fillId="0" borderId="0" xfId="0" applyNumberFormat="1" applyFont="1" applyFill="1" applyBorder="1" applyAlignment="1">
      <alignment vertical="top"/>
    </xf>
    <xf numFmtId="42" fontId="14" fillId="0" borderId="0" xfId="0" applyNumberFormat="1" applyFont="1" applyFill="1" applyBorder="1" applyAlignment="1">
      <alignment vertical="top"/>
    </xf>
    <xf numFmtId="3" fontId="9" fillId="0" borderId="33" xfId="0" applyNumberFormat="1" applyFont="1" applyFill="1" applyBorder="1" applyAlignment="1">
      <alignment vertical="top"/>
    </xf>
    <xf numFmtId="3" fontId="30" fillId="4" borderId="25" xfId="0" applyNumberFormat="1" applyFont="1" applyFill="1" applyBorder="1" applyAlignment="1">
      <alignment horizontal="centerContinuous" vertical="top"/>
    </xf>
    <xf numFmtId="0" fontId="13" fillId="0" borderId="25" xfId="0" applyFont="1" applyFill="1" applyBorder="1" applyAlignment="1">
      <alignment horizontal="center" vertical="top"/>
    </xf>
    <xf numFmtId="0" fontId="13" fillId="0" borderId="34" xfId="0" applyFont="1" applyFill="1" applyBorder="1" applyAlignment="1">
      <alignment horizontal="center" vertical="top"/>
    </xf>
    <xf numFmtId="0" fontId="9" fillId="0" borderId="25" xfId="0" applyFont="1" applyFill="1" applyBorder="1" applyAlignment="1">
      <alignment vertical="top"/>
    </xf>
    <xf numFmtId="10" fontId="14" fillId="0" borderId="25" xfId="0" applyNumberFormat="1" applyFont="1" applyFill="1" applyBorder="1" applyAlignment="1">
      <alignment vertical="top"/>
    </xf>
    <xf numFmtId="10" fontId="14" fillId="0" borderId="34" xfId="0" applyNumberFormat="1" applyFont="1" applyFill="1" applyBorder="1" applyAlignment="1">
      <alignment vertical="top"/>
    </xf>
    <xf numFmtId="10" fontId="41" fillId="0" borderId="35" xfId="0" applyNumberFormat="1" applyFont="1" applyFill="1" applyBorder="1" applyAlignment="1">
      <alignment vertical="top"/>
    </xf>
    <xf numFmtId="10" fontId="14" fillId="0" borderId="36" xfId="0" applyNumberFormat="1" applyFont="1" applyFill="1" applyBorder="1" applyAlignment="1">
      <alignment vertical="top"/>
    </xf>
    <xf numFmtId="44" fontId="9" fillId="0" borderId="0" xfId="0" applyNumberFormat="1" applyFont="1" applyFill="1" applyAlignment="1">
      <alignment vertical="top"/>
    </xf>
    <xf numFmtId="0" fontId="6" fillId="0" borderId="0" xfId="0" applyFont="1" applyBorder="1"/>
    <xf numFmtId="0" fontId="18" fillId="0" borderId="0" xfId="0" applyFont="1" applyFill="1" applyBorder="1"/>
    <xf numFmtId="0" fontId="18" fillId="0" borderId="0" xfId="0" applyFont="1" applyFill="1" applyBorder="1" applyAlignment="1">
      <alignment horizontal="center" vertical="center" wrapText="1"/>
    </xf>
    <xf numFmtId="165" fontId="8" fillId="0" borderId="0" xfId="0" applyNumberFormat="1" applyFont="1" applyFill="1" applyBorder="1"/>
    <xf numFmtId="167" fontId="8" fillId="0" borderId="0" xfId="0" applyNumberFormat="1" applyFont="1" applyFill="1" applyBorder="1"/>
    <xf numFmtId="0" fontId="6" fillId="0" borderId="0" xfId="0" applyFont="1" applyFill="1" applyBorder="1"/>
    <xf numFmtId="43" fontId="6" fillId="0" borderId="0" xfId="0" applyNumberFormat="1" applyFont="1" applyFill="1" applyBorder="1"/>
    <xf numFmtId="44" fontId="6" fillId="0" borderId="0" xfId="0" applyNumberFormat="1" applyFont="1" applyFill="1" applyBorder="1"/>
    <xf numFmtId="0" fontId="4" fillId="0" borderId="0" xfId="6" applyFill="1"/>
    <xf numFmtId="0" fontId="18" fillId="0" borderId="14" xfId="6" applyFont="1" applyFill="1" applyBorder="1" applyAlignment="1">
      <alignment wrapText="1"/>
    </xf>
    <xf numFmtId="0" fontId="18" fillId="0" borderId="14" xfId="6" applyFont="1" applyFill="1" applyBorder="1"/>
    <xf numFmtId="165" fontId="17" fillId="0" borderId="14" xfId="7" applyNumberFormat="1" applyFont="1" applyFill="1" applyBorder="1"/>
    <xf numFmtId="10" fontId="44" fillId="0" borderId="14" xfId="6" applyNumberFormat="1" applyFont="1" applyFill="1" applyBorder="1"/>
    <xf numFmtId="44" fontId="44" fillId="0" borderId="14" xfId="6" applyNumberFormat="1" applyFont="1" applyFill="1" applyBorder="1"/>
    <xf numFmtId="41" fontId="44" fillId="0" borderId="14" xfId="6" applyNumberFormat="1" applyFont="1" applyFill="1" applyBorder="1"/>
    <xf numFmtId="43" fontId="44" fillId="0" borderId="14" xfId="6" applyNumberFormat="1" applyFont="1" applyFill="1" applyBorder="1"/>
    <xf numFmtId="165" fontId="45" fillId="0" borderId="26" xfId="7" applyNumberFormat="1" applyFont="1" applyFill="1" applyBorder="1"/>
    <xf numFmtId="0" fontId="44" fillId="0" borderId="14" xfId="6" applyFont="1" applyFill="1" applyBorder="1"/>
    <xf numFmtId="0" fontId="44" fillId="0" borderId="0" xfId="6" applyFont="1" applyFill="1"/>
    <xf numFmtId="10" fontId="44" fillId="0" borderId="0" xfId="6" applyNumberFormat="1" applyFont="1" applyFill="1" applyBorder="1"/>
    <xf numFmtId="0" fontId="45" fillId="0" borderId="14" xfId="6" applyFont="1" applyFill="1" applyBorder="1"/>
    <xf numFmtId="44" fontId="17" fillId="0" borderId="14" xfId="7" applyFont="1" applyFill="1" applyBorder="1"/>
    <xf numFmtId="0" fontId="44" fillId="0" borderId="14" xfId="6" applyFont="1" applyFill="1" applyBorder="1" applyAlignment="1">
      <alignment horizontal="center"/>
    </xf>
    <xf numFmtId="3" fontId="44" fillId="0" borderId="14" xfId="6" applyNumberFormat="1" applyFont="1" applyFill="1" applyBorder="1"/>
    <xf numFmtId="41" fontId="17" fillId="0" borderId="14" xfId="7" applyNumberFormat="1" applyFont="1" applyFill="1" applyBorder="1"/>
    <xf numFmtId="0" fontId="44" fillId="0" borderId="14" xfId="6" applyFont="1" applyFill="1" applyBorder="1" applyAlignment="1">
      <alignment horizontal="center" wrapText="1"/>
    </xf>
    <xf numFmtId="165" fontId="45" fillId="0" borderId="14" xfId="7" applyNumberFormat="1" applyFont="1" applyFill="1" applyBorder="1"/>
    <xf numFmtId="10" fontId="17" fillId="0" borderId="14" xfId="8" applyNumberFormat="1" applyFont="1" applyFill="1" applyBorder="1"/>
    <xf numFmtId="44" fontId="44" fillId="0" borderId="0" xfId="6" applyNumberFormat="1" applyFont="1" applyFill="1"/>
    <xf numFmtId="42" fontId="44" fillId="0" borderId="14" xfId="6" applyNumberFormat="1" applyFont="1" applyFill="1" applyBorder="1"/>
    <xf numFmtId="0" fontId="44" fillId="0" borderId="28" xfId="6" applyFont="1" applyFill="1" applyBorder="1"/>
    <xf numFmtId="165" fontId="44" fillId="0" borderId="28" xfId="9" applyNumberFormat="1" applyFont="1" applyFill="1" applyBorder="1"/>
    <xf numFmtId="0" fontId="4" fillId="0" borderId="14" xfId="6" applyFill="1" applyBorder="1"/>
    <xf numFmtId="0" fontId="0" fillId="0" borderId="0" xfId="0" applyFill="1"/>
    <xf numFmtId="0" fontId="6" fillId="0" borderId="0" xfId="0" applyFont="1" applyFill="1" applyAlignment="1">
      <alignment horizontal="centerContinuous"/>
    </xf>
    <xf numFmtId="43" fontId="6" fillId="0" borderId="0" xfId="0" applyNumberFormat="1" applyFont="1" applyFill="1"/>
    <xf numFmtId="171" fontId="6" fillId="0" borderId="0" xfId="0" applyNumberFormat="1" applyFont="1" applyFill="1"/>
    <xf numFmtId="43" fontId="6" fillId="0" borderId="0" xfId="0" applyNumberFormat="1" applyFont="1" applyFill="1" applyAlignment="1">
      <alignment wrapText="1"/>
    </xf>
    <xf numFmtId="0" fontId="22" fillId="0" borderId="3" xfId="0" applyFont="1" applyFill="1" applyBorder="1" applyAlignment="1">
      <alignment horizontal="centerContinuous"/>
    </xf>
    <xf numFmtId="0" fontId="12" fillId="0" borderId="4" xfId="0" applyFont="1" applyFill="1" applyBorder="1" applyAlignment="1">
      <alignment horizontal="centerContinuous"/>
    </xf>
    <xf numFmtId="0" fontId="12" fillId="0" borderId="5" xfId="0" applyFont="1" applyFill="1" applyBorder="1" applyAlignment="1">
      <alignment horizontal="centerContinuous"/>
    </xf>
    <xf numFmtId="0" fontId="28" fillId="0" borderId="6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3" fontId="28" fillId="0" borderId="0" xfId="0" applyNumberFormat="1" applyFont="1" applyFill="1" applyBorder="1" applyAlignment="1">
      <alignment horizontal="center" wrapText="1"/>
    </xf>
    <xf numFmtId="0" fontId="28" fillId="0" borderId="7" xfId="0" applyFont="1" applyFill="1" applyBorder="1" applyAlignment="1">
      <alignment horizontal="center" wrapText="1"/>
    </xf>
    <xf numFmtId="172" fontId="6" fillId="0" borderId="0" xfId="0" applyNumberFormat="1" applyFont="1" applyFill="1"/>
    <xf numFmtId="43" fontId="28" fillId="0" borderId="0" xfId="0" applyNumberFormat="1" applyFont="1" applyFill="1" applyBorder="1" applyAlignment="1">
      <alignment horizontal="center"/>
    </xf>
    <xf numFmtId="0" fontId="28" fillId="0" borderId="7" xfId="0" applyFont="1" applyFill="1" applyBorder="1" applyAlignment="1">
      <alignment horizontal="center"/>
    </xf>
    <xf numFmtId="173" fontId="6" fillId="0" borderId="0" xfId="0" applyNumberFormat="1" applyFont="1" applyFill="1"/>
    <xf numFmtId="0" fontId="29" fillId="0" borderId="6" xfId="0" applyFont="1" applyFill="1" applyBorder="1"/>
    <xf numFmtId="0" fontId="29" fillId="0" borderId="0" xfId="0" applyFont="1" applyFill="1" applyBorder="1"/>
    <xf numFmtId="0" fontId="29" fillId="0" borderId="7" xfId="0" applyFont="1" applyFill="1" applyBorder="1"/>
    <xf numFmtId="0" fontId="29" fillId="0" borderId="6" xfId="0" applyFont="1" applyFill="1" applyBorder="1" applyAlignment="1">
      <alignment horizontal="left"/>
    </xf>
    <xf numFmtId="10" fontId="29" fillId="0" borderId="0" xfId="0" applyNumberFormat="1" applyFont="1" applyFill="1" applyBorder="1"/>
    <xf numFmtId="10" fontId="29" fillId="0" borderId="7" xfId="0" applyNumberFormat="1" applyFont="1" applyFill="1" applyBorder="1"/>
    <xf numFmtId="0" fontId="29" fillId="0" borderId="11" xfId="0" applyFont="1" applyFill="1" applyBorder="1" applyAlignment="1">
      <alignment horizontal="left"/>
    </xf>
    <xf numFmtId="0" fontId="29" fillId="0" borderId="2" xfId="0" applyFont="1" applyFill="1" applyBorder="1"/>
    <xf numFmtId="10" fontId="29" fillId="0" borderId="2" xfId="0" applyNumberFormat="1" applyFont="1" applyFill="1" applyBorder="1"/>
    <xf numFmtId="10" fontId="29" fillId="0" borderId="12" xfId="0" applyNumberFormat="1" applyFont="1" applyFill="1" applyBorder="1"/>
    <xf numFmtId="0" fontId="18" fillId="0" borderId="13" xfId="0" applyFont="1" applyFill="1" applyBorder="1" applyAlignment="1">
      <alignment horizontal="centerContinuous"/>
    </xf>
    <xf numFmtId="169" fontId="6" fillId="0" borderId="0" xfId="1" applyNumberFormat="1" applyFont="1" applyFill="1"/>
    <xf numFmtId="167" fontId="6" fillId="0" borderId="14" xfId="0" applyNumberFormat="1" applyFont="1" applyFill="1" applyBorder="1"/>
    <xf numFmtId="44" fontId="6" fillId="0" borderId="0" xfId="0" applyNumberFormat="1" applyFont="1" applyFill="1"/>
    <xf numFmtId="0" fontId="13" fillId="0" borderId="0" xfId="0" applyFont="1" applyFill="1" applyAlignment="1">
      <alignment horizontal="center" vertical="top"/>
    </xf>
    <xf numFmtId="0" fontId="26" fillId="0" borderId="0" xfId="0" applyNumberFormat="1" applyFont="1" applyFill="1" applyAlignment="1" applyProtection="1">
      <alignment horizontal="center"/>
      <protection locked="0"/>
    </xf>
    <xf numFmtId="0" fontId="26" fillId="0" borderId="0" xfId="0" applyNumberFormat="1" applyFont="1" applyAlignment="1">
      <alignment horizontal="center"/>
    </xf>
    <xf numFmtId="0" fontId="26" fillId="0" borderId="0" xfId="0" applyNumberFormat="1" applyFont="1" applyFill="1" applyAlignment="1">
      <alignment horizontal="center"/>
    </xf>
  </cellXfs>
  <cellStyles count="10">
    <cellStyle name="Comma" xfId="1" builtinId="3"/>
    <cellStyle name="Currency" xfId="9" builtinId="4"/>
    <cellStyle name="Currency 2" xfId="5"/>
    <cellStyle name="Currency 3" xfId="7"/>
    <cellStyle name="Normal" xfId="0" builtinId="0"/>
    <cellStyle name="Normal 162" xfId="3"/>
    <cellStyle name="Normal 2" xfId="4"/>
    <cellStyle name="Normal 3" xfId="6"/>
    <cellStyle name="Percent" xfId="2" builtinId="5"/>
    <cellStyle name="Percent 2" xfId="8"/>
  </cellStyles>
  <dxfs count="0"/>
  <tableStyles count="0" defaultTableStyle="TableStyleMedium2" defaultPivotStyle="PivotStyleLight16"/>
  <colors>
    <mruColors>
      <color rgb="FFCCFFCC"/>
      <color rgb="FF0000FF"/>
      <color rgb="FFE31D93"/>
      <color rgb="FFFFCCCC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3.xml"/><Relationship Id="rId21" Type="http://schemas.openxmlformats.org/officeDocument/2006/relationships/externalLink" Target="externalLinks/externalLink8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63" Type="http://schemas.openxmlformats.org/officeDocument/2006/relationships/externalLink" Target="externalLinks/externalLink50.xml"/><Relationship Id="rId68" Type="http://schemas.openxmlformats.org/officeDocument/2006/relationships/externalLink" Target="externalLinks/externalLink55.xml"/><Relationship Id="rId16" Type="http://schemas.openxmlformats.org/officeDocument/2006/relationships/externalLink" Target="externalLinks/externalLink3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53" Type="http://schemas.openxmlformats.org/officeDocument/2006/relationships/externalLink" Target="externalLinks/externalLink40.xml"/><Relationship Id="rId58" Type="http://schemas.openxmlformats.org/officeDocument/2006/relationships/externalLink" Target="externalLinks/externalLink45.xml"/><Relationship Id="rId74" Type="http://schemas.openxmlformats.org/officeDocument/2006/relationships/theme" Target="theme/theme1.xml"/><Relationship Id="rId79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8.xml"/><Relationship Id="rId1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56" Type="http://schemas.openxmlformats.org/officeDocument/2006/relationships/externalLink" Target="externalLinks/externalLink43.xml"/><Relationship Id="rId64" Type="http://schemas.openxmlformats.org/officeDocument/2006/relationships/externalLink" Target="externalLinks/externalLink51.xml"/><Relationship Id="rId69" Type="http://schemas.openxmlformats.org/officeDocument/2006/relationships/externalLink" Target="externalLinks/externalLink56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8.xml"/><Relationship Id="rId72" Type="http://schemas.openxmlformats.org/officeDocument/2006/relationships/externalLink" Target="externalLinks/externalLink59.xml"/><Relationship Id="rId80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59" Type="http://schemas.openxmlformats.org/officeDocument/2006/relationships/externalLink" Target="externalLinks/externalLink46.xml"/><Relationship Id="rId67" Type="http://schemas.openxmlformats.org/officeDocument/2006/relationships/externalLink" Target="externalLinks/externalLink54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54" Type="http://schemas.openxmlformats.org/officeDocument/2006/relationships/externalLink" Target="externalLinks/externalLink41.xml"/><Relationship Id="rId62" Type="http://schemas.openxmlformats.org/officeDocument/2006/relationships/externalLink" Target="externalLinks/externalLink49.xml"/><Relationship Id="rId70" Type="http://schemas.openxmlformats.org/officeDocument/2006/relationships/externalLink" Target="externalLinks/externalLink57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57" Type="http://schemas.openxmlformats.org/officeDocument/2006/relationships/externalLink" Target="externalLinks/externalLink44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externalLink" Target="externalLinks/externalLink39.xml"/><Relationship Id="rId60" Type="http://schemas.openxmlformats.org/officeDocument/2006/relationships/externalLink" Target="externalLinks/externalLink47.xml"/><Relationship Id="rId65" Type="http://schemas.openxmlformats.org/officeDocument/2006/relationships/externalLink" Target="externalLinks/externalLink52.xml"/><Relationship Id="rId73" Type="http://schemas.openxmlformats.org/officeDocument/2006/relationships/externalLink" Target="externalLinks/externalLink60.xml"/><Relationship Id="rId78" Type="http://schemas.openxmlformats.org/officeDocument/2006/relationships/customXml" Target="../customXml/item1.xml"/><Relationship Id="rId8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9" Type="http://schemas.openxmlformats.org/officeDocument/2006/relationships/externalLink" Target="externalLinks/externalLink26.xml"/><Relationship Id="rId34" Type="http://schemas.openxmlformats.org/officeDocument/2006/relationships/externalLink" Target="externalLinks/externalLink21.xml"/><Relationship Id="rId50" Type="http://schemas.openxmlformats.org/officeDocument/2006/relationships/externalLink" Target="externalLinks/externalLink37.xml"/><Relationship Id="rId55" Type="http://schemas.openxmlformats.org/officeDocument/2006/relationships/externalLink" Target="externalLinks/externalLink42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6.xml"/><Relationship Id="rId24" Type="http://schemas.openxmlformats.org/officeDocument/2006/relationships/externalLink" Target="externalLinks/externalLink11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66" Type="http://schemas.openxmlformats.org/officeDocument/2006/relationships/externalLink" Target="externalLinks/externalLink5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1/Cost%20of%20Service/Revenue%20Reqt%20and%20Rate%20Base/May%2016%20235%20pm/Gas%20Rev%20Req%20Model%202011%20GRC%20Ori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7/Compliance%20Filing/Cost%20Of%20Service/2017%20Gas%20COSS%20September%20TY_Complianc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ettlement%20Workpapers/%23Gas%20Model%202017%20GRC%20(SETTLEMENT)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Cost%20Recovery%20Mechanism%20for%20Gas%20(CRM)/2019%20Filing/October%202019%20CRM%20Filing/Support/Removed%20pages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1EXC\PSE_VER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peder\Local%20Settings\Temporary%20Internet%20Files\Content.Outlook\966INFBW\03-09%20Elec_Unb%20(93%203%25%208%20months)%20fin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COS%20Inputs\COS%20Model\ECOS%20Model%20-%20FINAL%20COMPANY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D5" t="str">
            <v>Yes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7">
          <cell r="C7" t="str">
            <v>(a)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</sheetNames>
    <sheetDataSet>
      <sheetData sheetId="0"/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ed Volume"/>
      <sheetName val="CRM Rates"/>
      <sheetName val="Rate Impacts--&gt;"/>
      <sheetName val="Rate Impacts"/>
      <sheetName val="Typical Res Bill"/>
      <sheetName val="Schedule 149 Revenue"/>
      <sheetName val="Removed pages"/>
    </sheetNames>
    <definedNames>
      <definedName name="Number_of_Payments" refersTo="#REF!"/>
      <definedName name="Values_Entered" refersTo="#REF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 refreshError="1"/>
      <sheetData sheetId="1" refreshError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1">
          <cell r="M31">
            <v>-9.1350000000000008E-3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B24"/>
  <sheetViews>
    <sheetView tabSelected="1" zoomScale="112" zoomScaleNormal="112" workbookViewId="0">
      <selection activeCell="B11" sqref="B11"/>
    </sheetView>
  </sheetViews>
  <sheetFormatPr defaultColWidth="9.140625" defaultRowHeight="12.75" x14ac:dyDescent="0.2"/>
  <cols>
    <col min="1" max="1" width="55.28515625" style="113" customWidth="1"/>
    <col min="2" max="2" width="19.42578125" style="113" bestFit="1" customWidth="1"/>
    <col min="3" max="16384" width="9.140625" style="113"/>
  </cols>
  <sheetData>
    <row r="3" spans="1:2" x14ac:dyDescent="0.2">
      <c r="A3" s="85" t="s">
        <v>76</v>
      </c>
      <c r="B3" s="85"/>
    </row>
    <row r="4" spans="1:2" x14ac:dyDescent="0.2">
      <c r="A4" s="85" t="s">
        <v>77</v>
      </c>
      <c r="B4" s="85"/>
    </row>
    <row r="5" spans="1:2" x14ac:dyDescent="0.2">
      <c r="A5" s="85" t="s">
        <v>181</v>
      </c>
      <c r="B5" s="85"/>
    </row>
    <row r="6" spans="1:2" x14ac:dyDescent="0.2">
      <c r="A6" s="85" t="s">
        <v>193</v>
      </c>
      <c r="B6" s="85"/>
    </row>
    <row r="7" spans="1:2" x14ac:dyDescent="0.2">
      <c r="A7" s="85"/>
      <c r="B7" s="85"/>
    </row>
    <row r="9" spans="1:2" ht="65.25" customHeight="1" x14ac:dyDescent="0.2">
      <c r="A9" s="86" t="s">
        <v>101</v>
      </c>
      <c r="B9" s="158" t="s">
        <v>120</v>
      </c>
    </row>
    <row r="10" spans="1:2" ht="27.75" customHeight="1" x14ac:dyDescent="0.2">
      <c r="A10" s="87"/>
      <c r="B10" s="159"/>
    </row>
    <row r="11" spans="1:2" x14ac:dyDescent="0.2">
      <c r="A11" s="87" t="s">
        <v>183</v>
      </c>
      <c r="B11" s="160">
        <f>'2019 CRM+True Up '!F42</f>
        <v>6774758.768335294</v>
      </c>
    </row>
    <row r="12" spans="1:2" x14ac:dyDescent="0.2">
      <c r="A12" s="87" t="s">
        <v>155</v>
      </c>
      <c r="B12" s="160">
        <f>'2019TrueUp'!E24</f>
        <v>610829.53836313449</v>
      </c>
    </row>
    <row r="13" spans="1:2" x14ac:dyDescent="0.2">
      <c r="A13" s="87" t="s">
        <v>154</v>
      </c>
      <c r="B13" s="160">
        <f>'2020 C&amp;OM'!F28</f>
        <v>10224465.305644773</v>
      </c>
    </row>
    <row r="14" spans="1:2" ht="13.5" thickBot="1" x14ac:dyDescent="0.25">
      <c r="A14" s="88" t="s">
        <v>225</v>
      </c>
      <c r="B14" s="161">
        <f>SUM(B11:B13)</f>
        <v>17610053.6123432</v>
      </c>
    </row>
    <row r="15" spans="1:2" ht="13.5" thickTop="1" x14ac:dyDescent="0.2">
      <c r="A15" s="89"/>
      <c r="B15" s="90"/>
    </row>
    <row r="16" spans="1:2" x14ac:dyDescent="0.2">
      <c r="A16"/>
      <c r="B16"/>
    </row>
    <row r="17" spans="1:2" x14ac:dyDescent="0.2">
      <c r="A17"/>
      <c r="B17"/>
    </row>
    <row r="18" spans="1:2" x14ac:dyDescent="0.2">
      <c r="A18" s="229" t="s">
        <v>194</v>
      </c>
      <c r="B18"/>
    </row>
    <row r="19" spans="1:2" x14ac:dyDescent="0.2">
      <c r="A19" s="227" t="s">
        <v>197</v>
      </c>
      <c r="B19"/>
    </row>
    <row r="20" spans="1:2" x14ac:dyDescent="0.2">
      <c r="A20" s="228" t="s">
        <v>195</v>
      </c>
      <c r="B20"/>
    </row>
    <row r="21" spans="1:2" x14ac:dyDescent="0.2">
      <c r="A21" s="228" t="s">
        <v>196</v>
      </c>
      <c r="B21"/>
    </row>
    <row r="22" spans="1:2" x14ac:dyDescent="0.2">
      <c r="A22" s="226"/>
      <c r="B22"/>
    </row>
    <row r="23" spans="1:2" x14ac:dyDescent="0.2">
      <c r="A23"/>
      <c r="B23"/>
    </row>
    <row r="24" spans="1:2" x14ac:dyDescent="0.2">
      <c r="A24"/>
      <c r="B24"/>
    </row>
  </sheetData>
  <printOptions horizontalCentered="1"/>
  <pageMargins left="0.7" right="0.7" top="0.75" bottom="0.75" header="0.3" footer="0.3"/>
  <pageSetup orientation="portrait" r:id="rId1"/>
  <headerFooter>
    <oddFooter>&amp;L&amp;F
&amp;A&amp;C&amp;P&amp;R&amp;D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"/>
  <sheetViews>
    <sheetView workbookViewId="0">
      <selection activeCell="L40" sqref="L40"/>
    </sheetView>
  </sheetViews>
  <sheetFormatPr defaultRowHeight="12.75" x14ac:dyDescent="0.2"/>
  <sheetData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9"/>
  <sheetViews>
    <sheetView zoomScale="85" zoomScaleNormal="85" workbookViewId="0">
      <pane xSplit="4" ySplit="26" topLeftCell="E27" activePane="bottomRight" state="frozen"/>
      <selection activeCell="J17" sqref="J17"/>
      <selection pane="topRight" activeCell="J17" sqref="J17"/>
      <selection pane="bottomLeft" activeCell="J17" sqref="J17"/>
      <selection pane="bottomRight" activeCell="F22" sqref="F22"/>
    </sheetView>
  </sheetViews>
  <sheetFormatPr defaultColWidth="10.28515625" defaultRowHeight="15" outlineLevelRow="1" outlineLevelCol="1" x14ac:dyDescent="0.2"/>
  <cols>
    <col min="1" max="1" width="5.7109375" style="34" customWidth="1"/>
    <col min="2" max="2" width="7.42578125" style="34" customWidth="1"/>
    <col min="3" max="3" width="26.42578125" style="34" customWidth="1"/>
    <col min="4" max="4" width="15.5703125" style="3" customWidth="1"/>
    <col min="5" max="5" width="13.5703125" style="56" customWidth="1"/>
    <col min="6" max="6" width="13.42578125" style="56" customWidth="1"/>
    <col min="7" max="7" width="14.5703125" style="56" bestFit="1" customWidth="1"/>
    <col min="8" max="8" width="12.5703125" style="56" customWidth="1"/>
    <col min="9" max="25" width="12.85546875" style="56" bestFit="1" customWidth="1"/>
    <col min="26" max="38" width="12.28515625" style="56" bestFit="1" customWidth="1"/>
    <col min="39" max="39" width="17" style="56" customWidth="1" outlineLevel="1"/>
    <col min="40" max="40" width="13" style="56" customWidth="1" outlineLevel="1"/>
    <col min="41" max="41" width="14.28515625" style="56" customWidth="1" outlineLevel="1"/>
    <col min="42" max="42" width="12.7109375" style="3" bestFit="1" customWidth="1"/>
    <col min="43" max="43" width="12.28515625" style="3" customWidth="1"/>
    <col min="44" max="45" width="14" style="3" customWidth="1"/>
    <col min="46" max="46" width="14.28515625" style="3" bestFit="1" customWidth="1"/>
    <col min="47" max="47" width="16.5703125" style="3" customWidth="1"/>
    <col min="48" max="48" width="15" style="3" bestFit="1" customWidth="1"/>
    <col min="49" max="16384" width="10.28515625" style="3"/>
  </cols>
  <sheetData>
    <row r="1" spans="1:41" ht="17.25" customHeight="1" x14ac:dyDescent="0.25">
      <c r="A1" s="1" t="s">
        <v>0</v>
      </c>
      <c r="B1" s="2"/>
      <c r="C1" s="2"/>
      <c r="E1" s="351"/>
      <c r="F1" s="351"/>
      <c r="G1" s="3"/>
      <c r="H1" s="4"/>
      <c r="I1" s="5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spans="1:41" ht="12.75" customHeight="1" x14ac:dyDescent="0.25">
      <c r="A2" s="6" t="s">
        <v>1</v>
      </c>
      <c r="B2" s="2"/>
      <c r="C2" s="2"/>
      <c r="E2" s="3"/>
      <c r="F2" s="5"/>
      <c r="G2" s="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</row>
    <row r="3" spans="1:41" x14ac:dyDescent="0.25">
      <c r="A3" s="6" t="s">
        <v>2</v>
      </c>
      <c r="B3" s="2"/>
      <c r="C3" s="157" t="s">
        <v>182</v>
      </c>
      <c r="D3" s="122" t="s">
        <v>3</v>
      </c>
      <c r="E3" s="3"/>
      <c r="F3" s="5"/>
      <c r="G3" s="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</row>
    <row r="4" spans="1:41" ht="7.5" customHeight="1" thickBot="1" x14ac:dyDescent="0.25">
      <c r="A4" s="2"/>
      <c r="B4" s="2"/>
      <c r="C4" s="2"/>
      <c r="E4" s="3"/>
      <c r="F4" s="5"/>
      <c r="G4" s="5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5" spans="1:41" x14ac:dyDescent="0.2">
      <c r="A5" s="7" t="s">
        <v>4</v>
      </c>
      <c r="B5" s="8"/>
      <c r="C5" s="8"/>
      <c r="D5" s="264" t="s">
        <v>224</v>
      </c>
      <c r="E5" s="9"/>
      <c r="F5" s="10"/>
      <c r="G5" s="11"/>
      <c r="H5" s="3"/>
      <c r="I5" s="3"/>
      <c r="J5" s="3"/>
      <c r="K5" s="3"/>
      <c r="L5" s="3"/>
      <c r="M5" s="3"/>
      <c r="N5" s="2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</row>
    <row r="6" spans="1:41" x14ac:dyDescent="0.2">
      <c r="A6" s="12"/>
      <c r="B6" s="13"/>
      <c r="C6" s="13"/>
      <c r="D6" s="114" t="s">
        <v>149</v>
      </c>
      <c r="E6" s="114"/>
      <c r="F6" s="115"/>
      <c r="G6" s="11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x14ac:dyDescent="0.2">
      <c r="A7" s="12"/>
      <c r="B7" s="13"/>
      <c r="C7" s="13"/>
      <c r="D7" s="16"/>
      <c r="E7" s="16"/>
      <c r="F7" s="17" t="s">
        <v>5</v>
      </c>
      <c r="G7" s="18"/>
      <c r="H7" s="3"/>
      <c r="I7" s="3"/>
      <c r="J7" s="3"/>
      <c r="K7" s="3"/>
      <c r="L7" s="3"/>
      <c r="M7" s="116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</row>
    <row r="8" spans="1:41" x14ac:dyDescent="0.2">
      <c r="A8" s="12" t="s">
        <v>6</v>
      </c>
      <c r="B8" s="13"/>
      <c r="C8" s="13"/>
      <c r="D8" s="19" t="s">
        <v>7</v>
      </c>
      <c r="E8" s="19" t="s">
        <v>8</v>
      </c>
      <c r="F8" s="20" t="s">
        <v>8</v>
      </c>
      <c r="G8" s="18"/>
      <c r="H8" s="3"/>
      <c r="I8" s="3"/>
      <c r="J8" s="3"/>
      <c r="K8" s="3"/>
      <c r="L8" s="3"/>
      <c r="M8" s="106"/>
      <c r="N8" s="22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</row>
    <row r="9" spans="1:41" x14ac:dyDescent="0.2">
      <c r="A9" s="12"/>
      <c r="B9" s="13"/>
      <c r="C9" s="13"/>
      <c r="D9" s="14"/>
      <c r="E9" s="14"/>
      <c r="F9" s="21"/>
      <c r="G9" s="14"/>
      <c r="H9" s="3"/>
      <c r="I9" s="3"/>
      <c r="J9" s="3"/>
      <c r="K9" s="3"/>
      <c r="L9" s="3"/>
      <c r="M9" s="106"/>
      <c r="N9" s="22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spans="1:41" x14ac:dyDescent="0.2">
      <c r="A10" s="12"/>
      <c r="B10" s="13"/>
      <c r="C10" s="13"/>
      <c r="D10" s="23"/>
      <c r="E10" s="23"/>
      <c r="F10" s="24"/>
      <c r="G10" s="22"/>
      <c r="H10" s="3"/>
      <c r="I10" s="3"/>
      <c r="J10" s="3"/>
      <c r="K10" s="3"/>
      <c r="L10" s="3"/>
      <c r="M10" s="106"/>
      <c r="N10" s="22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</row>
    <row r="11" spans="1:41" x14ac:dyDescent="0.2">
      <c r="A11" s="12" t="s">
        <v>121</v>
      </c>
      <c r="B11" s="13"/>
      <c r="C11" s="13"/>
      <c r="D11" s="23">
        <f>'2019 GRC'!C12</f>
        <v>0.51500000000000001</v>
      </c>
      <c r="E11" s="23">
        <f>'2019 GRC'!D12</f>
        <v>5.4951456310679617E-2</v>
      </c>
      <c r="F11" s="24">
        <f>'2019 GRC'!E12</f>
        <v>2.8299999999999999E-2</v>
      </c>
      <c r="G11" s="22"/>
      <c r="H11" s="3"/>
      <c r="I11" s="3"/>
      <c r="J11" s="3"/>
      <c r="K11" s="3"/>
      <c r="L11" s="3"/>
      <c r="M11" s="106"/>
      <c r="N11" s="22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</row>
    <row r="12" spans="1:41" x14ac:dyDescent="0.2">
      <c r="A12" s="12" t="s">
        <v>9</v>
      </c>
      <c r="B12" s="13"/>
      <c r="C12" s="13"/>
      <c r="D12" s="25">
        <f>'2019 GRC'!C13</f>
        <v>0.48499999999999999</v>
      </c>
      <c r="E12" s="25">
        <f>'2019 GRC'!D13</f>
        <v>9.4E-2</v>
      </c>
      <c r="F12" s="26">
        <f>'2019 GRC'!E13</f>
        <v>4.5600000000000002E-2</v>
      </c>
      <c r="G12" s="22"/>
      <c r="H12" s="3"/>
      <c r="I12" s="3"/>
      <c r="J12" s="3"/>
      <c r="K12" s="3"/>
      <c r="L12" s="3"/>
      <c r="M12" s="106"/>
      <c r="N12" s="22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</row>
    <row r="13" spans="1:41" ht="15.75" thickBot="1" x14ac:dyDescent="0.25">
      <c r="A13" s="12" t="s">
        <v>10</v>
      </c>
      <c r="B13" s="13"/>
      <c r="C13" s="13"/>
      <c r="D13" s="27">
        <f>D10+D11+D12</f>
        <v>1</v>
      </c>
      <c r="E13" s="28"/>
      <c r="F13" s="265">
        <f>F10+F11+F12</f>
        <v>7.3899999999999993E-2</v>
      </c>
      <c r="G13" s="28"/>
      <c r="H13" s="3"/>
      <c r="I13" s="3"/>
      <c r="J13" s="3"/>
      <c r="K13" s="3"/>
      <c r="L13" s="3"/>
      <c r="M13" s="106"/>
      <c r="N13" s="22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</row>
    <row r="14" spans="1:41" ht="15.75" thickTop="1" x14ac:dyDescent="0.2">
      <c r="A14" s="12"/>
      <c r="B14" s="13"/>
      <c r="C14" s="13"/>
      <c r="D14" s="14"/>
      <c r="E14" s="14"/>
      <c r="F14" s="21"/>
      <c r="G14" s="14"/>
      <c r="H14" s="3"/>
      <c r="I14" s="3"/>
      <c r="J14" s="3"/>
      <c r="K14" s="3"/>
      <c r="L14" s="3"/>
      <c r="M14" s="106"/>
      <c r="N14" s="22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</row>
    <row r="15" spans="1:41" x14ac:dyDescent="0.2">
      <c r="A15" s="12" t="s">
        <v>11</v>
      </c>
      <c r="B15" s="13"/>
      <c r="C15" s="13"/>
      <c r="D15" s="14"/>
      <c r="E15" s="14"/>
      <c r="F15" s="24">
        <f>'2019 GRC'!I19</f>
        <v>0.21</v>
      </c>
      <c r="G15" s="28"/>
      <c r="H15" s="3"/>
      <c r="I15" s="3"/>
      <c r="J15" s="3"/>
      <c r="K15" s="3"/>
      <c r="L15" s="3"/>
      <c r="M15" s="106"/>
      <c r="N15" s="22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</row>
    <row r="16" spans="1:41" x14ac:dyDescent="0.2">
      <c r="A16" s="12" t="s">
        <v>12</v>
      </c>
      <c r="B16" s="13"/>
      <c r="C16" s="13"/>
      <c r="D16" s="14"/>
      <c r="E16" s="14"/>
      <c r="F16" s="24">
        <f>'2019 GRC'!J16</f>
        <v>4.5447000000000001E-2</v>
      </c>
      <c r="G16" s="28"/>
      <c r="H16" s="3"/>
      <c r="I16" s="3"/>
      <c r="J16" s="3"/>
      <c r="K16" s="3"/>
      <c r="L16" s="3"/>
      <c r="M16" s="106"/>
      <c r="N16" s="22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</row>
    <row r="17" spans="1:48" x14ac:dyDescent="0.2">
      <c r="A17" s="12" t="s">
        <v>13</v>
      </c>
      <c r="B17" s="13"/>
      <c r="C17" s="13"/>
      <c r="D17" s="14"/>
      <c r="E17" s="14"/>
      <c r="F17" s="24">
        <f>'2020 C&amp;OM'!G7</f>
        <v>2.5031624297803957E-2</v>
      </c>
      <c r="H17" s="3"/>
      <c r="I17" s="3"/>
      <c r="J17" s="3"/>
      <c r="K17" s="3"/>
      <c r="L17" s="3"/>
      <c r="M17" s="106"/>
      <c r="N17" s="22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</row>
    <row r="18" spans="1:48" x14ac:dyDescent="0.2">
      <c r="A18" s="12" t="s">
        <v>14</v>
      </c>
      <c r="B18" s="13"/>
      <c r="C18" s="13"/>
      <c r="D18" s="14"/>
      <c r="E18" s="14"/>
      <c r="F18" s="30">
        <v>2</v>
      </c>
      <c r="G18" s="5"/>
      <c r="H18" s="3"/>
      <c r="I18" s="3"/>
      <c r="J18" s="3"/>
      <c r="K18" s="3"/>
      <c r="L18" s="3"/>
      <c r="M18" s="106"/>
      <c r="N18" s="22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</row>
    <row r="19" spans="1:48" x14ac:dyDescent="0.2">
      <c r="A19" s="12"/>
      <c r="B19" s="13"/>
      <c r="C19" s="13"/>
      <c r="D19" s="14"/>
      <c r="E19" s="14"/>
      <c r="F19" s="15"/>
      <c r="G19" s="5"/>
      <c r="H19" s="3"/>
      <c r="I19" s="3"/>
      <c r="J19" s="3"/>
      <c r="K19" s="3"/>
      <c r="L19" s="3"/>
      <c r="M19" s="106"/>
      <c r="N19" s="22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</row>
    <row r="20" spans="1:48" x14ac:dyDescent="0.2">
      <c r="A20" s="12" t="s">
        <v>15</v>
      </c>
      <c r="B20" s="13"/>
      <c r="C20" s="13"/>
      <c r="D20" s="14"/>
      <c r="E20" s="14"/>
      <c r="F20" s="15"/>
      <c r="G20" s="5"/>
      <c r="H20" s="3"/>
      <c r="I20" s="3"/>
      <c r="J20" s="3"/>
      <c r="K20" s="3"/>
      <c r="L20" s="3"/>
      <c r="N20" s="117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</row>
    <row r="21" spans="1:48" x14ac:dyDescent="0.2">
      <c r="A21" s="12" t="s">
        <v>16</v>
      </c>
      <c r="B21" s="13"/>
      <c r="C21" s="13"/>
      <c r="D21" s="14"/>
      <c r="E21" s="14"/>
      <c r="F21" s="15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</row>
    <row r="22" spans="1:48" ht="15.75" thickBot="1" x14ac:dyDescent="0.25">
      <c r="A22" s="31" t="s">
        <v>17</v>
      </c>
      <c r="B22" s="32"/>
      <c r="C22" s="32"/>
      <c r="D22" s="32"/>
      <c r="E22" s="33"/>
      <c r="F22" s="57">
        <f>'2020 C&amp;OM'!F6</f>
        <v>50736637.950000018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</row>
    <row r="23" spans="1:48" ht="6" customHeight="1" x14ac:dyDescent="0.2"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</row>
    <row r="24" spans="1:48" ht="6" customHeight="1" x14ac:dyDescent="0.2">
      <c r="B24" s="3"/>
      <c r="C24" s="3"/>
      <c r="D24" s="106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</row>
    <row r="25" spans="1:48" x14ac:dyDescent="0.2">
      <c r="A25" s="2"/>
      <c r="B25" s="2"/>
      <c r="C25" s="2"/>
      <c r="D25" s="122"/>
      <c r="E25" s="36" t="s">
        <v>18</v>
      </c>
      <c r="F25" s="95" t="s">
        <v>19</v>
      </c>
      <c r="G25" s="37" t="s">
        <v>20</v>
      </c>
      <c r="H25" s="37" t="s">
        <v>21</v>
      </c>
      <c r="I25" s="37" t="s">
        <v>22</v>
      </c>
      <c r="J25" s="37" t="s">
        <v>23</v>
      </c>
      <c r="K25" s="37" t="s">
        <v>24</v>
      </c>
      <c r="L25" s="37" t="s">
        <v>25</v>
      </c>
      <c r="M25" s="37" t="s">
        <v>26</v>
      </c>
      <c r="N25" s="37" t="s">
        <v>27</v>
      </c>
      <c r="O25" s="37" t="s">
        <v>28</v>
      </c>
      <c r="P25" s="37" t="s">
        <v>29</v>
      </c>
      <c r="Q25" s="37" t="s">
        <v>30</v>
      </c>
      <c r="R25" s="37" t="s">
        <v>31</v>
      </c>
      <c r="S25" s="37" t="s">
        <v>32</v>
      </c>
      <c r="T25" s="37" t="s">
        <v>33</v>
      </c>
      <c r="U25" s="37" t="s">
        <v>34</v>
      </c>
      <c r="V25" s="37" t="s">
        <v>35</v>
      </c>
      <c r="W25" s="37" t="s">
        <v>36</v>
      </c>
      <c r="X25" s="37" t="s">
        <v>37</v>
      </c>
      <c r="Y25" s="37" t="s">
        <v>38</v>
      </c>
      <c r="Z25" s="37" t="s">
        <v>39</v>
      </c>
      <c r="AA25" s="37" t="s">
        <v>40</v>
      </c>
      <c r="AB25" s="37" t="s">
        <v>41</v>
      </c>
      <c r="AC25" s="37" t="s">
        <v>42</v>
      </c>
      <c r="AD25" s="37" t="s">
        <v>43</v>
      </c>
      <c r="AE25" s="37" t="s">
        <v>44</v>
      </c>
      <c r="AF25" s="37" t="s">
        <v>45</v>
      </c>
      <c r="AG25" s="37" t="s">
        <v>46</v>
      </c>
      <c r="AH25" s="37" t="s">
        <v>47</v>
      </c>
      <c r="AI25" s="37" t="s">
        <v>48</v>
      </c>
      <c r="AJ25" s="37" t="s">
        <v>49</v>
      </c>
      <c r="AK25" s="37" t="s">
        <v>50</v>
      </c>
      <c r="AL25" s="37" t="s">
        <v>51</v>
      </c>
      <c r="AM25" s="37" t="s">
        <v>52</v>
      </c>
      <c r="AN25" s="37" t="s">
        <v>74</v>
      </c>
      <c r="AO25" s="37" t="s">
        <v>75</v>
      </c>
      <c r="AP25" s="37" t="s">
        <v>122</v>
      </c>
      <c r="AQ25" s="37" t="s">
        <v>123</v>
      </c>
      <c r="AR25" s="37" t="s">
        <v>124</v>
      </c>
      <c r="AS25" s="3" t="s">
        <v>125</v>
      </c>
    </row>
    <row r="26" spans="1:48" x14ac:dyDescent="0.2">
      <c r="A26" s="2"/>
      <c r="B26" s="2"/>
      <c r="C26" s="2"/>
      <c r="D26" s="122"/>
      <c r="E26" s="82">
        <v>2020</v>
      </c>
      <c r="F26" s="82">
        <v>2021</v>
      </c>
      <c r="G26" s="82">
        <v>2022</v>
      </c>
      <c r="H26" s="82">
        <v>2023</v>
      </c>
      <c r="I26" s="82">
        <v>2024</v>
      </c>
      <c r="J26" s="82">
        <v>2025</v>
      </c>
      <c r="K26" s="82">
        <v>2026</v>
      </c>
      <c r="L26" s="82">
        <v>2027</v>
      </c>
      <c r="M26" s="82">
        <v>2028</v>
      </c>
      <c r="N26" s="82">
        <v>2029</v>
      </c>
      <c r="O26" s="82">
        <v>2030</v>
      </c>
      <c r="P26" s="82">
        <v>2031</v>
      </c>
      <c r="Q26" s="82">
        <v>2032</v>
      </c>
      <c r="R26" s="82">
        <v>2033</v>
      </c>
      <c r="S26" s="82">
        <v>2034</v>
      </c>
      <c r="T26" s="82">
        <v>2035</v>
      </c>
      <c r="U26" s="82">
        <v>2036</v>
      </c>
      <c r="V26" s="82">
        <v>2037</v>
      </c>
      <c r="W26" s="82">
        <v>2038</v>
      </c>
      <c r="X26" s="82">
        <v>2039</v>
      </c>
      <c r="Y26" s="82">
        <v>2040</v>
      </c>
      <c r="Z26" s="82">
        <v>2041</v>
      </c>
      <c r="AA26" s="82">
        <v>2042</v>
      </c>
      <c r="AB26" s="82">
        <v>2043</v>
      </c>
      <c r="AC26" s="82">
        <v>2044</v>
      </c>
      <c r="AD26" s="82">
        <v>2045</v>
      </c>
      <c r="AE26" s="82">
        <v>2046</v>
      </c>
      <c r="AF26" s="82">
        <v>2047</v>
      </c>
      <c r="AG26" s="82">
        <v>2048</v>
      </c>
      <c r="AH26" s="82">
        <v>2049</v>
      </c>
      <c r="AI26" s="82">
        <v>2050</v>
      </c>
      <c r="AJ26" s="82">
        <v>2051</v>
      </c>
      <c r="AK26" s="82">
        <v>2052</v>
      </c>
      <c r="AL26" s="82">
        <v>2053</v>
      </c>
      <c r="AM26" s="82">
        <v>2054</v>
      </c>
      <c r="AN26" s="82">
        <v>2055</v>
      </c>
      <c r="AO26" s="82">
        <v>2056</v>
      </c>
      <c r="AP26" s="82">
        <v>2057</v>
      </c>
      <c r="AQ26" s="82">
        <v>2058</v>
      </c>
      <c r="AR26" s="82">
        <v>2059</v>
      </c>
      <c r="AS26" s="82">
        <v>2060</v>
      </c>
    </row>
    <row r="27" spans="1:48" x14ac:dyDescent="0.2">
      <c r="A27" s="157">
        <v>1</v>
      </c>
      <c r="B27" s="163" t="s">
        <v>156</v>
      </c>
      <c r="C27" s="163"/>
      <c r="D27" s="164"/>
      <c r="E27" s="165">
        <f>$F22*$F17</f>
        <v>1270020.4592981029</v>
      </c>
      <c r="F27" s="102">
        <f>$F22*$F17</f>
        <v>1270020.4592981029</v>
      </c>
      <c r="G27" s="102">
        <f t="shared" ref="G27:AR27" si="0">$F22*$F17</f>
        <v>1270020.4592981029</v>
      </c>
      <c r="H27" s="102">
        <f t="shared" si="0"/>
        <v>1270020.4592981029</v>
      </c>
      <c r="I27" s="102">
        <f t="shared" si="0"/>
        <v>1270020.4592981029</v>
      </c>
      <c r="J27" s="102">
        <f t="shared" si="0"/>
        <v>1270020.4592981029</v>
      </c>
      <c r="K27" s="102">
        <f t="shared" si="0"/>
        <v>1270020.4592981029</v>
      </c>
      <c r="L27" s="102">
        <f t="shared" si="0"/>
        <v>1270020.4592981029</v>
      </c>
      <c r="M27" s="102">
        <f t="shared" si="0"/>
        <v>1270020.4592981029</v>
      </c>
      <c r="N27" s="102">
        <f t="shared" si="0"/>
        <v>1270020.4592981029</v>
      </c>
      <c r="O27" s="102">
        <f t="shared" si="0"/>
        <v>1270020.4592981029</v>
      </c>
      <c r="P27" s="102">
        <f t="shared" si="0"/>
        <v>1270020.4592981029</v>
      </c>
      <c r="Q27" s="102">
        <f t="shared" si="0"/>
        <v>1270020.4592981029</v>
      </c>
      <c r="R27" s="102">
        <f t="shared" si="0"/>
        <v>1270020.4592981029</v>
      </c>
      <c r="S27" s="102">
        <f t="shared" si="0"/>
        <v>1270020.4592981029</v>
      </c>
      <c r="T27" s="102">
        <f t="shared" si="0"/>
        <v>1270020.4592981029</v>
      </c>
      <c r="U27" s="102">
        <f t="shared" si="0"/>
        <v>1270020.4592981029</v>
      </c>
      <c r="V27" s="102">
        <f t="shared" si="0"/>
        <v>1270020.4592981029</v>
      </c>
      <c r="W27" s="102">
        <f t="shared" si="0"/>
        <v>1270020.4592981029</v>
      </c>
      <c r="X27" s="102">
        <f t="shared" si="0"/>
        <v>1270020.4592981029</v>
      </c>
      <c r="Y27" s="102">
        <f t="shared" si="0"/>
        <v>1270020.4592981029</v>
      </c>
      <c r="Z27" s="102">
        <f t="shared" si="0"/>
        <v>1270020.4592981029</v>
      </c>
      <c r="AA27" s="102">
        <f t="shared" si="0"/>
        <v>1270020.4592981029</v>
      </c>
      <c r="AB27" s="102">
        <f t="shared" si="0"/>
        <v>1270020.4592981029</v>
      </c>
      <c r="AC27" s="102">
        <f t="shared" si="0"/>
        <v>1270020.4592981029</v>
      </c>
      <c r="AD27" s="102">
        <f t="shared" si="0"/>
        <v>1270020.4592981029</v>
      </c>
      <c r="AE27" s="102">
        <f t="shared" si="0"/>
        <v>1270020.4592981029</v>
      </c>
      <c r="AF27" s="102">
        <f t="shared" si="0"/>
        <v>1270020.4592981029</v>
      </c>
      <c r="AG27" s="102">
        <f t="shared" si="0"/>
        <v>1270020.4592981029</v>
      </c>
      <c r="AH27" s="102">
        <f t="shared" si="0"/>
        <v>1270020.4592981029</v>
      </c>
      <c r="AI27" s="102">
        <f t="shared" si="0"/>
        <v>1270020.4592981029</v>
      </c>
      <c r="AJ27" s="102">
        <f t="shared" si="0"/>
        <v>1270020.4592981029</v>
      </c>
      <c r="AK27" s="102">
        <f t="shared" si="0"/>
        <v>1270020.4592981029</v>
      </c>
      <c r="AL27" s="102">
        <f t="shared" si="0"/>
        <v>1270020.4592981029</v>
      </c>
      <c r="AM27" s="102">
        <f t="shared" si="0"/>
        <v>1270020.4592981029</v>
      </c>
      <c r="AN27" s="102">
        <f t="shared" si="0"/>
        <v>1270020.4592981029</v>
      </c>
      <c r="AO27" s="102">
        <f t="shared" si="0"/>
        <v>1270020.4592981029</v>
      </c>
      <c r="AP27" s="102">
        <f t="shared" si="0"/>
        <v>1270020.4592981029</v>
      </c>
      <c r="AQ27" s="102">
        <f t="shared" si="0"/>
        <v>1270020.4592981029</v>
      </c>
      <c r="AR27" s="102">
        <f t="shared" si="0"/>
        <v>1270020.4592981029</v>
      </c>
      <c r="AS27" s="102">
        <f>'CRM CAP Forecast'!G24</f>
        <v>0</v>
      </c>
      <c r="AT27" s="102"/>
      <c r="AU27" s="105">
        <f>SUM(D27:AT27)</f>
        <v>50800818.37192414</v>
      </c>
      <c r="AV27" s="22">
        <f>F22</f>
        <v>50736637.950000018</v>
      </c>
    </row>
    <row r="28" spans="1:48" x14ac:dyDescent="0.2">
      <c r="A28" s="2"/>
      <c r="B28" s="167"/>
      <c r="C28" s="167"/>
      <c r="D28" s="164"/>
      <c r="E28" s="165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39"/>
      <c r="AN28" s="102"/>
      <c r="AO28" s="102"/>
      <c r="AP28" s="123"/>
    </row>
    <row r="29" spans="1:48" x14ac:dyDescent="0.2">
      <c r="A29" s="157">
        <f>A27+1</f>
        <v>2</v>
      </c>
      <c r="B29" s="2" t="s">
        <v>54</v>
      </c>
      <c r="C29" s="163"/>
      <c r="D29" s="164"/>
      <c r="E29" s="165">
        <f>E53</f>
        <v>606502.67964464822</v>
      </c>
      <c r="F29" s="102">
        <f t="shared" ref="F29:AT29" si="1">F53</f>
        <v>587257.67300401558</v>
      </c>
      <c r="G29" s="102">
        <f t="shared" si="1"/>
        <v>566122.54037701723</v>
      </c>
      <c r="H29" s="102">
        <f t="shared" si="1"/>
        <v>545660.28485210065</v>
      </c>
      <c r="I29" s="102">
        <f t="shared" si="1"/>
        <v>525820.537509916</v>
      </c>
      <c r="J29" s="102">
        <f t="shared" si="1"/>
        <v>506556.80396337132</v>
      </c>
      <c r="K29" s="102">
        <f t="shared" si="1"/>
        <v>487825.81860225601</v>
      </c>
      <c r="L29" s="102">
        <f t="shared" si="1"/>
        <v>469587.54459324101</v>
      </c>
      <c r="M29" s="102">
        <f t="shared" si="1"/>
        <v>451624.36237452034</v>
      </c>
      <c r="N29" s="102">
        <f t="shared" si="1"/>
        <v>433700.57123375265</v>
      </c>
      <c r="O29" s="102">
        <f t="shared" si="1"/>
        <v>415776.78009298496</v>
      </c>
      <c r="P29" s="102">
        <f t="shared" si="1"/>
        <v>397852.98895221739</v>
      </c>
      <c r="Q29" s="102">
        <f t="shared" si="1"/>
        <v>379929.19781144965</v>
      </c>
      <c r="R29" s="102">
        <f t="shared" si="1"/>
        <v>362005.4066706819</v>
      </c>
      <c r="S29" s="102">
        <f t="shared" si="1"/>
        <v>344081.61552991427</v>
      </c>
      <c r="T29" s="102">
        <f t="shared" si="1"/>
        <v>326157.82438914658</v>
      </c>
      <c r="U29" s="102">
        <f t="shared" si="1"/>
        <v>308234.0332483789</v>
      </c>
      <c r="V29" s="102">
        <f t="shared" si="1"/>
        <v>290310.24210761121</v>
      </c>
      <c r="W29" s="102">
        <f t="shared" si="1"/>
        <v>272386.45096684346</v>
      </c>
      <c r="X29" s="102">
        <f t="shared" si="1"/>
        <v>254462.6598260758</v>
      </c>
      <c r="Y29" s="102">
        <f t="shared" si="1"/>
        <v>237979.54892978442</v>
      </c>
      <c r="Z29" s="102">
        <f t="shared" si="1"/>
        <v>224377.15276706949</v>
      </c>
      <c r="AA29" s="102">
        <f t="shared" si="1"/>
        <v>212215.43684883081</v>
      </c>
      <c r="AB29" s="102">
        <f t="shared" si="1"/>
        <v>200053.72093059216</v>
      </c>
      <c r="AC29" s="102">
        <f t="shared" si="1"/>
        <v>187892.00501235353</v>
      </c>
      <c r="AD29" s="102">
        <f t="shared" si="1"/>
        <v>175730.28909411485</v>
      </c>
      <c r="AE29" s="102">
        <f t="shared" si="1"/>
        <v>163568.57317587626</v>
      </c>
      <c r="AF29" s="102">
        <f t="shared" si="1"/>
        <v>151406.85725763757</v>
      </c>
      <c r="AG29" s="102">
        <f t="shared" si="1"/>
        <v>139245.14133939895</v>
      </c>
      <c r="AH29" s="102">
        <f t="shared" si="1"/>
        <v>127083.4254211603</v>
      </c>
      <c r="AI29" s="102">
        <f t="shared" si="1"/>
        <v>114921.70950292167</v>
      </c>
      <c r="AJ29" s="102">
        <f t="shared" si="1"/>
        <v>102759.993584683</v>
      </c>
      <c r="AK29" s="102">
        <f t="shared" si="1"/>
        <v>90598.277666444352</v>
      </c>
      <c r="AL29" s="102">
        <f t="shared" si="1"/>
        <v>78436.561748205699</v>
      </c>
      <c r="AM29" s="102">
        <f t="shared" si="1"/>
        <v>66274.84582996706</v>
      </c>
      <c r="AN29" s="102">
        <f t="shared" si="1"/>
        <v>54113.129911728407</v>
      </c>
      <c r="AO29" s="102">
        <f t="shared" si="1"/>
        <v>41951.413993489768</v>
      </c>
      <c r="AP29" s="102">
        <f t="shared" si="1"/>
        <v>29789.698075251123</v>
      </c>
      <c r="AQ29" s="102">
        <f t="shared" si="1"/>
        <v>17627.982157012477</v>
      </c>
      <c r="AR29" s="102">
        <f t="shared" si="1"/>
        <v>5466.2662387738283</v>
      </c>
      <c r="AS29" s="102">
        <f t="shared" si="1"/>
        <v>-614.59172034549465</v>
      </c>
      <c r="AT29" s="102">
        <f t="shared" si="1"/>
        <v>-614.59172034549465</v>
      </c>
      <c r="AU29" s="105">
        <f>SUM(D29:AT29)</f>
        <v>10952118.861794746</v>
      </c>
    </row>
    <row r="30" spans="1:48" x14ac:dyDescent="0.2">
      <c r="A30" s="2"/>
      <c r="B30" s="2"/>
      <c r="C30" s="2"/>
      <c r="D30" s="122"/>
      <c r="E30" s="38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</row>
    <row r="31" spans="1:48" x14ac:dyDescent="0.2">
      <c r="A31" s="2"/>
      <c r="B31" s="2" t="s">
        <v>55</v>
      </c>
      <c r="C31" s="2"/>
      <c r="D31" s="122"/>
      <c r="E31" s="38">
        <f>+E30/0.79</f>
        <v>0</v>
      </c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</row>
    <row r="32" spans="1:48" x14ac:dyDescent="0.2">
      <c r="A32" s="157">
        <f>A29+1</f>
        <v>3</v>
      </c>
      <c r="B32" s="2"/>
      <c r="C32" s="2"/>
      <c r="D32" s="122"/>
      <c r="E32" s="38">
        <f>E49*$F10</f>
        <v>0</v>
      </c>
      <c r="F32" s="102">
        <f t="shared" ref="F32:AT32" si="2">F49*$F10</f>
        <v>0</v>
      </c>
      <c r="G32" s="102">
        <f t="shared" si="2"/>
        <v>0</v>
      </c>
      <c r="H32" s="102">
        <f t="shared" si="2"/>
        <v>0</v>
      </c>
      <c r="I32" s="102">
        <f t="shared" si="2"/>
        <v>0</v>
      </c>
      <c r="J32" s="102">
        <f t="shared" si="2"/>
        <v>0</v>
      </c>
      <c r="K32" s="102">
        <f t="shared" si="2"/>
        <v>0</v>
      </c>
      <c r="L32" s="102">
        <f t="shared" si="2"/>
        <v>0</v>
      </c>
      <c r="M32" s="102">
        <f t="shared" si="2"/>
        <v>0</v>
      </c>
      <c r="N32" s="102">
        <f t="shared" si="2"/>
        <v>0</v>
      </c>
      <c r="O32" s="102">
        <f t="shared" si="2"/>
        <v>0</v>
      </c>
      <c r="P32" s="102">
        <f t="shared" si="2"/>
        <v>0</v>
      </c>
      <c r="Q32" s="102">
        <f t="shared" si="2"/>
        <v>0</v>
      </c>
      <c r="R32" s="102">
        <f t="shared" si="2"/>
        <v>0</v>
      </c>
      <c r="S32" s="102">
        <f t="shared" si="2"/>
        <v>0</v>
      </c>
      <c r="T32" s="102">
        <f t="shared" si="2"/>
        <v>0</v>
      </c>
      <c r="U32" s="102">
        <f t="shared" si="2"/>
        <v>0</v>
      </c>
      <c r="V32" s="102">
        <f t="shared" si="2"/>
        <v>0</v>
      </c>
      <c r="W32" s="102">
        <f t="shared" si="2"/>
        <v>0</v>
      </c>
      <c r="X32" s="102">
        <f t="shared" si="2"/>
        <v>0</v>
      </c>
      <c r="Y32" s="102">
        <f t="shared" si="2"/>
        <v>0</v>
      </c>
      <c r="Z32" s="102">
        <f t="shared" si="2"/>
        <v>0</v>
      </c>
      <c r="AA32" s="102">
        <f t="shared" si="2"/>
        <v>0</v>
      </c>
      <c r="AB32" s="102">
        <f t="shared" si="2"/>
        <v>0</v>
      </c>
      <c r="AC32" s="102">
        <f t="shared" si="2"/>
        <v>0</v>
      </c>
      <c r="AD32" s="102">
        <f t="shared" si="2"/>
        <v>0</v>
      </c>
      <c r="AE32" s="102">
        <f t="shared" si="2"/>
        <v>0</v>
      </c>
      <c r="AF32" s="102">
        <f t="shared" si="2"/>
        <v>0</v>
      </c>
      <c r="AG32" s="102">
        <f t="shared" si="2"/>
        <v>0</v>
      </c>
      <c r="AH32" s="102">
        <f t="shared" si="2"/>
        <v>0</v>
      </c>
      <c r="AI32" s="102">
        <f t="shared" si="2"/>
        <v>0</v>
      </c>
      <c r="AJ32" s="102">
        <f t="shared" si="2"/>
        <v>0</v>
      </c>
      <c r="AK32" s="102">
        <f t="shared" si="2"/>
        <v>0</v>
      </c>
      <c r="AL32" s="102">
        <f t="shared" si="2"/>
        <v>0</v>
      </c>
      <c r="AM32" s="102">
        <f t="shared" si="2"/>
        <v>0</v>
      </c>
      <c r="AN32" s="102">
        <f t="shared" si="2"/>
        <v>0</v>
      </c>
      <c r="AO32" s="102">
        <f t="shared" si="2"/>
        <v>0</v>
      </c>
      <c r="AP32" s="102">
        <f t="shared" si="2"/>
        <v>0</v>
      </c>
      <c r="AQ32" s="102">
        <f t="shared" si="2"/>
        <v>0</v>
      </c>
      <c r="AR32" s="102">
        <f t="shared" si="2"/>
        <v>0</v>
      </c>
      <c r="AS32" s="102">
        <f t="shared" si="2"/>
        <v>0</v>
      </c>
      <c r="AT32" s="102">
        <f t="shared" si="2"/>
        <v>0</v>
      </c>
      <c r="AU32" s="105">
        <f t="shared" ref="AU32:AU42" si="3">SUM(D32:AT32)</f>
        <v>0</v>
      </c>
    </row>
    <row r="33" spans="1:47" x14ac:dyDescent="0.2">
      <c r="A33" s="157">
        <f>A32+1</f>
        <v>4</v>
      </c>
      <c r="B33" s="13"/>
      <c r="C33" s="13" t="s">
        <v>121</v>
      </c>
      <c r="D33" s="122"/>
      <c r="E33" s="38">
        <f>E49*$F11</f>
        <v>1415996.2832931706</v>
      </c>
      <c r="F33" s="102">
        <f t="shared" ref="F33:AT33" si="4">F49*$F11</f>
        <v>1371065.1415362132</v>
      </c>
      <c r="G33" s="102">
        <f t="shared" si="4"/>
        <v>1321721.1398505613</v>
      </c>
      <c r="H33" s="102">
        <f t="shared" si="4"/>
        <v>1273948.0982078544</v>
      </c>
      <c r="I33" s="102">
        <f t="shared" si="4"/>
        <v>1227628.4207507509</v>
      </c>
      <c r="J33" s="102">
        <f t="shared" si="4"/>
        <v>1182653.5574570899</v>
      </c>
      <c r="K33" s="102">
        <f t="shared" si="4"/>
        <v>1138922.4965006933</v>
      </c>
      <c r="L33" s="102">
        <f t="shared" si="4"/>
        <v>1096341.7642513667</v>
      </c>
      <c r="M33" s="102">
        <f t="shared" si="4"/>
        <v>1054403.286299828</v>
      </c>
      <c r="N33" s="102">
        <f t="shared" si="4"/>
        <v>1012556.7743392866</v>
      </c>
      <c r="O33" s="102">
        <f t="shared" si="4"/>
        <v>970710.26237874536</v>
      </c>
      <c r="P33" s="102">
        <f t="shared" si="4"/>
        <v>928863.75041820412</v>
      </c>
      <c r="Q33" s="102">
        <f t="shared" si="4"/>
        <v>887017.23845766287</v>
      </c>
      <c r="R33" s="102">
        <f t="shared" si="4"/>
        <v>845170.7264971215</v>
      </c>
      <c r="S33" s="102">
        <f t="shared" si="4"/>
        <v>803324.21453658037</v>
      </c>
      <c r="T33" s="102">
        <f t="shared" si="4"/>
        <v>761477.70257603901</v>
      </c>
      <c r="U33" s="102">
        <f t="shared" si="4"/>
        <v>719631.19061549776</v>
      </c>
      <c r="V33" s="102">
        <f t="shared" si="4"/>
        <v>677784.67865495651</v>
      </c>
      <c r="W33" s="102">
        <f t="shared" si="4"/>
        <v>635938.16669441515</v>
      </c>
      <c r="X33" s="102">
        <f t="shared" si="4"/>
        <v>594091.6547338739</v>
      </c>
      <c r="Y33" s="102">
        <f t="shared" si="4"/>
        <v>555608.68582113518</v>
      </c>
      <c r="Z33" s="102">
        <f t="shared" si="4"/>
        <v>523851.29536480492</v>
      </c>
      <c r="AA33" s="102">
        <f t="shared" si="4"/>
        <v>495457.44795627717</v>
      </c>
      <c r="AB33" s="102">
        <f t="shared" si="4"/>
        <v>467063.60054774943</v>
      </c>
      <c r="AC33" s="102">
        <f t="shared" si="4"/>
        <v>438669.75313922175</v>
      </c>
      <c r="AD33" s="102">
        <f t="shared" si="4"/>
        <v>410275.90573069395</v>
      </c>
      <c r="AE33" s="102">
        <f t="shared" si="4"/>
        <v>381882.05832216638</v>
      </c>
      <c r="AF33" s="102">
        <f t="shared" si="4"/>
        <v>353488.21091363864</v>
      </c>
      <c r="AG33" s="102">
        <f t="shared" si="4"/>
        <v>325094.36350511096</v>
      </c>
      <c r="AH33" s="102">
        <f t="shared" si="4"/>
        <v>296700.51609658322</v>
      </c>
      <c r="AI33" s="102">
        <f t="shared" si="4"/>
        <v>268306.66868805548</v>
      </c>
      <c r="AJ33" s="102">
        <f t="shared" si="4"/>
        <v>239912.82127952774</v>
      </c>
      <c r="AK33" s="102">
        <f t="shared" si="4"/>
        <v>211518.97387100005</v>
      </c>
      <c r="AL33" s="102">
        <f t="shared" si="4"/>
        <v>183125.12646247234</v>
      </c>
      <c r="AM33" s="102">
        <f t="shared" si="4"/>
        <v>154731.2790539446</v>
      </c>
      <c r="AN33" s="102">
        <f t="shared" si="4"/>
        <v>126337.43164541689</v>
      </c>
      <c r="AO33" s="102">
        <f t="shared" si="4"/>
        <v>97943.584236889175</v>
      </c>
      <c r="AP33" s="102">
        <f t="shared" si="4"/>
        <v>69549.736828361463</v>
      </c>
      <c r="AQ33" s="102">
        <f t="shared" si="4"/>
        <v>41155.889419833744</v>
      </c>
      <c r="AR33" s="102">
        <f t="shared" si="4"/>
        <v>12762.042011306025</v>
      </c>
      <c r="AS33" s="102">
        <f t="shared" si="4"/>
        <v>-1434.8816929578347</v>
      </c>
      <c r="AT33" s="102">
        <f t="shared" si="4"/>
        <v>-1434.8816929578347</v>
      </c>
      <c r="AU33" s="105">
        <f t="shared" si="3"/>
        <v>25569812.175558187</v>
      </c>
    </row>
    <row r="34" spans="1:47" x14ac:dyDescent="0.2">
      <c r="A34" s="157">
        <f>A33+1</f>
        <v>5</v>
      </c>
      <c r="B34" s="2"/>
      <c r="C34" s="2" t="s">
        <v>9</v>
      </c>
      <c r="D34" s="122"/>
      <c r="E34" s="40">
        <f>E49*$F12</f>
        <v>2281605.3186632008</v>
      </c>
      <c r="F34" s="100">
        <f t="shared" ref="F34:AT34" si="5">F49*$F12</f>
        <v>2209207.4365389161</v>
      </c>
      <c r="G34" s="100">
        <f t="shared" si="5"/>
        <v>2129699.0804659221</v>
      </c>
      <c r="H34" s="100">
        <f t="shared" si="5"/>
        <v>2052722.0239674265</v>
      </c>
      <c r="I34" s="100">
        <f t="shared" si="5"/>
        <v>1978086.7839658747</v>
      </c>
      <c r="J34" s="100">
        <f t="shared" si="5"/>
        <v>1905618.4530050636</v>
      </c>
      <c r="K34" s="100">
        <f t="shared" si="5"/>
        <v>1835154.2699799158</v>
      </c>
      <c r="L34" s="100">
        <f t="shared" si="5"/>
        <v>1766543.6201364782</v>
      </c>
      <c r="M34" s="100">
        <f t="shared" si="5"/>
        <v>1698967.8394089101</v>
      </c>
      <c r="N34" s="100">
        <f t="shared" si="5"/>
        <v>1631540.2441650697</v>
      </c>
      <c r="O34" s="100">
        <f t="shared" si="5"/>
        <v>1564112.6489212294</v>
      </c>
      <c r="P34" s="100">
        <f t="shared" si="5"/>
        <v>1496685.0536773892</v>
      </c>
      <c r="Q34" s="100">
        <f t="shared" si="5"/>
        <v>1429257.4584335487</v>
      </c>
      <c r="R34" s="100">
        <f t="shared" si="5"/>
        <v>1361829.8631897082</v>
      </c>
      <c r="S34" s="100">
        <f t="shared" si="5"/>
        <v>1294402.2679458682</v>
      </c>
      <c r="T34" s="100">
        <f t="shared" si="5"/>
        <v>1226974.6727020277</v>
      </c>
      <c r="U34" s="100">
        <f t="shared" si="5"/>
        <v>1159547.0774581872</v>
      </c>
      <c r="V34" s="100">
        <f t="shared" si="5"/>
        <v>1092119.482214347</v>
      </c>
      <c r="W34" s="100">
        <f t="shared" si="5"/>
        <v>1024691.8869705065</v>
      </c>
      <c r="X34" s="100">
        <f t="shared" si="5"/>
        <v>957264.29172666615</v>
      </c>
      <c r="Y34" s="100">
        <f t="shared" si="5"/>
        <v>895256.39835490333</v>
      </c>
      <c r="Z34" s="100">
        <f t="shared" si="5"/>
        <v>844085.47945707093</v>
      </c>
      <c r="AA34" s="100">
        <f t="shared" si="5"/>
        <v>798334.26243131596</v>
      </c>
      <c r="AB34" s="100">
        <f t="shared" si="5"/>
        <v>752583.04540556099</v>
      </c>
      <c r="AC34" s="100">
        <f t="shared" si="5"/>
        <v>706831.82837980613</v>
      </c>
      <c r="AD34" s="100">
        <f t="shared" si="5"/>
        <v>661080.61135405116</v>
      </c>
      <c r="AE34" s="100">
        <f t="shared" si="5"/>
        <v>615329.39432829642</v>
      </c>
      <c r="AF34" s="100">
        <f t="shared" si="5"/>
        <v>569578.17730254144</v>
      </c>
      <c r="AG34" s="100">
        <f t="shared" si="5"/>
        <v>523826.96027678659</v>
      </c>
      <c r="AH34" s="100">
        <f t="shared" si="5"/>
        <v>478075.74325103161</v>
      </c>
      <c r="AI34" s="100">
        <f t="shared" si="5"/>
        <v>432324.52622527676</v>
      </c>
      <c r="AJ34" s="100">
        <f t="shared" si="5"/>
        <v>386573.30919952178</v>
      </c>
      <c r="AK34" s="100">
        <f t="shared" si="5"/>
        <v>340822.09217376687</v>
      </c>
      <c r="AL34" s="100">
        <f t="shared" si="5"/>
        <v>295070.87514801195</v>
      </c>
      <c r="AM34" s="100">
        <f t="shared" si="5"/>
        <v>249319.65812225704</v>
      </c>
      <c r="AN34" s="100">
        <f t="shared" si="5"/>
        <v>203568.44109650212</v>
      </c>
      <c r="AO34" s="100">
        <f t="shared" si="5"/>
        <v>157817.22407074724</v>
      </c>
      <c r="AP34" s="100">
        <f t="shared" si="5"/>
        <v>112066.00704499234</v>
      </c>
      <c r="AQ34" s="100">
        <f t="shared" si="5"/>
        <v>66314.790019237407</v>
      </c>
      <c r="AR34" s="100">
        <f t="shared" si="5"/>
        <v>20563.572993482499</v>
      </c>
      <c r="AS34" s="100">
        <f t="shared" si="5"/>
        <v>-2312.0355193949563</v>
      </c>
      <c r="AT34" s="100">
        <f t="shared" si="5"/>
        <v>-2312.0355193949563</v>
      </c>
      <c r="AU34" s="105">
        <f t="shared" si="3"/>
        <v>41200828.099132642</v>
      </c>
    </row>
    <row r="35" spans="1:47" x14ac:dyDescent="0.2">
      <c r="A35" s="157">
        <f>A34+1</f>
        <v>6</v>
      </c>
      <c r="B35" s="2"/>
      <c r="C35" s="2" t="s">
        <v>58</v>
      </c>
      <c r="D35" s="122"/>
      <c r="E35" s="38">
        <f>E32+E33+E34</f>
        <v>3697601.6019563712</v>
      </c>
      <c r="F35" s="102">
        <f>F32+F33+F34</f>
        <v>3580272.5780751295</v>
      </c>
      <c r="G35" s="102">
        <f>G32+G33+G34</f>
        <v>3451420.2203164836</v>
      </c>
      <c r="H35" s="102">
        <f t="shared" ref="H35:AT35" si="6">H32+H33+H34</f>
        <v>3326670.1221752809</v>
      </c>
      <c r="I35" s="102">
        <f t="shared" si="6"/>
        <v>3205715.2047166256</v>
      </c>
      <c r="J35" s="102">
        <f t="shared" si="6"/>
        <v>3088272.0104621537</v>
      </c>
      <c r="K35" s="102">
        <f t="shared" si="6"/>
        <v>2974076.7664806088</v>
      </c>
      <c r="L35" s="102">
        <f t="shared" si="6"/>
        <v>2862885.3843878452</v>
      </c>
      <c r="M35" s="102">
        <f t="shared" si="6"/>
        <v>2753371.1257087383</v>
      </c>
      <c r="N35" s="102">
        <f t="shared" si="6"/>
        <v>2644097.018504356</v>
      </c>
      <c r="O35" s="102">
        <f t="shared" si="6"/>
        <v>2534822.9112999747</v>
      </c>
      <c r="P35" s="102">
        <f t="shared" si="6"/>
        <v>2425548.8040955933</v>
      </c>
      <c r="Q35" s="102">
        <f t="shared" si="6"/>
        <v>2316274.6968912114</v>
      </c>
      <c r="R35" s="102">
        <f t="shared" si="6"/>
        <v>2207000.5896868296</v>
      </c>
      <c r="S35" s="102">
        <f t="shared" si="6"/>
        <v>2097726.4824824487</v>
      </c>
      <c r="T35" s="102">
        <f t="shared" si="6"/>
        <v>1988452.3752780668</v>
      </c>
      <c r="U35" s="102">
        <f t="shared" si="6"/>
        <v>1879178.268073685</v>
      </c>
      <c r="V35" s="102">
        <f t="shared" si="6"/>
        <v>1769904.1608693036</v>
      </c>
      <c r="W35" s="102">
        <f t="shared" si="6"/>
        <v>1660630.0536649218</v>
      </c>
      <c r="X35" s="102">
        <f t="shared" si="6"/>
        <v>1551355.9464605399</v>
      </c>
      <c r="Y35" s="102">
        <f t="shared" si="6"/>
        <v>1450865.0841760384</v>
      </c>
      <c r="Z35" s="102">
        <f t="shared" si="6"/>
        <v>1367936.7748218758</v>
      </c>
      <c r="AA35" s="102">
        <f t="shared" si="6"/>
        <v>1293791.7103875931</v>
      </c>
      <c r="AB35" s="102">
        <f t="shared" si="6"/>
        <v>1219646.6459533104</v>
      </c>
      <c r="AC35" s="102">
        <f t="shared" si="6"/>
        <v>1145501.5815190279</v>
      </c>
      <c r="AD35" s="102">
        <f t="shared" si="6"/>
        <v>1071356.5170847452</v>
      </c>
      <c r="AE35" s="102">
        <f t="shared" si="6"/>
        <v>997211.45265046274</v>
      </c>
      <c r="AF35" s="102">
        <f t="shared" si="6"/>
        <v>923066.38821618003</v>
      </c>
      <c r="AG35" s="102">
        <f t="shared" si="6"/>
        <v>848921.32378189755</v>
      </c>
      <c r="AH35" s="102">
        <f t="shared" si="6"/>
        <v>774776.25934761483</v>
      </c>
      <c r="AI35" s="102">
        <f t="shared" si="6"/>
        <v>700631.19491333223</v>
      </c>
      <c r="AJ35" s="102">
        <f t="shared" si="6"/>
        <v>626486.13047904952</v>
      </c>
      <c r="AK35" s="102">
        <f t="shared" si="6"/>
        <v>552341.06604476692</v>
      </c>
      <c r="AL35" s="102">
        <f t="shared" si="6"/>
        <v>478196.00161048432</v>
      </c>
      <c r="AM35" s="102">
        <f t="shared" si="6"/>
        <v>404050.93717620161</v>
      </c>
      <c r="AN35" s="102">
        <f t="shared" si="6"/>
        <v>329905.87274191901</v>
      </c>
      <c r="AO35" s="102">
        <f t="shared" si="6"/>
        <v>255760.80830763641</v>
      </c>
      <c r="AP35" s="102">
        <f t="shared" si="6"/>
        <v>181615.74387335381</v>
      </c>
      <c r="AQ35" s="102">
        <f t="shared" si="6"/>
        <v>107470.67943907116</v>
      </c>
      <c r="AR35" s="102">
        <f t="shared" si="6"/>
        <v>33325.615004788524</v>
      </c>
      <c r="AS35" s="102">
        <f t="shared" si="6"/>
        <v>-3746.917212352791</v>
      </c>
      <c r="AT35" s="102">
        <f t="shared" si="6"/>
        <v>-3746.917212352791</v>
      </c>
      <c r="AU35" s="105">
        <f t="shared" si="3"/>
        <v>66770640.274690852</v>
      </c>
    </row>
    <row r="36" spans="1:47" x14ac:dyDescent="0.2">
      <c r="A36" s="2"/>
      <c r="B36" s="2"/>
      <c r="C36" s="2"/>
      <c r="D36" s="122"/>
      <c r="E36" s="38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5">
        <f t="shared" si="3"/>
        <v>0</v>
      </c>
    </row>
    <row r="37" spans="1:47" x14ac:dyDescent="0.2">
      <c r="A37" s="157">
        <f>A35+1</f>
        <v>7</v>
      </c>
      <c r="B37" s="2" t="s">
        <v>59</v>
      </c>
      <c r="C37" s="2"/>
      <c r="D37" s="122"/>
      <c r="E37" s="41">
        <f>E27+E29+E35</f>
        <v>5574124.7408991223</v>
      </c>
      <c r="F37" s="99">
        <f>F27+F29+F35</f>
        <v>5437550.710377248</v>
      </c>
      <c r="G37" s="99">
        <f t="shared" ref="G37:AT37" si="7">G27+G29+G35</f>
        <v>5287563.2199916039</v>
      </c>
      <c r="H37" s="99">
        <f t="shared" si="7"/>
        <v>5142350.8663254846</v>
      </c>
      <c r="I37" s="99">
        <f t="shared" si="7"/>
        <v>5001556.2015246451</v>
      </c>
      <c r="J37" s="99">
        <f t="shared" si="7"/>
        <v>4864849.2737236284</v>
      </c>
      <c r="K37" s="99">
        <f t="shared" si="7"/>
        <v>4731923.0443809675</v>
      </c>
      <c r="L37" s="99">
        <f t="shared" si="7"/>
        <v>4602493.3882791894</v>
      </c>
      <c r="M37" s="99">
        <f t="shared" si="7"/>
        <v>4475015.9473813614</v>
      </c>
      <c r="N37" s="99">
        <f t="shared" si="7"/>
        <v>4347818.0490362113</v>
      </c>
      <c r="O37" s="99">
        <f t="shared" si="7"/>
        <v>4220620.1506910622</v>
      </c>
      <c r="P37" s="99">
        <f t="shared" si="7"/>
        <v>4093422.2523459136</v>
      </c>
      <c r="Q37" s="99">
        <f t="shared" si="7"/>
        <v>3966224.354000764</v>
      </c>
      <c r="R37" s="99">
        <f t="shared" si="7"/>
        <v>3839026.4556556144</v>
      </c>
      <c r="S37" s="99">
        <f t="shared" si="7"/>
        <v>3711828.5573104657</v>
      </c>
      <c r="T37" s="99">
        <f t="shared" si="7"/>
        <v>3584630.6589653166</v>
      </c>
      <c r="U37" s="99">
        <f t="shared" si="7"/>
        <v>3457432.7606201665</v>
      </c>
      <c r="V37" s="99">
        <f t="shared" si="7"/>
        <v>3330234.8622750174</v>
      </c>
      <c r="W37" s="99">
        <f t="shared" si="7"/>
        <v>3203036.9639298683</v>
      </c>
      <c r="X37" s="99">
        <f t="shared" si="7"/>
        <v>3075839.0655847187</v>
      </c>
      <c r="Y37" s="99">
        <f t="shared" si="7"/>
        <v>2958865.092403926</v>
      </c>
      <c r="Z37" s="99">
        <f t="shared" si="7"/>
        <v>2862334.3868870484</v>
      </c>
      <c r="AA37" s="99">
        <f t="shared" si="7"/>
        <v>2776027.6065345267</v>
      </c>
      <c r="AB37" s="99">
        <f t="shared" si="7"/>
        <v>2689720.8261820055</v>
      </c>
      <c r="AC37" s="99">
        <f t="shared" si="7"/>
        <v>2603414.0458294842</v>
      </c>
      <c r="AD37" s="99">
        <f t="shared" si="7"/>
        <v>2517107.265476963</v>
      </c>
      <c r="AE37" s="99">
        <f t="shared" si="7"/>
        <v>2430800.4851244418</v>
      </c>
      <c r="AF37" s="99">
        <f t="shared" si="7"/>
        <v>2344493.7047719206</v>
      </c>
      <c r="AG37" s="99">
        <f t="shared" si="7"/>
        <v>2258186.9244193994</v>
      </c>
      <c r="AH37" s="99">
        <f t="shared" si="7"/>
        <v>2171880.1440668781</v>
      </c>
      <c r="AI37" s="99">
        <f t="shared" si="7"/>
        <v>2085573.3637143569</v>
      </c>
      <c r="AJ37" s="99">
        <f t="shared" si="7"/>
        <v>1999266.5833618352</v>
      </c>
      <c r="AK37" s="99">
        <f t="shared" si="7"/>
        <v>1912959.8030093142</v>
      </c>
      <c r="AL37" s="99">
        <f t="shared" si="7"/>
        <v>1826653.0226567928</v>
      </c>
      <c r="AM37" s="99">
        <f t="shared" si="7"/>
        <v>1740346.2423042716</v>
      </c>
      <c r="AN37" s="99">
        <f t="shared" si="7"/>
        <v>1654039.4619517503</v>
      </c>
      <c r="AO37" s="99">
        <f t="shared" si="7"/>
        <v>1567732.6815992291</v>
      </c>
      <c r="AP37" s="99">
        <f t="shared" si="7"/>
        <v>1481425.9012467079</v>
      </c>
      <c r="AQ37" s="99">
        <f t="shared" si="7"/>
        <v>1395119.1208941864</v>
      </c>
      <c r="AR37" s="99">
        <f t="shared" si="7"/>
        <v>1308812.3405416654</v>
      </c>
      <c r="AS37" s="99">
        <f t="shared" si="7"/>
        <v>-4361.5089326982852</v>
      </c>
      <c r="AT37" s="99">
        <f t="shared" si="7"/>
        <v>-4361.5089326982852</v>
      </c>
      <c r="AU37" s="105">
        <f t="shared" si="3"/>
        <v>128523577.50840969</v>
      </c>
    </row>
    <row r="38" spans="1:47" x14ac:dyDescent="0.2">
      <c r="A38" s="157">
        <f>A37+1</f>
        <v>8</v>
      </c>
      <c r="B38" s="2" t="s">
        <v>60</v>
      </c>
      <c r="C38" s="2"/>
      <c r="D38" s="122"/>
      <c r="E38" s="40">
        <f>E37/(1-$F16)-E37</f>
        <v>265388.35151075199</v>
      </c>
      <c r="F38" s="100">
        <f t="shared" ref="F38:AT38" si="8">F37/(1-$F16)-F37</f>
        <v>258885.95723287761</v>
      </c>
      <c r="G38" s="100">
        <f t="shared" si="8"/>
        <v>251744.93784940057</v>
      </c>
      <c r="H38" s="100">
        <f t="shared" si="8"/>
        <v>244831.26638530754</v>
      </c>
      <c r="I38" s="100">
        <f t="shared" si="8"/>
        <v>238127.92447427288</v>
      </c>
      <c r="J38" s="100">
        <f t="shared" si="8"/>
        <v>231619.20285507198</v>
      </c>
      <c r="K38" s="100">
        <f t="shared" si="8"/>
        <v>225290.4831873998</v>
      </c>
      <c r="L38" s="100">
        <f t="shared" si="8"/>
        <v>219128.23805186804</v>
      </c>
      <c r="M38" s="100">
        <f t="shared" si="8"/>
        <v>213058.93937857915</v>
      </c>
      <c r="N38" s="100">
        <f t="shared" si="8"/>
        <v>207002.94994049426</v>
      </c>
      <c r="O38" s="100">
        <f t="shared" si="8"/>
        <v>200946.96050240938</v>
      </c>
      <c r="P38" s="100">
        <f t="shared" si="8"/>
        <v>194890.97106432496</v>
      </c>
      <c r="Q38" s="100">
        <f t="shared" si="8"/>
        <v>188834.98162624054</v>
      </c>
      <c r="R38" s="100">
        <f t="shared" si="8"/>
        <v>182778.99218815612</v>
      </c>
      <c r="S38" s="100">
        <f t="shared" si="8"/>
        <v>176723.00275007123</v>
      </c>
      <c r="T38" s="100">
        <f t="shared" si="8"/>
        <v>170667.01331198681</v>
      </c>
      <c r="U38" s="100">
        <f t="shared" si="8"/>
        <v>164611.02387390193</v>
      </c>
      <c r="V38" s="100">
        <f t="shared" si="8"/>
        <v>158555.03443581751</v>
      </c>
      <c r="W38" s="100">
        <f t="shared" si="8"/>
        <v>152499.04499773262</v>
      </c>
      <c r="X38" s="100">
        <f t="shared" si="8"/>
        <v>146443.0555596482</v>
      </c>
      <c r="Y38" s="100">
        <f t="shared" si="8"/>
        <v>140873.83503533201</v>
      </c>
      <c r="Z38" s="100">
        <f t="shared" si="8"/>
        <v>136277.9341543694</v>
      </c>
      <c r="AA38" s="100">
        <f t="shared" si="8"/>
        <v>132168.80218717502</v>
      </c>
      <c r="AB38" s="100">
        <f t="shared" si="8"/>
        <v>128059.67021998111</v>
      </c>
      <c r="AC38" s="100">
        <f t="shared" si="8"/>
        <v>123950.5382527872</v>
      </c>
      <c r="AD38" s="100">
        <f t="shared" si="8"/>
        <v>119841.40628559282</v>
      </c>
      <c r="AE38" s="100">
        <f t="shared" si="8"/>
        <v>115732.27431839891</v>
      </c>
      <c r="AF38" s="100">
        <f t="shared" si="8"/>
        <v>111623.14235120453</v>
      </c>
      <c r="AG38" s="100">
        <f t="shared" si="8"/>
        <v>107514.01038401062</v>
      </c>
      <c r="AH38" s="100">
        <f t="shared" si="8"/>
        <v>103404.8784168167</v>
      </c>
      <c r="AI38" s="100">
        <f t="shared" si="8"/>
        <v>99295.746449622326</v>
      </c>
      <c r="AJ38" s="100">
        <f t="shared" si="8"/>
        <v>95186.61448242818</v>
      </c>
      <c r="AK38" s="100">
        <f t="shared" si="8"/>
        <v>91077.482515234267</v>
      </c>
      <c r="AL38" s="100">
        <f t="shared" si="8"/>
        <v>86968.350548040122</v>
      </c>
      <c r="AM38" s="100">
        <f t="shared" si="8"/>
        <v>82859.218580845976</v>
      </c>
      <c r="AN38" s="100">
        <f t="shared" si="8"/>
        <v>78750.086613651831</v>
      </c>
      <c r="AO38" s="100">
        <f t="shared" si="8"/>
        <v>74640.954646457685</v>
      </c>
      <c r="AP38" s="100">
        <f t="shared" si="8"/>
        <v>70531.82267926354</v>
      </c>
      <c r="AQ38" s="100">
        <f t="shared" si="8"/>
        <v>66422.690712069627</v>
      </c>
      <c r="AR38" s="100">
        <f t="shared" si="8"/>
        <v>62313.558744875481</v>
      </c>
      <c r="AS38" s="100">
        <f t="shared" si="8"/>
        <v>-207.65478340578193</v>
      </c>
      <c r="AT38" s="100">
        <f t="shared" si="8"/>
        <v>-207.65478340578193</v>
      </c>
      <c r="AU38" s="105">
        <f t="shared" si="3"/>
        <v>6119106.0391876604</v>
      </c>
    </row>
    <row r="39" spans="1:47" x14ac:dyDescent="0.2">
      <c r="A39" s="157">
        <f>A38+1</f>
        <v>9</v>
      </c>
      <c r="B39" s="2"/>
      <c r="C39" s="2" t="s">
        <v>61</v>
      </c>
      <c r="D39" s="122"/>
      <c r="E39" s="41">
        <f>SUM(E37:E38)</f>
        <v>5839513.0924098743</v>
      </c>
      <c r="F39" s="99">
        <f t="shared" ref="F39:AT39" si="9">SUM(F37:F38)</f>
        <v>5696436.6676101256</v>
      </c>
      <c r="G39" s="99">
        <f t="shared" si="9"/>
        <v>5539308.1578410044</v>
      </c>
      <c r="H39" s="99">
        <f t="shared" si="9"/>
        <v>5387182.1327107921</v>
      </c>
      <c r="I39" s="99">
        <f t="shared" si="9"/>
        <v>5239684.125998918</v>
      </c>
      <c r="J39" s="99">
        <f t="shared" si="9"/>
        <v>5096468.4765787004</v>
      </c>
      <c r="K39" s="99">
        <f t="shared" si="9"/>
        <v>4957213.5275683673</v>
      </c>
      <c r="L39" s="99">
        <f t="shared" si="9"/>
        <v>4821621.6263310574</v>
      </c>
      <c r="M39" s="99">
        <f t="shared" si="9"/>
        <v>4688074.8867599405</v>
      </c>
      <c r="N39" s="99">
        <f t="shared" si="9"/>
        <v>4554820.9989767056</v>
      </c>
      <c r="O39" s="99">
        <f t="shared" si="9"/>
        <v>4421567.1111934716</v>
      </c>
      <c r="P39" s="99">
        <f t="shared" si="9"/>
        <v>4288313.2234102385</v>
      </c>
      <c r="Q39" s="99">
        <f t="shared" si="9"/>
        <v>4155059.3356270045</v>
      </c>
      <c r="R39" s="99">
        <f t="shared" si="9"/>
        <v>4021805.4478437705</v>
      </c>
      <c r="S39" s="99">
        <f t="shared" si="9"/>
        <v>3888551.560060537</v>
      </c>
      <c r="T39" s="99">
        <f t="shared" si="9"/>
        <v>3755297.6722773034</v>
      </c>
      <c r="U39" s="99">
        <f t="shared" si="9"/>
        <v>3622043.7844940685</v>
      </c>
      <c r="V39" s="99">
        <f t="shared" si="9"/>
        <v>3488789.8967108349</v>
      </c>
      <c r="W39" s="99">
        <f t="shared" si="9"/>
        <v>3355536.0089276009</v>
      </c>
      <c r="X39" s="99">
        <f t="shared" si="9"/>
        <v>3222282.1211443669</v>
      </c>
      <c r="Y39" s="99">
        <f t="shared" si="9"/>
        <v>3099738.927439258</v>
      </c>
      <c r="Z39" s="99">
        <f t="shared" si="9"/>
        <v>2998612.3210414178</v>
      </c>
      <c r="AA39" s="99">
        <f t="shared" si="9"/>
        <v>2908196.4087217017</v>
      </c>
      <c r="AB39" s="99">
        <f t="shared" si="9"/>
        <v>2817780.4964019866</v>
      </c>
      <c r="AC39" s="99">
        <f t="shared" si="9"/>
        <v>2727364.5840822714</v>
      </c>
      <c r="AD39" s="99">
        <f t="shared" si="9"/>
        <v>2636948.6717625558</v>
      </c>
      <c r="AE39" s="99">
        <f t="shared" si="9"/>
        <v>2546532.7594428407</v>
      </c>
      <c r="AF39" s="99">
        <f t="shared" si="9"/>
        <v>2456116.8471231251</v>
      </c>
      <c r="AG39" s="99">
        <f t="shared" si="9"/>
        <v>2365700.93480341</v>
      </c>
      <c r="AH39" s="99">
        <f t="shared" si="9"/>
        <v>2275285.0224836948</v>
      </c>
      <c r="AI39" s="99">
        <f t="shared" si="9"/>
        <v>2184869.1101639792</v>
      </c>
      <c r="AJ39" s="99">
        <f t="shared" si="9"/>
        <v>2094453.1978442634</v>
      </c>
      <c r="AK39" s="99">
        <f t="shared" si="9"/>
        <v>2004037.2855245485</v>
      </c>
      <c r="AL39" s="99">
        <f t="shared" si="9"/>
        <v>1913621.3732048329</v>
      </c>
      <c r="AM39" s="99">
        <f t="shared" si="9"/>
        <v>1823205.4608851175</v>
      </c>
      <c r="AN39" s="99">
        <f t="shared" si="9"/>
        <v>1732789.5485654022</v>
      </c>
      <c r="AO39" s="99">
        <f t="shared" si="9"/>
        <v>1642373.6362456868</v>
      </c>
      <c r="AP39" s="99">
        <f t="shared" si="9"/>
        <v>1551957.7239259714</v>
      </c>
      <c r="AQ39" s="99">
        <f t="shared" si="9"/>
        <v>1461541.8116062561</v>
      </c>
      <c r="AR39" s="99">
        <f t="shared" si="9"/>
        <v>1371125.8992865409</v>
      </c>
      <c r="AS39" s="99">
        <f t="shared" si="9"/>
        <v>-4569.1637161040671</v>
      </c>
      <c r="AT39" s="99">
        <f t="shared" si="9"/>
        <v>-4569.1637161040671</v>
      </c>
      <c r="AU39" s="105">
        <f t="shared" si="3"/>
        <v>134642683.54759735</v>
      </c>
    </row>
    <row r="40" spans="1:47" x14ac:dyDescent="0.2">
      <c r="A40" s="157">
        <f t="shared" ref="A40:A66" si="10">A39+1</f>
        <v>10</v>
      </c>
      <c r="B40" s="2"/>
      <c r="C40" s="2"/>
      <c r="D40" s="122"/>
      <c r="E40" s="41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105">
        <f t="shared" si="3"/>
        <v>0</v>
      </c>
    </row>
    <row r="41" spans="1:47" x14ac:dyDescent="0.2">
      <c r="A41" s="157">
        <f t="shared" si="10"/>
        <v>11</v>
      </c>
      <c r="B41" s="2"/>
      <c r="C41" s="2"/>
      <c r="D41" s="122"/>
      <c r="E41" s="38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5">
        <f t="shared" si="3"/>
        <v>0</v>
      </c>
    </row>
    <row r="42" spans="1:47" x14ac:dyDescent="0.2">
      <c r="A42" s="157">
        <f t="shared" si="10"/>
        <v>12</v>
      </c>
      <c r="B42" s="163" t="s">
        <v>177</v>
      </c>
      <c r="C42" s="163"/>
      <c r="D42" s="164"/>
      <c r="E42" s="166">
        <f>E39</f>
        <v>5839513.0924098743</v>
      </c>
      <c r="F42" s="100">
        <f>F39</f>
        <v>5696436.6676101256</v>
      </c>
      <c r="G42" s="100">
        <f t="shared" ref="G42:AT42" si="11">G39</f>
        <v>5539308.1578410044</v>
      </c>
      <c r="H42" s="100">
        <f t="shared" si="11"/>
        <v>5387182.1327107921</v>
      </c>
      <c r="I42" s="100">
        <f t="shared" si="11"/>
        <v>5239684.125998918</v>
      </c>
      <c r="J42" s="100">
        <f t="shared" si="11"/>
        <v>5096468.4765787004</v>
      </c>
      <c r="K42" s="100">
        <f t="shared" si="11"/>
        <v>4957213.5275683673</v>
      </c>
      <c r="L42" s="100">
        <f t="shared" si="11"/>
        <v>4821621.6263310574</v>
      </c>
      <c r="M42" s="100">
        <f t="shared" si="11"/>
        <v>4688074.8867599405</v>
      </c>
      <c r="N42" s="100">
        <f t="shared" si="11"/>
        <v>4554820.9989767056</v>
      </c>
      <c r="O42" s="100">
        <f t="shared" si="11"/>
        <v>4421567.1111934716</v>
      </c>
      <c r="P42" s="100">
        <f t="shared" si="11"/>
        <v>4288313.2234102385</v>
      </c>
      <c r="Q42" s="100">
        <f t="shared" si="11"/>
        <v>4155059.3356270045</v>
      </c>
      <c r="R42" s="100">
        <f t="shared" si="11"/>
        <v>4021805.4478437705</v>
      </c>
      <c r="S42" s="100">
        <f t="shared" si="11"/>
        <v>3888551.560060537</v>
      </c>
      <c r="T42" s="100">
        <f t="shared" si="11"/>
        <v>3755297.6722773034</v>
      </c>
      <c r="U42" s="100">
        <f t="shared" si="11"/>
        <v>3622043.7844940685</v>
      </c>
      <c r="V42" s="100">
        <f t="shared" si="11"/>
        <v>3488789.8967108349</v>
      </c>
      <c r="W42" s="100">
        <f t="shared" si="11"/>
        <v>3355536.0089276009</v>
      </c>
      <c r="X42" s="100">
        <f t="shared" si="11"/>
        <v>3222282.1211443669</v>
      </c>
      <c r="Y42" s="100">
        <f t="shared" si="11"/>
        <v>3099738.927439258</v>
      </c>
      <c r="Z42" s="100">
        <f t="shared" si="11"/>
        <v>2998612.3210414178</v>
      </c>
      <c r="AA42" s="100">
        <f t="shared" si="11"/>
        <v>2908196.4087217017</v>
      </c>
      <c r="AB42" s="100">
        <f t="shared" si="11"/>
        <v>2817780.4964019866</v>
      </c>
      <c r="AC42" s="100">
        <f t="shared" si="11"/>
        <v>2727364.5840822714</v>
      </c>
      <c r="AD42" s="100">
        <f t="shared" si="11"/>
        <v>2636948.6717625558</v>
      </c>
      <c r="AE42" s="100">
        <f t="shared" si="11"/>
        <v>2546532.7594428407</v>
      </c>
      <c r="AF42" s="100">
        <f t="shared" si="11"/>
        <v>2456116.8471231251</v>
      </c>
      <c r="AG42" s="100">
        <f t="shared" si="11"/>
        <v>2365700.93480341</v>
      </c>
      <c r="AH42" s="100">
        <f t="shared" si="11"/>
        <v>2275285.0224836948</v>
      </c>
      <c r="AI42" s="100">
        <f t="shared" si="11"/>
        <v>2184869.1101639792</v>
      </c>
      <c r="AJ42" s="100">
        <f t="shared" si="11"/>
        <v>2094453.1978442634</v>
      </c>
      <c r="AK42" s="100">
        <f t="shared" si="11"/>
        <v>2004037.2855245485</v>
      </c>
      <c r="AL42" s="100">
        <f t="shared" si="11"/>
        <v>1913621.3732048329</v>
      </c>
      <c r="AM42" s="100">
        <f t="shared" si="11"/>
        <v>1823205.4608851175</v>
      </c>
      <c r="AN42" s="100">
        <f t="shared" si="11"/>
        <v>1732789.5485654022</v>
      </c>
      <c r="AO42" s="100">
        <f t="shared" si="11"/>
        <v>1642373.6362456868</v>
      </c>
      <c r="AP42" s="100">
        <f t="shared" si="11"/>
        <v>1551957.7239259714</v>
      </c>
      <c r="AQ42" s="100">
        <f t="shared" si="11"/>
        <v>1461541.8116062561</v>
      </c>
      <c r="AR42" s="100">
        <f t="shared" si="11"/>
        <v>1371125.8992865409</v>
      </c>
      <c r="AS42" s="100">
        <f t="shared" si="11"/>
        <v>-4569.1637161040671</v>
      </c>
      <c r="AT42" s="100">
        <f t="shared" si="11"/>
        <v>-4569.1637161040671</v>
      </c>
      <c r="AU42" s="105">
        <f t="shared" si="3"/>
        <v>134642683.54759735</v>
      </c>
    </row>
    <row r="43" spans="1:47" x14ac:dyDescent="0.2">
      <c r="A43" s="157">
        <f t="shared" si="10"/>
        <v>13</v>
      </c>
      <c r="B43" s="2"/>
      <c r="C43" s="2"/>
      <c r="D43" s="122"/>
      <c r="E43" s="83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</row>
    <row r="44" spans="1:47" outlineLevel="1" x14ac:dyDescent="0.2">
      <c r="A44" s="157">
        <f t="shared" si="10"/>
        <v>14</v>
      </c>
      <c r="B44" s="2"/>
      <c r="C44" s="2"/>
      <c r="D44" s="122"/>
      <c r="E44" s="43"/>
      <c r="F44" s="122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</row>
    <row r="45" spans="1:47" outlineLevel="1" x14ac:dyDescent="0.2">
      <c r="A45" s="157">
        <f t="shared" si="10"/>
        <v>15</v>
      </c>
      <c r="B45" s="2" t="s">
        <v>63</v>
      </c>
      <c r="C45" s="122"/>
      <c r="D45" s="122"/>
      <c r="E45" s="45">
        <f>+E42/$F$22</f>
        <v>0.11509460083193929</v>
      </c>
      <c r="F45" s="101">
        <f t="shared" ref="F45:AT45" si="12">+F42/$F$22</f>
        <v>0.11227461845666349</v>
      </c>
      <c r="G45" s="101">
        <f t="shared" si="12"/>
        <v>0.10917767478601728</v>
      </c>
      <c r="H45" s="101">
        <f t="shared" si="12"/>
        <v>0.10617932820104786</v>
      </c>
      <c r="I45" s="101">
        <f t="shared" si="12"/>
        <v>0.10327219811376792</v>
      </c>
      <c r="J45" s="101">
        <f t="shared" si="12"/>
        <v>0.10044947167372761</v>
      </c>
      <c r="K45" s="101">
        <f t="shared" si="12"/>
        <v>9.7704809145091678E-2</v>
      </c>
      <c r="L45" s="101">
        <f t="shared" si="12"/>
        <v>9.5032343906639477E-2</v>
      </c>
      <c r="M45" s="101">
        <f t="shared" si="12"/>
        <v>9.2400188033348762E-2</v>
      </c>
      <c r="N45" s="101">
        <f t="shared" si="12"/>
        <v>8.9773804158355827E-2</v>
      </c>
      <c r="O45" s="101">
        <f t="shared" si="12"/>
        <v>8.7147420283362906E-2</v>
      </c>
      <c r="P45" s="101">
        <f t="shared" si="12"/>
        <v>8.4521036408369998E-2</v>
      </c>
      <c r="Q45" s="101">
        <f t="shared" si="12"/>
        <v>8.1894652533377077E-2</v>
      </c>
      <c r="R45" s="101">
        <f t="shared" si="12"/>
        <v>7.9268268658384156E-2</v>
      </c>
      <c r="S45" s="101">
        <f t="shared" si="12"/>
        <v>7.6641884783391248E-2</v>
      </c>
      <c r="T45" s="101">
        <f t="shared" si="12"/>
        <v>7.4015500908398327E-2</v>
      </c>
      <c r="U45" s="101">
        <f t="shared" si="12"/>
        <v>7.1389117033405391E-2</v>
      </c>
      <c r="V45" s="101">
        <f t="shared" si="12"/>
        <v>6.876273315841247E-2</v>
      </c>
      <c r="W45" s="101">
        <f t="shared" si="12"/>
        <v>6.6136349283419549E-2</v>
      </c>
      <c r="X45" s="101">
        <f t="shared" si="12"/>
        <v>6.3509965408426627E-2</v>
      </c>
      <c r="Y45" s="101">
        <f t="shared" si="12"/>
        <v>6.1094685274455732E-2</v>
      </c>
      <c r="Z45" s="101">
        <f t="shared" si="12"/>
        <v>5.9101517999605981E-2</v>
      </c>
      <c r="AA45" s="101">
        <f t="shared" si="12"/>
        <v>5.7319454465778227E-2</v>
      </c>
      <c r="AB45" s="101">
        <f t="shared" si="12"/>
        <v>5.5537390931950502E-2</v>
      </c>
      <c r="AC45" s="101">
        <f t="shared" si="12"/>
        <v>5.3755327398122769E-2</v>
      </c>
      <c r="AD45" s="101">
        <f t="shared" si="12"/>
        <v>5.197326386429503E-2</v>
      </c>
      <c r="AE45" s="101">
        <f t="shared" si="12"/>
        <v>5.0191200330467298E-2</v>
      </c>
      <c r="AF45" s="101">
        <f t="shared" si="12"/>
        <v>4.8409136796639565E-2</v>
      </c>
      <c r="AG45" s="101">
        <f t="shared" si="12"/>
        <v>4.6627073262811833E-2</v>
      </c>
      <c r="AH45" s="101">
        <f t="shared" si="12"/>
        <v>4.48450097289841E-2</v>
      </c>
      <c r="AI45" s="101">
        <f t="shared" si="12"/>
        <v>4.3062946195156361E-2</v>
      </c>
      <c r="AJ45" s="101">
        <f t="shared" si="12"/>
        <v>4.1280882661328622E-2</v>
      </c>
      <c r="AK45" s="101">
        <f t="shared" si="12"/>
        <v>3.9498819127500896E-2</v>
      </c>
      <c r="AL45" s="101">
        <f t="shared" si="12"/>
        <v>3.7716755593673157E-2</v>
      </c>
      <c r="AM45" s="101">
        <f t="shared" si="12"/>
        <v>3.5934692059845424E-2</v>
      </c>
      <c r="AN45" s="101">
        <f t="shared" si="12"/>
        <v>3.4152628526017685E-2</v>
      </c>
      <c r="AO45" s="101">
        <f t="shared" si="12"/>
        <v>3.2370564992189953E-2</v>
      </c>
      <c r="AP45" s="101">
        <f t="shared" si="12"/>
        <v>3.0588501458362217E-2</v>
      </c>
      <c r="AQ45" s="101">
        <f t="shared" si="12"/>
        <v>2.8806437924534484E-2</v>
      </c>
      <c r="AR45" s="101">
        <f t="shared" si="12"/>
        <v>2.7024374390706755E-2</v>
      </c>
      <c r="AS45" s="101">
        <f t="shared" si="12"/>
        <v>-9.0056493703955911E-5</v>
      </c>
      <c r="AT45" s="101">
        <f t="shared" si="12"/>
        <v>-9.0056493703955911E-5</v>
      </c>
    </row>
    <row r="46" spans="1:47" outlineLevel="1" x14ac:dyDescent="0.2">
      <c r="A46" s="157">
        <f t="shared" si="10"/>
        <v>16</v>
      </c>
      <c r="B46" s="2"/>
      <c r="C46" s="2"/>
      <c r="D46" s="122"/>
      <c r="E46" s="43"/>
      <c r="F46" s="122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</row>
    <row r="47" spans="1:47" outlineLevel="1" x14ac:dyDescent="0.2">
      <c r="A47" s="157">
        <f t="shared" si="10"/>
        <v>17</v>
      </c>
      <c r="B47" s="2"/>
      <c r="C47" s="2"/>
      <c r="D47" s="122"/>
      <c r="E47" s="43">
        <f>+E27/2</f>
        <v>635010.22964905144</v>
      </c>
      <c r="F47" s="99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</row>
    <row r="48" spans="1:47" outlineLevel="1" x14ac:dyDescent="0.2">
      <c r="A48" s="157">
        <f t="shared" si="10"/>
        <v>18</v>
      </c>
      <c r="B48" s="2"/>
      <c r="C48" s="2"/>
      <c r="D48" s="122"/>
      <c r="E48" s="43">
        <f>+E60/2</f>
        <v>66423.363701824259</v>
      </c>
      <c r="F48" s="99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</row>
    <row r="49" spans="1:47" x14ac:dyDescent="0.2">
      <c r="A49" s="157">
        <f t="shared" si="10"/>
        <v>19</v>
      </c>
      <c r="B49" s="46" t="s">
        <v>64</v>
      </c>
      <c r="C49" s="2"/>
      <c r="D49" s="122"/>
      <c r="E49" s="41">
        <f>F22-E27/2-E60/2</f>
        <v>50035204.356649138</v>
      </c>
      <c r="F49" s="118">
        <f>$F$22-(SUM($E$27:E27)+F27/2)-(SUM($E$60:E60)+F60/2)</f>
        <v>48447531.503046408</v>
      </c>
      <c r="G49" s="118">
        <f>$F$22-(SUM($E$27:F27)+G27/2)-(SUM($E$60:F60)+G60/2)</f>
        <v>46703927.20320005</v>
      </c>
      <c r="H49" s="118">
        <f>$F$22-(SUM($E$27:G27)+H27/2)-(SUM($E$60:G60)+H60/2)</f>
        <v>45015833.85893479</v>
      </c>
      <c r="I49" s="118">
        <f>$F$22-(SUM($E$27:H27)+I27/2)-(SUM($E$60:H60)+I60/2)</f>
        <v>43379096.139602512</v>
      </c>
      <c r="J49" s="118">
        <f>$F$22-(SUM($E$27:I27)+J27/2)-(SUM($E$60:I60)+J60/2)</f>
        <v>41789878.355374202</v>
      </c>
      <c r="K49" s="118">
        <f>$F$22-(SUM($E$27:J27)+K27/2)-(SUM($E$60:J60)+K60/2)</f>
        <v>40244611.183770083</v>
      </c>
      <c r="L49" s="118">
        <f>$F$22-(SUM($E$27:K27)+L27/2)-(SUM($E$60:K60)+L60/2)</f>
        <v>38739991.669659607</v>
      </c>
      <c r="M49" s="118">
        <f>$F$22-(SUM($E$27:L27)+M27/2)-(SUM($E$60:L60)+M60/2)</f>
        <v>37258066.653704166</v>
      </c>
      <c r="N49" s="118">
        <f>$F$22-(SUM($E$27:M27)+N27/2)-(SUM($E$60:M60)+N60/2)</f>
        <v>35779391.319409423</v>
      </c>
      <c r="O49" s="118">
        <f>$F$22-(SUM($E$27:N27)+O27/2)-(SUM($E$60:N60)+O60/2)</f>
        <v>34300715.985114679</v>
      </c>
      <c r="P49" s="118">
        <f>$F$22-(SUM($E$27:O27)+P27/2)-(SUM($E$60:O60)+P60/2)</f>
        <v>32822040.650819935</v>
      </c>
      <c r="Q49" s="118">
        <f>$F$22-(SUM($E$27:P27)+Q27/2)-(SUM($E$60:P60)+Q60/2)</f>
        <v>31343365.316525191</v>
      </c>
      <c r="R49" s="118">
        <f>$F$22-(SUM($E$27:Q27)+R27/2)-(SUM($E$60:Q60)+R60/2)</f>
        <v>29864689.982230444</v>
      </c>
      <c r="S49" s="118">
        <f>$F$22-(SUM($E$27:R27)+S27/2)-(SUM($E$60:R60)+S60/2)</f>
        <v>28386014.647935703</v>
      </c>
      <c r="T49" s="118">
        <f>$F$22-(SUM($E$27:S27)+T27/2)-(SUM($E$60:S60)+T60/2)</f>
        <v>26907339.313640956</v>
      </c>
      <c r="U49" s="118">
        <f>$F$22-(SUM($E$27:T27)+U27/2)-(SUM($E$60:T60)+U60/2)</f>
        <v>25428663.979346212</v>
      </c>
      <c r="V49" s="118">
        <f>$F$22-(SUM($E$27:U27)+V27/2)-(SUM($E$60:U60)+V60/2)</f>
        <v>23949988.645051468</v>
      </c>
      <c r="W49" s="118">
        <f>$F$22-(SUM($E$27:V27)+W27/2)-(SUM($E$60:V60)+W60/2)</f>
        <v>22471313.310756721</v>
      </c>
      <c r="X49" s="118">
        <f>$F$22-(SUM($E$27:W27)+X27/2)-(SUM($E$60:W60)+X60/2)</f>
        <v>20992637.976461977</v>
      </c>
      <c r="Y49" s="118">
        <f>$F$22-(SUM($E$27:X27)+Y27/2)-(SUM($E$60:X60)+Y60/2)</f>
        <v>19632815.753397003</v>
      </c>
      <c r="Z49" s="118">
        <f>$F$22-(SUM($E$27:Y27)+Z27/2)-(SUM($E$60:Y60)+Z60/2)</f>
        <v>18510646.479321729</v>
      </c>
      <c r="AA49" s="118">
        <f>$F$22-(SUM($E$27:Z27)+AA27/2)-(SUM($E$60:Z60)+AA60/2)</f>
        <v>17507330.316476226</v>
      </c>
      <c r="AB49" s="118">
        <f>$F$22-(SUM($E$27:AA27)+AB27/2)-(SUM($E$60:AA60)+AB60/2)</f>
        <v>16504014.153630722</v>
      </c>
      <c r="AC49" s="118">
        <f>$F$22-(SUM($E$27:AB27)+AC27/2)-(SUM($E$60:AB60)+AC60/2)</f>
        <v>15500697.990785221</v>
      </c>
      <c r="AD49" s="118">
        <f>$F$22-(SUM($E$27:AC27)+AD27/2)-(SUM($E$60:AC60)+AD60/2)</f>
        <v>14497381.827939717</v>
      </c>
      <c r="AE49" s="118">
        <f>$F$22-(SUM($E$27:AD27)+AE27/2)-(SUM($E$60:AD60)+AE60/2)</f>
        <v>13494065.665094219</v>
      </c>
      <c r="AF49" s="118">
        <f>$F$22-(SUM($E$27:AE27)+AF27/2)-(SUM($E$60:AE60)+AF60/2)</f>
        <v>12490749.502248716</v>
      </c>
      <c r="AG49" s="118">
        <f>$F$22-(SUM($E$27:AF27)+AG27/2)-(SUM($E$60:AF60)+AG60/2)</f>
        <v>11487433.339403214</v>
      </c>
      <c r="AH49" s="118">
        <f>$F$22-(SUM($E$27:AG27)+AH27/2)-(SUM($E$60:AG60)+AH60/2)</f>
        <v>10484117.17655771</v>
      </c>
      <c r="AI49" s="118">
        <f>$F$22-(SUM($E$27:AH27)+AI27/2)-(SUM($E$60:AH60)+AI60/2)</f>
        <v>9480801.0137122087</v>
      </c>
      <c r="AJ49" s="118">
        <f>$F$22-(SUM($E$27:AI27)+AJ27/2)-(SUM($E$60:AI60)+AJ60/2)</f>
        <v>8477484.8508667052</v>
      </c>
      <c r="AK49" s="118">
        <f>$F$22-(SUM($E$27:AJ27)+AK27/2)-(SUM($E$60:AJ60)+AK60/2)</f>
        <v>7474168.6880212035</v>
      </c>
      <c r="AL49" s="118">
        <f>$F$22-(SUM($E$27:AK27)+AL27/2)-(SUM($E$60:AK60)+AL60/2)</f>
        <v>6470852.5251757009</v>
      </c>
      <c r="AM49" s="118">
        <f>$F$22-(SUM($E$27:AL27)+AM27/2)-(SUM($E$60:AL60)+AM60/2)</f>
        <v>5467536.3623301983</v>
      </c>
      <c r="AN49" s="118">
        <f>$F$22-(SUM($E$27:AM27)+AN27/2)-(SUM($E$60:AM60)+AN60/2)</f>
        <v>4464220.1994846957</v>
      </c>
      <c r="AO49" s="118">
        <f>$F$22-(SUM($E$27:AN27)+AO27/2)-(SUM($E$60:AN60)+AO60/2)</f>
        <v>3460904.0366391935</v>
      </c>
      <c r="AP49" s="118">
        <f>$F$22-(SUM($E$27:AO27)+AP27/2)-(SUM($E$60:AO60)+AP60/2)</f>
        <v>2457587.8737936914</v>
      </c>
      <c r="AQ49" s="118">
        <f>$F$22-(SUM($E$27:AP27)+AQ27/2)-(SUM($E$60:AP60)+AQ60/2)</f>
        <v>1454271.7109481888</v>
      </c>
      <c r="AR49" s="118">
        <f>$F$22-(SUM($E$27:AQ27)+AR27/2)-(SUM($E$60:AQ60)+AR60/2)</f>
        <v>450955.54810268641</v>
      </c>
      <c r="AS49" s="118">
        <f>$F$22-(SUM($E$27:AR27)+AS27/2)-(SUM($E$60:AR60)+AS60/2)</f>
        <v>-50702.533320064831</v>
      </c>
      <c r="AT49" s="118">
        <f>$F$22-(SUM($E$27:AR27)+AT27/2)-(SUM($E$60:AR60)+AT60/2)</f>
        <v>-50702.533320064831</v>
      </c>
      <c r="AU49" s="105">
        <f t="shared" ref="AU49:AU60" si="13">SUM(D49:AT49)</f>
        <v>903526931.99852264</v>
      </c>
    </row>
    <row r="50" spans="1:47" x14ac:dyDescent="0.2">
      <c r="A50" s="157">
        <f t="shared" si="10"/>
        <v>20</v>
      </c>
      <c r="B50" s="2"/>
      <c r="C50" s="2"/>
      <c r="D50" s="122"/>
      <c r="E50" s="84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5">
        <f t="shared" si="13"/>
        <v>0</v>
      </c>
    </row>
    <row r="51" spans="1:47" x14ac:dyDescent="0.2">
      <c r="A51" s="157">
        <f t="shared" si="10"/>
        <v>21</v>
      </c>
      <c r="B51" s="2"/>
      <c r="C51" s="2"/>
      <c r="D51" s="122"/>
      <c r="E51" s="38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5">
        <f t="shared" si="13"/>
        <v>0</v>
      </c>
    </row>
    <row r="52" spans="1:47" x14ac:dyDescent="0.2">
      <c r="A52" s="157">
        <f t="shared" si="10"/>
        <v>22</v>
      </c>
      <c r="B52" s="2" t="s">
        <v>65</v>
      </c>
      <c r="C52" s="2"/>
      <c r="D52" s="122"/>
      <c r="E52" s="38">
        <f>(E34)/(1-$F$15)</f>
        <v>2888107.9983078488</v>
      </c>
      <c r="F52" s="102">
        <f t="shared" ref="F52:AT52" si="14">(F34)/(1-$F$15)</f>
        <v>2796465.1095429314</v>
      </c>
      <c r="G52" s="102">
        <f t="shared" si="14"/>
        <v>2695821.6208429392</v>
      </c>
      <c r="H52" s="102">
        <f t="shared" si="14"/>
        <v>2598382.3088195273</v>
      </c>
      <c r="I52" s="102">
        <f t="shared" si="14"/>
        <v>2503907.3214757908</v>
      </c>
      <c r="J52" s="102">
        <f t="shared" si="14"/>
        <v>2412175.2569684349</v>
      </c>
      <c r="K52" s="102">
        <f t="shared" si="14"/>
        <v>2322980.0885821716</v>
      </c>
      <c r="L52" s="102">
        <f t="shared" si="14"/>
        <v>2236131.1647297191</v>
      </c>
      <c r="M52" s="102">
        <f t="shared" si="14"/>
        <v>2150592.2017834303</v>
      </c>
      <c r="N52" s="102">
        <f t="shared" si="14"/>
        <v>2065240.8153988223</v>
      </c>
      <c r="O52" s="102">
        <f t="shared" si="14"/>
        <v>1979889.4290142143</v>
      </c>
      <c r="P52" s="102">
        <f t="shared" si="14"/>
        <v>1894538.0426296066</v>
      </c>
      <c r="Q52" s="102">
        <f t="shared" si="14"/>
        <v>1809186.6562449983</v>
      </c>
      <c r="R52" s="102">
        <f t="shared" si="14"/>
        <v>1723835.2698603901</v>
      </c>
      <c r="S52" s="102">
        <f t="shared" si="14"/>
        <v>1638483.8834757823</v>
      </c>
      <c r="T52" s="102">
        <f t="shared" si="14"/>
        <v>1553132.4970911744</v>
      </c>
      <c r="U52" s="102">
        <f t="shared" si="14"/>
        <v>1467781.1107065661</v>
      </c>
      <c r="V52" s="102">
        <f t="shared" si="14"/>
        <v>1382429.7243219581</v>
      </c>
      <c r="W52" s="102">
        <f t="shared" si="14"/>
        <v>1297078.3379373499</v>
      </c>
      <c r="X52" s="102">
        <f t="shared" si="14"/>
        <v>1211726.9515527419</v>
      </c>
      <c r="Y52" s="102">
        <f t="shared" si="14"/>
        <v>1133235.9472846878</v>
      </c>
      <c r="Z52" s="102">
        <f t="shared" si="14"/>
        <v>1068462.6322241405</v>
      </c>
      <c r="AA52" s="102">
        <f t="shared" si="14"/>
        <v>1010549.6992801467</v>
      </c>
      <c r="AB52" s="102">
        <f t="shared" si="14"/>
        <v>952636.76633615314</v>
      </c>
      <c r="AC52" s="102">
        <f t="shared" si="14"/>
        <v>894723.83339215966</v>
      </c>
      <c r="AD52" s="102">
        <f t="shared" si="14"/>
        <v>836810.90044816595</v>
      </c>
      <c r="AE52" s="102">
        <f t="shared" si="14"/>
        <v>778897.9675041727</v>
      </c>
      <c r="AF52" s="102">
        <f t="shared" si="14"/>
        <v>720985.03456017899</v>
      </c>
      <c r="AG52" s="102">
        <f t="shared" si="14"/>
        <v>663072.10161618551</v>
      </c>
      <c r="AH52" s="102">
        <f t="shared" si="14"/>
        <v>605159.16867219191</v>
      </c>
      <c r="AI52" s="102">
        <f t="shared" si="14"/>
        <v>547246.23572819843</v>
      </c>
      <c r="AJ52" s="102">
        <f t="shared" si="14"/>
        <v>489333.30278420477</v>
      </c>
      <c r="AK52" s="102">
        <f t="shared" si="14"/>
        <v>431420.36984021123</v>
      </c>
      <c r="AL52" s="102">
        <f t="shared" si="14"/>
        <v>373507.43689621764</v>
      </c>
      <c r="AM52" s="102">
        <f t="shared" si="14"/>
        <v>315594.5039522241</v>
      </c>
      <c r="AN52" s="102">
        <f t="shared" si="14"/>
        <v>257681.57100823053</v>
      </c>
      <c r="AO52" s="102">
        <f t="shared" si="14"/>
        <v>199768.63806423699</v>
      </c>
      <c r="AP52" s="102">
        <f t="shared" si="14"/>
        <v>141855.70512024345</v>
      </c>
      <c r="AQ52" s="102">
        <f t="shared" si="14"/>
        <v>83942.772176249884</v>
      </c>
      <c r="AR52" s="102">
        <f t="shared" si="14"/>
        <v>26029.839232256327</v>
      </c>
      <c r="AS52" s="102">
        <f t="shared" si="14"/>
        <v>-2926.6272397404509</v>
      </c>
      <c r="AT52" s="102">
        <f t="shared" si="14"/>
        <v>-2926.6272397404509</v>
      </c>
      <c r="AU52" s="105">
        <f t="shared" si="13"/>
        <v>52152946.960927382</v>
      </c>
    </row>
    <row r="53" spans="1:47" x14ac:dyDescent="0.2">
      <c r="A53" s="157">
        <f t="shared" si="10"/>
        <v>23</v>
      </c>
      <c r="B53" s="2" t="s">
        <v>66</v>
      </c>
      <c r="C53" s="2"/>
      <c r="D53" s="122"/>
      <c r="E53" s="40">
        <f t="shared" ref="E53:AT53" si="15">E52*$F15</f>
        <v>606502.67964464822</v>
      </c>
      <c r="F53" s="100">
        <f t="shared" si="15"/>
        <v>587257.67300401558</v>
      </c>
      <c r="G53" s="100">
        <f t="shared" si="15"/>
        <v>566122.54037701723</v>
      </c>
      <c r="H53" s="100">
        <f t="shared" si="15"/>
        <v>545660.28485210065</v>
      </c>
      <c r="I53" s="100">
        <f t="shared" si="15"/>
        <v>525820.537509916</v>
      </c>
      <c r="J53" s="100">
        <f t="shared" si="15"/>
        <v>506556.80396337132</v>
      </c>
      <c r="K53" s="100">
        <f t="shared" si="15"/>
        <v>487825.81860225601</v>
      </c>
      <c r="L53" s="100">
        <f t="shared" si="15"/>
        <v>469587.54459324101</v>
      </c>
      <c r="M53" s="100">
        <f t="shared" si="15"/>
        <v>451624.36237452034</v>
      </c>
      <c r="N53" s="100">
        <f t="shared" si="15"/>
        <v>433700.57123375265</v>
      </c>
      <c r="O53" s="100">
        <f t="shared" si="15"/>
        <v>415776.78009298496</v>
      </c>
      <c r="P53" s="100">
        <f t="shared" si="15"/>
        <v>397852.98895221739</v>
      </c>
      <c r="Q53" s="100">
        <f t="shared" si="15"/>
        <v>379929.19781144965</v>
      </c>
      <c r="R53" s="100">
        <f t="shared" si="15"/>
        <v>362005.4066706819</v>
      </c>
      <c r="S53" s="100">
        <f t="shared" si="15"/>
        <v>344081.61552991427</v>
      </c>
      <c r="T53" s="100">
        <f t="shared" si="15"/>
        <v>326157.82438914658</v>
      </c>
      <c r="U53" s="100">
        <f t="shared" si="15"/>
        <v>308234.0332483789</v>
      </c>
      <c r="V53" s="100">
        <f t="shared" si="15"/>
        <v>290310.24210761121</v>
      </c>
      <c r="W53" s="100">
        <f t="shared" si="15"/>
        <v>272386.45096684346</v>
      </c>
      <c r="X53" s="100">
        <f t="shared" si="15"/>
        <v>254462.6598260758</v>
      </c>
      <c r="Y53" s="100">
        <f t="shared" si="15"/>
        <v>237979.54892978442</v>
      </c>
      <c r="Z53" s="100">
        <f t="shared" si="15"/>
        <v>224377.15276706949</v>
      </c>
      <c r="AA53" s="100">
        <f t="shared" si="15"/>
        <v>212215.43684883081</v>
      </c>
      <c r="AB53" s="100">
        <f t="shared" si="15"/>
        <v>200053.72093059216</v>
      </c>
      <c r="AC53" s="100">
        <f t="shared" si="15"/>
        <v>187892.00501235353</v>
      </c>
      <c r="AD53" s="100">
        <f t="shared" si="15"/>
        <v>175730.28909411485</v>
      </c>
      <c r="AE53" s="100">
        <f t="shared" si="15"/>
        <v>163568.57317587626</v>
      </c>
      <c r="AF53" s="100">
        <f t="shared" si="15"/>
        <v>151406.85725763757</v>
      </c>
      <c r="AG53" s="100">
        <f t="shared" si="15"/>
        <v>139245.14133939895</v>
      </c>
      <c r="AH53" s="100">
        <f t="shared" si="15"/>
        <v>127083.4254211603</v>
      </c>
      <c r="AI53" s="100">
        <f t="shared" si="15"/>
        <v>114921.70950292167</v>
      </c>
      <c r="AJ53" s="100">
        <f t="shared" si="15"/>
        <v>102759.993584683</v>
      </c>
      <c r="AK53" s="100">
        <f t="shared" si="15"/>
        <v>90598.277666444352</v>
      </c>
      <c r="AL53" s="100">
        <f t="shared" si="15"/>
        <v>78436.561748205699</v>
      </c>
      <c r="AM53" s="100">
        <f t="shared" si="15"/>
        <v>66274.84582996706</v>
      </c>
      <c r="AN53" s="100">
        <f t="shared" si="15"/>
        <v>54113.129911728407</v>
      </c>
      <c r="AO53" s="100">
        <f t="shared" si="15"/>
        <v>41951.413993489768</v>
      </c>
      <c r="AP53" s="100">
        <f t="shared" si="15"/>
        <v>29789.698075251123</v>
      </c>
      <c r="AQ53" s="100">
        <f t="shared" si="15"/>
        <v>17627.982157012477</v>
      </c>
      <c r="AR53" s="100">
        <f t="shared" si="15"/>
        <v>5466.2662387738283</v>
      </c>
      <c r="AS53" s="100">
        <f t="shared" si="15"/>
        <v>-614.59172034549465</v>
      </c>
      <c r="AT53" s="100">
        <f t="shared" si="15"/>
        <v>-614.59172034549465</v>
      </c>
      <c r="AU53" s="105">
        <f t="shared" si="13"/>
        <v>10952118.861794746</v>
      </c>
    </row>
    <row r="54" spans="1:47" x14ac:dyDescent="0.2">
      <c r="A54" s="157">
        <f t="shared" si="10"/>
        <v>24</v>
      </c>
      <c r="B54" s="2" t="s">
        <v>67</v>
      </c>
      <c r="C54" s="2"/>
      <c r="D54" s="122"/>
      <c r="E54" s="38">
        <f>E52-E53</f>
        <v>2281605.3186632004</v>
      </c>
      <c r="F54" s="102">
        <f t="shared" ref="F54:AT54" si="16">F52-F53</f>
        <v>2209207.4365389161</v>
      </c>
      <c r="G54" s="102">
        <f t="shared" si="16"/>
        <v>2129699.0804659221</v>
      </c>
      <c r="H54" s="102">
        <f t="shared" si="16"/>
        <v>2052722.0239674267</v>
      </c>
      <c r="I54" s="102">
        <f t="shared" si="16"/>
        <v>1978086.7839658749</v>
      </c>
      <c r="J54" s="102">
        <f t="shared" si="16"/>
        <v>1905618.4530050636</v>
      </c>
      <c r="K54" s="102">
        <f t="shared" si="16"/>
        <v>1835154.2699799156</v>
      </c>
      <c r="L54" s="102">
        <f t="shared" si="16"/>
        <v>1766543.620136478</v>
      </c>
      <c r="M54" s="102">
        <f t="shared" si="16"/>
        <v>1698967.8394089099</v>
      </c>
      <c r="N54" s="102">
        <f t="shared" si="16"/>
        <v>1631540.2441650697</v>
      </c>
      <c r="O54" s="102">
        <f t="shared" si="16"/>
        <v>1564112.6489212294</v>
      </c>
      <c r="P54" s="102">
        <f t="shared" si="16"/>
        <v>1496685.0536773892</v>
      </c>
      <c r="Q54" s="102">
        <f t="shared" si="16"/>
        <v>1429257.4584335487</v>
      </c>
      <c r="R54" s="102">
        <f t="shared" si="16"/>
        <v>1361829.8631897082</v>
      </c>
      <c r="S54" s="102">
        <f t="shared" si="16"/>
        <v>1294402.267945868</v>
      </c>
      <c r="T54" s="102">
        <f t="shared" si="16"/>
        <v>1226974.6727020277</v>
      </c>
      <c r="U54" s="102">
        <f t="shared" si="16"/>
        <v>1159547.0774581872</v>
      </c>
      <c r="V54" s="102">
        <f t="shared" si="16"/>
        <v>1092119.482214347</v>
      </c>
      <c r="W54" s="102">
        <f t="shared" si="16"/>
        <v>1024691.8869705065</v>
      </c>
      <c r="X54" s="102">
        <f t="shared" si="16"/>
        <v>957264.29172666615</v>
      </c>
      <c r="Y54" s="102">
        <f t="shared" si="16"/>
        <v>895256.39835490333</v>
      </c>
      <c r="Z54" s="102">
        <f t="shared" si="16"/>
        <v>844085.47945707093</v>
      </c>
      <c r="AA54" s="102">
        <f t="shared" si="16"/>
        <v>798334.26243131596</v>
      </c>
      <c r="AB54" s="102">
        <f t="shared" si="16"/>
        <v>752583.04540556099</v>
      </c>
      <c r="AC54" s="102">
        <f t="shared" si="16"/>
        <v>706831.82837980613</v>
      </c>
      <c r="AD54" s="102">
        <f t="shared" si="16"/>
        <v>661080.61135405116</v>
      </c>
      <c r="AE54" s="102">
        <f t="shared" si="16"/>
        <v>615329.39432829642</v>
      </c>
      <c r="AF54" s="102">
        <f t="shared" si="16"/>
        <v>569578.17730254144</v>
      </c>
      <c r="AG54" s="102">
        <f t="shared" si="16"/>
        <v>523826.96027678659</v>
      </c>
      <c r="AH54" s="102">
        <f t="shared" si="16"/>
        <v>478075.74325103161</v>
      </c>
      <c r="AI54" s="102">
        <f t="shared" si="16"/>
        <v>432324.52622527676</v>
      </c>
      <c r="AJ54" s="102">
        <f t="shared" si="16"/>
        <v>386573.30919952178</v>
      </c>
      <c r="AK54" s="102">
        <f t="shared" si="16"/>
        <v>340822.09217376687</v>
      </c>
      <c r="AL54" s="102">
        <f t="shared" si="16"/>
        <v>295070.87514801195</v>
      </c>
      <c r="AM54" s="102">
        <f t="shared" si="16"/>
        <v>249319.65812225704</v>
      </c>
      <c r="AN54" s="102">
        <f t="shared" si="16"/>
        <v>203568.44109650212</v>
      </c>
      <c r="AO54" s="102">
        <f t="shared" si="16"/>
        <v>157817.22407074721</v>
      </c>
      <c r="AP54" s="102">
        <f t="shared" si="16"/>
        <v>112066.00704499232</v>
      </c>
      <c r="AQ54" s="102">
        <f t="shared" si="16"/>
        <v>66314.790019237407</v>
      </c>
      <c r="AR54" s="102">
        <f t="shared" si="16"/>
        <v>20563.572993482499</v>
      </c>
      <c r="AS54" s="102">
        <f t="shared" si="16"/>
        <v>-2312.0355193949563</v>
      </c>
      <c r="AT54" s="102">
        <f t="shared" si="16"/>
        <v>-2312.0355193949563</v>
      </c>
      <c r="AU54" s="105">
        <f t="shared" si="13"/>
        <v>41200828.099132642</v>
      </c>
    </row>
    <row r="55" spans="1:47" x14ac:dyDescent="0.2">
      <c r="A55" s="157">
        <f t="shared" si="10"/>
        <v>25</v>
      </c>
      <c r="B55" s="2"/>
      <c r="C55" s="2"/>
      <c r="D55" s="122"/>
      <c r="E55" s="124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05">
        <f t="shared" si="13"/>
        <v>0</v>
      </c>
    </row>
    <row r="56" spans="1:47" x14ac:dyDescent="0.2">
      <c r="A56" s="157">
        <f t="shared" si="10"/>
        <v>26</v>
      </c>
      <c r="B56" s="2"/>
      <c r="C56" s="2"/>
      <c r="D56" s="122"/>
      <c r="E56" s="84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05">
        <f t="shared" si="13"/>
        <v>0</v>
      </c>
    </row>
    <row r="57" spans="1:47" x14ac:dyDescent="0.2">
      <c r="A57" s="157">
        <f t="shared" si="10"/>
        <v>27</v>
      </c>
      <c r="B57" s="163" t="s">
        <v>68</v>
      </c>
      <c r="C57" s="163"/>
      <c r="D57" s="164"/>
      <c r="E57" s="165">
        <f>E27+E28</f>
        <v>1270020.4592981029</v>
      </c>
      <c r="F57" s="102">
        <f>F27</f>
        <v>1270020.4592981029</v>
      </c>
      <c r="G57" s="102">
        <f>G27</f>
        <v>1270020.4592981029</v>
      </c>
      <c r="H57" s="102">
        <f t="shared" ref="H57:AT57" si="17">H27</f>
        <v>1270020.4592981029</v>
      </c>
      <c r="I57" s="102">
        <f t="shared" si="17"/>
        <v>1270020.4592981029</v>
      </c>
      <c r="J57" s="102">
        <f t="shared" si="17"/>
        <v>1270020.4592981029</v>
      </c>
      <c r="K57" s="102">
        <f t="shared" si="17"/>
        <v>1270020.4592981029</v>
      </c>
      <c r="L57" s="102">
        <f t="shared" si="17"/>
        <v>1270020.4592981029</v>
      </c>
      <c r="M57" s="102">
        <f t="shared" si="17"/>
        <v>1270020.4592981029</v>
      </c>
      <c r="N57" s="102">
        <f t="shared" si="17"/>
        <v>1270020.4592981029</v>
      </c>
      <c r="O57" s="102">
        <f t="shared" si="17"/>
        <v>1270020.4592981029</v>
      </c>
      <c r="P57" s="102">
        <f t="shared" si="17"/>
        <v>1270020.4592981029</v>
      </c>
      <c r="Q57" s="102">
        <f t="shared" si="17"/>
        <v>1270020.4592981029</v>
      </c>
      <c r="R57" s="102">
        <f t="shared" si="17"/>
        <v>1270020.4592981029</v>
      </c>
      <c r="S57" s="102">
        <f t="shared" si="17"/>
        <v>1270020.4592981029</v>
      </c>
      <c r="T57" s="102">
        <f t="shared" si="17"/>
        <v>1270020.4592981029</v>
      </c>
      <c r="U57" s="102">
        <f t="shared" si="17"/>
        <v>1270020.4592981029</v>
      </c>
      <c r="V57" s="102">
        <f t="shared" si="17"/>
        <v>1270020.4592981029</v>
      </c>
      <c r="W57" s="102">
        <f t="shared" si="17"/>
        <v>1270020.4592981029</v>
      </c>
      <c r="X57" s="102">
        <f t="shared" si="17"/>
        <v>1270020.4592981029</v>
      </c>
      <c r="Y57" s="102">
        <f t="shared" si="17"/>
        <v>1270020.4592981029</v>
      </c>
      <c r="Z57" s="102">
        <f t="shared" si="17"/>
        <v>1270020.4592981029</v>
      </c>
      <c r="AA57" s="102">
        <f t="shared" si="17"/>
        <v>1270020.4592981029</v>
      </c>
      <c r="AB57" s="102">
        <f t="shared" si="17"/>
        <v>1270020.4592981029</v>
      </c>
      <c r="AC57" s="102">
        <f t="shared" si="17"/>
        <v>1270020.4592981029</v>
      </c>
      <c r="AD57" s="102">
        <f t="shared" si="17"/>
        <v>1270020.4592981029</v>
      </c>
      <c r="AE57" s="102">
        <f t="shared" si="17"/>
        <v>1270020.4592981029</v>
      </c>
      <c r="AF57" s="102">
        <f t="shared" si="17"/>
        <v>1270020.4592981029</v>
      </c>
      <c r="AG57" s="102">
        <f t="shared" si="17"/>
        <v>1270020.4592981029</v>
      </c>
      <c r="AH57" s="102">
        <f t="shared" si="17"/>
        <v>1270020.4592981029</v>
      </c>
      <c r="AI57" s="102">
        <f t="shared" si="17"/>
        <v>1270020.4592981029</v>
      </c>
      <c r="AJ57" s="102">
        <f t="shared" si="17"/>
        <v>1270020.4592981029</v>
      </c>
      <c r="AK57" s="102">
        <f t="shared" si="17"/>
        <v>1270020.4592981029</v>
      </c>
      <c r="AL57" s="102">
        <f t="shared" si="17"/>
        <v>1270020.4592981029</v>
      </c>
      <c r="AM57" s="102">
        <f t="shared" si="17"/>
        <v>1270020.4592981029</v>
      </c>
      <c r="AN57" s="102">
        <f t="shared" si="17"/>
        <v>1270020.4592981029</v>
      </c>
      <c r="AO57" s="102">
        <f t="shared" si="17"/>
        <v>1270020.4592981029</v>
      </c>
      <c r="AP57" s="102">
        <f t="shared" si="17"/>
        <v>1270020.4592981029</v>
      </c>
      <c r="AQ57" s="102">
        <f t="shared" si="17"/>
        <v>1270020.4592981029</v>
      </c>
      <c r="AR57" s="102">
        <f t="shared" si="17"/>
        <v>1270020.4592981029</v>
      </c>
      <c r="AS57" s="102">
        <f t="shared" si="17"/>
        <v>0</v>
      </c>
      <c r="AT57" s="102">
        <f t="shared" si="17"/>
        <v>0</v>
      </c>
      <c r="AU57" s="105">
        <f t="shared" si="13"/>
        <v>50800818.37192414</v>
      </c>
    </row>
    <row r="58" spans="1:47" x14ac:dyDescent="0.2">
      <c r="A58" s="157">
        <f t="shared" si="10"/>
        <v>28</v>
      </c>
      <c r="B58" s="2" t="s">
        <v>69</v>
      </c>
      <c r="C58" s="2"/>
      <c r="D58" s="122"/>
      <c r="E58" s="38">
        <f>$F22*E62</f>
        <v>1902623.9231250007</v>
      </c>
      <c r="F58" s="102">
        <f t="shared" ref="F58:AT58" si="18">$F22*F62</f>
        <v>3662677.8936105017</v>
      </c>
      <c r="G58" s="102">
        <f t="shared" si="18"/>
        <v>3387685.3159215008</v>
      </c>
      <c r="H58" s="102">
        <f t="shared" si="18"/>
        <v>3134002.1261715009</v>
      </c>
      <c r="I58" s="102">
        <f t="shared" si="18"/>
        <v>2898584.1260835011</v>
      </c>
      <c r="J58" s="102">
        <f t="shared" si="18"/>
        <v>2681431.3156575011</v>
      </c>
      <c r="K58" s="102">
        <f t="shared" si="18"/>
        <v>2480006.8629960008</v>
      </c>
      <c r="L58" s="102">
        <f t="shared" si="18"/>
        <v>2294310.7680990011</v>
      </c>
      <c r="M58" s="102">
        <f t="shared" si="18"/>
        <v>2263868.785329001</v>
      </c>
      <c r="N58" s="102">
        <f t="shared" si="18"/>
        <v>2263361.4189495011</v>
      </c>
      <c r="O58" s="102">
        <f t="shared" si="18"/>
        <v>2263868.785329001</v>
      </c>
      <c r="P58" s="102">
        <f t="shared" si="18"/>
        <v>2263361.4189495011</v>
      </c>
      <c r="Q58" s="102">
        <f t="shared" si="18"/>
        <v>2263868.785329001</v>
      </c>
      <c r="R58" s="102">
        <f t="shared" si="18"/>
        <v>2263361.4189495011</v>
      </c>
      <c r="S58" s="102">
        <f t="shared" si="18"/>
        <v>2263868.785329001</v>
      </c>
      <c r="T58" s="102">
        <f t="shared" si="18"/>
        <v>2263361.4189495011</v>
      </c>
      <c r="U58" s="102">
        <f t="shared" si="18"/>
        <v>2263868.785329001</v>
      </c>
      <c r="V58" s="102">
        <f t="shared" si="18"/>
        <v>2263361.4189495011</v>
      </c>
      <c r="W58" s="102">
        <f t="shared" si="18"/>
        <v>2263868.785329001</v>
      </c>
      <c r="X58" s="102">
        <f t="shared" si="18"/>
        <v>2263361.4189495011</v>
      </c>
      <c r="Y58" s="102">
        <f t="shared" si="18"/>
        <v>1131934.3926645005</v>
      </c>
      <c r="Z58" s="102">
        <f t="shared" si="18"/>
        <v>0</v>
      </c>
      <c r="AA58" s="102">
        <f t="shared" si="18"/>
        <v>0</v>
      </c>
      <c r="AB58" s="102">
        <f t="shared" si="18"/>
        <v>0</v>
      </c>
      <c r="AC58" s="102">
        <f t="shared" si="18"/>
        <v>0</v>
      </c>
      <c r="AD58" s="102">
        <f t="shared" si="18"/>
        <v>0</v>
      </c>
      <c r="AE58" s="102">
        <f t="shared" si="18"/>
        <v>0</v>
      </c>
      <c r="AF58" s="102">
        <f t="shared" si="18"/>
        <v>0</v>
      </c>
      <c r="AG58" s="102">
        <f t="shared" si="18"/>
        <v>0</v>
      </c>
      <c r="AH58" s="102">
        <f t="shared" si="18"/>
        <v>0</v>
      </c>
      <c r="AI58" s="102">
        <f t="shared" si="18"/>
        <v>0</v>
      </c>
      <c r="AJ58" s="102">
        <f t="shared" si="18"/>
        <v>0</v>
      </c>
      <c r="AK58" s="102">
        <f t="shared" si="18"/>
        <v>0</v>
      </c>
      <c r="AL58" s="102">
        <f t="shared" si="18"/>
        <v>0</v>
      </c>
      <c r="AM58" s="102">
        <f t="shared" si="18"/>
        <v>0</v>
      </c>
      <c r="AN58" s="102">
        <f t="shared" si="18"/>
        <v>0</v>
      </c>
      <c r="AO58" s="102">
        <f t="shared" si="18"/>
        <v>0</v>
      </c>
      <c r="AP58" s="102">
        <f t="shared" si="18"/>
        <v>0</v>
      </c>
      <c r="AQ58" s="102">
        <f t="shared" si="18"/>
        <v>0</v>
      </c>
      <c r="AR58" s="102">
        <f t="shared" si="18"/>
        <v>0</v>
      </c>
      <c r="AS58" s="102">
        <f t="shared" si="18"/>
        <v>0</v>
      </c>
      <c r="AT58" s="102">
        <f t="shared" si="18"/>
        <v>0</v>
      </c>
      <c r="AU58" s="105">
        <f t="shared" si="13"/>
        <v>50736637.950000003</v>
      </c>
    </row>
    <row r="59" spans="1:47" x14ac:dyDescent="0.2">
      <c r="A59" s="157">
        <f t="shared" si="10"/>
        <v>29</v>
      </c>
      <c r="B59" s="2" t="s">
        <v>70</v>
      </c>
      <c r="C59" s="2"/>
      <c r="D59" s="122"/>
      <c r="E59" s="38">
        <f>E58-E57</f>
        <v>632603.46382689779</v>
      </c>
      <c r="F59" s="102">
        <f>F58-F57</f>
        <v>2392657.4343123985</v>
      </c>
      <c r="G59" s="102">
        <f>G58-G57</f>
        <v>2117664.8566233981</v>
      </c>
      <c r="H59" s="102">
        <f t="shared" ref="H59:AT59" si="19">H58-H57</f>
        <v>1863981.666873398</v>
      </c>
      <c r="I59" s="102">
        <f t="shared" si="19"/>
        <v>1628563.6667853983</v>
      </c>
      <c r="J59" s="102">
        <f t="shared" si="19"/>
        <v>1411410.8563593982</v>
      </c>
      <c r="K59" s="102">
        <f t="shared" si="19"/>
        <v>1209986.4036978979</v>
      </c>
      <c r="L59" s="102">
        <f t="shared" si="19"/>
        <v>1024290.3088008983</v>
      </c>
      <c r="M59" s="102">
        <f t="shared" si="19"/>
        <v>993848.32603089814</v>
      </c>
      <c r="N59" s="102">
        <f t="shared" si="19"/>
        <v>993340.95965139824</v>
      </c>
      <c r="O59" s="102">
        <f t="shared" si="19"/>
        <v>993848.32603089814</v>
      </c>
      <c r="P59" s="102">
        <f t="shared" si="19"/>
        <v>993340.95965139824</v>
      </c>
      <c r="Q59" s="102">
        <f t="shared" si="19"/>
        <v>993848.32603089814</v>
      </c>
      <c r="R59" s="102">
        <f t="shared" si="19"/>
        <v>993340.95965139824</v>
      </c>
      <c r="S59" s="102">
        <f t="shared" si="19"/>
        <v>993848.32603089814</v>
      </c>
      <c r="T59" s="102">
        <f t="shared" si="19"/>
        <v>993340.95965139824</v>
      </c>
      <c r="U59" s="102">
        <f t="shared" si="19"/>
        <v>993848.32603089814</v>
      </c>
      <c r="V59" s="102">
        <f t="shared" si="19"/>
        <v>993340.95965139824</v>
      </c>
      <c r="W59" s="102">
        <f t="shared" si="19"/>
        <v>993848.32603089814</v>
      </c>
      <c r="X59" s="102">
        <f t="shared" si="19"/>
        <v>993340.95965139824</v>
      </c>
      <c r="Y59" s="102">
        <f t="shared" si="19"/>
        <v>-138086.06663360237</v>
      </c>
      <c r="Z59" s="102">
        <f t="shared" si="19"/>
        <v>-1270020.4592981029</v>
      </c>
      <c r="AA59" s="102">
        <f t="shared" si="19"/>
        <v>-1270020.4592981029</v>
      </c>
      <c r="AB59" s="102">
        <f t="shared" si="19"/>
        <v>-1270020.4592981029</v>
      </c>
      <c r="AC59" s="102">
        <f t="shared" si="19"/>
        <v>-1270020.4592981029</v>
      </c>
      <c r="AD59" s="102">
        <f t="shared" si="19"/>
        <v>-1270020.4592981029</v>
      </c>
      <c r="AE59" s="102">
        <f t="shared" si="19"/>
        <v>-1270020.4592981029</v>
      </c>
      <c r="AF59" s="102">
        <f t="shared" si="19"/>
        <v>-1270020.4592981029</v>
      </c>
      <c r="AG59" s="102">
        <f t="shared" si="19"/>
        <v>-1270020.4592981029</v>
      </c>
      <c r="AH59" s="102">
        <f t="shared" si="19"/>
        <v>-1270020.4592981029</v>
      </c>
      <c r="AI59" s="102">
        <f t="shared" si="19"/>
        <v>-1270020.4592981029</v>
      </c>
      <c r="AJ59" s="102">
        <f t="shared" si="19"/>
        <v>-1270020.4592981029</v>
      </c>
      <c r="AK59" s="102">
        <f t="shared" si="19"/>
        <v>-1270020.4592981029</v>
      </c>
      <c r="AL59" s="102">
        <f t="shared" si="19"/>
        <v>-1270020.4592981029</v>
      </c>
      <c r="AM59" s="102">
        <f t="shared" si="19"/>
        <v>-1270020.4592981029</v>
      </c>
      <c r="AN59" s="102">
        <f t="shared" si="19"/>
        <v>-1270020.4592981029</v>
      </c>
      <c r="AO59" s="102">
        <f t="shared" si="19"/>
        <v>-1270020.4592981029</v>
      </c>
      <c r="AP59" s="102">
        <f t="shared" si="19"/>
        <v>-1270020.4592981029</v>
      </c>
      <c r="AQ59" s="102">
        <f t="shared" si="19"/>
        <v>-1270020.4592981029</v>
      </c>
      <c r="AR59" s="102">
        <f t="shared" si="19"/>
        <v>-1270020.4592981029</v>
      </c>
      <c r="AS59" s="102">
        <f t="shared" si="19"/>
        <v>0</v>
      </c>
      <c r="AT59" s="102">
        <f t="shared" si="19"/>
        <v>0</v>
      </c>
      <c r="AU59" s="105">
        <f t="shared" si="13"/>
        <v>-64180.421924086753</v>
      </c>
    </row>
    <row r="60" spans="1:47" x14ac:dyDescent="0.2">
      <c r="A60" s="157">
        <f t="shared" si="10"/>
        <v>30</v>
      </c>
      <c r="B60" s="2" t="s">
        <v>71</v>
      </c>
      <c r="C60" s="2"/>
      <c r="D60" s="122"/>
      <c r="E60" s="38">
        <f>E59*F15</f>
        <v>132846.72740364852</v>
      </c>
      <c r="F60" s="102">
        <f t="shared" ref="F60:AT60" si="20">F59*$F$15</f>
        <v>502458.06120560365</v>
      </c>
      <c r="G60" s="102">
        <f t="shared" si="20"/>
        <v>444709.6198909136</v>
      </c>
      <c r="H60" s="102">
        <f t="shared" si="20"/>
        <v>391436.15004341357</v>
      </c>
      <c r="I60" s="102">
        <f t="shared" si="20"/>
        <v>341998.3700249336</v>
      </c>
      <c r="J60" s="102">
        <f t="shared" si="20"/>
        <v>296396.27983547363</v>
      </c>
      <c r="K60" s="102">
        <f t="shared" si="20"/>
        <v>254097.14477655856</v>
      </c>
      <c r="L60" s="102">
        <f t="shared" si="20"/>
        <v>215100.96484818863</v>
      </c>
      <c r="M60" s="102">
        <f t="shared" si="20"/>
        <v>208708.14846648861</v>
      </c>
      <c r="N60" s="102">
        <f t="shared" si="20"/>
        <v>208601.60152679362</v>
      </c>
      <c r="O60" s="102">
        <f t="shared" si="20"/>
        <v>208708.14846648861</v>
      </c>
      <c r="P60" s="102">
        <f t="shared" si="20"/>
        <v>208601.60152679362</v>
      </c>
      <c r="Q60" s="102">
        <f t="shared" si="20"/>
        <v>208708.14846648861</v>
      </c>
      <c r="R60" s="102">
        <f t="shared" si="20"/>
        <v>208601.60152679362</v>
      </c>
      <c r="S60" s="102">
        <f t="shared" si="20"/>
        <v>208708.14846648861</v>
      </c>
      <c r="T60" s="102">
        <f t="shared" si="20"/>
        <v>208601.60152679362</v>
      </c>
      <c r="U60" s="102">
        <f t="shared" si="20"/>
        <v>208708.14846648861</v>
      </c>
      <c r="V60" s="102">
        <f t="shared" si="20"/>
        <v>208601.60152679362</v>
      </c>
      <c r="W60" s="102">
        <f t="shared" si="20"/>
        <v>208708.14846648861</v>
      </c>
      <c r="X60" s="102">
        <f t="shared" si="20"/>
        <v>208601.60152679362</v>
      </c>
      <c r="Y60" s="102">
        <f t="shared" si="20"/>
        <v>-28998.073993056496</v>
      </c>
      <c r="Z60" s="102">
        <f t="shared" si="20"/>
        <v>-266704.29645260161</v>
      </c>
      <c r="AA60" s="102">
        <f t="shared" si="20"/>
        <v>-266704.29645260161</v>
      </c>
      <c r="AB60" s="102">
        <f t="shared" si="20"/>
        <v>-266704.29645260161</v>
      </c>
      <c r="AC60" s="102">
        <f t="shared" si="20"/>
        <v>-266704.29645260161</v>
      </c>
      <c r="AD60" s="102">
        <f t="shared" si="20"/>
        <v>-266704.29645260161</v>
      </c>
      <c r="AE60" s="102">
        <f t="shared" si="20"/>
        <v>-266704.29645260161</v>
      </c>
      <c r="AF60" s="102">
        <f t="shared" si="20"/>
        <v>-266704.29645260161</v>
      </c>
      <c r="AG60" s="102">
        <f t="shared" si="20"/>
        <v>-266704.29645260161</v>
      </c>
      <c r="AH60" s="102">
        <f t="shared" si="20"/>
        <v>-266704.29645260161</v>
      </c>
      <c r="AI60" s="102">
        <f t="shared" si="20"/>
        <v>-266704.29645260161</v>
      </c>
      <c r="AJ60" s="102">
        <f t="shared" si="20"/>
        <v>-266704.29645260161</v>
      </c>
      <c r="AK60" s="102">
        <f t="shared" si="20"/>
        <v>-266704.29645260161</v>
      </c>
      <c r="AL60" s="102">
        <f t="shared" si="20"/>
        <v>-266704.29645260161</v>
      </c>
      <c r="AM60" s="102">
        <f t="shared" si="20"/>
        <v>-266704.29645260161</v>
      </c>
      <c r="AN60" s="102">
        <f t="shared" si="20"/>
        <v>-266704.29645260161</v>
      </c>
      <c r="AO60" s="102">
        <f t="shared" si="20"/>
        <v>-266704.29645260161</v>
      </c>
      <c r="AP60" s="102">
        <f t="shared" si="20"/>
        <v>-266704.29645260161</v>
      </c>
      <c r="AQ60" s="102">
        <f t="shared" si="20"/>
        <v>-266704.29645260161</v>
      </c>
      <c r="AR60" s="102">
        <f t="shared" si="20"/>
        <v>-266704.29645260161</v>
      </c>
      <c r="AS60" s="102">
        <f t="shared" si="20"/>
        <v>0</v>
      </c>
      <c r="AT60" s="102">
        <f t="shared" si="20"/>
        <v>0</v>
      </c>
      <c r="AU60" s="105">
        <f t="shared" si="13"/>
        <v>-13477.888604056847</v>
      </c>
    </row>
    <row r="61" spans="1:47" x14ac:dyDescent="0.2">
      <c r="A61" s="157">
        <f t="shared" si="10"/>
        <v>31</v>
      </c>
      <c r="B61" s="2"/>
      <c r="C61" s="2"/>
      <c r="D61" s="122"/>
      <c r="E61" s="84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22"/>
    </row>
    <row r="62" spans="1:47" s="50" customFormat="1" x14ac:dyDescent="0.2">
      <c r="A62" s="157">
        <f t="shared" si="10"/>
        <v>32</v>
      </c>
      <c r="B62" s="2" t="str">
        <f t="shared" ref="B62" si="21">IF($F$18=1,B66,B65)</f>
        <v>MACRS Depreciation - 20</v>
      </c>
      <c r="C62" s="2"/>
      <c r="D62" s="47"/>
      <c r="E62" s="62">
        <f t="shared" ref="E62:Y62" si="22">IF($F$18=1,E66,E65)</f>
        <v>3.7499999999999999E-2</v>
      </c>
      <c r="F62" s="58">
        <f t="shared" si="22"/>
        <v>7.2190000000000004E-2</v>
      </c>
      <c r="G62" s="58">
        <f t="shared" si="22"/>
        <v>6.6769999999999996E-2</v>
      </c>
      <c r="H62" s="61">
        <f t="shared" si="22"/>
        <v>6.1769999999999999E-2</v>
      </c>
      <c r="I62" s="61">
        <f t="shared" si="22"/>
        <v>5.713E-2</v>
      </c>
      <c r="J62" s="61">
        <f t="shared" si="22"/>
        <v>5.2850000000000001E-2</v>
      </c>
      <c r="K62" s="61">
        <f t="shared" si="22"/>
        <v>4.888E-2</v>
      </c>
      <c r="L62" s="61">
        <f t="shared" si="22"/>
        <v>4.5220000000000003E-2</v>
      </c>
      <c r="M62" s="61">
        <f t="shared" si="22"/>
        <v>4.462E-2</v>
      </c>
      <c r="N62" s="61">
        <f t="shared" si="22"/>
        <v>4.4610000000000004E-2</v>
      </c>
      <c r="O62" s="61">
        <f t="shared" si="22"/>
        <v>4.462E-2</v>
      </c>
      <c r="P62" s="61">
        <f t="shared" si="22"/>
        <v>4.4610000000000004E-2</v>
      </c>
      <c r="Q62" s="61">
        <f t="shared" si="22"/>
        <v>4.462E-2</v>
      </c>
      <c r="R62" s="61">
        <f t="shared" si="22"/>
        <v>4.4610000000000004E-2</v>
      </c>
      <c r="S62" s="61">
        <f t="shared" si="22"/>
        <v>4.462E-2</v>
      </c>
      <c r="T62" s="61">
        <f t="shared" si="22"/>
        <v>4.4610000000000004E-2</v>
      </c>
      <c r="U62" s="61">
        <f t="shared" si="22"/>
        <v>4.462E-2</v>
      </c>
      <c r="V62" s="61">
        <f t="shared" si="22"/>
        <v>4.4610000000000004E-2</v>
      </c>
      <c r="W62" s="61">
        <f t="shared" si="22"/>
        <v>4.462E-2</v>
      </c>
      <c r="X62" s="61">
        <f t="shared" si="22"/>
        <v>4.4610000000000004E-2</v>
      </c>
      <c r="Y62" s="61">
        <f t="shared" si="22"/>
        <v>2.231E-2</v>
      </c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7"/>
    </row>
    <row r="63" spans="1:47" outlineLevel="1" x14ac:dyDescent="0.25">
      <c r="A63" s="157">
        <f t="shared" si="10"/>
        <v>33</v>
      </c>
      <c r="B63" s="2"/>
      <c r="C63" s="125"/>
      <c r="E63" s="126"/>
      <c r="F63" s="127"/>
      <c r="G63" s="127"/>
      <c r="H63" s="127"/>
      <c r="I63" s="127"/>
      <c r="J63" s="127"/>
      <c r="K63" s="127"/>
      <c r="L63" s="127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3"/>
    </row>
    <row r="64" spans="1:47" outlineLevel="1" x14ac:dyDescent="0.25">
      <c r="A64" s="157">
        <f t="shared" si="10"/>
        <v>34</v>
      </c>
      <c r="B64" s="2"/>
      <c r="C64" s="125"/>
      <c r="E64" s="126"/>
      <c r="F64" s="127"/>
      <c r="G64" s="127"/>
      <c r="H64" s="127"/>
      <c r="I64" s="127"/>
      <c r="J64" s="127"/>
      <c r="K64" s="127"/>
      <c r="L64" s="127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3"/>
    </row>
    <row r="65" spans="1:42" s="50" customFormat="1" x14ac:dyDescent="0.25">
      <c r="A65" s="157">
        <f t="shared" si="10"/>
        <v>35</v>
      </c>
      <c r="B65" s="2" t="s">
        <v>72</v>
      </c>
      <c r="C65" s="2"/>
      <c r="D65" s="51">
        <v>0</v>
      </c>
      <c r="E65" s="59">
        <f>'MACRS 20'!B5</f>
        <v>3.7499999999999999E-2</v>
      </c>
      <c r="F65" s="58">
        <f>'MACRS 20'!C5</f>
        <v>7.2190000000000004E-2</v>
      </c>
      <c r="G65" s="58">
        <f>'MACRS 20'!D5</f>
        <v>6.6769999999999996E-2</v>
      </c>
      <c r="H65" s="60">
        <f>'MACRS 20'!E5</f>
        <v>6.1769999999999999E-2</v>
      </c>
      <c r="I65" s="60">
        <f>'MACRS 20'!F5</f>
        <v>5.713E-2</v>
      </c>
      <c r="J65" s="60">
        <f>'MACRS 20'!G5</f>
        <v>5.2850000000000001E-2</v>
      </c>
      <c r="K65" s="60">
        <f>'MACRS 20'!H5</f>
        <v>4.888E-2</v>
      </c>
      <c r="L65" s="60">
        <f>'MACRS 20'!I5</f>
        <v>4.5220000000000003E-2</v>
      </c>
      <c r="M65" s="60">
        <f>'MACRS 20'!J5</f>
        <v>4.462E-2</v>
      </c>
      <c r="N65" s="60">
        <f>'MACRS 20'!K5</f>
        <v>4.4610000000000004E-2</v>
      </c>
      <c r="O65" s="60">
        <f>'MACRS 20'!L5</f>
        <v>4.462E-2</v>
      </c>
      <c r="P65" s="60">
        <f>'MACRS 20'!M5</f>
        <v>4.4610000000000004E-2</v>
      </c>
      <c r="Q65" s="60">
        <f>'MACRS 20'!N5</f>
        <v>4.462E-2</v>
      </c>
      <c r="R65" s="60">
        <f>'MACRS 20'!O5</f>
        <v>4.4610000000000004E-2</v>
      </c>
      <c r="S65" s="60">
        <f>'MACRS 20'!P5</f>
        <v>4.462E-2</v>
      </c>
      <c r="T65" s="60">
        <f>'MACRS 20'!Q5</f>
        <v>4.4610000000000004E-2</v>
      </c>
      <c r="U65" s="60">
        <f>'MACRS 20'!R5</f>
        <v>4.462E-2</v>
      </c>
      <c r="V65" s="60">
        <f>'MACRS 20'!S5</f>
        <v>4.4610000000000004E-2</v>
      </c>
      <c r="W65" s="60">
        <f>'MACRS 20'!T5</f>
        <v>4.462E-2</v>
      </c>
      <c r="X65" s="60">
        <f>'MACRS 20'!U5</f>
        <v>4.4610000000000004E-2</v>
      </c>
      <c r="Y65" s="60">
        <f>'MACRS 20'!V5</f>
        <v>2.231E-2</v>
      </c>
      <c r="Z65" s="52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7"/>
      <c r="AP65" s="53"/>
    </row>
    <row r="66" spans="1:42" x14ac:dyDescent="0.2">
      <c r="A66" s="157">
        <f t="shared" si="10"/>
        <v>36</v>
      </c>
      <c r="B66" s="2" t="s">
        <v>73</v>
      </c>
      <c r="C66" s="2"/>
      <c r="D66" s="51">
        <v>0</v>
      </c>
      <c r="E66" s="59">
        <f>'MACRS 20'!B6</f>
        <v>0.51875000000000004</v>
      </c>
      <c r="F66" s="58">
        <f>'MACRS 20'!C6</f>
        <v>3.6095000000000002E-2</v>
      </c>
      <c r="G66" s="58">
        <f>'MACRS 20'!D6</f>
        <v>3.3384999999999998E-2</v>
      </c>
      <c r="H66" s="61">
        <f>'MACRS 20'!E6</f>
        <v>3.0884999999999999E-2</v>
      </c>
      <c r="I66" s="61">
        <f>'MACRS 20'!F6</f>
        <v>2.8565E-2</v>
      </c>
      <c r="J66" s="61">
        <f>'MACRS 20'!G6</f>
        <v>2.6425000000000001E-2</v>
      </c>
      <c r="K66" s="61">
        <f>'MACRS 20'!H6</f>
        <v>2.444E-2</v>
      </c>
      <c r="L66" s="61">
        <f>'MACRS 20'!I6</f>
        <v>2.2610000000000002E-2</v>
      </c>
      <c r="M66" s="61">
        <f>'MACRS 20'!J6</f>
        <v>2.231E-2</v>
      </c>
      <c r="N66" s="61">
        <f>'MACRS 20'!K6</f>
        <v>2.2305000000000002E-2</v>
      </c>
      <c r="O66" s="61">
        <f>'MACRS 20'!L6</f>
        <v>2.231E-2</v>
      </c>
      <c r="P66" s="61">
        <f>'MACRS 20'!M6</f>
        <v>2.2305000000000002E-2</v>
      </c>
      <c r="Q66" s="61">
        <f>'MACRS 20'!N6</f>
        <v>2.231E-2</v>
      </c>
      <c r="R66" s="61">
        <f>'MACRS 20'!O6</f>
        <v>2.2305000000000002E-2</v>
      </c>
      <c r="S66" s="61">
        <f>'MACRS 20'!P6</f>
        <v>2.231E-2</v>
      </c>
      <c r="T66" s="61">
        <f>'MACRS 20'!Q6</f>
        <v>2.2305000000000002E-2</v>
      </c>
      <c r="U66" s="61">
        <f>'MACRS 20'!R6</f>
        <v>2.231E-2</v>
      </c>
      <c r="V66" s="61">
        <f>'MACRS 20'!S6</f>
        <v>2.2305000000000002E-2</v>
      </c>
      <c r="W66" s="61">
        <f>'MACRS 20'!T6</f>
        <v>2.231E-2</v>
      </c>
      <c r="X66" s="61">
        <f>'MACRS 20'!U6</f>
        <v>2.2305000000000002E-2</v>
      </c>
      <c r="Y66" s="61">
        <f>'MACRS 20'!V6</f>
        <v>1.1155E-2</v>
      </c>
      <c r="Z66" s="49"/>
      <c r="AA66" s="49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122"/>
      <c r="AO66" s="3"/>
      <c r="AP66" s="53">
        <f>SUM(D66:AO66)</f>
        <v>1.0000000000000004</v>
      </c>
    </row>
    <row r="69" spans="1:42" x14ac:dyDescent="0.25">
      <c r="B69" s="55"/>
    </row>
  </sheetData>
  <mergeCells count="1">
    <mergeCell ref="E1:F1"/>
  </mergeCells>
  <printOptions horizontalCentered="1"/>
  <pageMargins left="0.75" right="0.5" top="0.5" bottom="0.5" header="0.5" footer="0.25"/>
  <pageSetup scale="15" orientation="portrait" blackAndWhite="1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8"/>
  <sheetViews>
    <sheetView workbookViewId="0">
      <selection activeCell="F6" sqref="F6"/>
    </sheetView>
  </sheetViews>
  <sheetFormatPr defaultColWidth="8.85546875" defaultRowHeight="15" x14ac:dyDescent="0.25"/>
  <cols>
    <col min="1" max="1" width="8.85546875" style="169"/>
    <col min="2" max="2" width="29.5703125" style="169" customWidth="1"/>
    <col min="3" max="3" width="15.7109375" style="169" customWidth="1"/>
    <col min="4" max="4" width="15.42578125" style="296" customWidth="1"/>
    <col min="5" max="5" width="14.5703125" style="296" customWidth="1"/>
    <col min="6" max="6" width="15.42578125" style="296" customWidth="1"/>
    <col min="7" max="7" width="16.7109375" style="296" customWidth="1"/>
    <col min="8" max="8" width="19.5703125" style="296" bestFit="1" customWidth="1"/>
    <col min="9" max="16384" width="8.85546875" style="169"/>
  </cols>
  <sheetData>
    <row r="2" spans="2:8" x14ac:dyDescent="0.25">
      <c r="B2" s="222" t="s">
        <v>168</v>
      </c>
    </row>
    <row r="3" spans="2:8" ht="45" x14ac:dyDescent="0.25">
      <c r="B3" s="224" t="s">
        <v>175</v>
      </c>
      <c r="C3" s="225" t="s">
        <v>160</v>
      </c>
      <c r="D3" s="297" t="s">
        <v>192</v>
      </c>
      <c r="E3" s="297" t="s">
        <v>227</v>
      </c>
      <c r="F3" s="298" t="s">
        <v>90</v>
      </c>
      <c r="G3" s="297" t="s">
        <v>13</v>
      </c>
      <c r="H3" s="298" t="s">
        <v>174</v>
      </c>
    </row>
    <row r="4" spans="2:8" x14ac:dyDescent="0.25">
      <c r="B4" s="170" t="s">
        <v>169</v>
      </c>
      <c r="C4" s="171" t="s">
        <v>170</v>
      </c>
      <c r="D4" s="299">
        <v>1838576.0599999996</v>
      </c>
      <c r="E4" s="299">
        <v>2216955</v>
      </c>
      <c r="F4" s="299">
        <f>+D4+E4</f>
        <v>4055531.0599999996</v>
      </c>
      <c r="G4" s="300">
        <f>'CRM CAP Forecast'!B20</f>
        <v>3.1950138602539598E-2</v>
      </c>
      <c r="H4" s="301">
        <f>+G4*F4</f>
        <v>129574.77947390432</v>
      </c>
    </row>
    <row r="5" spans="2:8" x14ac:dyDescent="0.25">
      <c r="B5" s="170" t="s">
        <v>171</v>
      </c>
      <c r="C5" s="171" t="s">
        <v>95</v>
      </c>
      <c r="D5" s="302">
        <v>36238449.890000015</v>
      </c>
      <c r="E5" s="302">
        <v>10442657</v>
      </c>
      <c r="F5" s="302">
        <f>+D5+E5</f>
        <v>46681106.890000015</v>
      </c>
      <c r="G5" s="300">
        <f>'CRM CAP Forecast'!B19</f>
        <v>2.443056207967733E-2</v>
      </c>
      <c r="H5" s="303">
        <f>+G5*F5</f>
        <v>1140445.6798241986</v>
      </c>
    </row>
    <row r="6" spans="2:8" ht="15.75" thickBot="1" x14ac:dyDescent="0.3">
      <c r="B6" s="174" t="s">
        <v>90</v>
      </c>
      <c r="C6" s="175"/>
      <c r="D6" s="304">
        <f>SUM(D4:D5)</f>
        <v>38077025.950000018</v>
      </c>
      <c r="E6" s="304">
        <f t="shared" ref="E6:F6" si="0">SUM(E4:E5)</f>
        <v>12659612</v>
      </c>
      <c r="F6" s="304">
        <f t="shared" si="0"/>
        <v>50736637.950000018</v>
      </c>
      <c r="G6" s="305"/>
      <c r="H6" s="304">
        <f>SUM(H4:H5)</f>
        <v>1270020.4592981029</v>
      </c>
    </row>
    <row r="7" spans="2:8" ht="15.75" thickTop="1" x14ac:dyDescent="0.25">
      <c r="B7" s="156" t="s">
        <v>93</v>
      </c>
      <c r="D7" s="306"/>
      <c r="E7" s="306"/>
      <c r="F7" s="306"/>
      <c r="G7" s="300">
        <f>+H6/F6</f>
        <v>2.5031624297803957E-2</v>
      </c>
      <c r="H7" s="306"/>
    </row>
    <row r="8" spans="2:8" x14ac:dyDescent="0.25">
      <c r="B8" s="156" t="s">
        <v>203</v>
      </c>
      <c r="C8" s="296"/>
      <c r="D8" s="306"/>
      <c r="E8" s="306"/>
      <c r="F8" s="306"/>
      <c r="G8" s="307"/>
      <c r="H8" s="306"/>
    </row>
    <row r="9" spans="2:8" x14ac:dyDescent="0.25">
      <c r="B9" s="155" t="s">
        <v>83</v>
      </c>
      <c r="C9" s="320"/>
      <c r="D9" s="305"/>
      <c r="E9" s="305"/>
      <c r="F9" s="300">
        <f>+F4/F6</f>
        <v>7.9932987755251886E-2</v>
      </c>
      <c r="G9" s="300"/>
      <c r="H9" s="300">
        <f>+H4/H6</f>
        <v>0.10202574181010902</v>
      </c>
    </row>
    <row r="10" spans="2:8" x14ac:dyDescent="0.25">
      <c r="B10" s="320" t="s">
        <v>84</v>
      </c>
      <c r="C10" s="320"/>
      <c r="D10" s="305"/>
      <c r="E10" s="305"/>
      <c r="F10" s="300">
        <f>+F5/F6</f>
        <v>0.92006701224474807</v>
      </c>
      <c r="G10" s="300"/>
      <c r="H10" s="300">
        <f>+H5/H6</f>
        <v>0.89797425818989096</v>
      </c>
    </row>
    <row r="11" spans="2:8" x14ac:dyDescent="0.25">
      <c r="B11" s="233"/>
      <c r="D11" s="306"/>
      <c r="E11" s="306"/>
      <c r="F11" s="306"/>
      <c r="G11" s="307"/>
      <c r="H11" s="306"/>
    </row>
    <row r="12" spans="2:8" x14ac:dyDescent="0.25">
      <c r="D12" s="306"/>
      <c r="E12" s="306"/>
      <c r="F12" s="306"/>
      <c r="G12" s="306"/>
      <c r="H12" s="306"/>
    </row>
    <row r="13" spans="2:8" x14ac:dyDescent="0.25">
      <c r="B13" s="223" t="s">
        <v>159</v>
      </c>
      <c r="C13" s="225" t="s">
        <v>160</v>
      </c>
      <c r="D13" s="308" t="s">
        <v>173</v>
      </c>
      <c r="E13" s="308" t="s">
        <v>161</v>
      </c>
      <c r="F13" s="308" t="s">
        <v>90</v>
      </c>
      <c r="G13" s="308" t="s">
        <v>198</v>
      </c>
      <c r="H13" s="308" t="s">
        <v>199</v>
      </c>
    </row>
    <row r="14" spans="2:8" x14ac:dyDescent="0.25">
      <c r="B14" s="170" t="s">
        <v>162</v>
      </c>
      <c r="C14" s="171" t="s">
        <v>163</v>
      </c>
      <c r="D14" s="299">
        <v>291856.68</v>
      </c>
      <c r="E14" s="299">
        <v>206313</v>
      </c>
      <c r="F14" s="309">
        <f>+D14+E14</f>
        <v>498169.68</v>
      </c>
      <c r="G14" s="310">
        <v>878</v>
      </c>
      <c r="H14" s="310" t="s">
        <v>200</v>
      </c>
    </row>
    <row r="15" spans="2:8" x14ac:dyDescent="0.25">
      <c r="B15" s="170" t="s">
        <v>164</v>
      </c>
      <c r="C15" s="171" t="s">
        <v>165</v>
      </c>
      <c r="D15" s="311">
        <v>1354049.6100000122</v>
      </c>
      <c r="E15" s="299">
        <v>2245450</v>
      </c>
      <c r="F15" s="311">
        <f>+D15+E15</f>
        <v>3599499.6100000124</v>
      </c>
      <c r="G15" s="310">
        <v>874</v>
      </c>
      <c r="H15" s="310" t="s">
        <v>201</v>
      </c>
    </row>
    <row r="16" spans="2:8" ht="51.75" x14ac:dyDescent="0.25">
      <c r="B16" s="172" t="s">
        <v>166</v>
      </c>
      <c r="C16" s="173" t="s">
        <v>167</v>
      </c>
      <c r="D16" s="312">
        <v>0</v>
      </c>
      <c r="E16" s="312">
        <v>88000</v>
      </c>
      <c r="F16" s="312">
        <f>+D16+E16</f>
        <v>88000</v>
      </c>
      <c r="G16" s="313" t="s">
        <v>202</v>
      </c>
      <c r="H16" s="310"/>
    </row>
    <row r="17" spans="2:8" ht="15.75" thickBot="1" x14ac:dyDescent="0.3">
      <c r="B17" s="174" t="s">
        <v>90</v>
      </c>
      <c r="C17" s="175"/>
      <c r="D17" s="304">
        <f>SUM(D14:D16)</f>
        <v>1645906.2900000121</v>
      </c>
      <c r="E17" s="304">
        <f>SUM(E14:E16)</f>
        <v>2539763</v>
      </c>
      <c r="F17" s="304">
        <f>+D17+E17</f>
        <v>4185669.2900000121</v>
      </c>
      <c r="G17" s="306"/>
      <c r="H17" s="306"/>
    </row>
    <row r="18" spans="2:8" ht="15.75" thickTop="1" x14ac:dyDescent="0.25">
      <c r="D18" s="306"/>
      <c r="E18" s="306"/>
      <c r="F18" s="306"/>
      <c r="G18" s="306"/>
      <c r="H18" s="306"/>
    </row>
    <row r="19" spans="2:8" x14ac:dyDescent="0.25">
      <c r="B19" s="176" t="s">
        <v>172</v>
      </c>
      <c r="C19" s="177"/>
      <c r="D19" s="314">
        <f>+D6+D17</f>
        <v>39722932.240000032</v>
      </c>
      <c r="E19" s="314">
        <f>+E6+E17</f>
        <v>15199375</v>
      </c>
      <c r="F19" s="314">
        <f>SUM(D19:E19)</f>
        <v>54922307.240000032</v>
      </c>
      <c r="G19" s="306"/>
      <c r="H19" s="306"/>
    </row>
    <row r="20" spans="2:8" x14ac:dyDescent="0.25">
      <c r="D20" s="306"/>
      <c r="E20" s="306"/>
      <c r="F20" s="306"/>
      <c r="G20" s="306"/>
      <c r="H20" s="306"/>
    </row>
    <row r="21" spans="2:8" x14ac:dyDescent="0.25">
      <c r="D21" s="306"/>
      <c r="E21" s="306"/>
      <c r="F21" s="306"/>
      <c r="G21" s="306"/>
      <c r="H21" s="306"/>
    </row>
    <row r="22" spans="2:8" x14ac:dyDescent="0.25">
      <c r="D22" s="306"/>
      <c r="E22" s="306"/>
      <c r="F22" s="306"/>
      <c r="G22" s="306"/>
      <c r="H22" s="306"/>
    </row>
    <row r="23" spans="2:8" x14ac:dyDescent="0.25">
      <c r="B23" s="168" t="s">
        <v>60</v>
      </c>
      <c r="C23" s="168"/>
      <c r="D23" s="305"/>
      <c r="E23" s="305"/>
      <c r="F23" s="315">
        <f>'2019 GRC'!J16</f>
        <v>4.5447000000000001E-2</v>
      </c>
      <c r="G23" s="306"/>
      <c r="H23" s="306"/>
    </row>
    <row r="24" spans="2:8" x14ac:dyDescent="0.25">
      <c r="B24" s="170" t="s">
        <v>190</v>
      </c>
      <c r="C24" s="168"/>
      <c r="D24" s="305"/>
      <c r="E24" s="305"/>
      <c r="F24" s="311">
        <f>+F14/(1-F23)</f>
        <v>521887.92031453468</v>
      </c>
      <c r="G24" s="306"/>
      <c r="H24" s="306"/>
    </row>
    <row r="25" spans="2:8" x14ac:dyDescent="0.25">
      <c r="B25" s="170" t="s">
        <v>191</v>
      </c>
      <c r="C25" s="168"/>
      <c r="D25" s="305"/>
      <c r="E25" s="305"/>
      <c r="F25" s="311">
        <f>+(F15+F16)/(1-F23)</f>
        <v>3863064.2929203641</v>
      </c>
      <c r="G25" s="306"/>
      <c r="H25" s="306"/>
    </row>
    <row r="26" spans="2:8" x14ac:dyDescent="0.25">
      <c r="B26" s="168" t="s">
        <v>176</v>
      </c>
      <c r="C26" s="168"/>
      <c r="D26" s="305"/>
      <c r="E26" s="305"/>
      <c r="F26" s="311">
        <f>+F25+F24</f>
        <v>4384952.2132348986</v>
      </c>
      <c r="G26" s="316"/>
      <c r="H26" s="306"/>
    </row>
    <row r="27" spans="2:8" x14ac:dyDescent="0.25">
      <c r="B27" s="168" t="s">
        <v>178</v>
      </c>
      <c r="C27" s="168"/>
      <c r="D27" s="305"/>
      <c r="E27" s="305"/>
      <c r="F27" s="317">
        <f>'2020 CAP CRM'!$E$39</f>
        <v>5839513.0924098743</v>
      </c>
      <c r="G27" s="306"/>
      <c r="H27" s="306"/>
    </row>
    <row r="28" spans="2:8" ht="30.75" thickBot="1" x14ac:dyDescent="0.3">
      <c r="B28" s="178" t="s">
        <v>179</v>
      </c>
      <c r="C28" s="179"/>
      <c r="D28" s="318"/>
      <c r="E28" s="318"/>
      <c r="F28" s="319">
        <f>SUM(F26:F27)</f>
        <v>10224465.305644773</v>
      </c>
      <c r="G28" s="306"/>
      <c r="H28" s="306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1"/>
  <sheetViews>
    <sheetView topLeftCell="A55" workbookViewId="0">
      <selection activeCell="D76" sqref="D76"/>
    </sheetView>
  </sheetViews>
  <sheetFormatPr defaultColWidth="9.140625" defaultRowHeight="15" outlineLevelRow="1" x14ac:dyDescent="0.25"/>
  <cols>
    <col min="1" max="1" width="17" style="125" customWidth="1"/>
    <col min="2" max="2" width="46" style="125" bestFit="1" customWidth="1"/>
    <col min="3" max="3" width="14.5703125" style="125" bestFit="1" customWidth="1"/>
    <col min="4" max="4" width="15.7109375" style="125" bestFit="1" customWidth="1"/>
    <col min="5" max="5" width="16" style="125" bestFit="1" customWidth="1"/>
    <col min="6" max="6" width="12.28515625" style="125" customWidth="1"/>
    <col min="7" max="7" width="28.5703125" style="129" bestFit="1" customWidth="1"/>
    <col min="8" max="8" width="11" style="129" customWidth="1"/>
    <col min="9" max="16384" width="9.140625" style="129"/>
  </cols>
  <sheetData>
    <row r="1" spans="1:8" x14ac:dyDescent="0.25">
      <c r="A1" s="321"/>
      <c r="B1" s="321"/>
      <c r="C1" s="321"/>
      <c r="D1" s="321"/>
      <c r="E1" s="321"/>
      <c r="F1" s="321"/>
      <c r="G1"/>
      <c r="H1"/>
    </row>
    <row r="2" spans="1:8" x14ac:dyDescent="0.25">
      <c r="B2" s="150" t="s">
        <v>78</v>
      </c>
      <c r="C2" s="322"/>
      <c r="D2" s="322"/>
      <c r="E2" s="322"/>
    </row>
    <row r="4" spans="1:8" ht="15.75" thickBot="1" x14ac:dyDescent="0.3"/>
    <row r="5" spans="1:8" ht="15.75" thickBot="1" x14ac:dyDescent="0.3">
      <c r="A5" s="138"/>
      <c r="B5" s="139">
        <v>43739</v>
      </c>
      <c r="C5" s="140"/>
      <c r="D5" s="140"/>
      <c r="E5" s="141"/>
      <c r="F5" s="323"/>
      <c r="G5" s="135"/>
    </row>
    <row r="6" spans="1:8" ht="82.9" customHeight="1" x14ac:dyDescent="0.25">
      <c r="A6" s="142" t="s">
        <v>79</v>
      </c>
      <c r="B6" s="142" t="s">
        <v>80</v>
      </c>
      <c r="C6" s="143" t="s">
        <v>152</v>
      </c>
      <c r="D6" s="143" t="s">
        <v>180</v>
      </c>
      <c r="E6" s="144" t="s">
        <v>81</v>
      </c>
      <c r="F6" s="323"/>
      <c r="G6" s="135"/>
    </row>
    <row r="7" spans="1:8" ht="15.75" x14ac:dyDescent="0.25">
      <c r="A7" s="230" t="s">
        <v>95</v>
      </c>
      <c r="B7" s="145" t="s">
        <v>96</v>
      </c>
      <c r="C7" s="119">
        <v>49985039.879999995</v>
      </c>
      <c r="D7" s="119">
        <v>10065397.379999999</v>
      </c>
      <c r="E7" s="146">
        <f>SUM(C7:D7)</f>
        <v>60050437.25999999</v>
      </c>
      <c r="F7" s="323"/>
      <c r="G7" s="135"/>
    </row>
    <row r="8" spans="1:8" ht="15.75" x14ac:dyDescent="0.25">
      <c r="A8" s="230" t="s">
        <v>97</v>
      </c>
      <c r="B8" s="145" t="s">
        <v>98</v>
      </c>
      <c r="C8" s="119">
        <v>479737.33</v>
      </c>
      <c r="D8" s="119">
        <v>1588.01</v>
      </c>
      <c r="E8" s="146">
        <f>SUM(C8:D8)</f>
        <v>481325.34</v>
      </c>
      <c r="F8" s="323"/>
      <c r="G8" s="135"/>
    </row>
    <row r="9" spans="1:8" ht="15.75" x14ac:dyDescent="0.25">
      <c r="A9" s="230" t="s">
        <v>99</v>
      </c>
      <c r="B9" s="145" t="s">
        <v>100</v>
      </c>
      <c r="C9" s="119">
        <v>105950.33000000002</v>
      </c>
      <c r="D9" s="119">
        <v>1879.9500000000003</v>
      </c>
      <c r="E9" s="146">
        <f>SUM(C9:D9)</f>
        <v>107830.28000000001</v>
      </c>
      <c r="F9" s="323"/>
      <c r="G9" s="135"/>
    </row>
    <row r="10" spans="1:8" x14ac:dyDescent="0.25">
      <c r="A10" s="147" t="s">
        <v>82</v>
      </c>
      <c r="B10" s="147"/>
      <c r="C10" s="146">
        <f>SUM(C7:C9)</f>
        <v>50570727.539999992</v>
      </c>
      <c r="D10" s="146">
        <f t="shared" ref="D10:E10" si="0">SUM(D7:D9)</f>
        <v>10068865.339999998</v>
      </c>
      <c r="E10" s="146">
        <f t="shared" si="0"/>
        <v>60639592.879999995</v>
      </c>
      <c r="F10" s="323"/>
      <c r="G10" s="135"/>
    </row>
    <row r="11" spans="1:8" x14ac:dyDescent="0.25">
      <c r="F11" s="323"/>
      <c r="G11" s="135"/>
    </row>
    <row r="12" spans="1:8" x14ac:dyDescent="0.25">
      <c r="B12" s="148" t="s">
        <v>83</v>
      </c>
      <c r="C12" s="148"/>
      <c r="D12" s="148"/>
      <c r="E12" s="231">
        <f>+E7+E8</f>
        <v>60531762.599999994</v>
      </c>
      <c r="F12" s="323"/>
      <c r="G12" s="135"/>
    </row>
    <row r="13" spans="1:8" x14ac:dyDescent="0.25">
      <c r="B13" s="148" t="s">
        <v>84</v>
      </c>
      <c r="C13" s="148"/>
      <c r="D13" s="148"/>
      <c r="E13" s="231">
        <f>+E9</f>
        <v>107830.28000000001</v>
      </c>
      <c r="F13" s="323"/>
      <c r="G13" s="135"/>
    </row>
    <row r="14" spans="1:8" x14ac:dyDescent="0.25">
      <c r="E14" s="232">
        <f>+E12/E10</f>
        <v>0.99822178423569918</v>
      </c>
      <c r="F14" s="323"/>
      <c r="G14" s="135"/>
    </row>
    <row r="15" spans="1:8" x14ac:dyDescent="0.25">
      <c r="E15" s="232">
        <f>+E13/E10</f>
        <v>1.7782157643008243E-3</v>
      </c>
      <c r="F15" s="323"/>
      <c r="G15" s="135"/>
    </row>
    <row r="16" spans="1:8" x14ac:dyDescent="0.25">
      <c r="E16" s="133"/>
      <c r="F16" s="323"/>
      <c r="G16" s="135"/>
    </row>
    <row r="17" spans="1:8" x14ac:dyDescent="0.25">
      <c r="A17" s="149"/>
      <c r="B17" s="150" t="s">
        <v>85</v>
      </c>
      <c r="C17" s="150"/>
      <c r="D17" s="150"/>
      <c r="E17" s="150"/>
      <c r="F17" s="323"/>
      <c r="G17" s="135"/>
    </row>
    <row r="18" spans="1:8" x14ac:dyDescent="0.25">
      <c r="A18" s="151" t="s">
        <v>86</v>
      </c>
      <c r="B18" s="152" t="s">
        <v>135</v>
      </c>
      <c r="C18" s="153" t="s">
        <v>136</v>
      </c>
      <c r="D18" s="153" t="s">
        <v>137</v>
      </c>
      <c r="E18" s="153" t="s">
        <v>90</v>
      </c>
      <c r="F18" s="323"/>
      <c r="G18" s="135"/>
    </row>
    <row r="19" spans="1:8" x14ac:dyDescent="0.25">
      <c r="A19" s="147" t="s">
        <v>91</v>
      </c>
      <c r="B19" s="120">
        <f>D30</f>
        <v>2.443056207967733E-2</v>
      </c>
      <c r="C19" s="154">
        <f>E12*B19</f>
        <v>1478824.9839915903</v>
      </c>
      <c r="D19" s="154"/>
      <c r="E19" s="154">
        <f>SUM(C19:D19)</f>
        <v>1478824.9839915903</v>
      </c>
      <c r="F19" s="323"/>
      <c r="G19" s="135"/>
    </row>
    <row r="20" spans="1:8" x14ac:dyDescent="0.25">
      <c r="A20" s="148" t="s">
        <v>84</v>
      </c>
      <c r="B20" s="120">
        <f>D31</f>
        <v>3.1950138602539598E-2</v>
      </c>
      <c r="C20" s="154"/>
      <c r="D20" s="154">
        <f>E13*B20</f>
        <v>3445.1923915506541</v>
      </c>
      <c r="E20" s="154">
        <f>SUM(C20:D20)</f>
        <v>3445.1923915506541</v>
      </c>
      <c r="F20" s="323"/>
      <c r="G20" s="135"/>
    </row>
    <row r="21" spans="1:8" x14ac:dyDescent="0.25">
      <c r="A21" s="147" t="s">
        <v>92</v>
      </c>
      <c r="B21" s="155"/>
      <c r="C21" s="154">
        <f>SUM(C19:C20)</f>
        <v>1478824.9839915903</v>
      </c>
      <c r="D21" s="154">
        <f>SUM(D19:D20)</f>
        <v>3445.1923915506541</v>
      </c>
      <c r="E21" s="154">
        <f>SUM(C21:D21)</f>
        <v>1482270.176383141</v>
      </c>
      <c r="F21" s="323"/>
      <c r="G21" s="135"/>
    </row>
    <row r="22" spans="1:8" x14ac:dyDescent="0.25">
      <c r="A22" s="155"/>
      <c r="B22" s="156" t="s">
        <v>93</v>
      </c>
      <c r="C22" s="155"/>
      <c r="D22" s="155"/>
      <c r="E22" s="120">
        <f>+E21/E10</f>
        <v>2.4443933509191149E-2</v>
      </c>
      <c r="F22" s="324" t="s">
        <v>150</v>
      </c>
      <c r="G22" s="135"/>
    </row>
    <row r="23" spans="1:8" ht="60" x14ac:dyDescent="0.25">
      <c r="E23" s="133">
        <f>E19/E21</f>
        <v>0.99767573250380226</v>
      </c>
      <c r="F23" s="325" t="s">
        <v>151</v>
      </c>
      <c r="G23" s="135"/>
      <c r="H23" s="135"/>
    </row>
    <row r="24" spans="1:8" x14ac:dyDescent="0.25">
      <c r="E24" s="133">
        <f>E20/E21</f>
        <v>2.3242674961977592E-3</v>
      </c>
      <c r="F24" s="323"/>
      <c r="G24" s="135"/>
      <c r="H24" s="135"/>
    </row>
    <row r="25" spans="1:8" ht="15.75" thickBot="1" x14ac:dyDescent="0.3">
      <c r="F25" s="323"/>
      <c r="G25" s="135"/>
      <c r="H25" s="135"/>
    </row>
    <row r="26" spans="1:8" x14ac:dyDescent="0.25">
      <c r="A26" s="326" t="s">
        <v>127</v>
      </c>
      <c r="B26" s="327"/>
      <c r="C26" s="327"/>
      <c r="D26" s="328"/>
      <c r="E26" s="133"/>
    </row>
    <row r="27" spans="1:8" ht="24.75" x14ac:dyDescent="0.25">
      <c r="A27" s="329" t="s">
        <v>128</v>
      </c>
      <c r="B27" s="330" t="s">
        <v>110</v>
      </c>
      <c r="C27" s="331" t="s">
        <v>129</v>
      </c>
      <c r="D27" s="332" t="s">
        <v>130</v>
      </c>
      <c r="E27" s="333"/>
      <c r="F27" s="323"/>
    </row>
    <row r="28" spans="1:8" x14ac:dyDescent="0.25">
      <c r="A28" s="329" t="s">
        <v>131</v>
      </c>
      <c r="B28" s="330"/>
      <c r="C28" s="334" t="s">
        <v>111</v>
      </c>
      <c r="D28" s="335" t="s">
        <v>111</v>
      </c>
      <c r="E28" s="323"/>
      <c r="F28" s="336"/>
    </row>
    <row r="29" spans="1:8" x14ac:dyDescent="0.25">
      <c r="A29" s="337"/>
      <c r="B29" s="338"/>
      <c r="C29" s="334" t="s">
        <v>132</v>
      </c>
      <c r="D29" s="339"/>
    </row>
    <row r="30" spans="1:8" x14ac:dyDescent="0.25">
      <c r="A30" s="340">
        <v>376.2</v>
      </c>
      <c r="B30" s="338" t="s">
        <v>133</v>
      </c>
      <c r="C30" s="341">
        <v>2.7700000000000002E-2</v>
      </c>
      <c r="D30" s="342">
        <v>2.443056207967733E-2</v>
      </c>
    </row>
    <row r="31" spans="1:8" ht="15.75" thickBot="1" x14ac:dyDescent="0.3">
      <c r="A31" s="343">
        <v>380.2</v>
      </c>
      <c r="B31" s="344" t="s">
        <v>134</v>
      </c>
      <c r="C31" s="345">
        <v>4.58E-2</v>
      </c>
      <c r="D31" s="346">
        <v>3.1950138602539598E-2</v>
      </c>
    </row>
    <row r="33" spans="1:8" x14ac:dyDescent="0.25">
      <c r="A33" s="149"/>
      <c r="B33" s="150" t="s">
        <v>85</v>
      </c>
      <c r="C33" s="150"/>
      <c r="D33" s="150"/>
      <c r="E33" s="133"/>
    </row>
    <row r="34" spans="1:8" x14ac:dyDescent="0.25">
      <c r="A34" s="151" t="s">
        <v>86</v>
      </c>
      <c r="B34" s="152" t="s">
        <v>87</v>
      </c>
      <c r="C34" s="153" t="s">
        <v>88</v>
      </c>
      <c r="D34" s="153" t="s">
        <v>89</v>
      </c>
      <c r="E34" s="153" t="s">
        <v>90</v>
      </c>
    </row>
    <row r="35" spans="1:8" x14ac:dyDescent="0.25">
      <c r="A35" s="147" t="s">
        <v>91</v>
      </c>
      <c r="B35" s="120">
        <f>D30</f>
        <v>2.443056207967733E-2</v>
      </c>
      <c r="C35" s="154">
        <f>E80*B35</f>
        <v>1026649.0141054934</v>
      </c>
      <c r="D35" s="154"/>
      <c r="E35" s="154">
        <f>SUM(C35:D35)</f>
        <v>1026649.0141054934</v>
      </c>
    </row>
    <row r="36" spans="1:8" x14ac:dyDescent="0.25">
      <c r="A36" s="147" t="s">
        <v>84</v>
      </c>
      <c r="B36" s="120">
        <f>D31</f>
        <v>3.1950138602539598E-2</v>
      </c>
      <c r="C36" s="154"/>
      <c r="D36" s="154">
        <f>E81*B36</f>
        <v>111651.69744198215</v>
      </c>
      <c r="E36" s="154">
        <f>SUM(C36:D36)</f>
        <v>111651.69744198215</v>
      </c>
    </row>
    <row r="37" spans="1:8" x14ac:dyDescent="0.25">
      <c r="A37" s="147" t="s">
        <v>92</v>
      </c>
      <c r="B37" s="155"/>
      <c r="C37" s="154">
        <f>SUM(C35:C36)</f>
        <v>1026649.0141054934</v>
      </c>
      <c r="D37" s="154">
        <f>SUM(D35:D36)</f>
        <v>111651.69744198215</v>
      </c>
      <c r="E37" s="154">
        <f>SUM(C37:D37)</f>
        <v>1138300.7115474755</v>
      </c>
    </row>
    <row r="38" spans="1:8" x14ac:dyDescent="0.25">
      <c r="A38" s="155"/>
      <c r="B38" s="156" t="s">
        <v>93</v>
      </c>
      <c r="C38" s="155"/>
      <c r="D38" s="155"/>
      <c r="E38" s="120">
        <f>+E37/E78</f>
        <v>2.5007867478263991E-2</v>
      </c>
    </row>
    <row r="41" spans="1:8" ht="15.75" thickBot="1" x14ac:dyDescent="0.3"/>
    <row r="42" spans="1:8" ht="15.75" thickBot="1" x14ac:dyDescent="0.3">
      <c r="A42" s="138"/>
      <c r="B42" s="347">
        <v>2018</v>
      </c>
      <c r="C42" s="140"/>
      <c r="D42" s="140"/>
      <c r="E42" s="141"/>
      <c r="G42" s="289"/>
      <c r="H42" s="289"/>
    </row>
    <row r="43" spans="1:8" ht="75" x14ac:dyDescent="0.25">
      <c r="A43" s="142" t="s">
        <v>79</v>
      </c>
      <c r="B43" s="142" t="s">
        <v>80</v>
      </c>
      <c r="C43" s="143" t="s">
        <v>147</v>
      </c>
      <c r="D43" s="143" t="s">
        <v>148</v>
      </c>
      <c r="E43" s="144" t="s">
        <v>81</v>
      </c>
      <c r="G43" s="290"/>
      <c r="H43" s="290"/>
    </row>
    <row r="44" spans="1:8" ht="15.75" x14ac:dyDescent="0.25">
      <c r="A44" s="125" t="s">
        <v>95</v>
      </c>
      <c r="B44" s="145" t="s">
        <v>96</v>
      </c>
      <c r="C44" s="119">
        <v>50181798.259999998</v>
      </c>
      <c r="D44" s="119">
        <v>4644023.4099999992</v>
      </c>
      <c r="E44" s="146">
        <f>SUM(C44:D44)</f>
        <v>54825821.669999994</v>
      </c>
      <c r="G44" s="291"/>
      <c r="H44" s="291"/>
    </row>
    <row r="45" spans="1:8" ht="15.75" x14ac:dyDescent="0.25">
      <c r="A45" s="125" t="s">
        <v>97</v>
      </c>
      <c r="B45" s="145" t="s">
        <v>98</v>
      </c>
      <c r="C45" s="119">
        <v>4782276.53</v>
      </c>
      <c r="D45" s="119"/>
      <c r="E45" s="146">
        <f>SUM(C45:D45)</f>
        <v>4782276.53</v>
      </c>
      <c r="G45" s="291"/>
      <c r="H45" s="291"/>
    </row>
    <row r="46" spans="1:8" ht="15.75" x14ac:dyDescent="0.25">
      <c r="A46" s="125" t="s">
        <v>99</v>
      </c>
      <c r="B46" s="145" t="s">
        <v>100</v>
      </c>
      <c r="C46" s="119">
        <v>676665.87999999989</v>
      </c>
      <c r="D46" s="119"/>
      <c r="E46" s="146">
        <f>SUM(C46:D46)</f>
        <v>676665.87999999989</v>
      </c>
      <c r="G46" s="291"/>
      <c r="H46" s="291"/>
    </row>
    <row r="47" spans="1:8" x14ac:dyDescent="0.25">
      <c r="A47" s="147" t="s">
        <v>82</v>
      </c>
      <c r="B47" s="147"/>
      <c r="C47" s="146">
        <f t="shared" ref="C47:D47" si="1">SUM(C44:C46)</f>
        <v>55640740.670000002</v>
      </c>
      <c r="D47" s="146">
        <f t="shared" si="1"/>
        <v>4644023.4099999992</v>
      </c>
      <c r="E47" s="146">
        <f>SUM(E44:E46)</f>
        <v>60284764.079999998</v>
      </c>
      <c r="F47" s="348"/>
      <c r="G47" s="292"/>
      <c r="H47" s="292"/>
    </row>
    <row r="48" spans="1:8" x14ac:dyDescent="0.25">
      <c r="G48" s="293"/>
      <c r="H48" s="293"/>
    </row>
    <row r="49" spans="1:8" x14ac:dyDescent="0.25">
      <c r="B49" s="148" t="s">
        <v>83</v>
      </c>
      <c r="C49" s="148"/>
      <c r="D49" s="148"/>
      <c r="E49" s="349">
        <f>+E44+E45</f>
        <v>59608098.199999996</v>
      </c>
      <c r="G49" s="293"/>
      <c r="H49" s="293"/>
    </row>
    <row r="50" spans="1:8" x14ac:dyDescent="0.25">
      <c r="B50" s="148" t="s">
        <v>84</v>
      </c>
      <c r="C50" s="148"/>
      <c r="D50" s="148"/>
      <c r="E50" s="349">
        <f>+E46</f>
        <v>676665.87999999989</v>
      </c>
      <c r="G50" s="293"/>
      <c r="H50" s="293"/>
    </row>
    <row r="51" spans="1:8" x14ac:dyDescent="0.25">
      <c r="E51" s="133">
        <f>+E49/E47</f>
        <v>0.98877550753782428</v>
      </c>
      <c r="G51" s="293"/>
      <c r="H51" s="293"/>
    </row>
    <row r="52" spans="1:8" x14ac:dyDescent="0.25">
      <c r="E52" s="133">
        <f>+E50/E47</f>
        <v>1.1224492462175693E-2</v>
      </c>
      <c r="G52" s="293"/>
      <c r="H52" s="293"/>
    </row>
    <row r="53" spans="1:8" x14ac:dyDescent="0.25">
      <c r="E53" s="133"/>
      <c r="G53" s="293"/>
      <c r="H53" s="293"/>
    </row>
    <row r="54" spans="1:8" x14ac:dyDescent="0.25">
      <c r="A54" s="149"/>
      <c r="B54" s="150" t="s">
        <v>85</v>
      </c>
      <c r="C54" s="150"/>
      <c r="D54" s="150"/>
      <c r="E54" s="150"/>
      <c r="G54" s="293"/>
      <c r="H54" s="293"/>
    </row>
    <row r="55" spans="1:8" x14ac:dyDescent="0.25">
      <c r="A55" s="151" t="s">
        <v>86</v>
      </c>
      <c r="B55" s="152" t="s">
        <v>144</v>
      </c>
      <c r="C55" s="153" t="s">
        <v>136</v>
      </c>
      <c r="D55" s="153" t="s">
        <v>137</v>
      </c>
      <c r="E55" s="153" t="s">
        <v>90</v>
      </c>
      <c r="G55" s="293"/>
      <c r="H55" s="293"/>
    </row>
    <row r="56" spans="1:8" x14ac:dyDescent="0.25">
      <c r="A56" s="147" t="s">
        <v>91</v>
      </c>
      <c r="B56" s="120">
        <f>C30</f>
        <v>2.7700000000000002E-2</v>
      </c>
      <c r="C56" s="154">
        <f>E49*B56</f>
        <v>1651144.32014</v>
      </c>
      <c r="D56" s="154"/>
      <c r="E56" s="154">
        <f>SUM(C56:D56)</f>
        <v>1651144.32014</v>
      </c>
      <c r="G56" s="293"/>
      <c r="H56" s="293"/>
    </row>
    <row r="57" spans="1:8" x14ac:dyDescent="0.25">
      <c r="A57" s="147" t="s">
        <v>84</v>
      </c>
      <c r="B57" s="120">
        <f>C31</f>
        <v>4.58E-2</v>
      </c>
      <c r="C57" s="154"/>
      <c r="D57" s="154">
        <f>E50*B57</f>
        <v>30991.297303999996</v>
      </c>
      <c r="E57" s="154">
        <f>SUM(C57:D57)</f>
        <v>30991.297303999996</v>
      </c>
      <c r="G57" s="293"/>
      <c r="H57" s="293"/>
    </row>
    <row r="58" spans="1:8" x14ac:dyDescent="0.25">
      <c r="A58" s="147" t="s">
        <v>92</v>
      </c>
      <c r="B58" s="155"/>
      <c r="C58" s="154">
        <f>SUM(C56:C57)</f>
        <v>1651144.32014</v>
      </c>
      <c r="D58" s="154">
        <f>SUM(D56:D57)</f>
        <v>30991.297303999996</v>
      </c>
      <c r="E58" s="154">
        <f>SUM(C58:D58)</f>
        <v>1682135.617444</v>
      </c>
      <c r="G58" s="293"/>
      <c r="H58" s="293"/>
    </row>
    <row r="59" spans="1:8" x14ac:dyDescent="0.25">
      <c r="A59" s="155"/>
      <c r="B59" s="156" t="s">
        <v>93</v>
      </c>
      <c r="C59" s="155"/>
      <c r="D59" s="155"/>
      <c r="E59" s="120">
        <f>+E58/E47</f>
        <v>2.790316331356538E-2</v>
      </c>
      <c r="G59" s="293"/>
      <c r="H59" s="293"/>
    </row>
    <row r="60" spans="1:8" x14ac:dyDescent="0.25">
      <c r="E60" s="133">
        <f>E56/E58</f>
        <v>0.98157621954935403</v>
      </c>
      <c r="G60" s="293"/>
      <c r="H60" s="293"/>
    </row>
    <row r="61" spans="1:8" x14ac:dyDescent="0.25">
      <c r="E61" s="133">
        <f>E57/E58</f>
        <v>1.8423780450645934E-2</v>
      </c>
      <c r="G61" s="293"/>
      <c r="H61" s="293"/>
    </row>
    <row r="62" spans="1:8" x14ac:dyDescent="0.25">
      <c r="A62" s="149"/>
      <c r="B62" s="150" t="s">
        <v>85</v>
      </c>
      <c r="C62" s="150"/>
      <c r="D62" s="150"/>
      <c r="E62" s="150"/>
      <c r="G62" s="293"/>
      <c r="H62" s="293"/>
    </row>
    <row r="63" spans="1:8" x14ac:dyDescent="0.25">
      <c r="A63" s="151" t="s">
        <v>86</v>
      </c>
      <c r="B63" s="152" t="s">
        <v>135</v>
      </c>
      <c r="C63" s="153" t="s">
        <v>136</v>
      </c>
      <c r="D63" s="153" t="s">
        <v>137</v>
      </c>
      <c r="E63" s="153" t="s">
        <v>90</v>
      </c>
      <c r="G63" s="293"/>
      <c r="H63" s="293"/>
    </row>
    <row r="64" spans="1:8" x14ac:dyDescent="0.25">
      <c r="A64" s="147" t="s">
        <v>91</v>
      </c>
      <c r="B64" s="120">
        <f>D30</f>
        <v>2.443056207967733E-2</v>
      </c>
      <c r="C64" s="154">
        <f>E49*B64</f>
        <v>1456259.3435266025</v>
      </c>
      <c r="D64" s="154"/>
      <c r="E64" s="154">
        <f>SUM(C64:D64)</f>
        <v>1456259.3435266025</v>
      </c>
      <c r="F64" s="323"/>
      <c r="G64" s="293"/>
      <c r="H64" s="293"/>
    </row>
    <row r="65" spans="1:8" x14ac:dyDescent="0.25">
      <c r="A65" s="147" t="s">
        <v>84</v>
      </c>
      <c r="B65" s="120">
        <f>D31</f>
        <v>3.1950138602539598E-2</v>
      </c>
      <c r="C65" s="154"/>
      <c r="D65" s="154">
        <f>E50*B65</f>
        <v>21619.568653609422</v>
      </c>
      <c r="E65" s="154">
        <f>SUM(C65:D65)</f>
        <v>21619.568653609422</v>
      </c>
      <c r="F65" s="323"/>
      <c r="G65" s="293"/>
      <c r="H65" s="293"/>
    </row>
    <row r="66" spans="1:8" x14ac:dyDescent="0.25">
      <c r="A66" s="147" t="s">
        <v>92</v>
      </c>
      <c r="B66" s="155"/>
      <c r="C66" s="154">
        <f>SUM(C64:C65)</f>
        <v>1456259.3435266025</v>
      </c>
      <c r="D66" s="154">
        <f>SUM(D64:D65)</f>
        <v>21619.568653609422</v>
      </c>
      <c r="E66" s="154">
        <f>SUM(C66:D66)</f>
        <v>1477878.9121802119</v>
      </c>
      <c r="F66" s="323"/>
      <c r="G66" s="293"/>
      <c r="H66" s="293"/>
    </row>
    <row r="67" spans="1:8" x14ac:dyDescent="0.25">
      <c r="A67" s="155"/>
      <c r="B67" s="156" t="s">
        <v>93</v>
      </c>
      <c r="C67" s="155"/>
      <c r="D67" s="155"/>
      <c r="E67" s="120">
        <f>+E66/E47</f>
        <v>2.451496550967695E-2</v>
      </c>
      <c r="G67" s="295"/>
      <c r="H67" s="295"/>
    </row>
    <row r="68" spans="1:8" x14ac:dyDescent="0.25">
      <c r="E68" s="133">
        <f>E64/E66</f>
        <v>0.98537121784780357</v>
      </c>
      <c r="F68" s="323"/>
      <c r="G68" s="294"/>
      <c r="H68" s="294"/>
    </row>
    <row r="69" spans="1:8" x14ac:dyDescent="0.25">
      <c r="E69" s="133">
        <f>E65/E66</f>
        <v>1.4628782152196472E-2</v>
      </c>
      <c r="F69" s="323"/>
      <c r="G69" s="294"/>
      <c r="H69" s="294"/>
    </row>
    <row r="70" spans="1:8" x14ac:dyDescent="0.25">
      <c r="F70" s="323"/>
      <c r="G70" s="294"/>
      <c r="H70" s="294"/>
    </row>
    <row r="71" spans="1:8" x14ac:dyDescent="0.25">
      <c r="E71" s="323">
        <f>E66/12*F71</f>
        <v>50237.303400000004</v>
      </c>
      <c r="F71" s="323">
        <f>0.01/E67</f>
        <v>0.40791409623042857</v>
      </c>
      <c r="G71" s="293"/>
      <c r="H71" s="293"/>
    </row>
    <row r="72" spans="1:8" ht="15.75" thickBot="1" x14ac:dyDescent="0.3">
      <c r="E72" s="323"/>
      <c r="G72" s="293"/>
      <c r="H72" s="293"/>
    </row>
    <row r="73" spans="1:8" ht="15.75" outlineLevel="1" thickBot="1" x14ac:dyDescent="0.3">
      <c r="A73" s="138"/>
      <c r="B73" s="347">
        <v>2017</v>
      </c>
      <c r="C73" s="140"/>
      <c r="D73" s="140"/>
      <c r="E73" s="141"/>
      <c r="G73" s="288"/>
      <c r="H73" s="288"/>
    </row>
    <row r="74" spans="1:8" ht="30" outlineLevel="1" x14ac:dyDescent="0.25">
      <c r="A74" s="142" t="s">
        <v>79</v>
      </c>
      <c r="B74" s="142" t="s">
        <v>80</v>
      </c>
      <c r="C74" s="144" t="s">
        <v>94</v>
      </c>
      <c r="D74" s="144" t="s">
        <v>126</v>
      </c>
      <c r="E74" s="144" t="s">
        <v>81</v>
      </c>
      <c r="G74" s="288"/>
      <c r="H74" s="288"/>
    </row>
    <row r="75" spans="1:8" ht="15.75" outlineLevel="1" x14ac:dyDescent="0.25">
      <c r="A75" s="125" t="s">
        <v>95</v>
      </c>
      <c r="B75" s="145" t="s">
        <v>96</v>
      </c>
      <c r="C75" s="146">
        <v>32093652.129999988</v>
      </c>
      <c r="D75" s="146">
        <v>2505759</v>
      </c>
      <c r="E75" s="146">
        <f>SUM(C75:D75)</f>
        <v>34599411.129999988</v>
      </c>
      <c r="G75" s="288"/>
      <c r="H75" s="288"/>
    </row>
    <row r="76" spans="1:8" ht="15.75" outlineLevel="1" x14ac:dyDescent="0.25">
      <c r="A76" s="125" t="s">
        <v>97</v>
      </c>
      <c r="B76" s="145" t="s">
        <v>98</v>
      </c>
      <c r="C76" s="146">
        <v>7251539.2899999935</v>
      </c>
      <c r="D76" s="146">
        <v>172193</v>
      </c>
      <c r="E76" s="146">
        <f>SUM(C76:D76)</f>
        <v>7423732.2899999935</v>
      </c>
      <c r="G76" s="288"/>
      <c r="H76" s="288"/>
    </row>
    <row r="77" spans="1:8" ht="15.75" outlineLevel="1" x14ac:dyDescent="0.25">
      <c r="A77" s="125" t="s">
        <v>99</v>
      </c>
      <c r="B77" s="145" t="s">
        <v>100</v>
      </c>
      <c r="C77" s="146">
        <v>3437688.6599999969</v>
      </c>
      <c r="D77" s="146">
        <v>56872</v>
      </c>
      <c r="E77" s="146">
        <f>SUM(C77:D77)</f>
        <v>3494560.6599999969</v>
      </c>
      <c r="G77" s="288"/>
      <c r="H77" s="288"/>
    </row>
    <row r="78" spans="1:8" outlineLevel="1" x14ac:dyDescent="0.25">
      <c r="A78" s="147" t="s">
        <v>82</v>
      </c>
      <c r="B78" s="147"/>
      <c r="C78" s="146">
        <f t="shared" ref="C78:D78" si="2">SUM(C75:C77)</f>
        <v>42782880.079999976</v>
      </c>
      <c r="D78" s="146">
        <f t="shared" si="2"/>
        <v>2734824</v>
      </c>
      <c r="E78" s="146">
        <f>SUM(E75:E77)</f>
        <v>45517704.079999976</v>
      </c>
      <c r="F78" s="130"/>
      <c r="G78" s="288"/>
      <c r="H78" s="288"/>
    </row>
    <row r="79" spans="1:8" outlineLevel="1" x14ac:dyDescent="0.25">
      <c r="F79" s="350"/>
      <c r="G79" s="288"/>
      <c r="H79" s="288"/>
    </row>
    <row r="80" spans="1:8" outlineLevel="1" x14ac:dyDescent="0.25">
      <c r="B80" s="148" t="s">
        <v>83</v>
      </c>
      <c r="C80" s="148"/>
      <c r="D80" s="148"/>
      <c r="E80" s="349">
        <f>+E75+E76</f>
        <v>42023143.419999979</v>
      </c>
      <c r="G80" s="288"/>
      <c r="H80" s="288"/>
    </row>
    <row r="81" spans="1:8" outlineLevel="1" x14ac:dyDescent="0.25">
      <c r="B81" s="148" t="s">
        <v>84</v>
      </c>
      <c r="C81" s="148"/>
      <c r="D81" s="148"/>
      <c r="E81" s="349">
        <f>+E77</f>
        <v>3494560.6599999969</v>
      </c>
    </row>
    <row r="82" spans="1:8" outlineLevel="1" x14ac:dyDescent="0.25">
      <c r="D82" s="125" t="s">
        <v>142</v>
      </c>
      <c r="E82" s="133">
        <f>+E80/E78</f>
        <v>0.92322634169205664</v>
      </c>
    </row>
    <row r="83" spans="1:8" outlineLevel="1" x14ac:dyDescent="0.25">
      <c r="D83" s="125" t="s">
        <v>143</v>
      </c>
      <c r="E83" s="133">
        <f>+E81/E78</f>
        <v>7.6773658307943346E-2</v>
      </c>
    </row>
    <row r="84" spans="1:8" outlineLevel="1" x14ac:dyDescent="0.25">
      <c r="A84" s="149"/>
      <c r="B84" s="150" t="s">
        <v>85</v>
      </c>
      <c r="C84" s="150"/>
      <c r="D84" s="150"/>
    </row>
    <row r="85" spans="1:8" outlineLevel="1" x14ac:dyDescent="0.25">
      <c r="A85" s="151" t="s">
        <v>86</v>
      </c>
      <c r="B85" s="152" t="s">
        <v>87</v>
      </c>
      <c r="C85" s="153" t="s">
        <v>88</v>
      </c>
      <c r="D85" s="153" t="s">
        <v>89</v>
      </c>
      <c r="E85" s="153" t="s">
        <v>90</v>
      </c>
    </row>
    <row r="86" spans="1:8" outlineLevel="1" x14ac:dyDescent="0.25">
      <c r="A86" s="147" t="s">
        <v>91</v>
      </c>
      <c r="B86" s="120">
        <f>C30</f>
        <v>2.7700000000000002E-2</v>
      </c>
      <c r="C86" s="154">
        <f>E80*B86</f>
        <v>1164041.0727339995</v>
      </c>
      <c r="D86" s="154"/>
      <c r="E86" s="154">
        <f>SUM(C86:D86)</f>
        <v>1164041.0727339995</v>
      </c>
      <c r="F86" s="323"/>
    </row>
    <row r="87" spans="1:8" outlineLevel="1" x14ac:dyDescent="0.25">
      <c r="A87" s="147" t="s">
        <v>84</v>
      </c>
      <c r="B87" s="120">
        <f>C31</f>
        <v>4.58E-2</v>
      </c>
      <c r="C87" s="154"/>
      <c r="D87" s="154">
        <f>E81*B87</f>
        <v>160050.87822799987</v>
      </c>
      <c r="E87" s="154">
        <f>SUM(C87:D87)</f>
        <v>160050.87822799987</v>
      </c>
      <c r="F87" s="323"/>
    </row>
    <row r="88" spans="1:8" outlineLevel="1" x14ac:dyDescent="0.25">
      <c r="A88" s="147" t="s">
        <v>92</v>
      </c>
      <c r="B88" s="155"/>
      <c r="C88" s="154">
        <f>SUM(C86:C87)</f>
        <v>1164041.0727339995</v>
      </c>
      <c r="D88" s="154">
        <f>SUM(D86:D87)</f>
        <v>160050.87822799987</v>
      </c>
      <c r="E88" s="154">
        <f>SUM(C88:D88)</f>
        <v>1324091.9509619994</v>
      </c>
      <c r="F88" s="323"/>
    </row>
    <row r="89" spans="1:8" outlineLevel="1" x14ac:dyDescent="0.25">
      <c r="A89" s="155"/>
      <c r="B89" s="156" t="s">
        <v>93</v>
      </c>
      <c r="C89" s="155"/>
      <c r="D89" s="155"/>
      <c r="E89" s="120">
        <f>+E88/E78</f>
        <v>2.9089603215373776E-2</v>
      </c>
      <c r="F89" s="323"/>
    </row>
    <row r="90" spans="1:8" outlineLevel="1" x14ac:dyDescent="0.25">
      <c r="E90" s="133">
        <f>E86/E88</f>
        <v>0.87912404564372038</v>
      </c>
      <c r="F90" s="323"/>
      <c r="G90" s="135"/>
      <c r="H90" s="135"/>
    </row>
    <row r="91" spans="1:8" outlineLevel="1" x14ac:dyDescent="0.25">
      <c r="E91" s="133">
        <f>E87/E88</f>
        <v>0.12087595435627962</v>
      </c>
      <c r="F91" s="323"/>
      <c r="G91" s="135"/>
      <c r="H91" s="135"/>
    </row>
  </sheetData>
  <pageMargins left="0.7" right="0.7" top="0.75" bottom="0.75" header="0.3" footer="0.3"/>
  <pageSetup scale="52"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9"/>
  <sheetViews>
    <sheetView zoomScaleNormal="100" workbookViewId="0">
      <pane xSplit="4" ySplit="26" topLeftCell="E27" activePane="bottomRight" state="frozen"/>
      <selection activeCell="J17" sqref="J17"/>
      <selection pane="topRight" activeCell="J17" sqref="J17"/>
      <selection pane="bottomLeft" activeCell="J17" sqref="J17"/>
      <selection pane="bottomRight" activeCell="H27" sqref="H27"/>
    </sheetView>
  </sheetViews>
  <sheetFormatPr defaultColWidth="10.28515625" defaultRowHeight="15" outlineLevelRow="1" outlineLevelCol="1" x14ac:dyDescent="0.2"/>
  <cols>
    <col min="1" max="1" width="5.7109375" style="34" customWidth="1"/>
    <col min="2" max="2" width="7.42578125" style="34" customWidth="1"/>
    <col min="3" max="3" width="26.42578125" style="34" customWidth="1"/>
    <col min="4" max="4" width="15.5703125" style="3" customWidth="1"/>
    <col min="5" max="5" width="16.7109375" style="56" customWidth="1"/>
    <col min="6" max="6" width="13.42578125" style="56" customWidth="1"/>
    <col min="7" max="7" width="14.5703125" style="56" bestFit="1" customWidth="1"/>
    <col min="8" max="8" width="12.5703125" style="56" customWidth="1"/>
    <col min="9" max="9" width="14.28515625" style="56" bestFit="1" customWidth="1"/>
    <col min="10" max="25" width="12.85546875" style="56" bestFit="1" customWidth="1"/>
    <col min="26" max="38" width="12.28515625" style="56" bestFit="1" customWidth="1"/>
    <col min="39" max="39" width="17" style="56" customWidth="1" outlineLevel="1"/>
    <col min="40" max="40" width="13" style="56" customWidth="1" outlineLevel="1"/>
    <col min="41" max="41" width="14.28515625" style="56" customWidth="1" outlineLevel="1"/>
    <col min="42" max="42" width="12.7109375" style="3" bestFit="1" customWidth="1"/>
    <col min="43" max="43" width="12.28515625" style="3" customWidth="1"/>
    <col min="44" max="45" width="14" style="3" customWidth="1"/>
    <col min="46" max="46" width="14.28515625" style="3" bestFit="1" customWidth="1"/>
    <col min="47" max="47" width="16.5703125" style="3" customWidth="1"/>
    <col min="48" max="48" width="15" style="3" bestFit="1" customWidth="1"/>
    <col min="49" max="16384" width="10.28515625" style="3"/>
  </cols>
  <sheetData>
    <row r="1" spans="1:41" ht="11.45" customHeight="1" x14ac:dyDescent="0.25">
      <c r="A1" s="1" t="s">
        <v>0</v>
      </c>
      <c r="B1" s="2"/>
      <c r="C1" s="2"/>
      <c r="E1" s="351"/>
      <c r="F1" s="351"/>
      <c r="G1" s="3"/>
      <c r="H1" s="4"/>
      <c r="I1" s="5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spans="1:41" ht="11.45" customHeight="1" x14ac:dyDescent="0.25">
      <c r="A2" s="6" t="s">
        <v>1</v>
      </c>
      <c r="B2" s="2"/>
      <c r="C2" s="2"/>
      <c r="E2" s="3"/>
      <c r="F2" s="5"/>
      <c r="G2" s="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</row>
    <row r="3" spans="1:41" ht="12.75" customHeight="1" x14ac:dyDescent="0.25">
      <c r="A3" s="6" t="s">
        <v>2</v>
      </c>
      <c r="B3" s="2"/>
      <c r="C3" s="136" t="s">
        <v>153</v>
      </c>
      <c r="D3" s="122" t="s">
        <v>3</v>
      </c>
      <c r="E3" s="3"/>
      <c r="F3" s="5"/>
      <c r="G3" s="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</row>
    <row r="4" spans="1:41" ht="11.45" customHeight="1" thickBot="1" x14ac:dyDescent="0.25">
      <c r="A4" s="2"/>
      <c r="B4" s="2"/>
      <c r="C4" s="2"/>
      <c r="E4" s="3"/>
      <c r="F4" s="5"/>
      <c r="G4" s="5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5" spans="1:41" x14ac:dyDescent="0.2">
      <c r="A5" s="7" t="s">
        <v>4</v>
      </c>
      <c r="B5" s="8"/>
      <c r="C5" s="8"/>
      <c r="D5" s="9"/>
      <c r="E5" s="9"/>
      <c r="F5" s="10"/>
      <c r="G5" s="278"/>
      <c r="H5" s="3"/>
      <c r="I5" s="3"/>
      <c r="J5" s="3"/>
      <c r="K5" s="3"/>
      <c r="L5" s="3"/>
      <c r="M5" s="3"/>
      <c r="N5" s="2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</row>
    <row r="6" spans="1:41" x14ac:dyDescent="0.2">
      <c r="A6" s="12"/>
      <c r="B6" s="13"/>
      <c r="C6" s="13"/>
      <c r="D6" s="275" t="s">
        <v>149</v>
      </c>
      <c r="E6" s="114"/>
      <c r="F6" s="115" t="s">
        <v>228</v>
      </c>
      <c r="G6" s="279" t="s">
        <v>229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x14ac:dyDescent="0.2">
      <c r="A7" s="12"/>
      <c r="B7" s="13"/>
      <c r="C7" s="13"/>
      <c r="D7" s="16"/>
      <c r="E7" s="16"/>
      <c r="F7" s="17" t="s">
        <v>5</v>
      </c>
      <c r="G7" s="280" t="s">
        <v>5</v>
      </c>
      <c r="H7" s="3"/>
      <c r="I7" s="3"/>
      <c r="J7" s="3"/>
      <c r="K7" s="3"/>
      <c r="L7" s="3"/>
      <c r="M7" s="116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</row>
    <row r="8" spans="1:41" ht="18.75" customHeight="1" x14ac:dyDescent="0.2">
      <c r="A8" s="12" t="s">
        <v>6</v>
      </c>
      <c r="B8" s="13"/>
      <c r="C8" s="13"/>
      <c r="D8" s="19" t="s">
        <v>7</v>
      </c>
      <c r="E8" s="19" t="s">
        <v>8</v>
      </c>
      <c r="F8" s="20" t="s">
        <v>8</v>
      </c>
      <c r="G8" s="281" t="s">
        <v>8</v>
      </c>
      <c r="H8" s="3"/>
      <c r="I8" s="3"/>
      <c r="J8" s="3"/>
      <c r="K8" s="3"/>
      <c r="L8" s="3"/>
      <c r="M8" s="106"/>
      <c r="N8" s="22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</row>
    <row r="9" spans="1:41" ht="11.45" customHeight="1" x14ac:dyDescent="0.2">
      <c r="A9" s="12"/>
      <c r="B9" s="13"/>
      <c r="C9" s="13"/>
      <c r="D9" s="14"/>
      <c r="E9" s="14"/>
      <c r="F9" s="21"/>
      <c r="G9" s="282"/>
      <c r="H9" s="3"/>
      <c r="I9" s="3"/>
      <c r="J9" s="3"/>
      <c r="K9" s="3"/>
      <c r="L9" s="3"/>
      <c r="M9" s="106"/>
      <c r="N9" s="22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spans="1:41" ht="11.45" customHeight="1" x14ac:dyDescent="0.2">
      <c r="A10" s="12"/>
      <c r="B10" s="13"/>
      <c r="C10" s="13"/>
      <c r="D10" s="23"/>
      <c r="E10" s="23"/>
      <c r="F10" s="24"/>
      <c r="G10" s="283"/>
      <c r="H10" s="3"/>
      <c r="I10" s="3"/>
      <c r="J10" s="3"/>
      <c r="K10" s="3"/>
      <c r="L10" s="3"/>
      <c r="M10" s="106"/>
      <c r="N10" s="22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</row>
    <row r="11" spans="1:41" x14ac:dyDescent="0.2">
      <c r="A11" s="12" t="s">
        <v>121</v>
      </c>
      <c r="B11" s="13"/>
      <c r="C11" s="13"/>
      <c r="D11" s="23">
        <v>0.51500000000000001</v>
      </c>
      <c r="E11" s="23">
        <v>5.8058252427184473E-2</v>
      </c>
      <c r="F11" s="24">
        <v>2.9899999999999999E-2</v>
      </c>
      <c r="G11" s="283">
        <f>'2019 GRC'!E12</f>
        <v>2.8299999999999999E-2</v>
      </c>
      <c r="H11" s="3"/>
      <c r="I11" s="3"/>
      <c r="J11" s="3"/>
      <c r="K11" s="3"/>
      <c r="L11" s="3"/>
      <c r="M11" s="106"/>
      <c r="N11" s="22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</row>
    <row r="12" spans="1:41" x14ac:dyDescent="0.2">
      <c r="A12" s="12" t="s">
        <v>9</v>
      </c>
      <c r="B12" s="13"/>
      <c r="C12" s="13"/>
      <c r="D12" s="25">
        <v>0.48499999999999999</v>
      </c>
      <c r="E12" s="23">
        <v>9.5000000000000001E-2</v>
      </c>
      <c r="F12" s="26">
        <v>4.6100000000000002E-2</v>
      </c>
      <c r="G12" s="284">
        <f>'2019 GRC'!E13</f>
        <v>4.5600000000000002E-2</v>
      </c>
      <c r="H12" s="3"/>
      <c r="I12" s="287"/>
      <c r="J12" s="3"/>
      <c r="K12" s="3"/>
      <c r="L12" s="3"/>
      <c r="M12" s="106"/>
      <c r="N12" s="22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</row>
    <row r="13" spans="1:41" ht="15.75" thickBot="1" x14ac:dyDescent="0.25">
      <c r="A13" s="12" t="s">
        <v>10</v>
      </c>
      <c r="B13" s="13"/>
      <c r="C13" s="13"/>
      <c r="D13" s="27">
        <f>D10+D11+D12</f>
        <v>1</v>
      </c>
      <c r="E13" s="28"/>
      <c r="F13" s="29">
        <f>F10+F11+F12</f>
        <v>7.5999999999999998E-2</v>
      </c>
      <c r="G13" s="285">
        <f>G10+G11+G12</f>
        <v>7.3899999999999993E-2</v>
      </c>
      <c r="H13" s="3"/>
      <c r="I13" s="3"/>
      <c r="J13" s="3"/>
      <c r="K13" s="3"/>
      <c r="L13" s="3"/>
      <c r="M13" s="106"/>
      <c r="N13" s="22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</row>
    <row r="14" spans="1:41" ht="11.45" customHeight="1" thickTop="1" x14ac:dyDescent="0.2">
      <c r="A14" s="12"/>
      <c r="B14" s="13"/>
      <c r="C14" s="13"/>
      <c r="D14" s="14"/>
      <c r="E14" s="14"/>
      <c r="F14" s="21"/>
      <c r="G14" s="282"/>
      <c r="H14" s="3"/>
      <c r="I14" s="3"/>
      <c r="J14" s="3"/>
      <c r="K14" s="3"/>
      <c r="L14" s="3"/>
      <c r="M14" s="106"/>
      <c r="N14" s="22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</row>
    <row r="15" spans="1:41" x14ac:dyDescent="0.2">
      <c r="A15" s="12" t="s">
        <v>11</v>
      </c>
      <c r="B15" s="13"/>
      <c r="C15" s="13"/>
      <c r="D15" s="14"/>
      <c r="E15" s="14"/>
      <c r="F15" s="24">
        <v>0.21</v>
      </c>
      <c r="G15" s="283">
        <f>'2019 GRC'!I19</f>
        <v>0.21</v>
      </c>
      <c r="H15" s="3"/>
      <c r="I15" s="3"/>
      <c r="J15" s="3"/>
      <c r="K15" s="3"/>
      <c r="L15" s="3"/>
      <c r="M15" s="106"/>
      <c r="N15" s="22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</row>
    <row r="16" spans="1:41" ht="15.75" thickBot="1" x14ac:dyDescent="0.25">
      <c r="A16" s="12" t="s">
        <v>12</v>
      </c>
      <c r="B16" s="13"/>
      <c r="C16" s="13"/>
      <c r="D16" s="14"/>
      <c r="E16" s="14"/>
      <c r="F16" s="24">
        <f>'2017 4.01 G'!F17</f>
        <v>4.5462000000000002E-2</v>
      </c>
      <c r="G16" s="286">
        <f>'2019 GRC'!J16</f>
        <v>4.5447000000000001E-2</v>
      </c>
      <c r="H16" s="3"/>
      <c r="I16" s="3"/>
      <c r="J16" s="3"/>
      <c r="K16" s="3"/>
      <c r="L16" s="3"/>
      <c r="M16" s="106"/>
      <c r="N16" s="22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</row>
    <row r="17" spans="1:48" x14ac:dyDescent="0.2">
      <c r="A17" s="12" t="s">
        <v>13</v>
      </c>
      <c r="B17" s="13"/>
      <c r="C17" s="13"/>
      <c r="D17" s="14"/>
      <c r="E17" s="14"/>
      <c r="F17" s="24">
        <f>'CRM CAP Forecast'!E22</f>
        <v>2.4443933509191149E-2</v>
      </c>
      <c r="G17" s="23"/>
      <c r="H17" s="3"/>
      <c r="I17" s="3"/>
      <c r="J17" s="3"/>
      <c r="K17" s="3"/>
      <c r="L17" s="3"/>
      <c r="M17" s="106"/>
      <c r="N17" s="22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</row>
    <row r="18" spans="1:48" ht="13.5" customHeight="1" x14ac:dyDescent="0.2">
      <c r="A18" s="12" t="s">
        <v>14</v>
      </c>
      <c r="B18" s="13"/>
      <c r="C18" s="13"/>
      <c r="D18" s="14"/>
      <c r="E18" s="14"/>
      <c r="F18" s="30">
        <v>2</v>
      </c>
      <c r="G18" s="276"/>
      <c r="H18" s="3"/>
      <c r="I18" s="3"/>
      <c r="J18" s="3"/>
      <c r="K18" s="3"/>
      <c r="L18" s="3"/>
      <c r="M18" s="106"/>
      <c r="N18" s="22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</row>
    <row r="19" spans="1:48" ht="11.45" customHeight="1" x14ac:dyDescent="0.2">
      <c r="A19" s="12"/>
      <c r="B19" s="13"/>
      <c r="C19" s="13"/>
      <c r="D19" s="14"/>
      <c r="E19" s="14"/>
      <c r="F19" s="15"/>
      <c r="G19" s="11"/>
      <c r="H19" s="3"/>
      <c r="I19" s="3"/>
      <c r="J19" s="3"/>
      <c r="K19" s="3"/>
      <c r="L19" s="3"/>
      <c r="M19" s="106"/>
      <c r="N19" s="22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</row>
    <row r="20" spans="1:48" ht="11.45" customHeight="1" x14ac:dyDescent="0.2">
      <c r="A20" s="12" t="s">
        <v>15</v>
      </c>
      <c r="B20" s="13"/>
      <c r="C20" s="13"/>
      <c r="D20" s="14"/>
      <c r="E20" s="14"/>
      <c r="F20" s="15"/>
      <c r="G20" s="11"/>
      <c r="H20" s="3"/>
      <c r="I20" s="3"/>
      <c r="J20" s="3"/>
      <c r="K20" s="3"/>
      <c r="L20" s="3"/>
      <c r="N20" s="117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</row>
    <row r="21" spans="1:48" ht="11.45" customHeight="1" x14ac:dyDescent="0.2">
      <c r="A21" s="12" t="s">
        <v>16</v>
      </c>
      <c r="B21" s="13"/>
      <c r="C21" s="13"/>
      <c r="D21" s="14"/>
      <c r="E21" s="14"/>
      <c r="F21" s="15"/>
      <c r="G21" s="11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</row>
    <row r="22" spans="1:48" ht="13.15" customHeight="1" thickBot="1" x14ac:dyDescent="0.25">
      <c r="A22" s="31" t="s">
        <v>17</v>
      </c>
      <c r="B22" s="32"/>
      <c r="C22" s="32"/>
      <c r="D22" s="32"/>
      <c r="E22" s="33"/>
      <c r="F22" s="57">
        <f>'CRM CAP Forecast'!E10</f>
        <v>60639592.879999995</v>
      </c>
      <c r="G22" s="277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</row>
    <row r="23" spans="1:48" ht="9.6" customHeight="1" x14ac:dyDescent="0.2"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</row>
    <row r="24" spans="1:48" ht="6" customHeight="1" x14ac:dyDescent="0.2">
      <c r="B24" s="3"/>
      <c r="C24" s="3"/>
      <c r="D24" s="106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</row>
    <row r="25" spans="1:48" x14ac:dyDescent="0.2">
      <c r="A25" s="2"/>
      <c r="B25" s="2"/>
      <c r="C25" s="2"/>
      <c r="D25" s="122"/>
      <c r="E25" s="36" t="s">
        <v>18</v>
      </c>
      <c r="F25" s="95" t="s">
        <v>19</v>
      </c>
      <c r="G25" s="37" t="s">
        <v>20</v>
      </c>
      <c r="H25" s="37" t="s">
        <v>21</v>
      </c>
      <c r="I25" s="37" t="s">
        <v>22</v>
      </c>
      <c r="J25" s="37" t="s">
        <v>23</v>
      </c>
      <c r="K25" s="37" t="s">
        <v>24</v>
      </c>
      <c r="L25" s="37" t="s">
        <v>25</v>
      </c>
      <c r="M25" s="37" t="s">
        <v>26</v>
      </c>
      <c r="N25" s="37" t="s">
        <v>27</v>
      </c>
      <c r="O25" s="37" t="s">
        <v>28</v>
      </c>
      <c r="P25" s="37" t="s">
        <v>29</v>
      </c>
      <c r="Q25" s="37" t="s">
        <v>30</v>
      </c>
      <c r="R25" s="37" t="s">
        <v>31</v>
      </c>
      <c r="S25" s="37" t="s">
        <v>32</v>
      </c>
      <c r="T25" s="37" t="s">
        <v>33</v>
      </c>
      <c r="U25" s="37" t="s">
        <v>34</v>
      </c>
      <c r="V25" s="37" t="s">
        <v>35</v>
      </c>
      <c r="W25" s="37" t="s">
        <v>36</v>
      </c>
      <c r="X25" s="37" t="s">
        <v>37</v>
      </c>
      <c r="Y25" s="37" t="s">
        <v>38</v>
      </c>
      <c r="Z25" s="37" t="s">
        <v>39</v>
      </c>
      <c r="AA25" s="37" t="s">
        <v>40</v>
      </c>
      <c r="AB25" s="37" t="s">
        <v>41</v>
      </c>
      <c r="AC25" s="37" t="s">
        <v>42</v>
      </c>
      <c r="AD25" s="37" t="s">
        <v>43</v>
      </c>
      <c r="AE25" s="37" t="s">
        <v>44</v>
      </c>
      <c r="AF25" s="37" t="s">
        <v>45</v>
      </c>
      <c r="AG25" s="37" t="s">
        <v>46</v>
      </c>
      <c r="AH25" s="37" t="s">
        <v>47</v>
      </c>
      <c r="AI25" s="37" t="s">
        <v>48</v>
      </c>
      <c r="AJ25" s="37" t="s">
        <v>49</v>
      </c>
      <c r="AK25" s="37" t="s">
        <v>50</v>
      </c>
      <c r="AL25" s="37" t="s">
        <v>51</v>
      </c>
      <c r="AM25" s="37" t="s">
        <v>52</v>
      </c>
      <c r="AN25" s="37" t="s">
        <v>74</v>
      </c>
      <c r="AO25" s="37" t="s">
        <v>75</v>
      </c>
      <c r="AP25" s="37" t="s">
        <v>122</v>
      </c>
      <c r="AQ25" s="37" t="s">
        <v>123</v>
      </c>
      <c r="AR25" s="37" t="s">
        <v>124</v>
      </c>
      <c r="AS25" s="3" t="s">
        <v>125</v>
      </c>
    </row>
    <row r="26" spans="1:48" x14ac:dyDescent="0.2">
      <c r="A26" s="2"/>
      <c r="B26" s="2"/>
      <c r="C26" s="2"/>
      <c r="D26" s="122"/>
      <c r="E26" s="82">
        <v>2019</v>
      </c>
      <c r="F26" s="82">
        <v>2020</v>
      </c>
      <c r="G26" s="82">
        <v>2021</v>
      </c>
      <c r="H26" s="82">
        <v>2022</v>
      </c>
      <c r="I26" s="82">
        <v>2023</v>
      </c>
      <c r="J26" s="82">
        <v>2024</v>
      </c>
      <c r="K26" s="82">
        <v>2025</v>
      </c>
      <c r="L26" s="82">
        <v>2026</v>
      </c>
      <c r="M26" s="82">
        <v>2027</v>
      </c>
      <c r="N26" s="82">
        <v>2028</v>
      </c>
      <c r="O26" s="82">
        <v>2029</v>
      </c>
      <c r="P26" s="82">
        <v>2030</v>
      </c>
      <c r="Q26" s="82">
        <v>2031</v>
      </c>
      <c r="R26" s="82">
        <v>2032</v>
      </c>
      <c r="S26" s="82">
        <v>2033</v>
      </c>
      <c r="T26" s="82">
        <v>2034</v>
      </c>
      <c r="U26" s="82">
        <v>2035</v>
      </c>
      <c r="V26" s="82">
        <v>2036</v>
      </c>
      <c r="W26" s="82">
        <v>2037</v>
      </c>
      <c r="X26" s="82">
        <v>2038</v>
      </c>
      <c r="Y26" s="82">
        <v>2039</v>
      </c>
      <c r="Z26" s="82">
        <v>2040</v>
      </c>
      <c r="AA26" s="82">
        <v>2041</v>
      </c>
      <c r="AB26" s="82">
        <v>2042</v>
      </c>
      <c r="AC26" s="82">
        <v>2043</v>
      </c>
      <c r="AD26" s="82">
        <v>2044</v>
      </c>
      <c r="AE26" s="82">
        <v>2045</v>
      </c>
      <c r="AF26" s="82">
        <v>2046</v>
      </c>
      <c r="AG26" s="82">
        <v>2047</v>
      </c>
      <c r="AH26" s="82">
        <v>2048</v>
      </c>
      <c r="AI26" s="82">
        <v>2049</v>
      </c>
      <c r="AJ26" s="82">
        <v>2050</v>
      </c>
      <c r="AK26" s="82">
        <v>2051</v>
      </c>
      <c r="AL26" s="82">
        <v>2052</v>
      </c>
      <c r="AM26" s="82">
        <v>2053</v>
      </c>
      <c r="AN26" s="82">
        <v>2054</v>
      </c>
      <c r="AO26" s="82">
        <v>2055</v>
      </c>
      <c r="AP26" s="82">
        <v>2056</v>
      </c>
      <c r="AQ26" s="82">
        <v>2057</v>
      </c>
      <c r="AR26" s="82">
        <v>2058</v>
      </c>
      <c r="AS26" s="82">
        <v>2059</v>
      </c>
    </row>
    <row r="27" spans="1:48" x14ac:dyDescent="0.2">
      <c r="A27" s="136">
        <v>1</v>
      </c>
      <c r="B27" s="2" t="s">
        <v>53</v>
      </c>
      <c r="C27" s="2"/>
      <c r="D27" s="122"/>
      <c r="E27" s="38">
        <f>$F22*$F17</f>
        <v>1482270.176383141</v>
      </c>
      <c r="F27" s="102">
        <f>$F22*$F17</f>
        <v>1482270.176383141</v>
      </c>
      <c r="G27" s="102">
        <f t="shared" ref="G27:AR27" si="0">$F22*$F17</f>
        <v>1482270.176383141</v>
      </c>
      <c r="H27" s="102">
        <f t="shared" si="0"/>
        <v>1482270.176383141</v>
      </c>
      <c r="I27" s="102">
        <f t="shared" si="0"/>
        <v>1482270.176383141</v>
      </c>
      <c r="J27" s="102">
        <f t="shared" si="0"/>
        <v>1482270.176383141</v>
      </c>
      <c r="K27" s="102">
        <f t="shared" si="0"/>
        <v>1482270.176383141</v>
      </c>
      <c r="L27" s="102">
        <f t="shared" si="0"/>
        <v>1482270.176383141</v>
      </c>
      <c r="M27" s="102">
        <f t="shared" si="0"/>
        <v>1482270.176383141</v>
      </c>
      <c r="N27" s="102">
        <f t="shared" si="0"/>
        <v>1482270.176383141</v>
      </c>
      <c r="O27" s="102">
        <f t="shared" si="0"/>
        <v>1482270.176383141</v>
      </c>
      <c r="P27" s="102">
        <f t="shared" si="0"/>
        <v>1482270.176383141</v>
      </c>
      <c r="Q27" s="102">
        <f t="shared" si="0"/>
        <v>1482270.176383141</v>
      </c>
      <c r="R27" s="102">
        <f t="shared" si="0"/>
        <v>1482270.176383141</v>
      </c>
      <c r="S27" s="102">
        <f t="shared" si="0"/>
        <v>1482270.176383141</v>
      </c>
      <c r="T27" s="102">
        <f t="shared" si="0"/>
        <v>1482270.176383141</v>
      </c>
      <c r="U27" s="102">
        <f t="shared" si="0"/>
        <v>1482270.176383141</v>
      </c>
      <c r="V27" s="102">
        <f t="shared" si="0"/>
        <v>1482270.176383141</v>
      </c>
      <c r="W27" s="102">
        <f t="shared" si="0"/>
        <v>1482270.176383141</v>
      </c>
      <c r="X27" s="102">
        <f t="shared" si="0"/>
        <v>1482270.176383141</v>
      </c>
      <c r="Y27" s="102">
        <f t="shared" si="0"/>
        <v>1482270.176383141</v>
      </c>
      <c r="Z27" s="102">
        <f t="shared" si="0"/>
        <v>1482270.176383141</v>
      </c>
      <c r="AA27" s="102">
        <f t="shared" si="0"/>
        <v>1482270.176383141</v>
      </c>
      <c r="AB27" s="102">
        <f t="shared" si="0"/>
        <v>1482270.176383141</v>
      </c>
      <c r="AC27" s="102">
        <f t="shared" si="0"/>
        <v>1482270.176383141</v>
      </c>
      <c r="AD27" s="102">
        <f t="shared" si="0"/>
        <v>1482270.176383141</v>
      </c>
      <c r="AE27" s="102">
        <f t="shared" si="0"/>
        <v>1482270.176383141</v>
      </c>
      <c r="AF27" s="102">
        <f t="shared" si="0"/>
        <v>1482270.176383141</v>
      </c>
      <c r="AG27" s="102">
        <f t="shared" si="0"/>
        <v>1482270.176383141</v>
      </c>
      <c r="AH27" s="102">
        <f t="shared" si="0"/>
        <v>1482270.176383141</v>
      </c>
      <c r="AI27" s="102">
        <f t="shared" si="0"/>
        <v>1482270.176383141</v>
      </c>
      <c r="AJ27" s="102">
        <f t="shared" si="0"/>
        <v>1482270.176383141</v>
      </c>
      <c r="AK27" s="102">
        <f t="shared" si="0"/>
        <v>1482270.176383141</v>
      </c>
      <c r="AL27" s="102">
        <f t="shared" si="0"/>
        <v>1482270.176383141</v>
      </c>
      <c r="AM27" s="102">
        <f t="shared" si="0"/>
        <v>1482270.176383141</v>
      </c>
      <c r="AN27" s="102">
        <f t="shared" si="0"/>
        <v>1482270.176383141</v>
      </c>
      <c r="AO27" s="102">
        <f t="shared" si="0"/>
        <v>1482270.176383141</v>
      </c>
      <c r="AP27" s="102">
        <f t="shared" si="0"/>
        <v>1482270.176383141</v>
      </c>
      <c r="AQ27" s="102">
        <f t="shared" si="0"/>
        <v>1482270.176383141</v>
      </c>
      <c r="AR27" s="102">
        <f t="shared" si="0"/>
        <v>1482270.176383141</v>
      </c>
      <c r="AS27" s="102">
        <f>'CRM CAP Forecast'!G24</f>
        <v>0</v>
      </c>
      <c r="AT27" s="102"/>
      <c r="AU27" s="105">
        <f>SUM(D27:AT27)</f>
        <v>59290807.05532559</v>
      </c>
      <c r="AV27" s="22">
        <f>F22</f>
        <v>60639592.879999995</v>
      </c>
    </row>
    <row r="28" spans="1:48" x14ac:dyDescent="0.2">
      <c r="A28" s="2"/>
      <c r="B28" s="2"/>
      <c r="C28" s="2"/>
      <c r="D28" s="122"/>
      <c r="E28" s="38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39"/>
      <c r="AN28" s="102"/>
      <c r="AO28" s="102"/>
      <c r="AP28" s="123"/>
    </row>
    <row r="29" spans="1:48" x14ac:dyDescent="0.2">
      <c r="A29" s="136">
        <f>A27+1</f>
        <v>2</v>
      </c>
      <c r="B29" s="2" t="s">
        <v>54</v>
      </c>
      <c r="C29" s="2"/>
      <c r="D29" s="122"/>
      <c r="E29" s="38">
        <f>E53</f>
        <v>733002.76971787796</v>
      </c>
      <c r="F29" s="102">
        <f t="shared" ref="F29:AT29" si="1">F53</f>
        <v>702392.57976173412</v>
      </c>
      <c r="G29" s="102">
        <f t="shared" si="1"/>
        <v>677473.48090067063</v>
      </c>
      <c r="H29" s="102">
        <f t="shared" si="1"/>
        <v>653358.59365427354</v>
      </c>
      <c r="I29" s="102">
        <f t="shared" si="1"/>
        <v>629987.71792086912</v>
      </c>
      <c r="J29" s="102">
        <f t="shared" si="1"/>
        <v>607305.28437583544</v>
      </c>
      <c r="K29" s="102">
        <f t="shared" si="1"/>
        <v>585259.5826754272</v>
      </c>
      <c r="L29" s="102">
        <f t="shared" si="1"/>
        <v>563802.7614567756</v>
      </c>
      <c r="M29" s="102">
        <f t="shared" si="1"/>
        <v>542674.72540880332</v>
      </c>
      <c r="N29" s="102">
        <f t="shared" si="1"/>
        <v>521593.76892752462</v>
      </c>
      <c r="O29" s="102">
        <f t="shared" si="1"/>
        <v>500512.81244624581</v>
      </c>
      <c r="P29" s="102">
        <f t="shared" si="1"/>
        <v>479431.85596496699</v>
      </c>
      <c r="Q29" s="102">
        <f t="shared" si="1"/>
        <v>458350.89948368829</v>
      </c>
      <c r="R29" s="102">
        <f t="shared" si="1"/>
        <v>437269.94300240959</v>
      </c>
      <c r="S29" s="102">
        <f t="shared" si="1"/>
        <v>416188.98652113089</v>
      </c>
      <c r="T29" s="102">
        <f t="shared" si="1"/>
        <v>395108.03003985208</v>
      </c>
      <c r="U29" s="102">
        <f t="shared" si="1"/>
        <v>374027.07355857326</v>
      </c>
      <c r="V29" s="102">
        <f t="shared" si="1"/>
        <v>352946.11707729456</v>
      </c>
      <c r="W29" s="102">
        <f t="shared" si="1"/>
        <v>331865.16059601575</v>
      </c>
      <c r="X29" s="102">
        <f t="shared" si="1"/>
        <v>310784.20411473705</v>
      </c>
      <c r="Y29" s="102">
        <f t="shared" si="1"/>
        <v>291425.12490056054</v>
      </c>
      <c r="Z29" s="102">
        <f t="shared" si="1"/>
        <v>275509.02842441335</v>
      </c>
      <c r="AA29" s="102">
        <f t="shared" si="1"/>
        <v>261314.80921536835</v>
      </c>
      <c r="AB29" s="102">
        <f t="shared" si="1"/>
        <v>247120.59000632336</v>
      </c>
      <c r="AC29" s="102">
        <f t="shared" si="1"/>
        <v>232926.37079727848</v>
      </c>
      <c r="AD29" s="102">
        <f t="shared" si="1"/>
        <v>218732.15158823351</v>
      </c>
      <c r="AE29" s="102">
        <f t="shared" si="1"/>
        <v>204537.9323791886</v>
      </c>
      <c r="AF29" s="102">
        <f t="shared" si="1"/>
        <v>190343.71317014366</v>
      </c>
      <c r="AG29" s="102">
        <f t="shared" si="1"/>
        <v>176149.49396109875</v>
      </c>
      <c r="AH29" s="102">
        <f t="shared" si="1"/>
        <v>161955.27475205384</v>
      </c>
      <c r="AI29" s="102">
        <f t="shared" si="1"/>
        <v>147761.05554300893</v>
      </c>
      <c r="AJ29" s="102">
        <f t="shared" si="1"/>
        <v>133566.83633396399</v>
      </c>
      <c r="AK29" s="102">
        <f t="shared" si="1"/>
        <v>119372.61712491907</v>
      </c>
      <c r="AL29" s="102">
        <f t="shared" si="1"/>
        <v>105178.39791587417</v>
      </c>
      <c r="AM29" s="102">
        <f t="shared" si="1"/>
        <v>90984.178706829262</v>
      </c>
      <c r="AN29" s="102">
        <f t="shared" si="1"/>
        <v>76789.959497784337</v>
      </c>
      <c r="AO29" s="102">
        <f t="shared" si="1"/>
        <v>62595.74028873942</v>
      </c>
      <c r="AP29" s="102">
        <f t="shared" si="1"/>
        <v>48401.52107969451</v>
      </c>
      <c r="AQ29" s="102">
        <f t="shared" si="1"/>
        <v>34207.301870649593</v>
      </c>
      <c r="AR29" s="102">
        <f t="shared" si="1"/>
        <v>20013.082661604672</v>
      </c>
      <c r="AS29" s="102">
        <f t="shared" ref="AS29" si="2">AS53</f>
        <v>12915.973057082216</v>
      </c>
      <c r="AT29" s="102">
        <f t="shared" si="1"/>
        <v>12915.973057082216</v>
      </c>
      <c r="AU29" s="105">
        <f>SUM(D29:AT29)</f>
        <v>13398053.473936601</v>
      </c>
    </row>
    <row r="30" spans="1:48" x14ac:dyDescent="0.2">
      <c r="A30" s="2"/>
      <c r="B30" s="2"/>
      <c r="C30" s="2"/>
      <c r="D30" s="122"/>
      <c r="E30" s="38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</row>
    <row r="31" spans="1:48" x14ac:dyDescent="0.2">
      <c r="A31" s="2"/>
      <c r="B31" s="2" t="s">
        <v>55</v>
      </c>
      <c r="C31" s="2"/>
      <c r="D31" s="122"/>
      <c r="E31" s="38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</row>
    <row r="32" spans="1:48" x14ac:dyDescent="0.2">
      <c r="A32" s="136">
        <f>A29+1</f>
        <v>3</v>
      </c>
      <c r="B32" s="2"/>
      <c r="C32" s="2"/>
      <c r="D32" s="122"/>
      <c r="E32" s="38">
        <f>E49*$F10</f>
        <v>0</v>
      </c>
      <c r="F32" s="102">
        <f>F49*$G10</f>
        <v>0</v>
      </c>
      <c r="G32" s="102">
        <f t="shared" ref="G32:AT32" si="3">G49*$F10</f>
        <v>0</v>
      </c>
      <c r="H32" s="102">
        <f t="shared" si="3"/>
        <v>0</v>
      </c>
      <c r="I32" s="102">
        <f t="shared" si="3"/>
        <v>0</v>
      </c>
      <c r="J32" s="102">
        <f t="shared" si="3"/>
        <v>0</v>
      </c>
      <c r="K32" s="102">
        <f t="shared" si="3"/>
        <v>0</v>
      </c>
      <c r="L32" s="102">
        <f t="shared" si="3"/>
        <v>0</v>
      </c>
      <c r="M32" s="102">
        <f t="shared" si="3"/>
        <v>0</v>
      </c>
      <c r="N32" s="102">
        <f t="shared" si="3"/>
        <v>0</v>
      </c>
      <c r="O32" s="102">
        <f t="shared" si="3"/>
        <v>0</v>
      </c>
      <c r="P32" s="102">
        <f t="shared" si="3"/>
        <v>0</v>
      </c>
      <c r="Q32" s="102">
        <f t="shared" si="3"/>
        <v>0</v>
      </c>
      <c r="R32" s="102">
        <f t="shared" si="3"/>
        <v>0</v>
      </c>
      <c r="S32" s="102">
        <f t="shared" si="3"/>
        <v>0</v>
      </c>
      <c r="T32" s="102">
        <f t="shared" si="3"/>
        <v>0</v>
      </c>
      <c r="U32" s="102">
        <f t="shared" si="3"/>
        <v>0</v>
      </c>
      <c r="V32" s="102">
        <f t="shared" si="3"/>
        <v>0</v>
      </c>
      <c r="W32" s="102">
        <f t="shared" si="3"/>
        <v>0</v>
      </c>
      <c r="X32" s="102">
        <f t="shared" si="3"/>
        <v>0</v>
      </c>
      <c r="Y32" s="102">
        <f t="shared" si="3"/>
        <v>0</v>
      </c>
      <c r="Z32" s="102">
        <f t="shared" si="3"/>
        <v>0</v>
      </c>
      <c r="AA32" s="102">
        <f t="shared" si="3"/>
        <v>0</v>
      </c>
      <c r="AB32" s="102">
        <f t="shared" si="3"/>
        <v>0</v>
      </c>
      <c r="AC32" s="102">
        <f t="shared" si="3"/>
        <v>0</v>
      </c>
      <c r="AD32" s="102">
        <f t="shared" si="3"/>
        <v>0</v>
      </c>
      <c r="AE32" s="102">
        <f t="shared" si="3"/>
        <v>0</v>
      </c>
      <c r="AF32" s="102">
        <f t="shared" si="3"/>
        <v>0</v>
      </c>
      <c r="AG32" s="102">
        <f t="shared" si="3"/>
        <v>0</v>
      </c>
      <c r="AH32" s="102">
        <f t="shared" si="3"/>
        <v>0</v>
      </c>
      <c r="AI32" s="102">
        <f t="shared" si="3"/>
        <v>0</v>
      </c>
      <c r="AJ32" s="102">
        <f t="shared" si="3"/>
        <v>0</v>
      </c>
      <c r="AK32" s="102">
        <f t="shared" si="3"/>
        <v>0</v>
      </c>
      <c r="AL32" s="102">
        <f t="shared" si="3"/>
        <v>0</v>
      </c>
      <c r="AM32" s="102">
        <f t="shared" si="3"/>
        <v>0</v>
      </c>
      <c r="AN32" s="102">
        <f t="shared" si="3"/>
        <v>0</v>
      </c>
      <c r="AO32" s="102">
        <f t="shared" si="3"/>
        <v>0</v>
      </c>
      <c r="AP32" s="102">
        <f t="shared" si="3"/>
        <v>0</v>
      </c>
      <c r="AQ32" s="102">
        <f t="shared" si="3"/>
        <v>0</v>
      </c>
      <c r="AR32" s="102">
        <f t="shared" si="3"/>
        <v>0</v>
      </c>
      <c r="AS32" s="102">
        <f t="shared" ref="AS32" si="4">AS49*$F10</f>
        <v>0</v>
      </c>
      <c r="AT32" s="102">
        <f t="shared" si="3"/>
        <v>0</v>
      </c>
      <c r="AU32" s="105">
        <f t="shared" ref="AU32:AU42" si="5">SUM(D32:AT32)</f>
        <v>0</v>
      </c>
    </row>
    <row r="33" spans="1:47" x14ac:dyDescent="0.2">
      <c r="A33" s="136">
        <f>A32+1</f>
        <v>4</v>
      </c>
      <c r="B33" s="13"/>
      <c r="C33" s="13" t="s">
        <v>121</v>
      </c>
      <c r="D33" s="122"/>
      <c r="E33" s="38">
        <f>E49*$F11</f>
        <v>1788478.3001245733</v>
      </c>
      <c r="F33" s="102">
        <f>F49*$G11</f>
        <v>1639869.5599136476</v>
      </c>
      <c r="G33" s="102">
        <f>G49*$G11</f>
        <v>1581691.1667184934</v>
      </c>
      <c r="H33" s="102">
        <f t="shared" ref="H33:AT33" si="6">H49*$G11</f>
        <v>1525390.3590568707</v>
      </c>
      <c r="I33" s="102">
        <f t="shared" si="6"/>
        <v>1470826.5882995897</v>
      </c>
      <c r="J33" s="102">
        <f t="shared" si="6"/>
        <v>1417870.1172504753</v>
      </c>
      <c r="K33" s="102">
        <f t="shared" si="6"/>
        <v>1366400.2182408653</v>
      </c>
      <c r="L33" s="102">
        <f t="shared" si="6"/>
        <v>1316305.1731296086</v>
      </c>
      <c r="M33" s="102">
        <f t="shared" si="6"/>
        <v>1266977.7397623868</v>
      </c>
      <c r="N33" s="102">
        <f t="shared" si="6"/>
        <v>1217760.2226308133</v>
      </c>
      <c r="O33" s="102">
        <f t="shared" si="6"/>
        <v>1168542.7054992395</v>
      </c>
      <c r="P33" s="102">
        <f t="shared" si="6"/>
        <v>1119325.1883676657</v>
      </c>
      <c r="Q33" s="102">
        <f t="shared" si="6"/>
        <v>1070107.6712360922</v>
      </c>
      <c r="R33" s="102">
        <f t="shared" si="6"/>
        <v>1020890.1541045187</v>
      </c>
      <c r="S33" s="102">
        <f t="shared" si="6"/>
        <v>971672.63697294518</v>
      </c>
      <c r="T33" s="102">
        <f t="shared" si="6"/>
        <v>922455.11984137143</v>
      </c>
      <c r="U33" s="102">
        <f t="shared" si="6"/>
        <v>873237.60270979768</v>
      </c>
      <c r="V33" s="102">
        <f t="shared" si="6"/>
        <v>824020.08557822416</v>
      </c>
      <c r="W33" s="102">
        <f t="shared" si="6"/>
        <v>774802.56844665052</v>
      </c>
      <c r="X33" s="102">
        <f t="shared" si="6"/>
        <v>725585.05131507688</v>
      </c>
      <c r="Y33" s="102">
        <f t="shared" si="6"/>
        <v>680387.58535942272</v>
      </c>
      <c r="Z33" s="102">
        <f t="shared" si="6"/>
        <v>643228.4198501053</v>
      </c>
      <c r="AA33" s="102">
        <f t="shared" si="6"/>
        <v>610089.30551670736</v>
      </c>
      <c r="AB33" s="102">
        <f t="shared" si="6"/>
        <v>576950.19118330954</v>
      </c>
      <c r="AC33" s="102">
        <f t="shared" si="6"/>
        <v>543811.07684991171</v>
      </c>
      <c r="AD33" s="102">
        <f t="shared" si="6"/>
        <v>510671.96251651383</v>
      </c>
      <c r="AE33" s="102">
        <f t="shared" si="6"/>
        <v>477532.84818311606</v>
      </c>
      <c r="AF33" s="102">
        <f t="shared" si="6"/>
        <v>444393.73384971829</v>
      </c>
      <c r="AG33" s="102">
        <f t="shared" si="6"/>
        <v>411254.61951632053</v>
      </c>
      <c r="AH33" s="102">
        <f t="shared" si="6"/>
        <v>378115.5051829227</v>
      </c>
      <c r="AI33" s="102">
        <f t="shared" si="6"/>
        <v>344976.39084952493</v>
      </c>
      <c r="AJ33" s="102">
        <f t="shared" si="6"/>
        <v>311837.27651612711</v>
      </c>
      <c r="AK33" s="102">
        <f t="shared" si="6"/>
        <v>278698.16218272928</v>
      </c>
      <c r="AL33" s="102">
        <f t="shared" si="6"/>
        <v>245559.04784933155</v>
      </c>
      <c r="AM33" s="102">
        <f t="shared" si="6"/>
        <v>212419.93351593375</v>
      </c>
      <c r="AN33" s="102">
        <f t="shared" si="6"/>
        <v>179280.81918253598</v>
      </c>
      <c r="AO33" s="102">
        <f t="shared" si="6"/>
        <v>146141.70484913819</v>
      </c>
      <c r="AP33" s="102">
        <f t="shared" si="6"/>
        <v>113002.5905157404</v>
      </c>
      <c r="AQ33" s="102">
        <f t="shared" si="6"/>
        <v>79863.476182342609</v>
      </c>
      <c r="AR33" s="102">
        <f t="shared" si="6"/>
        <v>46724.361848944827</v>
      </c>
      <c r="AS33" s="102">
        <f t="shared" si="6"/>
        <v>30154.804682245936</v>
      </c>
      <c r="AT33" s="102">
        <f t="shared" si="6"/>
        <v>30154.804682245936</v>
      </c>
      <c r="AU33" s="105">
        <f t="shared" si="5"/>
        <v>31357456.850063797</v>
      </c>
    </row>
    <row r="34" spans="1:47" x14ac:dyDescent="0.2">
      <c r="A34" s="136">
        <f>A33+1</f>
        <v>5</v>
      </c>
      <c r="B34" s="2"/>
      <c r="C34" s="2" t="s">
        <v>9</v>
      </c>
      <c r="D34" s="122"/>
      <c r="E34" s="40">
        <f>E49*$F12</f>
        <v>2757486.6098910649</v>
      </c>
      <c r="F34" s="100">
        <f>F49*$G12</f>
        <v>2642333.990532238</v>
      </c>
      <c r="G34" s="100">
        <f t="shared" ref="G34:AT34" si="7">G49*$G12</f>
        <v>2548590.713864428</v>
      </c>
      <c r="H34" s="100">
        <f t="shared" si="7"/>
        <v>2457872.8046994102</v>
      </c>
      <c r="I34" s="100">
        <f t="shared" si="7"/>
        <v>2369953.7959880317</v>
      </c>
      <c r="J34" s="100">
        <f t="shared" si="7"/>
        <v>2284624.6412233813</v>
      </c>
      <c r="K34" s="100">
        <f t="shared" si="7"/>
        <v>2201690.8110170835</v>
      </c>
      <c r="L34" s="100">
        <f t="shared" si="7"/>
        <v>2120972.2930992986</v>
      </c>
      <c r="M34" s="100">
        <f t="shared" si="7"/>
        <v>2041490.6336807366</v>
      </c>
      <c r="N34" s="100">
        <f t="shared" si="7"/>
        <v>1962186.0831083071</v>
      </c>
      <c r="O34" s="100">
        <f t="shared" si="7"/>
        <v>1882881.5325358773</v>
      </c>
      <c r="P34" s="100">
        <f t="shared" si="7"/>
        <v>1803576.9819634475</v>
      </c>
      <c r="Q34" s="100">
        <f t="shared" si="7"/>
        <v>1724272.431391018</v>
      </c>
      <c r="R34" s="100">
        <f t="shared" si="7"/>
        <v>1644967.8808185887</v>
      </c>
      <c r="S34" s="100">
        <f t="shared" si="7"/>
        <v>1565663.3302461591</v>
      </c>
      <c r="T34" s="100">
        <f t="shared" si="7"/>
        <v>1486358.7796737293</v>
      </c>
      <c r="U34" s="100">
        <f t="shared" si="7"/>
        <v>1407054.2291012995</v>
      </c>
      <c r="V34" s="100">
        <f t="shared" si="7"/>
        <v>1327749.6785288702</v>
      </c>
      <c r="W34" s="100">
        <f t="shared" si="7"/>
        <v>1248445.1279564404</v>
      </c>
      <c r="X34" s="100">
        <f t="shared" si="7"/>
        <v>1169140.5773840109</v>
      </c>
      <c r="Y34" s="100">
        <f t="shared" si="7"/>
        <v>1096313.5651021088</v>
      </c>
      <c r="Z34" s="100">
        <f t="shared" si="7"/>
        <v>1036438.725977555</v>
      </c>
      <c r="AA34" s="100">
        <f t="shared" si="7"/>
        <v>983041.42514352861</v>
      </c>
      <c r="AB34" s="100">
        <f t="shared" si="7"/>
        <v>929644.12430950231</v>
      </c>
      <c r="AC34" s="100">
        <f t="shared" si="7"/>
        <v>876246.82347547624</v>
      </c>
      <c r="AD34" s="100">
        <f t="shared" si="7"/>
        <v>822849.52264144993</v>
      </c>
      <c r="AE34" s="100">
        <f t="shared" si="7"/>
        <v>769452.22180742386</v>
      </c>
      <c r="AF34" s="100">
        <f t="shared" si="7"/>
        <v>716054.92097339767</v>
      </c>
      <c r="AG34" s="100">
        <f t="shared" si="7"/>
        <v>662657.6201393716</v>
      </c>
      <c r="AH34" s="100">
        <f t="shared" si="7"/>
        <v>609260.31930534542</v>
      </c>
      <c r="AI34" s="100">
        <f t="shared" si="7"/>
        <v>555863.01847131934</v>
      </c>
      <c r="AJ34" s="100">
        <f t="shared" si="7"/>
        <v>502465.71763729322</v>
      </c>
      <c r="AK34" s="100">
        <f t="shared" si="7"/>
        <v>449068.41680326703</v>
      </c>
      <c r="AL34" s="100">
        <f t="shared" si="7"/>
        <v>395671.11596924096</v>
      </c>
      <c r="AM34" s="100">
        <f t="shared" si="7"/>
        <v>342273.81513521483</v>
      </c>
      <c r="AN34" s="100">
        <f t="shared" si="7"/>
        <v>288876.51430118876</v>
      </c>
      <c r="AO34" s="100">
        <f t="shared" si="7"/>
        <v>235479.2134671626</v>
      </c>
      <c r="AP34" s="100">
        <f t="shared" si="7"/>
        <v>182081.9126331365</v>
      </c>
      <c r="AQ34" s="100">
        <f t="shared" si="7"/>
        <v>128684.61179911037</v>
      </c>
      <c r="AR34" s="100">
        <f t="shared" si="7"/>
        <v>75287.310965084253</v>
      </c>
      <c r="AS34" s="100">
        <f t="shared" si="7"/>
        <v>48588.660548071195</v>
      </c>
      <c r="AT34" s="100">
        <f t="shared" si="7"/>
        <v>48588.660548071195</v>
      </c>
      <c r="AU34" s="105">
        <f t="shared" si="5"/>
        <v>50402201.163856745</v>
      </c>
    </row>
    <row r="35" spans="1:47" x14ac:dyDescent="0.2">
      <c r="A35" s="136">
        <f>A34+1</f>
        <v>6</v>
      </c>
      <c r="B35" s="2"/>
      <c r="C35" s="2" t="s">
        <v>58</v>
      </c>
      <c r="D35" s="122"/>
      <c r="E35" s="38">
        <f>E32+E33+E34</f>
        <v>4545964.910015638</v>
      </c>
      <c r="F35" s="102">
        <f>F32+F33+F34</f>
        <v>4282203.5504458854</v>
      </c>
      <c r="G35" s="102">
        <f>G32+G33+G34</f>
        <v>4130281.8805829212</v>
      </c>
      <c r="H35" s="102">
        <f t="shared" ref="H35:AT35" si="8">H32+H33+H34</f>
        <v>3983263.1637562811</v>
      </c>
      <c r="I35" s="102">
        <f t="shared" si="8"/>
        <v>3840780.3842876214</v>
      </c>
      <c r="J35" s="102">
        <f t="shared" si="8"/>
        <v>3702494.7584738564</v>
      </c>
      <c r="K35" s="102">
        <f t="shared" si="8"/>
        <v>3568091.0292579485</v>
      </c>
      <c r="L35" s="102">
        <f t="shared" si="8"/>
        <v>3437277.466228907</v>
      </c>
      <c r="M35" s="102">
        <f t="shared" si="8"/>
        <v>3308468.3734431234</v>
      </c>
      <c r="N35" s="102">
        <f t="shared" si="8"/>
        <v>3179946.3057391206</v>
      </c>
      <c r="O35" s="102">
        <f t="shared" si="8"/>
        <v>3051424.2380351168</v>
      </c>
      <c r="P35" s="102">
        <f t="shared" si="8"/>
        <v>2922902.170331113</v>
      </c>
      <c r="Q35" s="102">
        <f t="shared" si="8"/>
        <v>2794380.1026271102</v>
      </c>
      <c r="R35" s="102">
        <f t="shared" si="8"/>
        <v>2665858.0349231074</v>
      </c>
      <c r="S35" s="102">
        <f t="shared" si="8"/>
        <v>2537335.9672191041</v>
      </c>
      <c r="T35" s="102">
        <f t="shared" si="8"/>
        <v>2408813.8995151008</v>
      </c>
      <c r="U35" s="102">
        <f t="shared" si="8"/>
        <v>2280291.8318110975</v>
      </c>
      <c r="V35" s="102">
        <f t="shared" si="8"/>
        <v>2151769.7641070941</v>
      </c>
      <c r="W35" s="102">
        <f t="shared" si="8"/>
        <v>2023247.6964030908</v>
      </c>
      <c r="X35" s="102">
        <f t="shared" si="8"/>
        <v>1894725.6286990878</v>
      </c>
      <c r="Y35" s="102">
        <f t="shared" si="8"/>
        <v>1776701.1504615315</v>
      </c>
      <c r="Z35" s="102">
        <f t="shared" si="8"/>
        <v>1679667.1458276603</v>
      </c>
      <c r="AA35" s="102">
        <f t="shared" si="8"/>
        <v>1593130.730660236</v>
      </c>
      <c r="AB35" s="102">
        <f t="shared" si="8"/>
        <v>1506594.3154928118</v>
      </c>
      <c r="AC35" s="102">
        <f t="shared" si="8"/>
        <v>1420057.9003253879</v>
      </c>
      <c r="AD35" s="102">
        <f t="shared" si="8"/>
        <v>1333521.4851579638</v>
      </c>
      <c r="AE35" s="102">
        <f t="shared" si="8"/>
        <v>1246985.0699905399</v>
      </c>
      <c r="AF35" s="102">
        <f t="shared" si="8"/>
        <v>1160448.654823116</v>
      </c>
      <c r="AG35" s="102">
        <f t="shared" si="8"/>
        <v>1073912.2396556921</v>
      </c>
      <c r="AH35" s="102">
        <f t="shared" si="8"/>
        <v>987375.82448826812</v>
      </c>
      <c r="AI35" s="102">
        <f t="shared" si="8"/>
        <v>900839.40932084434</v>
      </c>
      <c r="AJ35" s="102">
        <f t="shared" si="8"/>
        <v>814302.99415342032</v>
      </c>
      <c r="AK35" s="102">
        <f t="shared" si="8"/>
        <v>727766.57898599631</v>
      </c>
      <c r="AL35" s="102">
        <f t="shared" si="8"/>
        <v>641230.16381857253</v>
      </c>
      <c r="AM35" s="102">
        <f t="shared" si="8"/>
        <v>554693.74865114852</v>
      </c>
      <c r="AN35" s="102">
        <f t="shared" si="8"/>
        <v>468157.33348372474</v>
      </c>
      <c r="AO35" s="102">
        <f t="shared" si="8"/>
        <v>381620.91831630078</v>
      </c>
      <c r="AP35" s="102">
        <f t="shared" si="8"/>
        <v>295084.50314887689</v>
      </c>
      <c r="AQ35" s="102">
        <f t="shared" si="8"/>
        <v>208548.08798145299</v>
      </c>
      <c r="AR35" s="102">
        <f t="shared" si="8"/>
        <v>122011.67281402908</v>
      </c>
      <c r="AS35" s="102">
        <f t="shared" ref="AS35" si="9">AS32+AS33+AS34</f>
        <v>78743.465230317131</v>
      </c>
      <c r="AT35" s="102">
        <f t="shared" si="8"/>
        <v>78743.465230317131</v>
      </c>
      <c r="AU35" s="105">
        <f t="shared" si="5"/>
        <v>81759658.013920531</v>
      </c>
    </row>
    <row r="36" spans="1:47" x14ac:dyDescent="0.2">
      <c r="A36" s="2"/>
      <c r="B36" s="2"/>
      <c r="C36" s="2"/>
      <c r="D36" s="122"/>
      <c r="E36" s="38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5">
        <f t="shared" si="5"/>
        <v>0</v>
      </c>
    </row>
    <row r="37" spans="1:47" x14ac:dyDescent="0.2">
      <c r="A37" s="136">
        <f>A35+1</f>
        <v>7</v>
      </c>
      <c r="B37" s="2" t="s">
        <v>59</v>
      </c>
      <c r="C37" s="2"/>
      <c r="D37" s="122"/>
      <c r="E37" s="41">
        <f>E27+E29+E35</f>
        <v>6761237.8561166571</v>
      </c>
      <c r="F37" s="99">
        <f>F27+F29+F35</f>
        <v>6466866.3065907601</v>
      </c>
      <c r="G37" s="99">
        <f t="shared" ref="G37:AT37" si="10">G27+G29+G35</f>
        <v>6290025.537866733</v>
      </c>
      <c r="H37" s="99">
        <f t="shared" si="10"/>
        <v>6118891.9337936956</v>
      </c>
      <c r="I37" s="99">
        <f t="shared" si="10"/>
        <v>5953038.278591631</v>
      </c>
      <c r="J37" s="99">
        <f t="shared" si="10"/>
        <v>5792070.219232833</v>
      </c>
      <c r="K37" s="99">
        <f t="shared" si="10"/>
        <v>5635620.7883165162</v>
      </c>
      <c r="L37" s="99">
        <f t="shared" si="10"/>
        <v>5483350.4040688239</v>
      </c>
      <c r="M37" s="99">
        <f t="shared" si="10"/>
        <v>5333413.2752350681</v>
      </c>
      <c r="N37" s="99">
        <f t="shared" si="10"/>
        <v>5183810.2510497859</v>
      </c>
      <c r="O37" s="99">
        <f t="shared" si="10"/>
        <v>5034207.2268645037</v>
      </c>
      <c r="P37" s="99">
        <f t="shared" si="10"/>
        <v>4884604.2026792206</v>
      </c>
      <c r="Q37" s="99">
        <f t="shared" si="10"/>
        <v>4735001.1784939393</v>
      </c>
      <c r="R37" s="99">
        <f t="shared" si="10"/>
        <v>4585398.1543086581</v>
      </c>
      <c r="S37" s="99">
        <f t="shared" si="10"/>
        <v>4435795.1301233759</v>
      </c>
      <c r="T37" s="99">
        <f t="shared" si="10"/>
        <v>4286192.1059380937</v>
      </c>
      <c r="U37" s="99">
        <f t="shared" si="10"/>
        <v>4136589.0817528116</v>
      </c>
      <c r="V37" s="99">
        <f t="shared" si="10"/>
        <v>3986986.0575675294</v>
      </c>
      <c r="W37" s="99">
        <f t="shared" si="10"/>
        <v>3837383.0333822477</v>
      </c>
      <c r="X37" s="99">
        <f t="shared" si="10"/>
        <v>3687780.009196966</v>
      </c>
      <c r="Y37" s="99">
        <f t="shared" si="10"/>
        <v>3550396.451745233</v>
      </c>
      <c r="Z37" s="99">
        <f t="shared" si="10"/>
        <v>3437446.3506352147</v>
      </c>
      <c r="AA37" s="99">
        <f t="shared" si="10"/>
        <v>3336715.7162587452</v>
      </c>
      <c r="AB37" s="99">
        <f t="shared" si="10"/>
        <v>3235985.0818822761</v>
      </c>
      <c r="AC37" s="99">
        <f t="shared" si="10"/>
        <v>3135254.4475058075</v>
      </c>
      <c r="AD37" s="99">
        <f t="shared" si="10"/>
        <v>3034523.8131293384</v>
      </c>
      <c r="AE37" s="99">
        <f t="shared" si="10"/>
        <v>2933793.1787528694</v>
      </c>
      <c r="AF37" s="99">
        <f t="shared" si="10"/>
        <v>2833062.5443764008</v>
      </c>
      <c r="AG37" s="99">
        <f t="shared" si="10"/>
        <v>2732331.9099999322</v>
      </c>
      <c r="AH37" s="99">
        <f t="shared" si="10"/>
        <v>2631601.2756234631</v>
      </c>
      <c r="AI37" s="99">
        <f t="shared" si="10"/>
        <v>2530870.641246994</v>
      </c>
      <c r="AJ37" s="99">
        <f t="shared" si="10"/>
        <v>2430140.0068705254</v>
      </c>
      <c r="AK37" s="99">
        <f t="shared" si="10"/>
        <v>2329409.3724940564</v>
      </c>
      <c r="AL37" s="99">
        <f t="shared" si="10"/>
        <v>2228678.7381175878</v>
      </c>
      <c r="AM37" s="99">
        <f t="shared" si="10"/>
        <v>2127948.1037411187</v>
      </c>
      <c r="AN37" s="99">
        <f t="shared" si="10"/>
        <v>2027217.4693646501</v>
      </c>
      <c r="AO37" s="99">
        <f t="shared" si="10"/>
        <v>1926486.834988181</v>
      </c>
      <c r="AP37" s="99">
        <f t="shared" si="10"/>
        <v>1825756.2006117124</v>
      </c>
      <c r="AQ37" s="99">
        <f t="shared" si="10"/>
        <v>1725025.5662352436</v>
      </c>
      <c r="AR37" s="99">
        <f t="shared" si="10"/>
        <v>1624294.9318587747</v>
      </c>
      <c r="AS37" s="99">
        <f t="shared" ref="AS37" si="11">AS27+AS29+AS35</f>
        <v>91659.438287399345</v>
      </c>
      <c r="AT37" s="99">
        <f t="shared" si="10"/>
        <v>91659.438287399345</v>
      </c>
      <c r="AU37" s="105">
        <f t="shared" si="5"/>
        <v>154448518.54318279</v>
      </c>
    </row>
    <row r="38" spans="1:47" x14ac:dyDescent="0.2">
      <c r="A38" s="136">
        <f>A37+1</f>
        <v>8</v>
      </c>
      <c r="B38" s="2" t="s">
        <v>60</v>
      </c>
      <c r="C38" s="2"/>
      <c r="D38" s="122"/>
      <c r="E38" s="40">
        <f t="shared" ref="E38" si="12">E37/(1-$F16)-E37</f>
        <v>322019.02429738268</v>
      </c>
      <c r="F38" s="100">
        <f>F37/(1-$G16)-F37</f>
        <v>307892.46174453385</v>
      </c>
      <c r="G38" s="100">
        <f t="shared" ref="G38:AT38" si="13">G37/(1-$G16)-G37</f>
        <v>299472.93719618488</v>
      </c>
      <c r="H38" s="100">
        <f t="shared" si="13"/>
        <v>291325.13513144106</v>
      </c>
      <c r="I38" s="100">
        <f t="shared" si="13"/>
        <v>283428.71547955275</v>
      </c>
      <c r="J38" s="100">
        <f t="shared" si="13"/>
        <v>275764.90279059857</v>
      </c>
      <c r="K38" s="100">
        <f t="shared" si="13"/>
        <v>268316.22546534427</v>
      </c>
      <c r="L38" s="100">
        <f t="shared" si="13"/>
        <v>261066.51575524453</v>
      </c>
      <c r="M38" s="100">
        <f t="shared" si="13"/>
        <v>253927.89412385505</v>
      </c>
      <c r="N38" s="100">
        <f t="shared" si="13"/>
        <v>246805.17947087251</v>
      </c>
      <c r="O38" s="100">
        <f t="shared" si="13"/>
        <v>239682.46481788997</v>
      </c>
      <c r="P38" s="100">
        <f t="shared" si="13"/>
        <v>232559.75016490743</v>
      </c>
      <c r="Q38" s="100">
        <f t="shared" si="13"/>
        <v>225437.03551192489</v>
      </c>
      <c r="R38" s="100">
        <f t="shared" si="13"/>
        <v>218314.32085894234</v>
      </c>
      <c r="S38" s="100">
        <f t="shared" si="13"/>
        <v>211191.6062059598</v>
      </c>
      <c r="T38" s="100">
        <f t="shared" si="13"/>
        <v>204068.89155297633</v>
      </c>
      <c r="U38" s="100">
        <f t="shared" si="13"/>
        <v>196946.17689999379</v>
      </c>
      <c r="V38" s="100">
        <f t="shared" si="13"/>
        <v>189823.46224701172</v>
      </c>
      <c r="W38" s="100">
        <f t="shared" si="13"/>
        <v>182700.74759402871</v>
      </c>
      <c r="X38" s="100">
        <f t="shared" si="13"/>
        <v>175578.03294104617</v>
      </c>
      <c r="Y38" s="100">
        <f t="shared" si="13"/>
        <v>169037.096465535</v>
      </c>
      <c r="Z38" s="100">
        <f t="shared" si="13"/>
        <v>163659.45557482773</v>
      </c>
      <c r="AA38" s="100">
        <f t="shared" si="13"/>
        <v>158863.59286159184</v>
      </c>
      <c r="AB38" s="100">
        <f t="shared" si="13"/>
        <v>154067.73014835641</v>
      </c>
      <c r="AC38" s="100">
        <f t="shared" si="13"/>
        <v>149271.86743512051</v>
      </c>
      <c r="AD38" s="100">
        <f t="shared" si="13"/>
        <v>144476.00472188462</v>
      </c>
      <c r="AE38" s="100">
        <f t="shared" si="13"/>
        <v>139680.14200864872</v>
      </c>
      <c r="AF38" s="100">
        <f t="shared" si="13"/>
        <v>134884.27929541282</v>
      </c>
      <c r="AG38" s="100">
        <f t="shared" si="13"/>
        <v>130088.41658217739</v>
      </c>
      <c r="AH38" s="100">
        <f t="shared" si="13"/>
        <v>125292.5538689415</v>
      </c>
      <c r="AI38" s="100">
        <f t="shared" si="13"/>
        <v>120496.6911557056</v>
      </c>
      <c r="AJ38" s="100">
        <f t="shared" si="13"/>
        <v>115700.8284424697</v>
      </c>
      <c r="AK38" s="100">
        <f t="shared" si="13"/>
        <v>110904.96572923381</v>
      </c>
      <c r="AL38" s="100">
        <f t="shared" si="13"/>
        <v>106109.10301599791</v>
      </c>
      <c r="AM38" s="100">
        <f t="shared" si="13"/>
        <v>101313.24030276248</v>
      </c>
      <c r="AN38" s="100">
        <f t="shared" si="13"/>
        <v>96517.377589526586</v>
      </c>
      <c r="AO38" s="100">
        <f t="shared" si="13"/>
        <v>91721.51487629069</v>
      </c>
      <c r="AP38" s="100">
        <f t="shared" si="13"/>
        <v>86925.652163054794</v>
      </c>
      <c r="AQ38" s="100">
        <f t="shared" si="13"/>
        <v>82129.789449819131</v>
      </c>
      <c r="AR38" s="100">
        <f t="shared" si="13"/>
        <v>77333.926736583235</v>
      </c>
      <c r="AS38" s="100">
        <f t="shared" si="13"/>
        <v>4363.9761143147043</v>
      </c>
      <c r="AT38" s="100">
        <f t="shared" si="13"/>
        <v>4363.9761143147043</v>
      </c>
      <c r="AU38" s="105">
        <f t="shared" si="5"/>
        <v>7353523.660902258</v>
      </c>
    </row>
    <row r="39" spans="1:47" x14ac:dyDescent="0.2">
      <c r="A39" s="136">
        <f>A38+1</f>
        <v>9</v>
      </c>
      <c r="B39" s="2"/>
      <c r="C39" s="2" t="s">
        <v>61</v>
      </c>
      <c r="D39" s="122"/>
      <c r="E39" s="41">
        <f>SUM(E37:E38)</f>
        <v>7083256.8804140398</v>
      </c>
      <c r="F39" s="99">
        <f t="shared" ref="F39:AT39" si="14">SUM(F37:F38)</f>
        <v>6774758.768335294</v>
      </c>
      <c r="G39" s="99">
        <f t="shared" si="14"/>
        <v>6589498.4750629179</v>
      </c>
      <c r="H39" s="99">
        <f t="shared" si="14"/>
        <v>6410217.0689251367</v>
      </c>
      <c r="I39" s="99">
        <f t="shared" si="14"/>
        <v>6236466.9940711837</v>
      </c>
      <c r="J39" s="99">
        <f t="shared" si="14"/>
        <v>6067835.1220234316</v>
      </c>
      <c r="K39" s="99">
        <f t="shared" si="14"/>
        <v>5903937.0137818605</v>
      </c>
      <c r="L39" s="99">
        <f t="shared" si="14"/>
        <v>5744416.9198240684</v>
      </c>
      <c r="M39" s="99">
        <f t="shared" si="14"/>
        <v>5587341.1693589231</v>
      </c>
      <c r="N39" s="99">
        <f t="shared" si="14"/>
        <v>5430615.4305206584</v>
      </c>
      <c r="O39" s="99">
        <f t="shared" si="14"/>
        <v>5273889.6916823937</v>
      </c>
      <c r="P39" s="99">
        <f t="shared" si="14"/>
        <v>5117163.952844128</v>
      </c>
      <c r="Q39" s="99">
        <f t="shared" si="14"/>
        <v>4960438.2140058642</v>
      </c>
      <c r="R39" s="99">
        <f t="shared" si="14"/>
        <v>4803712.4751676004</v>
      </c>
      <c r="S39" s="99">
        <f t="shared" si="14"/>
        <v>4646986.7363293357</v>
      </c>
      <c r="T39" s="99">
        <f t="shared" si="14"/>
        <v>4490260.9974910701</v>
      </c>
      <c r="U39" s="99">
        <f t="shared" si="14"/>
        <v>4333535.2586528054</v>
      </c>
      <c r="V39" s="99">
        <f t="shared" si="14"/>
        <v>4176809.5198145411</v>
      </c>
      <c r="W39" s="99">
        <f t="shared" si="14"/>
        <v>4020083.7809762764</v>
      </c>
      <c r="X39" s="99">
        <f t="shared" si="14"/>
        <v>3863358.0421380121</v>
      </c>
      <c r="Y39" s="99">
        <f t="shared" si="14"/>
        <v>3719433.548210768</v>
      </c>
      <c r="Z39" s="99">
        <f t="shared" si="14"/>
        <v>3601105.8062100424</v>
      </c>
      <c r="AA39" s="99">
        <f t="shared" si="14"/>
        <v>3495579.309120337</v>
      </c>
      <c r="AB39" s="99">
        <f t="shared" si="14"/>
        <v>3390052.8120306325</v>
      </c>
      <c r="AC39" s="99">
        <f t="shared" si="14"/>
        <v>3284526.314940928</v>
      </c>
      <c r="AD39" s="99">
        <f t="shared" si="14"/>
        <v>3178999.8178512231</v>
      </c>
      <c r="AE39" s="99">
        <f t="shared" si="14"/>
        <v>3073473.3207615181</v>
      </c>
      <c r="AF39" s="99">
        <f t="shared" si="14"/>
        <v>2967946.8236718136</v>
      </c>
      <c r="AG39" s="99">
        <f t="shared" si="14"/>
        <v>2862420.3265821096</v>
      </c>
      <c r="AH39" s="99">
        <f t="shared" si="14"/>
        <v>2756893.8294924046</v>
      </c>
      <c r="AI39" s="99">
        <f t="shared" si="14"/>
        <v>2651367.3324026996</v>
      </c>
      <c r="AJ39" s="99">
        <f t="shared" si="14"/>
        <v>2545840.8353129951</v>
      </c>
      <c r="AK39" s="99">
        <f t="shared" si="14"/>
        <v>2440314.3382232902</v>
      </c>
      <c r="AL39" s="99">
        <f t="shared" si="14"/>
        <v>2334787.8411335857</v>
      </c>
      <c r="AM39" s="99">
        <f t="shared" si="14"/>
        <v>2229261.3440438812</v>
      </c>
      <c r="AN39" s="99">
        <f t="shared" si="14"/>
        <v>2123734.8469541767</v>
      </c>
      <c r="AO39" s="99">
        <f t="shared" si="14"/>
        <v>2018208.3498644717</v>
      </c>
      <c r="AP39" s="99">
        <f t="shared" si="14"/>
        <v>1912681.8527747672</v>
      </c>
      <c r="AQ39" s="99">
        <f t="shared" si="14"/>
        <v>1807155.3556850627</v>
      </c>
      <c r="AR39" s="99">
        <f t="shared" si="14"/>
        <v>1701628.858595358</v>
      </c>
      <c r="AS39" s="99">
        <f t="shared" ref="AS39" si="15">SUM(AS37:AS38)</f>
        <v>96023.41440171405</v>
      </c>
      <c r="AT39" s="99">
        <f t="shared" si="14"/>
        <v>96023.41440171405</v>
      </c>
      <c r="AU39" s="105">
        <f t="shared" si="5"/>
        <v>161802042.20408499</v>
      </c>
    </row>
    <row r="40" spans="1:47" x14ac:dyDescent="0.2">
      <c r="A40" s="136">
        <f t="shared" ref="A40:A66" si="16">A39+1</f>
        <v>10</v>
      </c>
      <c r="B40" s="2"/>
      <c r="C40" s="2"/>
      <c r="D40" s="122"/>
      <c r="E40" s="41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105">
        <f t="shared" si="5"/>
        <v>0</v>
      </c>
    </row>
    <row r="41" spans="1:47" x14ac:dyDescent="0.2">
      <c r="A41" s="136">
        <f t="shared" si="16"/>
        <v>11</v>
      </c>
      <c r="B41" s="2"/>
      <c r="C41" s="2"/>
      <c r="D41" s="122"/>
      <c r="E41" s="38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5">
        <f t="shared" si="5"/>
        <v>0</v>
      </c>
    </row>
    <row r="42" spans="1:47" x14ac:dyDescent="0.2">
      <c r="A42" s="136">
        <f t="shared" si="16"/>
        <v>12</v>
      </c>
      <c r="B42" s="2" t="s">
        <v>62</v>
      </c>
      <c r="C42" s="2"/>
      <c r="D42" s="122"/>
      <c r="E42" s="40">
        <f>E39</f>
        <v>7083256.8804140398</v>
      </c>
      <c r="F42" s="100">
        <f>F39</f>
        <v>6774758.768335294</v>
      </c>
      <c r="G42" s="100">
        <f t="shared" ref="G42:AT42" si="17">G39</f>
        <v>6589498.4750629179</v>
      </c>
      <c r="H42" s="100">
        <f t="shared" si="17"/>
        <v>6410217.0689251367</v>
      </c>
      <c r="I42" s="100">
        <f t="shared" si="17"/>
        <v>6236466.9940711837</v>
      </c>
      <c r="J42" s="100">
        <f t="shared" si="17"/>
        <v>6067835.1220234316</v>
      </c>
      <c r="K42" s="100">
        <f t="shared" si="17"/>
        <v>5903937.0137818605</v>
      </c>
      <c r="L42" s="100">
        <f t="shared" si="17"/>
        <v>5744416.9198240684</v>
      </c>
      <c r="M42" s="100">
        <f t="shared" si="17"/>
        <v>5587341.1693589231</v>
      </c>
      <c r="N42" s="100">
        <f t="shared" si="17"/>
        <v>5430615.4305206584</v>
      </c>
      <c r="O42" s="100">
        <f t="shared" si="17"/>
        <v>5273889.6916823937</v>
      </c>
      <c r="P42" s="100">
        <f t="shared" si="17"/>
        <v>5117163.952844128</v>
      </c>
      <c r="Q42" s="100">
        <f t="shared" si="17"/>
        <v>4960438.2140058642</v>
      </c>
      <c r="R42" s="100">
        <f t="shared" si="17"/>
        <v>4803712.4751676004</v>
      </c>
      <c r="S42" s="100">
        <f t="shared" si="17"/>
        <v>4646986.7363293357</v>
      </c>
      <c r="T42" s="100">
        <f t="shared" si="17"/>
        <v>4490260.9974910701</v>
      </c>
      <c r="U42" s="100">
        <f t="shared" si="17"/>
        <v>4333535.2586528054</v>
      </c>
      <c r="V42" s="100">
        <f t="shared" si="17"/>
        <v>4176809.5198145411</v>
      </c>
      <c r="W42" s="100">
        <f t="shared" si="17"/>
        <v>4020083.7809762764</v>
      </c>
      <c r="X42" s="100">
        <f t="shared" si="17"/>
        <v>3863358.0421380121</v>
      </c>
      <c r="Y42" s="100">
        <f t="shared" si="17"/>
        <v>3719433.548210768</v>
      </c>
      <c r="Z42" s="100">
        <f t="shared" si="17"/>
        <v>3601105.8062100424</v>
      </c>
      <c r="AA42" s="100">
        <f t="shared" si="17"/>
        <v>3495579.309120337</v>
      </c>
      <c r="AB42" s="100">
        <f t="shared" si="17"/>
        <v>3390052.8120306325</v>
      </c>
      <c r="AC42" s="100">
        <f t="shared" si="17"/>
        <v>3284526.314940928</v>
      </c>
      <c r="AD42" s="100">
        <f t="shared" si="17"/>
        <v>3178999.8178512231</v>
      </c>
      <c r="AE42" s="100">
        <f t="shared" si="17"/>
        <v>3073473.3207615181</v>
      </c>
      <c r="AF42" s="100">
        <f t="shared" si="17"/>
        <v>2967946.8236718136</v>
      </c>
      <c r="AG42" s="100">
        <f t="shared" si="17"/>
        <v>2862420.3265821096</v>
      </c>
      <c r="AH42" s="100">
        <f t="shared" si="17"/>
        <v>2756893.8294924046</v>
      </c>
      <c r="AI42" s="100">
        <f t="shared" si="17"/>
        <v>2651367.3324026996</v>
      </c>
      <c r="AJ42" s="100">
        <f t="shared" si="17"/>
        <v>2545840.8353129951</v>
      </c>
      <c r="AK42" s="100">
        <f t="shared" si="17"/>
        <v>2440314.3382232902</v>
      </c>
      <c r="AL42" s="100">
        <f t="shared" si="17"/>
        <v>2334787.8411335857</v>
      </c>
      <c r="AM42" s="100">
        <f t="shared" si="17"/>
        <v>2229261.3440438812</v>
      </c>
      <c r="AN42" s="100">
        <f t="shared" si="17"/>
        <v>2123734.8469541767</v>
      </c>
      <c r="AO42" s="100">
        <f t="shared" si="17"/>
        <v>2018208.3498644717</v>
      </c>
      <c r="AP42" s="100">
        <f t="shared" si="17"/>
        <v>1912681.8527747672</v>
      </c>
      <c r="AQ42" s="100">
        <f t="shared" si="17"/>
        <v>1807155.3556850627</v>
      </c>
      <c r="AR42" s="100">
        <f t="shared" si="17"/>
        <v>1701628.858595358</v>
      </c>
      <c r="AS42" s="100">
        <f t="shared" ref="AS42" si="18">AS39</f>
        <v>96023.41440171405</v>
      </c>
      <c r="AT42" s="100">
        <f t="shared" si="17"/>
        <v>96023.41440171405</v>
      </c>
      <c r="AU42" s="105">
        <f t="shared" si="5"/>
        <v>161802042.20408499</v>
      </c>
    </row>
    <row r="43" spans="1:47" x14ac:dyDescent="0.2">
      <c r="A43" s="136">
        <f t="shared" si="16"/>
        <v>13</v>
      </c>
      <c r="B43" s="2"/>
      <c r="C43" s="2"/>
      <c r="D43" s="122"/>
      <c r="E43" s="83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</row>
    <row r="44" spans="1:47" outlineLevel="1" x14ac:dyDescent="0.2">
      <c r="A44" s="136">
        <f t="shared" si="16"/>
        <v>14</v>
      </c>
      <c r="B44" s="2"/>
      <c r="C44" s="2"/>
      <c r="D44" s="122"/>
      <c r="E44" s="43"/>
      <c r="F44" s="122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</row>
    <row r="45" spans="1:47" outlineLevel="1" x14ac:dyDescent="0.2">
      <c r="A45" s="136">
        <f t="shared" si="16"/>
        <v>15</v>
      </c>
      <c r="B45" s="2" t="s">
        <v>63</v>
      </c>
      <c r="C45" s="122"/>
      <c r="D45" s="122"/>
      <c r="E45" s="45">
        <f>+E42/$F$22</f>
        <v>0.11680911008804319</v>
      </c>
      <c r="F45" s="101">
        <f t="shared" ref="F45:AT45" si="19">+F42/$F$22</f>
        <v>0.11172170601049218</v>
      </c>
      <c r="G45" s="101">
        <f t="shared" si="19"/>
        <v>0.10866660150741629</v>
      </c>
      <c r="H45" s="101">
        <f t="shared" si="19"/>
        <v>0.10571009409001721</v>
      </c>
      <c r="I45" s="101">
        <f t="shared" si="19"/>
        <v>0.10284480317030757</v>
      </c>
      <c r="J45" s="101">
        <f t="shared" si="19"/>
        <v>0.1000639158978376</v>
      </c>
      <c r="K45" s="101">
        <f t="shared" si="19"/>
        <v>9.7361092536772012E-2</v>
      </c>
      <c r="L45" s="101">
        <f t="shared" si="19"/>
        <v>9.4730466465890117E-2</v>
      </c>
      <c r="M45" s="101">
        <f t="shared" si="19"/>
        <v>9.2140149760169751E-2</v>
      </c>
      <c r="N45" s="101">
        <f t="shared" si="19"/>
        <v>8.9555605052747164E-2</v>
      </c>
      <c r="O45" s="101">
        <f t="shared" si="19"/>
        <v>8.6971060345324563E-2</v>
      </c>
      <c r="P45" s="101">
        <f t="shared" si="19"/>
        <v>8.4386515637901963E-2</v>
      </c>
      <c r="Q45" s="101">
        <f t="shared" si="19"/>
        <v>8.180197093047939E-2</v>
      </c>
      <c r="R45" s="101">
        <f t="shared" si="19"/>
        <v>7.9217426223056803E-2</v>
      </c>
      <c r="S45" s="101">
        <f t="shared" si="19"/>
        <v>7.6632881515634216E-2</v>
      </c>
      <c r="T45" s="101">
        <f t="shared" si="19"/>
        <v>7.4048336808211601E-2</v>
      </c>
      <c r="U45" s="101">
        <f t="shared" si="19"/>
        <v>7.1463792100789014E-2</v>
      </c>
      <c r="V45" s="101">
        <f t="shared" si="19"/>
        <v>6.8879247393366427E-2</v>
      </c>
      <c r="W45" s="101">
        <f t="shared" si="19"/>
        <v>6.629470268594384E-2</v>
      </c>
      <c r="X45" s="101">
        <f t="shared" si="19"/>
        <v>6.3710157978521254E-2</v>
      </c>
      <c r="Y45" s="101">
        <f t="shared" si="19"/>
        <v>6.1336717012120685E-2</v>
      </c>
      <c r="Z45" s="101">
        <f t="shared" si="19"/>
        <v>5.9385388904841255E-2</v>
      </c>
      <c r="AA45" s="101">
        <f t="shared" si="19"/>
        <v>5.7645164538583843E-2</v>
      </c>
      <c r="AB45" s="101">
        <f t="shared" si="19"/>
        <v>5.5904940172326445E-2</v>
      </c>
      <c r="AC45" s="101">
        <f t="shared" si="19"/>
        <v>5.4164715806069054E-2</v>
      </c>
      <c r="AD45" s="101">
        <f t="shared" si="19"/>
        <v>5.2424491439811649E-2</v>
      </c>
      <c r="AE45" s="101">
        <f t="shared" si="19"/>
        <v>5.0684267073554244E-2</v>
      </c>
      <c r="AF45" s="101">
        <f t="shared" si="19"/>
        <v>4.8944042707296846E-2</v>
      </c>
      <c r="AG45" s="101">
        <f t="shared" si="19"/>
        <v>4.7203818341039462E-2</v>
      </c>
      <c r="AH45" s="101">
        <f t="shared" si="19"/>
        <v>4.5463593974782057E-2</v>
      </c>
      <c r="AI45" s="101">
        <f t="shared" si="19"/>
        <v>4.3723369608524652E-2</v>
      </c>
      <c r="AJ45" s="101">
        <f t="shared" si="19"/>
        <v>4.1983145242267254E-2</v>
      </c>
      <c r="AK45" s="101">
        <f t="shared" si="19"/>
        <v>4.0242920876009849E-2</v>
      </c>
      <c r="AL45" s="101">
        <f t="shared" si="19"/>
        <v>3.8502696509752458E-2</v>
      </c>
      <c r="AM45" s="101">
        <f t="shared" si="19"/>
        <v>3.676247214349506E-2</v>
      </c>
      <c r="AN45" s="101">
        <f t="shared" si="19"/>
        <v>3.5022247777237663E-2</v>
      </c>
      <c r="AO45" s="101">
        <f t="shared" si="19"/>
        <v>3.3282023410980258E-2</v>
      </c>
      <c r="AP45" s="101">
        <f t="shared" si="19"/>
        <v>3.1541799044722867E-2</v>
      </c>
      <c r="AQ45" s="101">
        <f t="shared" si="19"/>
        <v>2.9801574678465469E-2</v>
      </c>
      <c r="AR45" s="101">
        <f t="shared" si="19"/>
        <v>2.8061350312208067E-2</v>
      </c>
      <c r="AS45" s="101">
        <f t="shared" ref="AS45" si="20">+AS42/$F$22</f>
        <v>1.5835102091093403E-3</v>
      </c>
      <c r="AT45" s="101">
        <f t="shared" si="19"/>
        <v>1.5835102091093403E-3</v>
      </c>
    </row>
    <row r="46" spans="1:47" outlineLevel="1" x14ac:dyDescent="0.2">
      <c r="A46" s="136">
        <f t="shared" si="16"/>
        <v>16</v>
      </c>
      <c r="B46" s="2"/>
      <c r="C46" s="2"/>
      <c r="D46" s="122"/>
      <c r="E46" s="43"/>
      <c r="F46" s="122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</row>
    <row r="47" spans="1:47" outlineLevel="1" x14ac:dyDescent="0.2">
      <c r="A47" s="136">
        <f t="shared" si="16"/>
        <v>17</v>
      </c>
      <c r="B47" s="2"/>
      <c r="C47" s="2"/>
      <c r="D47" s="122"/>
      <c r="E47" s="43">
        <f>+E27/2</f>
        <v>741135.08819157048</v>
      </c>
      <c r="F47" s="99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</row>
    <row r="48" spans="1:47" outlineLevel="1" x14ac:dyDescent="0.2">
      <c r="A48" s="136">
        <f t="shared" si="16"/>
        <v>18</v>
      </c>
      <c r="B48" s="2"/>
      <c r="C48" s="2"/>
      <c r="D48" s="122"/>
      <c r="E48" s="43">
        <f>+E60/2</f>
        <v>83130.028444770142</v>
      </c>
      <c r="F48" s="99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</row>
    <row r="49" spans="1:47" x14ac:dyDescent="0.2">
      <c r="A49" s="136">
        <f t="shared" si="16"/>
        <v>19</v>
      </c>
      <c r="B49" s="46" t="s">
        <v>64</v>
      </c>
      <c r="C49" s="2"/>
      <c r="D49" s="122"/>
      <c r="E49" s="41">
        <f>F22-E27/2-E60/2</f>
        <v>59815327.763363659</v>
      </c>
      <c r="F49" s="118">
        <f>$F$22-(SUM($E$27:E27)+F27/2)-(SUM($E$60:E60)+F60/2)</f>
        <v>57945920.845005214</v>
      </c>
      <c r="G49" s="118">
        <f>$F$22-(SUM($E$27:F27)+G27/2)-(SUM($E$60:F60)+G60/2)</f>
        <v>55890147.233869031</v>
      </c>
      <c r="H49" s="118">
        <f>$F$22-(SUM($E$27:G27)+H27/2)-(SUM($E$60:G60)+H60/2)</f>
        <v>53900719.401302852</v>
      </c>
      <c r="I49" s="118">
        <f>$F$22-(SUM($E$27:H27)+I27/2)-(SUM($E$60:H60)+I60/2)</f>
        <v>51972670.964649811</v>
      </c>
      <c r="J49" s="118">
        <f>$F$22-(SUM($E$27:I27)+J27/2)-(SUM($E$60:I60)+J60/2)</f>
        <v>50101417.570688181</v>
      </c>
      <c r="K49" s="118">
        <f>$F$22-(SUM($E$27:J27)+K27/2)-(SUM($E$60:J60)+K60/2)</f>
        <v>48282693.224058844</v>
      </c>
      <c r="L49" s="118">
        <f>$F$22-(SUM($E$27:K27)+L27/2)-(SUM($E$60:K60)+L60/2)</f>
        <v>46512550.287265323</v>
      </c>
      <c r="M49" s="118">
        <f>$F$22-(SUM($E$27:L27)+M27/2)-(SUM($E$60:L60)+M60/2)</f>
        <v>44769531.440367028</v>
      </c>
      <c r="N49" s="118">
        <f>$F$22-(SUM($E$27:M27)+N27/2)-(SUM($E$60:M60)+N60/2)</f>
        <v>43030396.559392698</v>
      </c>
      <c r="O49" s="118">
        <f>$F$22-(SUM($E$27:N27)+O27/2)-(SUM($E$60:N60)+O60/2)</f>
        <v>41291261.678418361</v>
      </c>
      <c r="P49" s="118">
        <f>$F$22-(SUM($E$27:O27)+P27/2)-(SUM($E$60:O60)+P60/2)</f>
        <v>39552126.797444023</v>
      </c>
      <c r="Q49" s="118">
        <f>$F$22-(SUM($E$27:P27)+Q27/2)-(SUM($E$60:P60)+Q60/2)</f>
        <v>37812991.916469693</v>
      </c>
      <c r="R49" s="118">
        <f>$F$22-(SUM($E$27:Q27)+R27/2)-(SUM($E$60:Q60)+R60/2)</f>
        <v>36073857.035495363</v>
      </c>
      <c r="S49" s="118">
        <f>$F$22-(SUM($E$27:R27)+S27/2)-(SUM($E$60:R60)+S60/2)</f>
        <v>34334722.154521033</v>
      </c>
      <c r="T49" s="118">
        <f>$F$22-(SUM($E$27:S27)+T27/2)-(SUM($E$60:S60)+T60/2)</f>
        <v>32595587.273546696</v>
      </c>
      <c r="U49" s="118">
        <f>$F$22-(SUM($E$27:T27)+U27/2)-(SUM($E$60:T60)+U60/2)</f>
        <v>30856452.392572358</v>
      </c>
      <c r="V49" s="118">
        <f>$F$22-(SUM($E$27:U27)+V27/2)-(SUM($E$60:U60)+V60/2)</f>
        <v>29117317.511598028</v>
      </c>
      <c r="W49" s="118">
        <f>$F$22-(SUM($E$27:V27)+W27/2)-(SUM($E$60:V60)+W60/2)</f>
        <v>27378182.630623695</v>
      </c>
      <c r="X49" s="118">
        <f>$F$22-(SUM($E$27:W27)+X27/2)-(SUM($E$60:W60)+X60/2)</f>
        <v>25639047.749649361</v>
      </c>
      <c r="Y49" s="118">
        <f>$F$22-(SUM($E$27:X27)+Y27/2)-(SUM($E$60:X60)+Y60/2)</f>
        <v>24041964.146976069</v>
      </c>
      <c r="Z49" s="118">
        <f>$F$22-(SUM($E$27:Y27)+Z27/2)-(SUM($E$60:Y60)+Z60/2)</f>
        <v>22728919.429332346</v>
      </c>
      <c r="AA49" s="118">
        <f>$F$22-(SUM($E$27:Z27)+AA27/2)-(SUM($E$60:Z60)+AA60/2)</f>
        <v>21557925.989989661</v>
      </c>
      <c r="AB49" s="118">
        <f>$F$22-(SUM($E$27:AA27)+AB27/2)-(SUM($E$60:AA60)+AB60/2)</f>
        <v>20386932.550646979</v>
      </c>
      <c r="AC49" s="118">
        <f>$F$22-(SUM($E$27:AB27)+AC27/2)-(SUM($E$60:AB60)+AC60/2)</f>
        <v>19215939.111304302</v>
      </c>
      <c r="AD49" s="118">
        <f>$F$22-(SUM($E$27:AC27)+AD27/2)-(SUM($E$60:AC60)+AD60/2)</f>
        <v>18044945.67196162</v>
      </c>
      <c r="AE49" s="118">
        <f>$F$22-(SUM($E$27:AD27)+AE27/2)-(SUM($E$60:AD60)+AE60/2)</f>
        <v>16873952.232618943</v>
      </c>
      <c r="AF49" s="118">
        <f>$F$22-(SUM($E$27:AE27)+AF27/2)-(SUM($E$60:AE60)+AF60/2)</f>
        <v>15702958.793276265</v>
      </c>
      <c r="AG49" s="118">
        <f>$F$22-(SUM($E$27:AF27)+AG27/2)-(SUM($E$60:AF60)+AG60/2)</f>
        <v>14531965.353933588</v>
      </c>
      <c r="AH49" s="118">
        <f>$F$22-(SUM($E$27:AG27)+AH27/2)-(SUM($E$60:AG60)+AH60/2)</f>
        <v>13360971.914590908</v>
      </c>
      <c r="AI49" s="118">
        <f>$F$22-(SUM($E$27:AH27)+AI27/2)-(SUM($E$60:AH60)+AI60/2)</f>
        <v>12189978.475248231</v>
      </c>
      <c r="AJ49" s="118">
        <f>$F$22-(SUM($E$27:AI27)+AJ27/2)-(SUM($E$60:AI60)+AJ60/2)</f>
        <v>11018985.035905553</v>
      </c>
      <c r="AK49" s="118">
        <f>$F$22-(SUM($E$27:AJ27)+AK27/2)-(SUM($E$60:AJ60)+AK60/2)</f>
        <v>9847991.5965628736</v>
      </c>
      <c r="AL49" s="118">
        <f>$F$22-(SUM($E$27:AK27)+AL27/2)-(SUM($E$60:AK60)+AL60/2)</f>
        <v>8676998.157220196</v>
      </c>
      <c r="AM49" s="118">
        <f>$F$22-(SUM($E$27:AL27)+AM27/2)-(SUM($E$60:AL60)+AM60/2)</f>
        <v>7506004.7178775184</v>
      </c>
      <c r="AN49" s="118">
        <f>$F$22-(SUM($E$27:AM27)+AN27/2)-(SUM($E$60:AM60)+AN60/2)</f>
        <v>6335011.2785348408</v>
      </c>
      <c r="AO49" s="118">
        <f>$F$22-(SUM($E$27:AN27)+AO27/2)-(SUM($E$60:AN60)+AO60/2)</f>
        <v>5164017.8391921623</v>
      </c>
      <c r="AP49" s="118">
        <f>$F$22-(SUM($E$27:AO27)+AP27/2)-(SUM($E$60:AO60)+AP60/2)</f>
        <v>3993024.3998494847</v>
      </c>
      <c r="AQ49" s="118">
        <f>$F$22-(SUM($E$27:AP27)+AQ27/2)-(SUM($E$60:AP60)+AQ60/2)</f>
        <v>2822030.9605068062</v>
      </c>
      <c r="AR49" s="118">
        <f>$F$22-(SUM($E$27:AQ27)+AR27/2)-(SUM($E$60:AQ60)+AR60/2)</f>
        <v>1651037.5211641283</v>
      </c>
      <c r="AS49" s="118">
        <f>$F$22-(SUM($E$27:AR27)+AS27/2)-(SUM($E$60:AR60)+AS60/2)</f>
        <v>1065540.8014927893</v>
      </c>
      <c r="AT49" s="118">
        <f>$F$22-(SUM($E$27:AR27)+AT27/2)-(SUM($E$60:AR60)+AT60/2)</f>
        <v>1065540.8014927893</v>
      </c>
      <c r="AU49" s="105">
        <f t="shared" ref="AU49:AU60" si="21">SUM(D49:AT49)</f>
        <v>1104655559.2099795</v>
      </c>
    </row>
    <row r="50" spans="1:47" x14ac:dyDescent="0.2">
      <c r="A50" s="136">
        <f t="shared" si="16"/>
        <v>20</v>
      </c>
      <c r="B50" s="2"/>
      <c r="C50" s="2"/>
      <c r="D50" s="122"/>
      <c r="E50" s="84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5">
        <f t="shared" si="21"/>
        <v>0</v>
      </c>
    </row>
    <row r="51" spans="1:47" x14ac:dyDescent="0.2">
      <c r="A51" s="136">
        <f t="shared" si="16"/>
        <v>21</v>
      </c>
      <c r="B51" s="2"/>
      <c r="C51" s="2"/>
      <c r="D51" s="122"/>
      <c r="E51" s="38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5">
        <f t="shared" si="21"/>
        <v>0</v>
      </c>
    </row>
    <row r="52" spans="1:47" x14ac:dyDescent="0.2">
      <c r="A52" s="136">
        <f t="shared" si="16"/>
        <v>22</v>
      </c>
      <c r="B52" s="2" t="s">
        <v>65</v>
      </c>
      <c r="C52" s="2"/>
      <c r="D52" s="122"/>
      <c r="E52" s="38">
        <f>(E34)/(1-$F$15)</f>
        <v>3490489.3796089427</v>
      </c>
      <c r="F52" s="102">
        <f>(F34)/(1-$G$15)</f>
        <v>3344726.5702939723</v>
      </c>
      <c r="G52" s="102">
        <f t="shared" ref="G52:AT52" si="22">(G34)/(1-$G$15)</f>
        <v>3226064.1947650984</v>
      </c>
      <c r="H52" s="102">
        <f t="shared" si="22"/>
        <v>3111231.3983536838</v>
      </c>
      <c r="I52" s="102">
        <f t="shared" si="22"/>
        <v>2999941.5139089008</v>
      </c>
      <c r="J52" s="102">
        <f t="shared" si="22"/>
        <v>2891929.9255992165</v>
      </c>
      <c r="K52" s="102">
        <f t="shared" si="22"/>
        <v>2786950.3936925107</v>
      </c>
      <c r="L52" s="102">
        <f t="shared" si="22"/>
        <v>2684775.0545560741</v>
      </c>
      <c r="M52" s="102">
        <f t="shared" si="22"/>
        <v>2584165.3590895399</v>
      </c>
      <c r="N52" s="102">
        <f t="shared" si="22"/>
        <v>2483779.8520358317</v>
      </c>
      <c r="O52" s="102">
        <f t="shared" si="22"/>
        <v>2383394.344982123</v>
      </c>
      <c r="P52" s="102">
        <f t="shared" si="22"/>
        <v>2283008.8379284143</v>
      </c>
      <c r="Q52" s="102">
        <f t="shared" si="22"/>
        <v>2182623.3308747062</v>
      </c>
      <c r="R52" s="102">
        <f t="shared" si="22"/>
        <v>2082237.8238209982</v>
      </c>
      <c r="S52" s="102">
        <f t="shared" si="22"/>
        <v>1981852.31676729</v>
      </c>
      <c r="T52" s="102">
        <f t="shared" si="22"/>
        <v>1881466.8097135813</v>
      </c>
      <c r="U52" s="102">
        <f t="shared" si="22"/>
        <v>1781081.3026598727</v>
      </c>
      <c r="V52" s="102">
        <f t="shared" si="22"/>
        <v>1680695.7956061647</v>
      </c>
      <c r="W52" s="102">
        <f t="shared" si="22"/>
        <v>1580310.2885524561</v>
      </c>
      <c r="X52" s="102">
        <f t="shared" si="22"/>
        <v>1479924.7814987479</v>
      </c>
      <c r="Y52" s="102">
        <f t="shared" si="22"/>
        <v>1387738.6900026693</v>
      </c>
      <c r="Z52" s="102">
        <f t="shared" si="22"/>
        <v>1311947.7544019683</v>
      </c>
      <c r="AA52" s="102">
        <f t="shared" si="22"/>
        <v>1244356.234358897</v>
      </c>
      <c r="AB52" s="102">
        <f t="shared" si="22"/>
        <v>1176764.7143158256</v>
      </c>
      <c r="AC52" s="102">
        <f t="shared" si="22"/>
        <v>1109173.1942727547</v>
      </c>
      <c r="AD52" s="102">
        <f t="shared" si="22"/>
        <v>1041581.6742296835</v>
      </c>
      <c r="AE52" s="102">
        <f t="shared" si="22"/>
        <v>973990.15418661246</v>
      </c>
      <c r="AF52" s="102">
        <f t="shared" si="22"/>
        <v>906398.63414354133</v>
      </c>
      <c r="AG52" s="102">
        <f t="shared" si="22"/>
        <v>838807.11410047032</v>
      </c>
      <c r="AH52" s="102">
        <f t="shared" si="22"/>
        <v>771215.5940573992</v>
      </c>
      <c r="AI52" s="102">
        <f t="shared" si="22"/>
        <v>703624.0740143283</v>
      </c>
      <c r="AJ52" s="102">
        <f t="shared" si="22"/>
        <v>636032.55397125718</v>
      </c>
      <c r="AK52" s="102">
        <f t="shared" si="22"/>
        <v>568441.03392818605</v>
      </c>
      <c r="AL52" s="102">
        <f t="shared" si="22"/>
        <v>500849.5138851151</v>
      </c>
      <c r="AM52" s="102">
        <f t="shared" si="22"/>
        <v>433257.99384204409</v>
      </c>
      <c r="AN52" s="102">
        <f t="shared" si="22"/>
        <v>365666.47379897308</v>
      </c>
      <c r="AO52" s="102">
        <f t="shared" si="22"/>
        <v>298074.95375590201</v>
      </c>
      <c r="AP52" s="102">
        <f t="shared" si="22"/>
        <v>230483.433712831</v>
      </c>
      <c r="AQ52" s="102">
        <f t="shared" si="22"/>
        <v>162891.91366975996</v>
      </c>
      <c r="AR52" s="102">
        <f t="shared" si="22"/>
        <v>95300.393626688921</v>
      </c>
      <c r="AS52" s="102">
        <f t="shared" si="22"/>
        <v>61504.633605153409</v>
      </c>
      <c r="AT52" s="102">
        <f t="shared" si="22"/>
        <v>61504.633605153409</v>
      </c>
      <c r="AU52" s="105">
        <f t="shared" si="21"/>
        <v>63800254.63779334</v>
      </c>
    </row>
    <row r="53" spans="1:47" x14ac:dyDescent="0.2">
      <c r="A53" s="136">
        <f t="shared" si="16"/>
        <v>23</v>
      </c>
      <c r="B53" s="2" t="s">
        <v>66</v>
      </c>
      <c r="C53" s="2"/>
      <c r="D53" s="122"/>
      <c r="E53" s="40">
        <f t="shared" ref="E53" si="23">E52*$F15</f>
        <v>733002.76971787796</v>
      </c>
      <c r="F53" s="100">
        <f>F52*$G15</f>
        <v>702392.57976173412</v>
      </c>
      <c r="G53" s="100">
        <f t="shared" ref="G53:AT53" si="24">G52*$G15</f>
        <v>677473.48090067063</v>
      </c>
      <c r="H53" s="100">
        <f t="shared" si="24"/>
        <v>653358.59365427354</v>
      </c>
      <c r="I53" s="100">
        <f t="shared" si="24"/>
        <v>629987.71792086912</v>
      </c>
      <c r="J53" s="100">
        <f t="shared" si="24"/>
        <v>607305.28437583544</v>
      </c>
      <c r="K53" s="100">
        <f t="shared" si="24"/>
        <v>585259.5826754272</v>
      </c>
      <c r="L53" s="100">
        <f t="shared" si="24"/>
        <v>563802.7614567756</v>
      </c>
      <c r="M53" s="100">
        <f t="shared" si="24"/>
        <v>542674.72540880332</v>
      </c>
      <c r="N53" s="100">
        <f t="shared" si="24"/>
        <v>521593.76892752462</v>
      </c>
      <c r="O53" s="100">
        <f t="shared" si="24"/>
        <v>500512.81244624581</v>
      </c>
      <c r="P53" s="100">
        <f t="shared" si="24"/>
        <v>479431.85596496699</v>
      </c>
      <c r="Q53" s="100">
        <f t="shared" si="24"/>
        <v>458350.89948368829</v>
      </c>
      <c r="R53" s="100">
        <f t="shared" si="24"/>
        <v>437269.94300240959</v>
      </c>
      <c r="S53" s="100">
        <f t="shared" si="24"/>
        <v>416188.98652113089</v>
      </c>
      <c r="T53" s="100">
        <f t="shared" si="24"/>
        <v>395108.03003985208</v>
      </c>
      <c r="U53" s="100">
        <f t="shared" si="24"/>
        <v>374027.07355857326</v>
      </c>
      <c r="V53" s="100">
        <f t="shared" si="24"/>
        <v>352946.11707729456</v>
      </c>
      <c r="W53" s="100">
        <f t="shared" si="24"/>
        <v>331865.16059601575</v>
      </c>
      <c r="X53" s="100">
        <f t="shared" si="24"/>
        <v>310784.20411473705</v>
      </c>
      <c r="Y53" s="100">
        <f t="shared" si="24"/>
        <v>291425.12490056054</v>
      </c>
      <c r="Z53" s="100">
        <f t="shared" si="24"/>
        <v>275509.02842441335</v>
      </c>
      <c r="AA53" s="100">
        <f t="shared" si="24"/>
        <v>261314.80921536835</v>
      </c>
      <c r="AB53" s="100">
        <f t="shared" si="24"/>
        <v>247120.59000632336</v>
      </c>
      <c r="AC53" s="100">
        <f t="shared" si="24"/>
        <v>232926.37079727848</v>
      </c>
      <c r="AD53" s="100">
        <f t="shared" si="24"/>
        <v>218732.15158823351</v>
      </c>
      <c r="AE53" s="100">
        <f t="shared" si="24"/>
        <v>204537.9323791886</v>
      </c>
      <c r="AF53" s="100">
        <f t="shared" si="24"/>
        <v>190343.71317014366</v>
      </c>
      <c r="AG53" s="100">
        <f t="shared" si="24"/>
        <v>176149.49396109875</v>
      </c>
      <c r="AH53" s="100">
        <f t="shared" si="24"/>
        <v>161955.27475205384</v>
      </c>
      <c r="AI53" s="100">
        <f t="shared" si="24"/>
        <v>147761.05554300893</v>
      </c>
      <c r="AJ53" s="100">
        <f t="shared" si="24"/>
        <v>133566.83633396399</v>
      </c>
      <c r="AK53" s="100">
        <f t="shared" si="24"/>
        <v>119372.61712491907</v>
      </c>
      <c r="AL53" s="100">
        <f t="shared" si="24"/>
        <v>105178.39791587417</v>
      </c>
      <c r="AM53" s="100">
        <f t="shared" si="24"/>
        <v>90984.178706829262</v>
      </c>
      <c r="AN53" s="100">
        <f t="shared" si="24"/>
        <v>76789.959497784337</v>
      </c>
      <c r="AO53" s="100">
        <f t="shared" si="24"/>
        <v>62595.74028873942</v>
      </c>
      <c r="AP53" s="100">
        <f t="shared" si="24"/>
        <v>48401.52107969451</v>
      </c>
      <c r="AQ53" s="100">
        <f t="shared" si="24"/>
        <v>34207.301870649593</v>
      </c>
      <c r="AR53" s="100">
        <f t="shared" si="24"/>
        <v>20013.082661604672</v>
      </c>
      <c r="AS53" s="100">
        <f t="shared" si="24"/>
        <v>12915.973057082216</v>
      </c>
      <c r="AT53" s="100">
        <f t="shared" si="24"/>
        <v>12915.973057082216</v>
      </c>
      <c r="AU53" s="105">
        <f t="shared" si="21"/>
        <v>13398053.473936601</v>
      </c>
    </row>
    <row r="54" spans="1:47" x14ac:dyDescent="0.2">
      <c r="A54" s="136">
        <f t="shared" si="16"/>
        <v>24</v>
      </c>
      <c r="B54" s="2" t="s">
        <v>67</v>
      </c>
      <c r="C54" s="2"/>
      <c r="D54" s="122"/>
      <c r="E54" s="38">
        <f>E52-E53</f>
        <v>2757486.6098910645</v>
      </c>
      <c r="F54" s="102">
        <f t="shared" ref="F54:AT54" si="25">F52-F53</f>
        <v>2642333.990532238</v>
      </c>
      <c r="G54" s="102">
        <f t="shared" si="25"/>
        <v>2548590.713864428</v>
      </c>
      <c r="H54" s="102">
        <f t="shared" si="25"/>
        <v>2457872.8046994102</v>
      </c>
      <c r="I54" s="102">
        <f t="shared" si="25"/>
        <v>2369953.7959880317</v>
      </c>
      <c r="J54" s="102">
        <f t="shared" si="25"/>
        <v>2284624.6412233813</v>
      </c>
      <c r="K54" s="102">
        <f t="shared" si="25"/>
        <v>2201690.8110170835</v>
      </c>
      <c r="L54" s="102">
        <f t="shared" si="25"/>
        <v>2120972.2930992986</v>
      </c>
      <c r="M54" s="102">
        <f t="shared" si="25"/>
        <v>2041490.6336807366</v>
      </c>
      <c r="N54" s="102">
        <f t="shared" si="25"/>
        <v>1962186.0831083071</v>
      </c>
      <c r="O54" s="102">
        <f t="shared" si="25"/>
        <v>1882881.5325358771</v>
      </c>
      <c r="P54" s="102">
        <f t="shared" si="25"/>
        <v>1803576.9819634473</v>
      </c>
      <c r="Q54" s="102">
        <f t="shared" si="25"/>
        <v>1724272.431391018</v>
      </c>
      <c r="R54" s="102">
        <f t="shared" si="25"/>
        <v>1644967.8808185887</v>
      </c>
      <c r="S54" s="102">
        <f t="shared" si="25"/>
        <v>1565663.3302461591</v>
      </c>
      <c r="T54" s="102">
        <f t="shared" si="25"/>
        <v>1486358.7796737293</v>
      </c>
      <c r="U54" s="102">
        <f t="shared" si="25"/>
        <v>1407054.2291012993</v>
      </c>
      <c r="V54" s="102">
        <f t="shared" si="25"/>
        <v>1327749.6785288702</v>
      </c>
      <c r="W54" s="102">
        <f t="shared" si="25"/>
        <v>1248445.1279564402</v>
      </c>
      <c r="X54" s="102">
        <f t="shared" si="25"/>
        <v>1169140.5773840109</v>
      </c>
      <c r="Y54" s="102">
        <f t="shared" si="25"/>
        <v>1096313.5651021088</v>
      </c>
      <c r="Z54" s="102">
        <f t="shared" si="25"/>
        <v>1036438.7259775549</v>
      </c>
      <c r="AA54" s="102">
        <f t="shared" si="25"/>
        <v>983041.42514352861</v>
      </c>
      <c r="AB54" s="102">
        <f t="shared" si="25"/>
        <v>929644.12430950231</v>
      </c>
      <c r="AC54" s="102">
        <f t="shared" si="25"/>
        <v>876246.82347547624</v>
      </c>
      <c r="AD54" s="102">
        <f t="shared" si="25"/>
        <v>822849.52264144993</v>
      </c>
      <c r="AE54" s="102">
        <f t="shared" si="25"/>
        <v>769452.22180742386</v>
      </c>
      <c r="AF54" s="102">
        <f t="shared" si="25"/>
        <v>716054.92097339767</v>
      </c>
      <c r="AG54" s="102">
        <f t="shared" si="25"/>
        <v>662657.6201393716</v>
      </c>
      <c r="AH54" s="102">
        <f t="shared" si="25"/>
        <v>609260.31930534542</v>
      </c>
      <c r="AI54" s="102">
        <f t="shared" si="25"/>
        <v>555863.01847131934</v>
      </c>
      <c r="AJ54" s="102">
        <f t="shared" si="25"/>
        <v>502465.71763729316</v>
      </c>
      <c r="AK54" s="102">
        <f t="shared" si="25"/>
        <v>449068.41680326697</v>
      </c>
      <c r="AL54" s="102">
        <f t="shared" si="25"/>
        <v>395671.1159692409</v>
      </c>
      <c r="AM54" s="102">
        <f t="shared" si="25"/>
        <v>342273.81513521483</v>
      </c>
      <c r="AN54" s="102">
        <f t="shared" si="25"/>
        <v>288876.51430118876</v>
      </c>
      <c r="AO54" s="102">
        <f t="shared" si="25"/>
        <v>235479.2134671626</v>
      </c>
      <c r="AP54" s="102">
        <f t="shared" si="25"/>
        <v>182081.9126331365</v>
      </c>
      <c r="AQ54" s="102">
        <f t="shared" si="25"/>
        <v>128684.61179911037</v>
      </c>
      <c r="AR54" s="102">
        <f t="shared" si="25"/>
        <v>75287.310965084253</v>
      </c>
      <c r="AS54" s="102">
        <f t="shared" ref="AS54" si="26">AS52-AS53</f>
        <v>48588.660548071195</v>
      </c>
      <c r="AT54" s="102">
        <f t="shared" si="25"/>
        <v>48588.660548071195</v>
      </c>
      <c r="AU54" s="105">
        <f t="shared" si="21"/>
        <v>50402201.163856745</v>
      </c>
    </row>
    <row r="55" spans="1:47" x14ac:dyDescent="0.2">
      <c r="A55" s="136">
        <f t="shared" si="16"/>
        <v>25</v>
      </c>
      <c r="B55" s="2"/>
      <c r="C55" s="2"/>
      <c r="D55" s="122"/>
      <c r="E55" s="124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05">
        <f t="shared" si="21"/>
        <v>0</v>
      </c>
    </row>
    <row r="56" spans="1:47" x14ac:dyDescent="0.2">
      <c r="A56" s="136">
        <f t="shared" si="16"/>
        <v>26</v>
      </c>
      <c r="B56" s="2"/>
      <c r="C56" s="2"/>
      <c r="D56" s="122"/>
      <c r="E56" s="84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05">
        <f t="shared" si="21"/>
        <v>0</v>
      </c>
    </row>
    <row r="57" spans="1:47" x14ac:dyDescent="0.2">
      <c r="A57" s="136">
        <f t="shared" si="16"/>
        <v>27</v>
      </c>
      <c r="B57" s="2" t="s">
        <v>68</v>
      </c>
      <c r="C57" s="2"/>
      <c r="D57" s="122"/>
      <c r="E57" s="38">
        <f>E27</f>
        <v>1482270.176383141</v>
      </c>
      <c r="F57" s="102">
        <f>F27</f>
        <v>1482270.176383141</v>
      </c>
      <c r="G57" s="102">
        <f>G27</f>
        <v>1482270.176383141</v>
      </c>
      <c r="H57" s="102">
        <f t="shared" ref="H57:AT57" si="27">H27</f>
        <v>1482270.176383141</v>
      </c>
      <c r="I57" s="102">
        <f t="shared" si="27"/>
        <v>1482270.176383141</v>
      </c>
      <c r="J57" s="102">
        <f t="shared" si="27"/>
        <v>1482270.176383141</v>
      </c>
      <c r="K57" s="102">
        <f t="shared" si="27"/>
        <v>1482270.176383141</v>
      </c>
      <c r="L57" s="102">
        <f t="shared" si="27"/>
        <v>1482270.176383141</v>
      </c>
      <c r="M57" s="102">
        <f t="shared" si="27"/>
        <v>1482270.176383141</v>
      </c>
      <c r="N57" s="102">
        <f t="shared" si="27"/>
        <v>1482270.176383141</v>
      </c>
      <c r="O57" s="102">
        <f t="shared" si="27"/>
        <v>1482270.176383141</v>
      </c>
      <c r="P57" s="102">
        <f t="shared" si="27"/>
        <v>1482270.176383141</v>
      </c>
      <c r="Q57" s="102">
        <f t="shared" si="27"/>
        <v>1482270.176383141</v>
      </c>
      <c r="R57" s="102">
        <f t="shared" si="27"/>
        <v>1482270.176383141</v>
      </c>
      <c r="S57" s="102">
        <f t="shared" si="27"/>
        <v>1482270.176383141</v>
      </c>
      <c r="T57" s="102">
        <f t="shared" si="27"/>
        <v>1482270.176383141</v>
      </c>
      <c r="U57" s="102">
        <f t="shared" si="27"/>
        <v>1482270.176383141</v>
      </c>
      <c r="V57" s="102">
        <f t="shared" si="27"/>
        <v>1482270.176383141</v>
      </c>
      <c r="W57" s="102">
        <f t="shared" si="27"/>
        <v>1482270.176383141</v>
      </c>
      <c r="X57" s="102">
        <f t="shared" si="27"/>
        <v>1482270.176383141</v>
      </c>
      <c r="Y57" s="102">
        <f t="shared" si="27"/>
        <v>1482270.176383141</v>
      </c>
      <c r="Z57" s="102">
        <f t="shared" si="27"/>
        <v>1482270.176383141</v>
      </c>
      <c r="AA57" s="102">
        <f t="shared" si="27"/>
        <v>1482270.176383141</v>
      </c>
      <c r="AB57" s="102">
        <f t="shared" si="27"/>
        <v>1482270.176383141</v>
      </c>
      <c r="AC57" s="102">
        <f t="shared" si="27"/>
        <v>1482270.176383141</v>
      </c>
      <c r="AD57" s="102">
        <f t="shared" si="27"/>
        <v>1482270.176383141</v>
      </c>
      <c r="AE57" s="102">
        <f t="shared" si="27"/>
        <v>1482270.176383141</v>
      </c>
      <c r="AF57" s="102">
        <f t="shared" si="27"/>
        <v>1482270.176383141</v>
      </c>
      <c r="AG57" s="102">
        <f t="shared" si="27"/>
        <v>1482270.176383141</v>
      </c>
      <c r="AH57" s="102">
        <f t="shared" si="27"/>
        <v>1482270.176383141</v>
      </c>
      <c r="AI57" s="102">
        <f t="shared" si="27"/>
        <v>1482270.176383141</v>
      </c>
      <c r="AJ57" s="102">
        <f t="shared" si="27"/>
        <v>1482270.176383141</v>
      </c>
      <c r="AK57" s="102">
        <f t="shared" si="27"/>
        <v>1482270.176383141</v>
      </c>
      <c r="AL57" s="102">
        <f t="shared" si="27"/>
        <v>1482270.176383141</v>
      </c>
      <c r="AM57" s="102">
        <f t="shared" si="27"/>
        <v>1482270.176383141</v>
      </c>
      <c r="AN57" s="102">
        <f t="shared" si="27"/>
        <v>1482270.176383141</v>
      </c>
      <c r="AO57" s="102">
        <f t="shared" si="27"/>
        <v>1482270.176383141</v>
      </c>
      <c r="AP57" s="102">
        <f t="shared" si="27"/>
        <v>1482270.176383141</v>
      </c>
      <c r="AQ57" s="102">
        <f t="shared" si="27"/>
        <v>1482270.176383141</v>
      </c>
      <c r="AR57" s="102">
        <f t="shared" si="27"/>
        <v>1482270.176383141</v>
      </c>
      <c r="AS57" s="102">
        <f t="shared" ref="AS57" si="28">AS27</f>
        <v>0</v>
      </c>
      <c r="AT57" s="102">
        <f t="shared" si="27"/>
        <v>0</v>
      </c>
      <c r="AU57" s="105">
        <f t="shared" si="21"/>
        <v>59290807.05532559</v>
      </c>
    </row>
    <row r="58" spans="1:47" x14ac:dyDescent="0.2">
      <c r="A58" s="136">
        <f t="shared" si="16"/>
        <v>28</v>
      </c>
      <c r="B58" s="2" t="s">
        <v>69</v>
      </c>
      <c r="C58" s="2"/>
      <c r="D58" s="122"/>
      <c r="E58" s="38">
        <f>$F22*E62</f>
        <v>2273984.7329999995</v>
      </c>
      <c r="F58" s="102">
        <f t="shared" ref="F58:AT58" si="29">$F22*F62</f>
        <v>4377572.2100072</v>
      </c>
      <c r="G58" s="102">
        <f t="shared" si="29"/>
        <v>4048905.6165975993</v>
      </c>
      <c r="H58" s="102">
        <f t="shared" si="29"/>
        <v>3745707.6521975994</v>
      </c>
      <c r="I58" s="102">
        <f t="shared" si="29"/>
        <v>3464339.9412343996</v>
      </c>
      <c r="J58" s="102">
        <f t="shared" si="29"/>
        <v>3204802.4837079998</v>
      </c>
      <c r="K58" s="102">
        <f t="shared" si="29"/>
        <v>2964063.2999743996</v>
      </c>
      <c r="L58" s="102">
        <f t="shared" si="29"/>
        <v>2742122.3900335999</v>
      </c>
      <c r="M58" s="102">
        <f t="shared" si="29"/>
        <v>2705738.6343055996</v>
      </c>
      <c r="N58" s="102">
        <f t="shared" si="29"/>
        <v>2705132.2383768</v>
      </c>
      <c r="O58" s="102">
        <f t="shared" si="29"/>
        <v>2705738.6343055996</v>
      </c>
      <c r="P58" s="102">
        <f t="shared" si="29"/>
        <v>2705132.2383768</v>
      </c>
      <c r="Q58" s="102">
        <f t="shared" si="29"/>
        <v>2705738.6343055996</v>
      </c>
      <c r="R58" s="102">
        <f t="shared" si="29"/>
        <v>2705132.2383768</v>
      </c>
      <c r="S58" s="102">
        <f t="shared" si="29"/>
        <v>2705738.6343055996</v>
      </c>
      <c r="T58" s="102">
        <f t="shared" si="29"/>
        <v>2705132.2383768</v>
      </c>
      <c r="U58" s="102">
        <f t="shared" si="29"/>
        <v>2705738.6343055996</v>
      </c>
      <c r="V58" s="102">
        <f t="shared" si="29"/>
        <v>2705132.2383768</v>
      </c>
      <c r="W58" s="102">
        <f t="shared" si="29"/>
        <v>2705738.6343055996</v>
      </c>
      <c r="X58" s="102">
        <f t="shared" si="29"/>
        <v>2705132.2383768</v>
      </c>
      <c r="Y58" s="102">
        <f t="shared" si="29"/>
        <v>1352869.3171527998</v>
      </c>
      <c r="Z58" s="102">
        <f t="shared" si="29"/>
        <v>0</v>
      </c>
      <c r="AA58" s="102">
        <f t="shared" si="29"/>
        <v>0</v>
      </c>
      <c r="AB58" s="102">
        <f t="shared" si="29"/>
        <v>0</v>
      </c>
      <c r="AC58" s="102">
        <f t="shared" si="29"/>
        <v>0</v>
      </c>
      <c r="AD58" s="102">
        <f t="shared" si="29"/>
        <v>0</v>
      </c>
      <c r="AE58" s="102">
        <f t="shared" si="29"/>
        <v>0</v>
      </c>
      <c r="AF58" s="102">
        <f t="shared" si="29"/>
        <v>0</v>
      </c>
      <c r="AG58" s="102">
        <f t="shared" si="29"/>
        <v>0</v>
      </c>
      <c r="AH58" s="102">
        <f t="shared" si="29"/>
        <v>0</v>
      </c>
      <c r="AI58" s="102">
        <f t="shared" si="29"/>
        <v>0</v>
      </c>
      <c r="AJ58" s="102">
        <f t="shared" si="29"/>
        <v>0</v>
      </c>
      <c r="AK58" s="102">
        <f t="shared" si="29"/>
        <v>0</v>
      </c>
      <c r="AL58" s="102">
        <f t="shared" si="29"/>
        <v>0</v>
      </c>
      <c r="AM58" s="102">
        <f t="shared" si="29"/>
        <v>0</v>
      </c>
      <c r="AN58" s="102">
        <f t="shared" si="29"/>
        <v>0</v>
      </c>
      <c r="AO58" s="102">
        <f t="shared" si="29"/>
        <v>0</v>
      </c>
      <c r="AP58" s="102">
        <f t="shared" si="29"/>
        <v>0</v>
      </c>
      <c r="AQ58" s="102">
        <f t="shared" si="29"/>
        <v>0</v>
      </c>
      <c r="AR58" s="102">
        <f t="shared" si="29"/>
        <v>0</v>
      </c>
      <c r="AS58" s="102">
        <f t="shared" ref="AS58" si="30">$F22*AS62</f>
        <v>0</v>
      </c>
      <c r="AT58" s="102">
        <f t="shared" si="29"/>
        <v>0</v>
      </c>
      <c r="AU58" s="105">
        <f t="shared" si="21"/>
        <v>60639592.879999965</v>
      </c>
    </row>
    <row r="59" spans="1:47" x14ac:dyDescent="0.2">
      <c r="A59" s="136">
        <f t="shared" si="16"/>
        <v>29</v>
      </c>
      <c r="B59" s="2" t="s">
        <v>70</v>
      </c>
      <c r="C59" s="2"/>
      <c r="D59" s="122"/>
      <c r="E59" s="38">
        <f>E58-E57</f>
        <v>791714.55661685858</v>
      </c>
      <c r="F59" s="102">
        <f>F58-F57</f>
        <v>2895302.0336240591</v>
      </c>
      <c r="G59" s="102">
        <f>G58-G57</f>
        <v>2566635.4402144584</v>
      </c>
      <c r="H59" s="102">
        <f t="shared" ref="H59:AT59" si="31">H58-H57</f>
        <v>2263437.4758144584</v>
      </c>
      <c r="I59" s="102">
        <f t="shared" si="31"/>
        <v>1982069.7648512586</v>
      </c>
      <c r="J59" s="102">
        <f t="shared" si="31"/>
        <v>1722532.3073248588</v>
      </c>
      <c r="K59" s="102">
        <f t="shared" si="31"/>
        <v>1481793.1235912587</v>
      </c>
      <c r="L59" s="102">
        <f t="shared" si="31"/>
        <v>1259852.213650459</v>
      </c>
      <c r="M59" s="102">
        <f t="shared" si="31"/>
        <v>1223468.4579224586</v>
      </c>
      <c r="N59" s="102">
        <f t="shared" si="31"/>
        <v>1222862.061993659</v>
      </c>
      <c r="O59" s="102">
        <f t="shared" si="31"/>
        <v>1223468.4579224586</v>
      </c>
      <c r="P59" s="102">
        <f t="shared" si="31"/>
        <v>1222862.061993659</v>
      </c>
      <c r="Q59" s="102">
        <f t="shared" si="31"/>
        <v>1223468.4579224586</v>
      </c>
      <c r="R59" s="102">
        <f t="shared" si="31"/>
        <v>1222862.061993659</v>
      </c>
      <c r="S59" s="102">
        <f t="shared" si="31"/>
        <v>1223468.4579224586</v>
      </c>
      <c r="T59" s="102">
        <f t="shared" si="31"/>
        <v>1222862.061993659</v>
      </c>
      <c r="U59" s="102">
        <f t="shared" si="31"/>
        <v>1223468.4579224586</v>
      </c>
      <c r="V59" s="102">
        <f t="shared" si="31"/>
        <v>1222862.061993659</v>
      </c>
      <c r="W59" s="102">
        <f t="shared" si="31"/>
        <v>1223468.4579224586</v>
      </c>
      <c r="X59" s="102">
        <f t="shared" si="31"/>
        <v>1222862.061993659</v>
      </c>
      <c r="Y59" s="102">
        <f t="shared" si="31"/>
        <v>-129400.85923034116</v>
      </c>
      <c r="Z59" s="102">
        <f t="shared" si="31"/>
        <v>-1482270.176383141</v>
      </c>
      <c r="AA59" s="102">
        <f t="shared" si="31"/>
        <v>-1482270.176383141</v>
      </c>
      <c r="AB59" s="102">
        <f t="shared" si="31"/>
        <v>-1482270.176383141</v>
      </c>
      <c r="AC59" s="102">
        <f t="shared" si="31"/>
        <v>-1482270.176383141</v>
      </c>
      <c r="AD59" s="102">
        <f t="shared" si="31"/>
        <v>-1482270.176383141</v>
      </c>
      <c r="AE59" s="102">
        <f t="shared" si="31"/>
        <v>-1482270.176383141</v>
      </c>
      <c r="AF59" s="102">
        <f t="shared" si="31"/>
        <v>-1482270.176383141</v>
      </c>
      <c r="AG59" s="102">
        <f t="shared" si="31"/>
        <v>-1482270.176383141</v>
      </c>
      <c r="AH59" s="102">
        <f t="shared" si="31"/>
        <v>-1482270.176383141</v>
      </c>
      <c r="AI59" s="102">
        <f t="shared" si="31"/>
        <v>-1482270.176383141</v>
      </c>
      <c r="AJ59" s="102">
        <f t="shared" si="31"/>
        <v>-1482270.176383141</v>
      </c>
      <c r="AK59" s="102">
        <f t="shared" si="31"/>
        <v>-1482270.176383141</v>
      </c>
      <c r="AL59" s="102">
        <f t="shared" si="31"/>
        <v>-1482270.176383141</v>
      </c>
      <c r="AM59" s="102">
        <f t="shared" si="31"/>
        <v>-1482270.176383141</v>
      </c>
      <c r="AN59" s="102">
        <f t="shared" si="31"/>
        <v>-1482270.176383141</v>
      </c>
      <c r="AO59" s="102">
        <f t="shared" si="31"/>
        <v>-1482270.176383141</v>
      </c>
      <c r="AP59" s="102">
        <f t="shared" si="31"/>
        <v>-1482270.176383141</v>
      </c>
      <c r="AQ59" s="102">
        <f t="shared" si="31"/>
        <v>-1482270.176383141</v>
      </c>
      <c r="AR59" s="102">
        <f t="shared" si="31"/>
        <v>-1482270.176383141</v>
      </c>
      <c r="AS59" s="102">
        <f t="shared" ref="AS59" si="32">AS58-AS57</f>
        <v>0</v>
      </c>
      <c r="AT59" s="102">
        <f t="shared" si="31"/>
        <v>0</v>
      </c>
      <c r="AU59" s="105">
        <f t="shared" si="21"/>
        <v>1348785.8246743502</v>
      </c>
    </row>
    <row r="60" spans="1:47" x14ac:dyDescent="0.2">
      <c r="A60" s="136">
        <f t="shared" si="16"/>
        <v>30</v>
      </c>
      <c r="B60" s="2" t="s">
        <v>71</v>
      </c>
      <c r="C60" s="2"/>
      <c r="D60" s="122"/>
      <c r="E60" s="38">
        <f>E59*$F$15</f>
        <v>166260.05688954028</v>
      </c>
      <c r="F60" s="102">
        <f>F59*$G$15</f>
        <v>608013.42706105241</v>
      </c>
      <c r="G60" s="102">
        <f t="shared" ref="G60:AT60" si="33">G59*$G$15</f>
        <v>538993.44244503626</v>
      </c>
      <c r="H60" s="102">
        <f t="shared" si="33"/>
        <v>475321.86992103624</v>
      </c>
      <c r="I60" s="102">
        <f t="shared" si="33"/>
        <v>416234.65061876428</v>
      </c>
      <c r="J60" s="102">
        <f t="shared" si="33"/>
        <v>361731.78453822032</v>
      </c>
      <c r="K60" s="102">
        <f t="shared" si="33"/>
        <v>311176.5559541643</v>
      </c>
      <c r="L60" s="102">
        <f t="shared" si="33"/>
        <v>264568.96486659639</v>
      </c>
      <c r="M60" s="102">
        <f t="shared" si="33"/>
        <v>256928.37616371631</v>
      </c>
      <c r="N60" s="102">
        <f t="shared" si="33"/>
        <v>256801.03301866839</v>
      </c>
      <c r="O60" s="102">
        <f t="shared" si="33"/>
        <v>256928.37616371631</v>
      </c>
      <c r="P60" s="102">
        <f t="shared" si="33"/>
        <v>256801.03301866839</v>
      </c>
      <c r="Q60" s="102">
        <f t="shared" si="33"/>
        <v>256928.37616371631</v>
      </c>
      <c r="R60" s="102">
        <f t="shared" si="33"/>
        <v>256801.03301866839</v>
      </c>
      <c r="S60" s="102">
        <f t="shared" si="33"/>
        <v>256928.37616371631</v>
      </c>
      <c r="T60" s="102">
        <f t="shared" si="33"/>
        <v>256801.03301866839</v>
      </c>
      <c r="U60" s="102">
        <f t="shared" si="33"/>
        <v>256928.37616371631</v>
      </c>
      <c r="V60" s="102">
        <f t="shared" si="33"/>
        <v>256801.03301866839</v>
      </c>
      <c r="W60" s="102">
        <f t="shared" si="33"/>
        <v>256928.37616371631</v>
      </c>
      <c r="X60" s="102">
        <f t="shared" si="33"/>
        <v>256801.03301866839</v>
      </c>
      <c r="Y60" s="102">
        <f t="shared" si="33"/>
        <v>-27174.180438371641</v>
      </c>
      <c r="Z60" s="102">
        <f t="shared" si="33"/>
        <v>-311276.73704045959</v>
      </c>
      <c r="AA60" s="102">
        <f t="shared" si="33"/>
        <v>-311276.73704045959</v>
      </c>
      <c r="AB60" s="102">
        <f t="shared" si="33"/>
        <v>-311276.73704045959</v>
      </c>
      <c r="AC60" s="102">
        <f t="shared" si="33"/>
        <v>-311276.73704045959</v>
      </c>
      <c r="AD60" s="102">
        <f t="shared" si="33"/>
        <v>-311276.73704045959</v>
      </c>
      <c r="AE60" s="102">
        <f t="shared" si="33"/>
        <v>-311276.73704045959</v>
      </c>
      <c r="AF60" s="102">
        <f t="shared" si="33"/>
        <v>-311276.73704045959</v>
      </c>
      <c r="AG60" s="102">
        <f t="shared" si="33"/>
        <v>-311276.73704045959</v>
      </c>
      <c r="AH60" s="102">
        <f t="shared" si="33"/>
        <v>-311276.73704045959</v>
      </c>
      <c r="AI60" s="102">
        <f t="shared" si="33"/>
        <v>-311276.73704045959</v>
      </c>
      <c r="AJ60" s="102">
        <f t="shared" si="33"/>
        <v>-311276.73704045959</v>
      </c>
      <c r="AK60" s="102">
        <f t="shared" si="33"/>
        <v>-311276.73704045959</v>
      </c>
      <c r="AL60" s="102">
        <f t="shared" si="33"/>
        <v>-311276.73704045959</v>
      </c>
      <c r="AM60" s="102">
        <f t="shared" si="33"/>
        <v>-311276.73704045959</v>
      </c>
      <c r="AN60" s="102">
        <f t="shared" si="33"/>
        <v>-311276.73704045959</v>
      </c>
      <c r="AO60" s="102">
        <f t="shared" si="33"/>
        <v>-311276.73704045959</v>
      </c>
      <c r="AP60" s="102">
        <f t="shared" si="33"/>
        <v>-311276.73704045959</v>
      </c>
      <c r="AQ60" s="102">
        <f t="shared" si="33"/>
        <v>-311276.73704045959</v>
      </c>
      <c r="AR60" s="102">
        <f t="shared" si="33"/>
        <v>-311276.73704045959</v>
      </c>
      <c r="AS60" s="102">
        <f t="shared" si="33"/>
        <v>0</v>
      </c>
      <c r="AT60" s="102">
        <f t="shared" si="33"/>
        <v>0</v>
      </c>
      <c r="AU60" s="105">
        <f t="shared" si="21"/>
        <v>283245.02318161592</v>
      </c>
    </row>
    <row r="61" spans="1:47" x14ac:dyDescent="0.2">
      <c r="A61" s="136">
        <f t="shared" si="16"/>
        <v>31</v>
      </c>
      <c r="B61" s="2"/>
      <c r="C61" s="2"/>
      <c r="D61" s="122"/>
      <c r="E61" s="84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22"/>
    </row>
    <row r="62" spans="1:47" s="50" customFormat="1" x14ac:dyDescent="0.2">
      <c r="A62" s="136">
        <f t="shared" si="16"/>
        <v>32</v>
      </c>
      <c r="B62" s="2" t="str">
        <f t="shared" ref="B62" si="34">IF($F$18=1,B66,B65)</f>
        <v>MACRS Depreciation - 20</v>
      </c>
      <c r="C62" s="2"/>
      <c r="D62" s="47"/>
      <c r="E62" s="62">
        <f t="shared" ref="E62" si="35">IF($F$18=1,E66,E65)</f>
        <v>3.7499999999999999E-2</v>
      </c>
      <c r="F62" s="58">
        <f>IF($F$18=1,F66,F65)</f>
        <v>7.2190000000000004E-2</v>
      </c>
      <c r="G62" s="58">
        <f t="shared" ref="G62:Y62" si="36">IF($F$18=1,G66,G65)</f>
        <v>6.6769999999999996E-2</v>
      </c>
      <c r="H62" s="58">
        <f t="shared" si="36"/>
        <v>6.1769999999999999E-2</v>
      </c>
      <c r="I62" s="58">
        <f t="shared" si="36"/>
        <v>5.713E-2</v>
      </c>
      <c r="J62" s="58">
        <f t="shared" si="36"/>
        <v>5.2850000000000001E-2</v>
      </c>
      <c r="K62" s="58">
        <f t="shared" si="36"/>
        <v>4.888E-2</v>
      </c>
      <c r="L62" s="58">
        <f t="shared" si="36"/>
        <v>4.5220000000000003E-2</v>
      </c>
      <c r="M62" s="58">
        <f t="shared" si="36"/>
        <v>4.462E-2</v>
      </c>
      <c r="N62" s="58">
        <f t="shared" si="36"/>
        <v>4.4610000000000004E-2</v>
      </c>
      <c r="O62" s="58">
        <f t="shared" si="36"/>
        <v>4.462E-2</v>
      </c>
      <c r="P62" s="58">
        <f t="shared" si="36"/>
        <v>4.4610000000000004E-2</v>
      </c>
      <c r="Q62" s="58">
        <f t="shared" si="36"/>
        <v>4.462E-2</v>
      </c>
      <c r="R62" s="58">
        <f t="shared" si="36"/>
        <v>4.4610000000000004E-2</v>
      </c>
      <c r="S62" s="58">
        <f t="shared" si="36"/>
        <v>4.462E-2</v>
      </c>
      <c r="T62" s="58">
        <f t="shared" si="36"/>
        <v>4.4610000000000004E-2</v>
      </c>
      <c r="U62" s="58">
        <f t="shared" si="36"/>
        <v>4.462E-2</v>
      </c>
      <c r="V62" s="58">
        <f t="shared" si="36"/>
        <v>4.4610000000000004E-2</v>
      </c>
      <c r="W62" s="58">
        <f t="shared" si="36"/>
        <v>4.462E-2</v>
      </c>
      <c r="X62" s="58">
        <f t="shared" si="36"/>
        <v>4.4610000000000004E-2</v>
      </c>
      <c r="Y62" s="58">
        <f t="shared" si="36"/>
        <v>2.231E-2</v>
      </c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7"/>
    </row>
    <row r="63" spans="1:47" outlineLevel="1" x14ac:dyDescent="0.25">
      <c r="A63" s="136">
        <f t="shared" si="16"/>
        <v>33</v>
      </c>
      <c r="B63" s="2"/>
      <c r="C63" s="125"/>
      <c r="E63" s="126"/>
      <c r="F63" s="127"/>
      <c r="G63" s="127"/>
      <c r="H63" s="127"/>
      <c r="I63" s="127"/>
      <c r="J63" s="127"/>
      <c r="K63" s="127"/>
      <c r="L63" s="127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3"/>
    </row>
    <row r="64" spans="1:47" outlineLevel="1" x14ac:dyDescent="0.25">
      <c r="A64" s="136">
        <f t="shared" si="16"/>
        <v>34</v>
      </c>
      <c r="B64" s="2"/>
      <c r="C64" s="125"/>
      <c r="E64" s="126"/>
      <c r="F64" s="127"/>
      <c r="G64" s="127"/>
      <c r="H64" s="127"/>
      <c r="I64" s="127"/>
      <c r="J64" s="127"/>
      <c r="K64" s="127"/>
      <c r="L64" s="127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3"/>
    </row>
    <row r="65" spans="1:42" s="50" customFormat="1" x14ac:dyDescent="0.25">
      <c r="A65" s="136">
        <f t="shared" si="16"/>
        <v>35</v>
      </c>
      <c r="B65" s="2" t="s">
        <v>72</v>
      </c>
      <c r="C65" s="2"/>
      <c r="D65" s="51">
        <v>0</v>
      </c>
      <c r="E65" s="59">
        <f>'MACRS 20'!B5</f>
        <v>3.7499999999999999E-2</v>
      </c>
      <c r="F65" s="58">
        <f>'MACRS 20'!C5</f>
        <v>7.2190000000000004E-2</v>
      </c>
      <c r="G65" s="58">
        <f>'MACRS 20'!D5</f>
        <v>6.6769999999999996E-2</v>
      </c>
      <c r="H65" s="60">
        <f>'MACRS 20'!E5</f>
        <v>6.1769999999999999E-2</v>
      </c>
      <c r="I65" s="60">
        <f>'MACRS 20'!F5</f>
        <v>5.713E-2</v>
      </c>
      <c r="J65" s="60">
        <f>'MACRS 20'!G5</f>
        <v>5.2850000000000001E-2</v>
      </c>
      <c r="K65" s="60">
        <f>'MACRS 20'!H5</f>
        <v>4.888E-2</v>
      </c>
      <c r="L65" s="60">
        <f>'MACRS 20'!I5</f>
        <v>4.5220000000000003E-2</v>
      </c>
      <c r="M65" s="60">
        <f>'MACRS 20'!J5</f>
        <v>4.462E-2</v>
      </c>
      <c r="N65" s="60">
        <f>'MACRS 20'!K5</f>
        <v>4.4610000000000004E-2</v>
      </c>
      <c r="O65" s="60">
        <f>'MACRS 20'!L5</f>
        <v>4.462E-2</v>
      </c>
      <c r="P65" s="60">
        <f>'MACRS 20'!M5</f>
        <v>4.4610000000000004E-2</v>
      </c>
      <c r="Q65" s="60">
        <f>'MACRS 20'!N5</f>
        <v>4.462E-2</v>
      </c>
      <c r="R65" s="60">
        <f>'MACRS 20'!O5</f>
        <v>4.4610000000000004E-2</v>
      </c>
      <c r="S65" s="60">
        <f>'MACRS 20'!P5</f>
        <v>4.462E-2</v>
      </c>
      <c r="T65" s="60">
        <f>'MACRS 20'!Q5</f>
        <v>4.4610000000000004E-2</v>
      </c>
      <c r="U65" s="60">
        <f>'MACRS 20'!R5</f>
        <v>4.462E-2</v>
      </c>
      <c r="V65" s="60">
        <f>'MACRS 20'!S5</f>
        <v>4.4610000000000004E-2</v>
      </c>
      <c r="W65" s="60">
        <f>'MACRS 20'!T5</f>
        <v>4.462E-2</v>
      </c>
      <c r="X65" s="60">
        <f>'MACRS 20'!U5</f>
        <v>4.4610000000000004E-2</v>
      </c>
      <c r="Y65" s="60">
        <f>'MACRS 20'!V5</f>
        <v>2.231E-2</v>
      </c>
      <c r="Z65" s="52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7"/>
      <c r="AP65" s="53"/>
    </row>
    <row r="66" spans="1:42" x14ac:dyDescent="0.2">
      <c r="A66" s="136">
        <f t="shared" si="16"/>
        <v>36</v>
      </c>
      <c r="B66" s="2" t="s">
        <v>73</v>
      </c>
      <c r="C66" s="2"/>
      <c r="D66" s="51">
        <v>0</v>
      </c>
      <c r="E66" s="59">
        <f>'MACRS 20'!B6</f>
        <v>0.51875000000000004</v>
      </c>
      <c r="F66" s="58">
        <f>'MACRS 20'!C6</f>
        <v>3.6095000000000002E-2</v>
      </c>
      <c r="G66" s="58">
        <f>'MACRS 20'!D6</f>
        <v>3.3384999999999998E-2</v>
      </c>
      <c r="H66" s="61">
        <f>'MACRS 20'!E6</f>
        <v>3.0884999999999999E-2</v>
      </c>
      <c r="I66" s="61">
        <f>'MACRS 20'!F6</f>
        <v>2.8565E-2</v>
      </c>
      <c r="J66" s="61">
        <f>'MACRS 20'!G6</f>
        <v>2.6425000000000001E-2</v>
      </c>
      <c r="K66" s="61">
        <f>'MACRS 20'!H6</f>
        <v>2.444E-2</v>
      </c>
      <c r="L66" s="61">
        <f>'MACRS 20'!I6</f>
        <v>2.2610000000000002E-2</v>
      </c>
      <c r="M66" s="61">
        <f>'MACRS 20'!J6</f>
        <v>2.231E-2</v>
      </c>
      <c r="N66" s="61">
        <f>'MACRS 20'!K6</f>
        <v>2.2305000000000002E-2</v>
      </c>
      <c r="O66" s="61">
        <f>'MACRS 20'!L6</f>
        <v>2.231E-2</v>
      </c>
      <c r="P66" s="61">
        <f>'MACRS 20'!M6</f>
        <v>2.2305000000000002E-2</v>
      </c>
      <c r="Q66" s="61">
        <f>'MACRS 20'!N6</f>
        <v>2.231E-2</v>
      </c>
      <c r="R66" s="61">
        <f>'MACRS 20'!O6</f>
        <v>2.2305000000000002E-2</v>
      </c>
      <c r="S66" s="61">
        <f>'MACRS 20'!P6</f>
        <v>2.231E-2</v>
      </c>
      <c r="T66" s="61">
        <f>'MACRS 20'!Q6</f>
        <v>2.2305000000000002E-2</v>
      </c>
      <c r="U66" s="61">
        <f>'MACRS 20'!R6</f>
        <v>2.231E-2</v>
      </c>
      <c r="V66" s="61">
        <f>'MACRS 20'!S6</f>
        <v>2.2305000000000002E-2</v>
      </c>
      <c r="W66" s="61">
        <f>'MACRS 20'!T6</f>
        <v>2.231E-2</v>
      </c>
      <c r="X66" s="61">
        <f>'MACRS 20'!U6</f>
        <v>2.2305000000000002E-2</v>
      </c>
      <c r="Y66" s="61">
        <f>'MACRS 20'!V6</f>
        <v>1.1155E-2</v>
      </c>
      <c r="Z66" s="49"/>
      <c r="AA66" s="49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122"/>
      <c r="AO66" s="3"/>
      <c r="AP66" s="53">
        <f>SUM(D66:AO66)</f>
        <v>1.0000000000000004</v>
      </c>
    </row>
    <row r="69" spans="1:42" x14ac:dyDescent="0.25">
      <c r="B69" s="55"/>
    </row>
  </sheetData>
  <mergeCells count="1">
    <mergeCell ref="E1:F1"/>
  </mergeCells>
  <printOptions horizontalCentered="1"/>
  <pageMargins left="0.75" right="0.5" top="0.5" bottom="0.5" header="0.5" footer="0.25"/>
  <pageSetup scale="15" orientation="portrait" blackAndWhite="1" r:id="rId1"/>
  <headerFooter alignWithMargins="0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9"/>
  <sheetViews>
    <sheetView zoomScaleNormal="100" workbookViewId="0">
      <pane xSplit="4" ySplit="26" topLeftCell="E27" activePane="bottomRight" state="frozen"/>
      <selection activeCell="J17" sqref="J17"/>
      <selection pane="topRight" activeCell="J17" sqref="J17"/>
      <selection pane="bottomLeft" activeCell="J17" sqref="J17"/>
      <selection pane="bottomRight" activeCell="E27" sqref="E27"/>
    </sheetView>
  </sheetViews>
  <sheetFormatPr defaultColWidth="10.28515625" defaultRowHeight="15" outlineLevelRow="1" outlineLevelCol="1" x14ac:dyDescent="0.2"/>
  <cols>
    <col min="1" max="1" width="5.7109375" style="34" customWidth="1"/>
    <col min="2" max="2" width="7.42578125" style="34" customWidth="1"/>
    <col min="3" max="3" width="26.42578125" style="34" customWidth="1"/>
    <col min="4" max="4" width="15.5703125" style="3" customWidth="1"/>
    <col min="5" max="5" width="13.5703125" style="56" customWidth="1"/>
    <col min="6" max="6" width="13.42578125" style="56" customWidth="1"/>
    <col min="7" max="7" width="14.5703125" style="56" bestFit="1" customWidth="1"/>
    <col min="8" max="8" width="12.5703125" style="56" customWidth="1"/>
    <col min="9" max="25" width="12.85546875" style="56" bestFit="1" customWidth="1"/>
    <col min="26" max="38" width="12.28515625" style="56" bestFit="1" customWidth="1"/>
    <col min="39" max="39" width="17" style="56" customWidth="1" outlineLevel="1"/>
    <col min="40" max="40" width="13" style="56" customWidth="1" outlineLevel="1"/>
    <col min="41" max="41" width="14.28515625" style="56" customWidth="1" outlineLevel="1"/>
    <col min="42" max="42" width="12.7109375" style="3" bestFit="1" customWidth="1"/>
    <col min="43" max="43" width="12.28515625" style="3" customWidth="1"/>
    <col min="44" max="45" width="14" style="3" customWidth="1"/>
    <col min="46" max="46" width="14.28515625" style="3" bestFit="1" customWidth="1"/>
    <col min="47" max="47" width="16.5703125" style="3" customWidth="1"/>
    <col min="48" max="48" width="15" style="3" bestFit="1" customWidth="1"/>
    <col min="49" max="16384" width="10.28515625" style="3"/>
  </cols>
  <sheetData>
    <row r="1" spans="1:41" ht="17.25" customHeight="1" x14ac:dyDescent="0.25">
      <c r="A1" s="1" t="s">
        <v>0</v>
      </c>
      <c r="B1" s="2"/>
      <c r="C1" s="2"/>
      <c r="E1" s="351"/>
      <c r="F1" s="351"/>
      <c r="G1" s="3"/>
      <c r="H1" s="4"/>
      <c r="I1" s="5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spans="1:41" ht="12.75" customHeight="1" x14ac:dyDescent="0.25">
      <c r="A2" s="6" t="s">
        <v>1</v>
      </c>
      <c r="B2" s="2"/>
      <c r="C2" s="2"/>
      <c r="E2" s="3"/>
      <c r="F2" s="5"/>
      <c r="G2" s="273" t="s">
        <v>226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</row>
    <row r="3" spans="1:41" x14ac:dyDescent="0.25">
      <c r="A3" s="6" t="s">
        <v>2</v>
      </c>
      <c r="B3" s="2"/>
      <c r="C3" s="234" t="s">
        <v>153</v>
      </c>
      <c r="D3" s="266" t="s">
        <v>3</v>
      </c>
      <c r="E3" s="3"/>
      <c r="F3" s="5"/>
      <c r="G3" s="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</row>
    <row r="4" spans="1:41" ht="7.5" customHeight="1" thickBot="1" x14ac:dyDescent="0.25">
      <c r="A4" s="2"/>
      <c r="B4" s="2"/>
      <c r="C4" s="2"/>
      <c r="E4" s="3"/>
      <c r="F4" s="5"/>
      <c r="G4" s="5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5" spans="1:41" x14ac:dyDescent="0.2">
      <c r="A5" s="7" t="s">
        <v>4</v>
      </c>
      <c r="B5" s="8"/>
      <c r="C5" s="8"/>
      <c r="D5" s="9"/>
      <c r="E5" s="9"/>
      <c r="F5" s="10"/>
      <c r="G5" s="11"/>
      <c r="H5" s="3"/>
      <c r="I5" s="3"/>
      <c r="J5" s="3"/>
      <c r="K5" s="3"/>
      <c r="L5" s="3"/>
      <c r="M5" s="3"/>
      <c r="N5" s="2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</row>
    <row r="6" spans="1:41" x14ac:dyDescent="0.2">
      <c r="A6" s="12"/>
      <c r="B6" s="13"/>
      <c r="C6" s="13"/>
      <c r="D6" s="114" t="s">
        <v>149</v>
      </c>
      <c r="E6" s="114"/>
      <c r="F6" s="115"/>
      <c r="G6" s="11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x14ac:dyDescent="0.2">
      <c r="A7" s="12"/>
      <c r="B7" s="13"/>
      <c r="C7" s="13"/>
      <c r="D7" s="16"/>
      <c r="E7" s="16"/>
      <c r="F7" s="17" t="s">
        <v>5</v>
      </c>
      <c r="G7" s="18"/>
      <c r="H7" s="3"/>
      <c r="I7" s="3"/>
      <c r="J7" s="3"/>
      <c r="K7" s="3"/>
      <c r="L7" s="3"/>
      <c r="M7" s="116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</row>
    <row r="8" spans="1:41" x14ac:dyDescent="0.2">
      <c r="A8" s="12" t="s">
        <v>6</v>
      </c>
      <c r="B8" s="13"/>
      <c r="C8" s="13"/>
      <c r="D8" s="19" t="s">
        <v>7</v>
      </c>
      <c r="E8" s="19" t="s">
        <v>8</v>
      </c>
      <c r="F8" s="20" t="s">
        <v>8</v>
      </c>
      <c r="G8" s="18"/>
      <c r="H8" s="3"/>
      <c r="I8" s="3"/>
      <c r="J8" s="3"/>
      <c r="K8" s="3"/>
      <c r="L8" s="3"/>
      <c r="M8" s="106"/>
      <c r="N8" s="22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</row>
    <row r="9" spans="1:41" x14ac:dyDescent="0.2">
      <c r="A9" s="12"/>
      <c r="B9" s="13"/>
      <c r="C9" s="13"/>
      <c r="D9" s="14"/>
      <c r="E9" s="14"/>
      <c r="F9" s="21"/>
      <c r="G9" s="14"/>
      <c r="H9" s="3"/>
      <c r="I9" s="3"/>
      <c r="J9" s="3"/>
      <c r="K9" s="3"/>
      <c r="L9" s="3"/>
      <c r="M9" s="106"/>
      <c r="N9" s="22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spans="1:41" x14ac:dyDescent="0.2">
      <c r="A10" s="12"/>
      <c r="B10" s="13"/>
      <c r="C10" s="13"/>
      <c r="D10" s="23"/>
      <c r="E10" s="23"/>
      <c r="F10" s="24"/>
      <c r="G10" s="22"/>
      <c r="H10" s="3"/>
      <c r="I10" s="3"/>
      <c r="J10" s="3"/>
      <c r="K10" s="3"/>
      <c r="L10" s="3"/>
      <c r="M10" s="106"/>
      <c r="N10" s="22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</row>
    <row r="11" spans="1:41" x14ac:dyDescent="0.2">
      <c r="A11" s="12" t="s">
        <v>121</v>
      </c>
      <c r="B11" s="13"/>
      <c r="C11" s="13"/>
      <c r="D11" s="23">
        <v>0.51500000000000001</v>
      </c>
      <c r="E11" s="23">
        <v>5.8058252427184473E-2</v>
      </c>
      <c r="F11" s="24">
        <v>2.9899999999999999E-2</v>
      </c>
      <c r="G11" s="22"/>
      <c r="H11" s="3"/>
      <c r="I11" s="3"/>
      <c r="J11" s="3"/>
      <c r="K11" s="3"/>
      <c r="L11" s="3"/>
      <c r="M11" s="106"/>
      <c r="N11" s="22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</row>
    <row r="12" spans="1:41" x14ac:dyDescent="0.2">
      <c r="A12" s="12" t="s">
        <v>9</v>
      </c>
      <c r="B12" s="13"/>
      <c r="C12" s="13"/>
      <c r="D12" s="25">
        <v>0.48499999999999999</v>
      </c>
      <c r="E12" s="23">
        <v>9.5000000000000001E-2</v>
      </c>
      <c r="F12" s="26">
        <v>4.6100000000000002E-2</v>
      </c>
      <c r="G12" s="22"/>
      <c r="H12" s="3"/>
      <c r="I12" s="3"/>
      <c r="J12" s="3"/>
      <c r="K12" s="3"/>
      <c r="L12" s="3"/>
      <c r="M12" s="106"/>
      <c r="N12" s="22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</row>
    <row r="13" spans="1:41" ht="15.75" thickBot="1" x14ac:dyDescent="0.25">
      <c r="A13" s="12" t="s">
        <v>10</v>
      </c>
      <c r="B13" s="13"/>
      <c r="C13" s="13"/>
      <c r="D13" s="27">
        <f>D10+D11+D12</f>
        <v>1</v>
      </c>
      <c r="E13" s="28"/>
      <c r="F13" s="29">
        <f>F10+F11+F12</f>
        <v>7.5999999999999998E-2</v>
      </c>
      <c r="G13" s="28"/>
      <c r="H13" s="3"/>
      <c r="I13" s="3"/>
      <c r="J13" s="3"/>
      <c r="K13" s="3"/>
      <c r="L13" s="3"/>
      <c r="M13" s="106"/>
      <c r="N13" s="22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</row>
    <row r="14" spans="1:41" ht="15.75" thickTop="1" x14ac:dyDescent="0.2">
      <c r="A14" s="12"/>
      <c r="B14" s="13"/>
      <c r="C14" s="13"/>
      <c r="D14" s="14"/>
      <c r="E14" s="14"/>
      <c r="F14" s="21"/>
      <c r="G14" s="14"/>
      <c r="H14" s="3"/>
      <c r="I14" s="3"/>
      <c r="J14" s="3"/>
      <c r="K14" s="3"/>
      <c r="L14" s="3"/>
      <c r="M14" s="106"/>
      <c r="N14" s="22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</row>
    <row r="15" spans="1:41" x14ac:dyDescent="0.2">
      <c r="A15" s="12" t="s">
        <v>11</v>
      </c>
      <c r="B15" s="13"/>
      <c r="C15" s="13"/>
      <c r="D15" s="14"/>
      <c r="E15" s="14"/>
      <c r="F15" s="24">
        <v>0.21</v>
      </c>
      <c r="G15" s="28"/>
      <c r="H15" s="3"/>
      <c r="I15" s="3"/>
      <c r="J15" s="3"/>
      <c r="K15" s="3"/>
      <c r="L15" s="3"/>
      <c r="M15" s="106"/>
      <c r="N15" s="22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</row>
    <row r="16" spans="1:41" x14ac:dyDescent="0.2">
      <c r="A16" s="12" t="s">
        <v>12</v>
      </c>
      <c r="B16" s="13"/>
      <c r="C16" s="13"/>
      <c r="D16" s="14"/>
      <c r="E16" s="14"/>
      <c r="F16" s="24">
        <v>4.5462000000000002E-2</v>
      </c>
      <c r="G16" s="28"/>
      <c r="H16" s="3"/>
      <c r="I16" s="3"/>
      <c r="J16" s="3"/>
      <c r="K16" s="3"/>
      <c r="L16" s="3"/>
      <c r="M16" s="106"/>
      <c r="N16" s="22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</row>
    <row r="17" spans="1:48" x14ac:dyDescent="0.2">
      <c r="A17" s="12" t="s">
        <v>13</v>
      </c>
      <c r="B17" s="13"/>
      <c r="C17" s="13"/>
      <c r="D17" s="14"/>
      <c r="E17" s="14"/>
      <c r="F17" s="24">
        <v>2.4445471369498754E-2</v>
      </c>
      <c r="H17" s="3"/>
      <c r="I17" s="3"/>
      <c r="J17" s="3"/>
      <c r="K17" s="3"/>
      <c r="L17" s="3"/>
      <c r="M17" s="106"/>
      <c r="N17" s="22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</row>
    <row r="18" spans="1:48" x14ac:dyDescent="0.2">
      <c r="A18" s="12" t="s">
        <v>14</v>
      </c>
      <c r="B18" s="13"/>
      <c r="C18" s="13"/>
      <c r="D18" s="14"/>
      <c r="E18" s="14"/>
      <c r="F18" s="30">
        <v>2</v>
      </c>
      <c r="G18" s="5"/>
      <c r="H18" s="3"/>
      <c r="I18" s="3"/>
      <c r="J18" s="3"/>
      <c r="K18" s="3"/>
      <c r="L18" s="3"/>
      <c r="M18" s="106"/>
      <c r="N18" s="22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</row>
    <row r="19" spans="1:48" x14ac:dyDescent="0.2">
      <c r="A19" s="12"/>
      <c r="B19" s="13"/>
      <c r="C19" s="13"/>
      <c r="D19" s="14"/>
      <c r="E19" s="14"/>
      <c r="F19" s="15"/>
      <c r="G19" s="5"/>
      <c r="H19" s="3"/>
      <c r="I19" s="3"/>
      <c r="J19" s="3"/>
      <c r="K19" s="3"/>
      <c r="L19" s="3"/>
      <c r="M19" s="106"/>
      <c r="N19" s="22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</row>
    <row r="20" spans="1:48" x14ac:dyDescent="0.2">
      <c r="A20" s="12" t="s">
        <v>15</v>
      </c>
      <c r="B20" s="13"/>
      <c r="C20" s="13"/>
      <c r="D20" s="14"/>
      <c r="E20" s="14"/>
      <c r="F20" s="15"/>
      <c r="G20" s="5"/>
      <c r="H20" s="3"/>
      <c r="I20" s="3"/>
      <c r="J20" s="3"/>
      <c r="K20" s="3"/>
      <c r="L20" s="3"/>
      <c r="N20" s="117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</row>
    <row r="21" spans="1:48" x14ac:dyDescent="0.2">
      <c r="A21" s="12" t="s">
        <v>16</v>
      </c>
      <c r="B21" s="13"/>
      <c r="C21" s="13"/>
      <c r="D21" s="14"/>
      <c r="E21" s="14"/>
      <c r="F21" s="15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</row>
    <row r="22" spans="1:48" ht="15.75" thickBot="1" x14ac:dyDescent="0.25">
      <c r="A22" s="31" t="s">
        <v>17</v>
      </c>
      <c r="B22" s="32"/>
      <c r="C22" s="32"/>
      <c r="D22" s="32"/>
      <c r="E22" s="33"/>
      <c r="F22" s="57">
        <v>55399540.539999992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</row>
    <row r="23" spans="1:48" ht="6" customHeight="1" x14ac:dyDescent="0.2"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</row>
    <row r="24" spans="1:48" ht="6" customHeight="1" x14ac:dyDescent="0.2">
      <c r="B24" s="3"/>
      <c r="C24" s="3"/>
      <c r="D24" s="106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</row>
    <row r="25" spans="1:48" x14ac:dyDescent="0.2">
      <c r="A25" s="2"/>
      <c r="B25" s="2"/>
      <c r="C25" s="2"/>
      <c r="D25" s="266"/>
      <c r="E25" s="36" t="s">
        <v>18</v>
      </c>
      <c r="F25" s="95" t="s">
        <v>19</v>
      </c>
      <c r="G25" s="37" t="s">
        <v>20</v>
      </c>
      <c r="H25" s="37" t="s">
        <v>21</v>
      </c>
      <c r="I25" s="37" t="s">
        <v>22</v>
      </c>
      <c r="J25" s="37" t="s">
        <v>23</v>
      </c>
      <c r="K25" s="37" t="s">
        <v>24</v>
      </c>
      <c r="L25" s="37" t="s">
        <v>25</v>
      </c>
      <c r="M25" s="37" t="s">
        <v>26</v>
      </c>
      <c r="N25" s="37" t="s">
        <v>27</v>
      </c>
      <c r="O25" s="37" t="s">
        <v>28</v>
      </c>
      <c r="P25" s="37" t="s">
        <v>29</v>
      </c>
      <c r="Q25" s="37" t="s">
        <v>30</v>
      </c>
      <c r="R25" s="37" t="s">
        <v>31</v>
      </c>
      <c r="S25" s="37" t="s">
        <v>32</v>
      </c>
      <c r="T25" s="37" t="s">
        <v>33</v>
      </c>
      <c r="U25" s="37" t="s">
        <v>34</v>
      </c>
      <c r="V25" s="37" t="s">
        <v>35</v>
      </c>
      <c r="W25" s="37" t="s">
        <v>36</v>
      </c>
      <c r="X25" s="37" t="s">
        <v>37</v>
      </c>
      <c r="Y25" s="37" t="s">
        <v>38</v>
      </c>
      <c r="Z25" s="37" t="s">
        <v>39</v>
      </c>
      <c r="AA25" s="37" t="s">
        <v>40</v>
      </c>
      <c r="AB25" s="37" t="s">
        <v>41</v>
      </c>
      <c r="AC25" s="37" t="s">
        <v>42</v>
      </c>
      <c r="AD25" s="37" t="s">
        <v>43</v>
      </c>
      <c r="AE25" s="37" t="s">
        <v>44</v>
      </c>
      <c r="AF25" s="37" t="s">
        <v>45</v>
      </c>
      <c r="AG25" s="37" t="s">
        <v>46</v>
      </c>
      <c r="AH25" s="37" t="s">
        <v>47</v>
      </c>
      <c r="AI25" s="37" t="s">
        <v>48</v>
      </c>
      <c r="AJ25" s="37" t="s">
        <v>49</v>
      </c>
      <c r="AK25" s="37" t="s">
        <v>50</v>
      </c>
      <c r="AL25" s="37" t="s">
        <v>51</v>
      </c>
      <c r="AM25" s="37" t="s">
        <v>52</v>
      </c>
      <c r="AN25" s="37" t="s">
        <v>74</v>
      </c>
      <c r="AO25" s="37" t="s">
        <v>75</v>
      </c>
      <c r="AP25" s="37" t="s">
        <v>122</v>
      </c>
      <c r="AQ25" s="37" t="s">
        <v>123</v>
      </c>
      <c r="AR25" s="37" t="s">
        <v>124</v>
      </c>
      <c r="AS25" s="3" t="s">
        <v>125</v>
      </c>
    </row>
    <row r="26" spans="1:48" x14ac:dyDescent="0.2">
      <c r="A26" s="2"/>
      <c r="B26" s="2"/>
      <c r="C26" s="2"/>
      <c r="D26" s="266"/>
      <c r="E26" s="82">
        <v>2019</v>
      </c>
      <c r="F26" s="82">
        <v>2020</v>
      </c>
      <c r="G26" s="82">
        <v>2021</v>
      </c>
      <c r="H26" s="82">
        <v>2022</v>
      </c>
      <c r="I26" s="82">
        <v>2023</v>
      </c>
      <c r="J26" s="82">
        <v>2024</v>
      </c>
      <c r="K26" s="82">
        <v>2025</v>
      </c>
      <c r="L26" s="82">
        <v>2026</v>
      </c>
      <c r="M26" s="82">
        <v>2027</v>
      </c>
      <c r="N26" s="82">
        <v>2028</v>
      </c>
      <c r="O26" s="82">
        <v>2029</v>
      </c>
      <c r="P26" s="82">
        <v>2030</v>
      </c>
      <c r="Q26" s="82">
        <v>2031</v>
      </c>
      <c r="R26" s="82">
        <v>2032</v>
      </c>
      <c r="S26" s="82">
        <v>2033</v>
      </c>
      <c r="T26" s="82">
        <v>2034</v>
      </c>
      <c r="U26" s="82">
        <v>2035</v>
      </c>
      <c r="V26" s="82">
        <v>2036</v>
      </c>
      <c r="W26" s="82">
        <v>2037</v>
      </c>
      <c r="X26" s="82">
        <v>2038</v>
      </c>
      <c r="Y26" s="82">
        <v>2039</v>
      </c>
      <c r="Z26" s="82">
        <v>2040</v>
      </c>
      <c r="AA26" s="82">
        <v>2041</v>
      </c>
      <c r="AB26" s="82">
        <v>2042</v>
      </c>
      <c r="AC26" s="82">
        <v>2043</v>
      </c>
      <c r="AD26" s="82">
        <v>2044</v>
      </c>
      <c r="AE26" s="82">
        <v>2045</v>
      </c>
      <c r="AF26" s="82">
        <v>2046</v>
      </c>
      <c r="AG26" s="82">
        <v>2047</v>
      </c>
      <c r="AH26" s="82">
        <v>2048</v>
      </c>
      <c r="AI26" s="82">
        <v>2049</v>
      </c>
      <c r="AJ26" s="82">
        <v>2050</v>
      </c>
      <c r="AK26" s="82">
        <v>2051</v>
      </c>
      <c r="AL26" s="82">
        <v>2052</v>
      </c>
      <c r="AM26" s="82">
        <v>2053</v>
      </c>
      <c r="AN26" s="82">
        <v>2054</v>
      </c>
      <c r="AO26" s="82">
        <v>2055</v>
      </c>
      <c r="AP26" s="82">
        <v>2056</v>
      </c>
      <c r="AQ26" s="82">
        <v>2057</v>
      </c>
      <c r="AR26" s="82">
        <v>2058</v>
      </c>
      <c r="AS26" s="82">
        <v>2059</v>
      </c>
    </row>
    <row r="27" spans="1:48" x14ac:dyDescent="0.2">
      <c r="A27" s="234">
        <v>1</v>
      </c>
      <c r="B27" s="2" t="s">
        <v>53</v>
      </c>
      <c r="C27" s="2"/>
      <c r="D27" s="266"/>
      <c r="E27" s="102">
        <f>$F22*$F17</f>
        <v>1354267.8821539553</v>
      </c>
      <c r="F27" s="102">
        <f>$F22*$F17</f>
        <v>1354267.8821539553</v>
      </c>
      <c r="G27" s="102">
        <f t="shared" ref="G27:AR27" si="0">$F22*$F17</f>
        <v>1354267.8821539553</v>
      </c>
      <c r="H27" s="102">
        <f t="shared" si="0"/>
        <v>1354267.8821539553</v>
      </c>
      <c r="I27" s="102">
        <f t="shared" si="0"/>
        <v>1354267.8821539553</v>
      </c>
      <c r="J27" s="102">
        <f t="shared" si="0"/>
        <v>1354267.8821539553</v>
      </c>
      <c r="K27" s="102">
        <f t="shared" si="0"/>
        <v>1354267.8821539553</v>
      </c>
      <c r="L27" s="102">
        <f t="shared" si="0"/>
        <v>1354267.8821539553</v>
      </c>
      <c r="M27" s="102">
        <f t="shared" si="0"/>
        <v>1354267.8821539553</v>
      </c>
      <c r="N27" s="102">
        <f t="shared" si="0"/>
        <v>1354267.8821539553</v>
      </c>
      <c r="O27" s="102">
        <f t="shared" si="0"/>
        <v>1354267.8821539553</v>
      </c>
      <c r="P27" s="102">
        <f t="shared" si="0"/>
        <v>1354267.8821539553</v>
      </c>
      <c r="Q27" s="102">
        <f t="shared" si="0"/>
        <v>1354267.8821539553</v>
      </c>
      <c r="R27" s="102">
        <f t="shared" si="0"/>
        <v>1354267.8821539553</v>
      </c>
      <c r="S27" s="102">
        <f t="shared" si="0"/>
        <v>1354267.8821539553</v>
      </c>
      <c r="T27" s="102">
        <f t="shared" si="0"/>
        <v>1354267.8821539553</v>
      </c>
      <c r="U27" s="102">
        <f t="shared" si="0"/>
        <v>1354267.8821539553</v>
      </c>
      <c r="V27" s="102">
        <f t="shared" si="0"/>
        <v>1354267.8821539553</v>
      </c>
      <c r="W27" s="102">
        <f t="shared" si="0"/>
        <v>1354267.8821539553</v>
      </c>
      <c r="X27" s="102">
        <f t="shared" si="0"/>
        <v>1354267.8821539553</v>
      </c>
      <c r="Y27" s="102">
        <f t="shared" si="0"/>
        <v>1354267.8821539553</v>
      </c>
      <c r="Z27" s="102">
        <f t="shared" si="0"/>
        <v>1354267.8821539553</v>
      </c>
      <c r="AA27" s="102">
        <f t="shared" si="0"/>
        <v>1354267.8821539553</v>
      </c>
      <c r="AB27" s="102">
        <f t="shared" si="0"/>
        <v>1354267.8821539553</v>
      </c>
      <c r="AC27" s="102">
        <f t="shared" si="0"/>
        <v>1354267.8821539553</v>
      </c>
      <c r="AD27" s="102">
        <f t="shared" si="0"/>
        <v>1354267.8821539553</v>
      </c>
      <c r="AE27" s="102">
        <f t="shared" si="0"/>
        <v>1354267.8821539553</v>
      </c>
      <c r="AF27" s="102">
        <f t="shared" si="0"/>
        <v>1354267.8821539553</v>
      </c>
      <c r="AG27" s="102">
        <f t="shared" si="0"/>
        <v>1354267.8821539553</v>
      </c>
      <c r="AH27" s="102">
        <f t="shared" si="0"/>
        <v>1354267.8821539553</v>
      </c>
      <c r="AI27" s="102">
        <f t="shared" si="0"/>
        <v>1354267.8821539553</v>
      </c>
      <c r="AJ27" s="102">
        <f t="shared" si="0"/>
        <v>1354267.8821539553</v>
      </c>
      <c r="AK27" s="102">
        <f t="shared" si="0"/>
        <v>1354267.8821539553</v>
      </c>
      <c r="AL27" s="102">
        <f t="shared" si="0"/>
        <v>1354267.8821539553</v>
      </c>
      <c r="AM27" s="102">
        <f t="shared" si="0"/>
        <v>1354267.8821539553</v>
      </c>
      <c r="AN27" s="102">
        <f t="shared" si="0"/>
        <v>1354267.8821539553</v>
      </c>
      <c r="AO27" s="102">
        <f t="shared" si="0"/>
        <v>1354267.8821539553</v>
      </c>
      <c r="AP27" s="102">
        <f t="shared" si="0"/>
        <v>1354267.8821539553</v>
      </c>
      <c r="AQ27" s="102">
        <f t="shared" si="0"/>
        <v>1354267.8821539553</v>
      </c>
      <c r="AR27" s="102">
        <f t="shared" si="0"/>
        <v>1354267.8821539553</v>
      </c>
      <c r="AS27" s="102">
        <v>1228825.2538417773</v>
      </c>
      <c r="AT27" s="102"/>
      <c r="AU27" s="105">
        <f>SUM(D27:AT27)</f>
        <v>55399540.540000021</v>
      </c>
      <c r="AV27" s="22">
        <f>F22</f>
        <v>55399540.539999992</v>
      </c>
    </row>
    <row r="28" spans="1:48" x14ac:dyDescent="0.2">
      <c r="A28" s="2"/>
      <c r="B28" s="2"/>
      <c r="C28" s="2"/>
      <c r="D28" s="266"/>
      <c r="E28" s="38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39"/>
      <c r="AN28" s="102"/>
      <c r="AO28" s="102"/>
      <c r="AP28" s="267"/>
    </row>
    <row r="29" spans="1:48" x14ac:dyDescent="0.2">
      <c r="A29" s="234">
        <f>A27+1</f>
        <v>2</v>
      </c>
      <c r="B29" s="2" t="s">
        <v>54</v>
      </c>
      <c r="C29" s="2"/>
      <c r="D29" s="266"/>
      <c r="E29" s="38">
        <f>E53</f>
        <v>669816.44556032098</v>
      </c>
      <c r="F29" s="102">
        <f t="shared" ref="F29:AT29" si="1">F53</f>
        <v>649041.79398453434</v>
      </c>
      <c r="G29" s="102">
        <f t="shared" si="1"/>
        <v>626025.58113946416</v>
      </c>
      <c r="H29" s="102">
        <f t="shared" si="1"/>
        <v>603752.1416383785</v>
      </c>
      <c r="I29" s="102">
        <f t="shared" si="1"/>
        <v>582165.87440562423</v>
      </c>
      <c r="J29" s="102">
        <f t="shared" si="1"/>
        <v>561215.4553713674</v>
      </c>
      <c r="K29" s="102">
        <f t="shared" si="1"/>
        <v>540853.12463729037</v>
      </c>
      <c r="L29" s="102">
        <f t="shared" si="1"/>
        <v>521034.68647659174</v>
      </c>
      <c r="M29" s="102">
        <f t="shared" si="1"/>
        <v>501519.91572907689</v>
      </c>
      <c r="N29" s="102">
        <f t="shared" si="1"/>
        <v>482048.6278740603</v>
      </c>
      <c r="O29" s="102">
        <f t="shared" si="1"/>
        <v>462577.34001904365</v>
      </c>
      <c r="P29" s="102">
        <f t="shared" si="1"/>
        <v>443106.05216402694</v>
      </c>
      <c r="Q29" s="102">
        <f t="shared" si="1"/>
        <v>423634.76430901024</v>
      </c>
      <c r="R29" s="102">
        <f t="shared" si="1"/>
        <v>404163.47645399359</v>
      </c>
      <c r="S29" s="102">
        <f t="shared" si="1"/>
        <v>384692.18859897694</v>
      </c>
      <c r="T29" s="102">
        <f t="shared" si="1"/>
        <v>365220.90074396023</v>
      </c>
      <c r="U29" s="102">
        <f t="shared" si="1"/>
        <v>345749.61288894352</v>
      </c>
      <c r="V29" s="102">
        <f t="shared" si="1"/>
        <v>326278.32503392693</v>
      </c>
      <c r="W29" s="102">
        <f t="shared" si="1"/>
        <v>306807.03717891022</v>
      </c>
      <c r="X29" s="102">
        <f t="shared" si="1"/>
        <v>287335.74932389363</v>
      </c>
      <c r="Y29" s="102">
        <f t="shared" si="1"/>
        <v>269454.79479942378</v>
      </c>
      <c r="Z29" s="102">
        <f t="shared" si="1"/>
        <v>254753.79410174448</v>
      </c>
      <c r="AA29" s="102">
        <f t="shared" si="1"/>
        <v>241643.12673461207</v>
      </c>
      <c r="AB29" s="102">
        <f t="shared" si="1"/>
        <v>228532.45936747966</v>
      </c>
      <c r="AC29" s="102">
        <f t="shared" si="1"/>
        <v>215421.7920003472</v>
      </c>
      <c r="AD29" s="102">
        <f t="shared" si="1"/>
        <v>202311.1246332147</v>
      </c>
      <c r="AE29" s="102">
        <f t="shared" si="1"/>
        <v>189200.45726608223</v>
      </c>
      <c r="AF29" s="102">
        <f t="shared" si="1"/>
        <v>176089.78989894979</v>
      </c>
      <c r="AG29" s="102">
        <f t="shared" si="1"/>
        <v>162979.12253181729</v>
      </c>
      <c r="AH29" s="102">
        <f t="shared" si="1"/>
        <v>149868.45516468483</v>
      </c>
      <c r="AI29" s="102">
        <f t="shared" si="1"/>
        <v>136757.78779755236</v>
      </c>
      <c r="AJ29" s="102">
        <f t="shared" si="1"/>
        <v>123647.12043041988</v>
      </c>
      <c r="AK29" s="102">
        <f t="shared" si="1"/>
        <v>110536.45306328739</v>
      </c>
      <c r="AL29" s="102">
        <f t="shared" si="1"/>
        <v>97425.785696154926</v>
      </c>
      <c r="AM29" s="102">
        <f t="shared" si="1"/>
        <v>84315.118329022458</v>
      </c>
      <c r="AN29" s="102">
        <f t="shared" si="1"/>
        <v>71204.450961889946</v>
      </c>
      <c r="AO29" s="102">
        <f t="shared" si="1"/>
        <v>58093.7835947575</v>
      </c>
      <c r="AP29" s="102">
        <f t="shared" si="1"/>
        <v>44983.116227625025</v>
      </c>
      <c r="AQ29" s="102">
        <f t="shared" si="1"/>
        <v>31872.448860492543</v>
      </c>
      <c r="AR29" s="102">
        <f t="shared" si="1"/>
        <v>18761.781493360068</v>
      </c>
      <c r="AS29" s="102">
        <f t="shared" si="1"/>
        <v>6258.3191685727361</v>
      </c>
      <c r="AT29" s="102">
        <f t="shared" si="1"/>
        <v>12206.44780979383</v>
      </c>
      <c r="AU29" s="105">
        <f>SUM(D29:AT29)</f>
        <v>12373356.623462679</v>
      </c>
    </row>
    <row r="30" spans="1:48" x14ac:dyDescent="0.2">
      <c r="A30" s="2"/>
      <c r="B30" s="2"/>
      <c r="C30" s="2"/>
      <c r="D30" s="266"/>
      <c r="E30" s="38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</row>
    <row r="31" spans="1:48" x14ac:dyDescent="0.2">
      <c r="A31" s="2"/>
      <c r="B31" s="2" t="s">
        <v>55</v>
      </c>
      <c r="C31" s="2"/>
      <c r="D31" s="266"/>
      <c r="E31" s="38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</row>
    <row r="32" spans="1:48" x14ac:dyDescent="0.2">
      <c r="A32" s="234">
        <f>A29+1</f>
        <v>3</v>
      </c>
      <c r="B32" s="2"/>
      <c r="C32" s="2"/>
      <c r="D32" s="266"/>
      <c r="E32" s="38">
        <f>E49*$F10</f>
        <v>0</v>
      </c>
      <c r="F32" s="102">
        <f t="shared" ref="F32:AT32" si="2">F49*$F10</f>
        <v>0</v>
      </c>
      <c r="G32" s="102">
        <f t="shared" si="2"/>
        <v>0</v>
      </c>
      <c r="H32" s="102">
        <f t="shared" si="2"/>
        <v>0</v>
      </c>
      <c r="I32" s="102">
        <f t="shared" si="2"/>
        <v>0</v>
      </c>
      <c r="J32" s="102">
        <f t="shared" si="2"/>
        <v>0</v>
      </c>
      <c r="K32" s="102">
        <f t="shared" si="2"/>
        <v>0</v>
      </c>
      <c r="L32" s="102">
        <f t="shared" si="2"/>
        <v>0</v>
      </c>
      <c r="M32" s="102">
        <f t="shared" si="2"/>
        <v>0</v>
      </c>
      <c r="N32" s="102">
        <f t="shared" si="2"/>
        <v>0</v>
      </c>
      <c r="O32" s="102">
        <f t="shared" si="2"/>
        <v>0</v>
      </c>
      <c r="P32" s="102">
        <f t="shared" si="2"/>
        <v>0</v>
      </c>
      <c r="Q32" s="102">
        <f t="shared" si="2"/>
        <v>0</v>
      </c>
      <c r="R32" s="102">
        <f t="shared" si="2"/>
        <v>0</v>
      </c>
      <c r="S32" s="102">
        <f t="shared" si="2"/>
        <v>0</v>
      </c>
      <c r="T32" s="102">
        <f t="shared" si="2"/>
        <v>0</v>
      </c>
      <c r="U32" s="102">
        <f t="shared" si="2"/>
        <v>0</v>
      </c>
      <c r="V32" s="102">
        <f t="shared" si="2"/>
        <v>0</v>
      </c>
      <c r="W32" s="102">
        <f t="shared" si="2"/>
        <v>0</v>
      </c>
      <c r="X32" s="102">
        <f t="shared" si="2"/>
        <v>0</v>
      </c>
      <c r="Y32" s="102">
        <f t="shared" si="2"/>
        <v>0</v>
      </c>
      <c r="Z32" s="102">
        <f t="shared" si="2"/>
        <v>0</v>
      </c>
      <c r="AA32" s="102">
        <f t="shared" si="2"/>
        <v>0</v>
      </c>
      <c r="AB32" s="102">
        <f t="shared" si="2"/>
        <v>0</v>
      </c>
      <c r="AC32" s="102">
        <f t="shared" si="2"/>
        <v>0</v>
      </c>
      <c r="AD32" s="102">
        <f t="shared" si="2"/>
        <v>0</v>
      </c>
      <c r="AE32" s="102">
        <f t="shared" si="2"/>
        <v>0</v>
      </c>
      <c r="AF32" s="102">
        <f t="shared" si="2"/>
        <v>0</v>
      </c>
      <c r="AG32" s="102">
        <f t="shared" si="2"/>
        <v>0</v>
      </c>
      <c r="AH32" s="102">
        <f t="shared" si="2"/>
        <v>0</v>
      </c>
      <c r="AI32" s="102">
        <f t="shared" si="2"/>
        <v>0</v>
      </c>
      <c r="AJ32" s="102">
        <f t="shared" si="2"/>
        <v>0</v>
      </c>
      <c r="AK32" s="102">
        <f t="shared" si="2"/>
        <v>0</v>
      </c>
      <c r="AL32" s="102">
        <f t="shared" si="2"/>
        <v>0</v>
      </c>
      <c r="AM32" s="102">
        <f t="shared" si="2"/>
        <v>0</v>
      </c>
      <c r="AN32" s="102">
        <f t="shared" si="2"/>
        <v>0</v>
      </c>
      <c r="AO32" s="102">
        <f t="shared" si="2"/>
        <v>0</v>
      </c>
      <c r="AP32" s="102">
        <f t="shared" si="2"/>
        <v>0</v>
      </c>
      <c r="AQ32" s="102">
        <f t="shared" si="2"/>
        <v>0</v>
      </c>
      <c r="AR32" s="102">
        <f t="shared" si="2"/>
        <v>0</v>
      </c>
      <c r="AS32" s="102">
        <f t="shared" si="2"/>
        <v>0</v>
      </c>
      <c r="AT32" s="102">
        <f t="shared" si="2"/>
        <v>0</v>
      </c>
      <c r="AU32" s="105">
        <f t="shared" ref="AU32:AU42" si="3">SUM(D32:AT32)</f>
        <v>0</v>
      </c>
    </row>
    <row r="33" spans="1:47" x14ac:dyDescent="0.2">
      <c r="A33" s="234">
        <f>A32+1</f>
        <v>4</v>
      </c>
      <c r="B33" s="13"/>
      <c r="C33" s="13" t="s">
        <v>121</v>
      </c>
      <c r="D33" s="266"/>
      <c r="E33" s="38">
        <f>E49*$F11</f>
        <v>1634307.8463568168</v>
      </c>
      <c r="F33" s="102">
        <f t="shared" ref="F33:AT33" si="4">F49*$F11</f>
        <v>1583619.0699007013</v>
      </c>
      <c r="G33" s="102">
        <f t="shared" si="4"/>
        <v>1527461.0321346228</v>
      </c>
      <c r="H33" s="102">
        <f t="shared" si="4"/>
        <v>1473115.3122239581</v>
      </c>
      <c r="I33" s="102">
        <f t="shared" si="4"/>
        <v>1420446.247219838</v>
      </c>
      <c r="J33" s="102">
        <f t="shared" si="4"/>
        <v>1369328.6097848434</v>
      </c>
      <c r="K33" s="102">
        <f t="shared" si="4"/>
        <v>1319645.8689244331</v>
      </c>
      <c r="L33" s="102">
        <f t="shared" si="4"/>
        <v>1271290.1899869409</v>
      </c>
      <c r="M33" s="102">
        <f t="shared" si="4"/>
        <v>1223675.4394625067</v>
      </c>
      <c r="N33" s="102">
        <f t="shared" si="4"/>
        <v>1176166.7843211628</v>
      </c>
      <c r="O33" s="102">
        <f t="shared" si="4"/>
        <v>1128658.1291798193</v>
      </c>
      <c r="P33" s="102">
        <f t="shared" si="4"/>
        <v>1081149.4740384757</v>
      </c>
      <c r="Q33" s="102">
        <f t="shared" si="4"/>
        <v>1033640.8188971317</v>
      </c>
      <c r="R33" s="102">
        <f t="shared" si="4"/>
        <v>986132.16375578812</v>
      </c>
      <c r="S33" s="102">
        <f t="shared" si="4"/>
        <v>938623.50861444417</v>
      </c>
      <c r="T33" s="102">
        <f t="shared" si="4"/>
        <v>891114.85347310035</v>
      </c>
      <c r="U33" s="102">
        <f t="shared" si="4"/>
        <v>843606.19833175663</v>
      </c>
      <c r="V33" s="102">
        <f t="shared" si="4"/>
        <v>796097.54319041304</v>
      </c>
      <c r="W33" s="102">
        <f t="shared" si="4"/>
        <v>748588.88804906921</v>
      </c>
      <c r="X33" s="102">
        <f t="shared" si="4"/>
        <v>701080.2329077255</v>
      </c>
      <c r="Y33" s="102">
        <f t="shared" si="4"/>
        <v>657451.8859577718</v>
      </c>
      <c r="Z33" s="102">
        <f t="shared" si="4"/>
        <v>621582.41612202325</v>
      </c>
      <c r="AA33" s="102">
        <f t="shared" si="4"/>
        <v>589593.25447766471</v>
      </c>
      <c r="AB33" s="102">
        <f t="shared" si="4"/>
        <v>557604.09283330617</v>
      </c>
      <c r="AC33" s="102">
        <f t="shared" si="4"/>
        <v>525614.93118894764</v>
      </c>
      <c r="AD33" s="102">
        <f t="shared" si="4"/>
        <v>493625.76954458887</v>
      </c>
      <c r="AE33" s="102">
        <f t="shared" si="4"/>
        <v>461636.60790023027</v>
      </c>
      <c r="AF33" s="102">
        <f t="shared" si="4"/>
        <v>429647.44625587156</v>
      </c>
      <c r="AG33" s="102">
        <f t="shared" si="4"/>
        <v>397658.28461151291</v>
      </c>
      <c r="AH33" s="102">
        <f t="shared" si="4"/>
        <v>365669.12296715425</v>
      </c>
      <c r="AI33" s="102">
        <f t="shared" si="4"/>
        <v>333679.9613227956</v>
      </c>
      <c r="AJ33" s="102">
        <f t="shared" si="4"/>
        <v>301690.79967843689</v>
      </c>
      <c r="AK33" s="102">
        <f t="shared" si="4"/>
        <v>269701.63803407829</v>
      </c>
      <c r="AL33" s="102">
        <f t="shared" si="4"/>
        <v>237712.47638971958</v>
      </c>
      <c r="AM33" s="102">
        <f t="shared" si="4"/>
        <v>205723.31474536096</v>
      </c>
      <c r="AN33" s="102">
        <f t="shared" si="4"/>
        <v>173734.15310100224</v>
      </c>
      <c r="AO33" s="102">
        <f t="shared" si="4"/>
        <v>141744.99145664362</v>
      </c>
      <c r="AP33" s="102">
        <f t="shared" si="4"/>
        <v>109755.82981228495</v>
      </c>
      <c r="AQ33" s="102">
        <f t="shared" si="4"/>
        <v>77766.668167926284</v>
      </c>
      <c r="AR33" s="102">
        <f t="shared" si="4"/>
        <v>45777.506523567623</v>
      </c>
      <c r="AS33" s="102">
        <f t="shared" si="4"/>
        <v>15269.885040890054</v>
      </c>
      <c r="AT33" s="102">
        <f t="shared" si="4"/>
        <v>29782.925701388296</v>
      </c>
      <c r="AU33" s="105">
        <f t="shared" si="3"/>
        <v>30190172.172586717</v>
      </c>
    </row>
    <row r="34" spans="1:47" x14ac:dyDescent="0.2">
      <c r="A34" s="234">
        <f>A33+1</f>
        <v>5</v>
      </c>
      <c r="B34" s="2"/>
      <c r="C34" s="2" t="s">
        <v>9</v>
      </c>
      <c r="D34" s="266"/>
      <c r="E34" s="40">
        <f>E49*$F12</f>
        <v>2519785.6761554936</v>
      </c>
      <c r="F34" s="100">
        <f t="shared" ref="F34:AT34" si="5">F49*$F12</f>
        <v>2441633.4154656297</v>
      </c>
      <c r="G34" s="100">
        <f t="shared" si="5"/>
        <v>2355048.6147627463</v>
      </c>
      <c r="H34" s="100">
        <f t="shared" si="5"/>
        <v>2271258.0566396145</v>
      </c>
      <c r="I34" s="100">
        <f t="shared" si="5"/>
        <v>2190052.5751449675</v>
      </c>
      <c r="J34" s="100">
        <f t="shared" si="5"/>
        <v>2111239.0940160966</v>
      </c>
      <c r="K34" s="100">
        <f t="shared" si="5"/>
        <v>2034637.9450640925</v>
      </c>
      <c r="L34" s="100">
        <f t="shared" si="5"/>
        <v>1960082.8681738453</v>
      </c>
      <c r="M34" s="100">
        <f t="shared" si="5"/>
        <v>1886670.1591712895</v>
      </c>
      <c r="N34" s="100">
        <f t="shared" si="5"/>
        <v>1813421.0286690842</v>
      </c>
      <c r="O34" s="100">
        <f t="shared" si="5"/>
        <v>1740171.8981668786</v>
      </c>
      <c r="P34" s="100">
        <f t="shared" si="5"/>
        <v>1666922.767664673</v>
      </c>
      <c r="Q34" s="100">
        <f t="shared" si="5"/>
        <v>1593673.6371624672</v>
      </c>
      <c r="R34" s="100">
        <f t="shared" si="5"/>
        <v>1520424.5066602619</v>
      </c>
      <c r="S34" s="100">
        <f t="shared" si="5"/>
        <v>1447175.3761580561</v>
      </c>
      <c r="T34" s="100">
        <f t="shared" si="5"/>
        <v>1373926.2456558505</v>
      </c>
      <c r="U34" s="100">
        <f t="shared" si="5"/>
        <v>1300677.1151536449</v>
      </c>
      <c r="V34" s="100">
        <f t="shared" si="5"/>
        <v>1227427.9846514396</v>
      </c>
      <c r="W34" s="100">
        <f t="shared" si="5"/>
        <v>1154178.8541492338</v>
      </c>
      <c r="X34" s="100">
        <f t="shared" si="5"/>
        <v>1080929.7236470284</v>
      </c>
      <c r="Y34" s="100">
        <f t="shared" si="5"/>
        <v>1013663.2756740229</v>
      </c>
      <c r="Z34" s="100">
        <f t="shared" si="5"/>
        <v>958359.51114465785</v>
      </c>
      <c r="AA34" s="100">
        <f t="shared" si="5"/>
        <v>909038.42914449307</v>
      </c>
      <c r="AB34" s="100">
        <f t="shared" si="5"/>
        <v>859717.34714432829</v>
      </c>
      <c r="AC34" s="100">
        <f t="shared" si="5"/>
        <v>810396.26514416339</v>
      </c>
      <c r="AD34" s="100">
        <f t="shared" si="5"/>
        <v>761075.18314399826</v>
      </c>
      <c r="AE34" s="100">
        <f t="shared" si="5"/>
        <v>711754.10114383325</v>
      </c>
      <c r="AF34" s="100">
        <f t="shared" si="5"/>
        <v>662433.01914366824</v>
      </c>
      <c r="AG34" s="100">
        <f t="shared" si="5"/>
        <v>613111.93714350322</v>
      </c>
      <c r="AH34" s="100">
        <f t="shared" si="5"/>
        <v>563790.85514333821</v>
      </c>
      <c r="AI34" s="100">
        <f t="shared" si="5"/>
        <v>514469.7731431732</v>
      </c>
      <c r="AJ34" s="100">
        <f t="shared" si="5"/>
        <v>465148.69114300812</v>
      </c>
      <c r="AK34" s="100">
        <f t="shared" si="5"/>
        <v>415827.60914284311</v>
      </c>
      <c r="AL34" s="100">
        <f t="shared" si="5"/>
        <v>366506.52714267804</v>
      </c>
      <c r="AM34" s="100">
        <f t="shared" si="5"/>
        <v>317185.44514251308</v>
      </c>
      <c r="AN34" s="100">
        <f t="shared" si="5"/>
        <v>267864.36314234795</v>
      </c>
      <c r="AO34" s="100">
        <f t="shared" si="5"/>
        <v>218543.281142183</v>
      </c>
      <c r="AP34" s="100">
        <f t="shared" si="5"/>
        <v>169222.19914201795</v>
      </c>
      <c r="AQ34" s="100">
        <f t="shared" si="5"/>
        <v>119901.11714185291</v>
      </c>
      <c r="AR34" s="100">
        <f t="shared" si="5"/>
        <v>70580.035141687884</v>
      </c>
      <c r="AS34" s="100">
        <f t="shared" si="5"/>
        <v>23543.200681773629</v>
      </c>
      <c r="AT34" s="100">
        <f t="shared" si="5"/>
        <v>45919.49414160537</v>
      </c>
      <c r="AU34" s="105">
        <f t="shared" si="3"/>
        <v>46547389.202550098</v>
      </c>
    </row>
    <row r="35" spans="1:47" x14ac:dyDescent="0.2">
      <c r="A35" s="234">
        <f>A34+1</f>
        <v>6</v>
      </c>
      <c r="B35" s="2"/>
      <c r="C35" s="2" t="s">
        <v>58</v>
      </c>
      <c r="D35" s="266"/>
      <c r="E35" s="38">
        <f>E32+E33+E34</f>
        <v>4154093.5225123102</v>
      </c>
      <c r="F35" s="102">
        <f>F32+F33+F34</f>
        <v>4025252.4853663309</v>
      </c>
      <c r="G35" s="102">
        <f>G32+G33+G34</f>
        <v>3882509.6468973691</v>
      </c>
      <c r="H35" s="102">
        <f t="shared" ref="H35:AT35" si="6">H32+H33+H34</f>
        <v>3744373.3688635724</v>
      </c>
      <c r="I35" s="102">
        <f t="shared" si="6"/>
        <v>3610498.8223648053</v>
      </c>
      <c r="J35" s="102">
        <f t="shared" si="6"/>
        <v>3480567.70380094</v>
      </c>
      <c r="K35" s="102">
        <f t="shared" si="6"/>
        <v>3354283.8139885254</v>
      </c>
      <c r="L35" s="102">
        <f t="shared" si="6"/>
        <v>3231373.0581607865</v>
      </c>
      <c r="M35" s="102">
        <f t="shared" si="6"/>
        <v>3110345.598633796</v>
      </c>
      <c r="N35" s="102">
        <f t="shared" si="6"/>
        <v>2989587.8129902473</v>
      </c>
      <c r="O35" s="102">
        <f t="shared" si="6"/>
        <v>2868830.0273466976</v>
      </c>
      <c r="P35" s="102">
        <f t="shared" si="6"/>
        <v>2748072.2417031489</v>
      </c>
      <c r="Q35" s="102">
        <f t="shared" si="6"/>
        <v>2627314.4560595988</v>
      </c>
      <c r="R35" s="102">
        <f t="shared" si="6"/>
        <v>2506556.6704160501</v>
      </c>
      <c r="S35" s="102">
        <f t="shared" si="6"/>
        <v>2385798.8847725</v>
      </c>
      <c r="T35" s="102">
        <f t="shared" si="6"/>
        <v>2265041.0991289509</v>
      </c>
      <c r="U35" s="102">
        <f t="shared" si="6"/>
        <v>2144283.3134854017</v>
      </c>
      <c r="V35" s="102">
        <f t="shared" si="6"/>
        <v>2023525.5278418525</v>
      </c>
      <c r="W35" s="102">
        <f t="shared" si="6"/>
        <v>1902767.7421983029</v>
      </c>
      <c r="X35" s="102">
        <f t="shared" si="6"/>
        <v>1782009.9565547539</v>
      </c>
      <c r="Y35" s="102">
        <f t="shared" si="6"/>
        <v>1671115.1616317946</v>
      </c>
      <c r="Z35" s="102">
        <f t="shared" si="6"/>
        <v>1579941.9272666811</v>
      </c>
      <c r="AA35" s="102">
        <f t="shared" si="6"/>
        <v>1498631.6836221577</v>
      </c>
      <c r="AB35" s="102">
        <f t="shared" si="6"/>
        <v>1417321.4399776345</v>
      </c>
      <c r="AC35" s="102">
        <f t="shared" si="6"/>
        <v>1336011.196333111</v>
      </c>
      <c r="AD35" s="102">
        <f t="shared" si="6"/>
        <v>1254700.9526885871</v>
      </c>
      <c r="AE35" s="102">
        <f t="shared" si="6"/>
        <v>1173390.7090440635</v>
      </c>
      <c r="AF35" s="102">
        <f t="shared" si="6"/>
        <v>1092080.4653995398</v>
      </c>
      <c r="AG35" s="102">
        <f t="shared" si="6"/>
        <v>1010770.2217550161</v>
      </c>
      <c r="AH35" s="102">
        <f t="shared" si="6"/>
        <v>929459.97811049246</v>
      </c>
      <c r="AI35" s="102">
        <f t="shared" si="6"/>
        <v>848149.7344659688</v>
      </c>
      <c r="AJ35" s="102">
        <f t="shared" si="6"/>
        <v>766839.49082144501</v>
      </c>
      <c r="AK35" s="102">
        <f t="shared" si="6"/>
        <v>685529.24717692146</v>
      </c>
      <c r="AL35" s="102">
        <f t="shared" si="6"/>
        <v>604219.00353239756</v>
      </c>
      <c r="AM35" s="102">
        <f t="shared" si="6"/>
        <v>522908.75988787401</v>
      </c>
      <c r="AN35" s="102">
        <f t="shared" si="6"/>
        <v>441598.51624335023</v>
      </c>
      <c r="AO35" s="102">
        <f t="shared" si="6"/>
        <v>360288.27259882662</v>
      </c>
      <c r="AP35" s="102">
        <f t="shared" si="6"/>
        <v>278978.02895430289</v>
      </c>
      <c r="AQ35" s="102">
        <f t="shared" si="6"/>
        <v>197667.7853097792</v>
      </c>
      <c r="AR35" s="102">
        <f t="shared" si="6"/>
        <v>116357.5416652555</v>
      </c>
      <c r="AS35" s="102">
        <f t="shared" si="6"/>
        <v>38813.085722663687</v>
      </c>
      <c r="AT35" s="102">
        <f t="shared" si="6"/>
        <v>75702.419842993666</v>
      </c>
      <c r="AU35" s="105">
        <f t="shared" si="3"/>
        <v>76737561.375136793</v>
      </c>
    </row>
    <row r="36" spans="1:47" x14ac:dyDescent="0.2">
      <c r="A36" s="2"/>
      <c r="B36" s="2"/>
      <c r="C36" s="2"/>
      <c r="D36" s="266"/>
      <c r="E36" s="38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5">
        <f t="shared" si="3"/>
        <v>0</v>
      </c>
    </row>
    <row r="37" spans="1:47" x14ac:dyDescent="0.2">
      <c r="A37" s="234">
        <f>A35+1</f>
        <v>7</v>
      </c>
      <c r="B37" s="2" t="s">
        <v>59</v>
      </c>
      <c r="C37" s="2"/>
      <c r="D37" s="266"/>
      <c r="E37" s="41">
        <f>E27+E29+E35</f>
        <v>6178177.8502265867</v>
      </c>
      <c r="F37" s="99">
        <f>F27+F29+F35</f>
        <v>6028562.16150482</v>
      </c>
      <c r="G37" s="99">
        <f t="shared" ref="G37:AT37" si="7">G27+G29+G35</f>
        <v>5862803.1101907883</v>
      </c>
      <c r="H37" s="99">
        <f t="shared" si="7"/>
        <v>5702393.3926559063</v>
      </c>
      <c r="I37" s="99">
        <f t="shared" si="7"/>
        <v>5546932.5789243849</v>
      </c>
      <c r="J37" s="99">
        <f t="shared" si="7"/>
        <v>5396051.0413262621</v>
      </c>
      <c r="K37" s="99">
        <f t="shared" si="7"/>
        <v>5249404.8207797706</v>
      </c>
      <c r="L37" s="99">
        <f t="shared" si="7"/>
        <v>5106675.6267913338</v>
      </c>
      <c r="M37" s="99">
        <f t="shared" si="7"/>
        <v>4966133.3965168279</v>
      </c>
      <c r="N37" s="99">
        <f t="shared" si="7"/>
        <v>4825904.3230182631</v>
      </c>
      <c r="O37" s="99">
        <f t="shared" si="7"/>
        <v>4685675.2495196965</v>
      </c>
      <c r="P37" s="99">
        <f t="shared" si="7"/>
        <v>4545446.1760211308</v>
      </c>
      <c r="Q37" s="99">
        <f t="shared" si="7"/>
        <v>4405217.1025225641</v>
      </c>
      <c r="R37" s="99">
        <f t="shared" si="7"/>
        <v>4264988.0290239993</v>
      </c>
      <c r="S37" s="99">
        <f t="shared" si="7"/>
        <v>4124758.9555254322</v>
      </c>
      <c r="T37" s="99">
        <f t="shared" si="7"/>
        <v>3984529.8820268661</v>
      </c>
      <c r="U37" s="99">
        <f t="shared" si="7"/>
        <v>3844300.8085283004</v>
      </c>
      <c r="V37" s="99">
        <f t="shared" si="7"/>
        <v>3704071.7350297347</v>
      </c>
      <c r="W37" s="99">
        <f t="shared" si="7"/>
        <v>3563842.6615311685</v>
      </c>
      <c r="X37" s="99">
        <f t="shared" si="7"/>
        <v>3423613.5880326028</v>
      </c>
      <c r="Y37" s="99">
        <f t="shared" si="7"/>
        <v>3294837.8385851737</v>
      </c>
      <c r="Z37" s="99">
        <f t="shared" si="7"/>
        <v>3188963.6035223808</v>
      </c>
      <c r="AA37" s="99">
        <f t="shared" si="7"/>
        <v>3094542.692510725</v>
      </c>
      <c r="AB37" s="99">
        <f t="shared" si="7"/>
        <v>3000121.7814990692</v>
      </c>
      <c r="AC37" s="99">
        <f t="shared" si="7"/>
        <v>2905700.8704874134</v>
      </c>
      <c r="AD37" s="99">
        <f t="shared" si="7"/>
        <v>2811279.9594757571</v>
      </c>
      <c r="AE37" s="99">
        <f t="shared" si="7"/>
        <v>2716859.0484641008</v>
      </c>
      <c r="AF37" s="99">
        <f t="shared" si="7"/>
        <v>2622438.137452445</v>
      </c>
      <c r="AG37" s="99">
        <f t="shared" si="7"/>
        <v>2528017.2264407887</v>
      </c>
      <c r="AH37" s="99">
        <f t="shared" si="7"/>
        <v>2433596.3154291324</v>
      </c>
      <c r="AI37" s="99">
        <f t="shared" si="7"/>
        <v>2339175.4044174766</v>
      </c>
      <c r="AJ37" s="99">
        <f t="shared" si="7"/>
        <v>2244754.4934058203</v>
      </c>
      <c r="AK37" s="99">
        <f t="shared" si="7"/>
        <v>2150333.5823941641</v>
      </c>
      <c r="AL37" s="99">
        <f t="shared" si="7"/>
        <v>2055912.6713825078</v>
      </c>
      <c r="AM37" s="99">
        <f t="shared" si="7"/>
        <v>1961491.760370852</v>
      </c>
      <c r="AN37" s="99">
        <f t="shared" si="7"/>
        <v>1867070.8493591954</v>
      </c>
      <c r="AO37" s="99">
        <f t="shared" si="7"/>
        <v>1772649.9383475394</v>
      </c>
      <c r="AP37" s="99">
        <f t="shared" si="7"/>
        <v>1678229.0273358831</v>
      </c>
      <c r="AQ37" s="99">
        <f t="shared" si="7"/>
        <v>1583808.1163242271</v>
      </c>
      <c r="AR37" s="99">
        <f t="shared" si="7"/>
        <v>1489387.205312571</v>
      </c>
      <c r="AS37" s="99">
        <f t="shared" si="7"/>
        <v>1273896.6587330138</v>
      </c>
      <c r="AT37" s="99">
        <f t="shared" si="7"/>
        <v>87908.867652787492</v>
      </c>
      <c r="AU37" s="105">
        <f t="shared" si="3"/>
        <v>144510458.5385994</v>
      </c>
    </row>
    <row r="38" spans="1:47" x14ac:dyDescent="0.2">
      <c r="A38" s="234">
        <f>A37+1</f>
        <v>8</v>
      </c>
      <c r="B38" s="2" t="s">
        <v>60</v>
      </c>
      <c r="C38" s="2"/>
      <c r="D38" s="266"/>
      <c r="E38" s="40">
        <f t="shared" ref="E38:AT38" si="8">E37/(1-$F16)-E37</f>
        <v>294249.49182431865</v>
      </c>
      <c r="F38" s="100">
        <f t="shared" si="8"/>
        <v>287123.71114228293</v>
      </c>
      <c r="G38" s="100">
        <f t="shared" si="8"/>
        <v>279229.06683180109</v>
      </c>
      <c r="H38" s="100">
        <f t="shared" si="8"/>
        <v>271589.19646669179</v>
      </c>
      <c r="I38" s="100">
        <f t="shared" si="8"/>
        <v>264185.02867676318</v>
      </c>
      <c r="J38" s="100">
        <f t="shared" si="8"/>
        <v>256998.95912030153</v>
      </c>
      <c r="K38" s="100">
        <f t="shared" si="8"/>
        <v>250014.60597932152</v>
      </c>
      <c r="L38" s="100">
        <f t="shared" si="8"/>
        <v>243216.80995956995</v>
      </c>
      <c r="M38" s="100">
        <f t="shared" si="8"/>
        <v>236523.17296162993</v>
      </c>
      <c r="N38" s="100">
        <f t="shared" si="8"/>
        <v>229844.45075319801</v>
      </c>
      <c r="O38" s="100">
        <f t="shared" si="8"/>
        <v>223165.72854476701</v>
      </c>
      <c r="P38" s="100">
        <f t="shared" si="8"/>
        <v>216487.00633633509</v>
      </c>
      <c r="Q38" s="100">
        <f t="shared" si="8"/>
        <v>209808.28412790317</v>
      </c>
      <c r="R38" s="100">
        <f t="shared" si="8"/>
        <v>203129.56191947218</v>
      </c>
      <c r="S38" s="100">
        <f t="shared" si="8"/>
        <v>196450.83971104072</v>
      </c>
      <c r="T38" s="100">
        <f t="shared" si="8"/>
        <v>189772.1175026088</v>
      </c>
      <c r="U38" s="100">
        <f t="shared" si="8"/>
        <v>183093.39529417735</v>
      </c>
      <c r="V38" s="100">
        <f t="shared" si="8"/>
        <v>176414.67308574589</v>
      </c>
      <c r="W38" s="100">
        <f t="shared" si="8"/>
        <v>169735.95087731443</v>
      </c>
      <c r="X38" s="100">
        <f t="shared" si="8"/>
        <v>163057.22866888298</v>
      </c>
      <c r="Y38" s="100">
        <f t="shared" si="8"/>
        <v>156923.99654886359</v>
      </c>
      <c r="Z38" s="100">
        <f t="shared" si="8"/>
        <v>151881.50010092277</v>
      </c>
      <c r="AA38" s="100">
        <f t="shared" si="8"/>
        <v>147384.49374139402</v>
      </c>
      <c r="AB38" s="100">
        <f t="shared" si="8"/>
        <v>142887.48738186527</v>
      </c>
      <c r="AC38" s="100">
        <f t="shared" si="8"/>
        <v>138390.48102233605</v>
      </c>
      <c r="AD38" s="100">
        <f t="shared" si="8"/>
        <v>133893.4746628073</v>
      </c>
      <c r="AE38" s="100">
        <f t="shared" si="8"/>
        <v>129396.46830327855</v>
      </c>
      <c r="AF38" s="100">
        <f t="shared" si="8"/>
        <v>124899.4619437498</v>
      </c>
      <c r="AG38" s="100">
        <f t="shared" si="8"/>
        <v>120402.45558422105</v>
      </c>
      <c r="AH38" s="100">
        <f t="shared" si="8"/>
        <v>115905.4492246923</v>
      </c>
      <c r="AI38" s="100">
        <f t="shared" si="8"/>
        <v>111408.44286516355</v>
      </c>
      <c r="AJ38" s="100">
        <f t="shared" si="8"/>
        <v>106911.43650563434</v>
      </c>
      <c r="AK38" s="100">
        <f t="shared" si="8"/>
        <v>102414.43014610559</v>
      </c>
      <c r="AL38" s="100">
        <f t="shared" si="8"/>
        <v>97917.423786576837</v>
      </c>
      <c r="AM38" s="100">
        <f t="shared" si="8"/>
        <v>93420.417427048087</v>
      </c>
      <c r="AN38" s="100">
        <f t="shared" si="8"/>
        <v>88923.411067519337</v>
      </c>
      <c r="AO38" s="100">
        <f t="shared" si="8"/>
        <v>84426.404707990587</v>
      </c>
      <c r="AP38" s="100">
        <f t="shared" si="8"/>
        <v>79929.398348461604</v>
      </c>
      <c r="AQ38" s="100">
        <f t="shared" si="8"/>
        <v>75432.391988932854</v>
      </c>
      <c r="AR38" s="100">
        <f t="shared" si="8"/>
        <v>70935.385629404103</v>
      </c>
      <c r="AS38" s="100">
        <f t="shared" si="8"/>
        <v>60672.168000980979</v>
      </c>
      <c r="AT38" s="100">
        <f t="shared" si="8"/>
        <v>4186.8557786395395</v>
      </c>
      <c r="AU38" s="105">
        <f t="shared" si="3"/>
        <v>6882632.7145507121</v>
      </c>
    </row>
    <row r="39" spans="1:47" x14ac:dyDescent="0.2">
      <c r="A39" s="234">
        <f>A38+1</f>
        <v>9</v>
      </c>
      <c r="B39" s="2"/>
      <c r="C39" s="2" t="s">
        <v>61</v>
      </c>
      <c r="D39" s="266"/>
      <c r="E39" s="41">
        <f>SUM(E37:E38)</f>
        <v>6472427.3420509053</v>
      </c>
      <c r="F39" s="99">
        <f t="shared" ref="F39:AT39" si="9">SUM(F37:F38)</f>
        <v>6315685.8726471029</v>
      </c>
      <c r="G39" s="99">
        <f t="shared" si="9"/>
        <v>6142032.1770225894</v>
      </c>
      <c r="H39" s="99">
        <f t="shared" si="9"/>
        <v>5973982.5891225981</v>
      </c>
      <c r="I39" s="99">
        <f t="shared" si="9"/>
        <v>5811117.6076011481</v>
      </c>
      <c r="J39" s="99">
        <f t="shared" si="9"/>
        <v>5653050.0004465636</v>
      </c>
      <c r="K39" s="99">
        <f t="shared" si="9"/>
        <v>5499419.4267590921</v>
      </c>
      <c r="L39" s="99">
        <f t="shared" si="9"/>
        <v>5349892.4367509037</v>
      </c>
      <c r="M39" s="99">
        <f t="shared" si="9"/>
        <v>5202656.5694784578</v>
      </c>
      <c r="N39" s="99">
        <f t="shared" si="9"/>
        <v>5055748.7737714611</v>
      </c>
      <c r="O39" s="99">
        <f t="shared" si="9"/>
        <v>4908840.9780644635</v>
      </c>
      <c r="P39" s="99">
        <f t="shared" si="9"/>
        <v>4761933.1823574658</v>
      </c>
      <c r="Q39" s="99">
        <f t="shared" si="9"/>
        <v>4615025.3866504673</v>
      </c>
      <c r="R39" s="99">
        <f t="shared" si="9"/>
        <v>4468117.5909434715</v>
      </c>
      <c r="S39" s="99">
        <f t="shared" si="9"/>
        <v>4321209.795236473</v>
      </c>
      <c r="T39" s="99">
        <f t="shared" si="9"/>
        <v>4174301.9995294749</v>
      </c>
      <c r="U39" s="99">
        <f t="shared" si="9"/>
        <v>4027394.2038224777</v>
      </c>
      <c r="V39" s="99">
        <f t="shared" si="9"/>
        <v>3880486.4081154806</v>
      </c>
      <c r="W39" s="99">
        <f t="shared" si="9"/>
        <v>3733578.6124084829</v>
      </c>
      <c r="X39" s="99">
        <f t="shared" si="9"/>
        <v>3586670.8167014858</v>
      </c>
      <c r="Y39" s="99">
        <f t="shared" si="9"/>
        <v>3451761.8351340373</v>
      </c>
      <c r="Z39" s="99">
        <f t="shared" si="9"/>
        <v>3340845.1036233036</v>
      </c>
      <c r="AA39" s="99">
        <f t="shared" si="9"/>
        <v>3241927.186252119</v>
      </c>
      <c r="AB39" s="99">
        <f t="shared" si="9"/>
        <v>3143009.2688809345</v>
      </c>
      <c r="AC39" s="99">
        <f t="shared" si="9"/>
        <v>3044091.3515097494</v>
      </c>
      <c r="AD39" s="99">
        <f t="shared" si="9"/>
        <v>2945173.4341385644</v>
      </c>
      <c r="AE39" s="99">
        <f t="shared" si="9"/>
        <v>2846255.5167673794</v>
      </c>
      <c r="AF39" s="99">
        <f t="shared" si="9"/>
        <v>2747337.5993961948</v>
      </c>
      <c r="AG39" s="99">
        <f t="shared" si="9"/>
        <v>2648419.6820250098</v>
      </c>
      <c r="AH39" s="99">
        <f t="shared" si="9"/>
        <v>2549501.7646538247</v>
      </c>
      <c r="AI39" s="99">
        <f t="shared" si="9"/>
        <v>2450583.8472826402</v>
      </c>
      <c r="AJ39" s="99">
        <f t="shared" si="9"/>
        <v>2351665.9299114547</v>
      </c>
      <c r="AK39" s="99">
        <f t="shared" si="9"/>
        <v>2252748.0125402696</v>
      </c>
      <c r="AL39" s="99">
        <f t="shared" si="9"/>
        <v>2153830.0951690846</v>
      </c>
      <c r="AM39" s="99">
        <f t="shared" si="9"/>
        <v>2054912.1777979</v>
      </c>
      <c r="AN39" s="99">
        <f t="shared" si="9"/>
        <v>1955994.2604267148</v>
      </c>
      <c r="AO39" s="99">
        <f t="shared" si="9"/>
        <v>1857076.34305553</v>
      </c>
      <c r="AP39" s="99">
        <f t="shared" si="9"/>
        <v>1758158.4256843447</v>
      </c>
      <c r="AQ39" s="99">
        <f t="shared" si="9"/>
        <v>1659240.5083131599</v>
      </c>
      <c r="AR39" s="99">
        <f t="shared" si="9"/>
        <v>1560322.5909419751</v>
      </c>
      <c r="AS39" s="99">
        <f t="shared" si="9"/>
        <v>1334568.8267339948</v>
      </c>
      <c r="AT39" s="99">
        <f t="shared" si="9"/>
        <v>92095.723431427032</v>
      </c>
      <c r="AU39" s="105">
        <f t="shared" si="3"/>
        <v>151393091.25315019</v>
      </c>
    </row>
    <row r="40" spans="1:47" x14ac:dyDescent="0.2">
      <c r="A40" s="234">
        <f t="shared" ref="A40:A66" si="10">A39+1</f>
        <v>10</v>
      </c>
      <c r="B40" s="2"/>
      <c r="C40" s="2"/>
      <c r="D40" s="266"/>
      <c r="E40" s="41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105">
        <f t="shared" si="3"/>
        <v>0</v>
      </c>
    </row>
    <row r="41" spans="1:47" x14ac:dyDescent="0.2">
      <c r="A41" s="234">
        <f t="shared" si="10"/>
        <v>11</v>
      </c>
      <c r="B41" s="2"/>
      <c r="C41" s="2"/>
      <c r="D41" s="266"/>
      <c r="E41" s="38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5">
        <f t="shared" si="3"/>
        <v>0</v>
      </c>
    </row>
    <row r="42" spans="1:47" x14ac:dyDescent="0.2">
      <c r="A42" s="234">
        <f t="shared" si="10"/>
        <v>12</v>
      </c>
      <c r="B42" s="2" t="s">
        <v>62</v>
      </c>
      <c r="C42" s="2"/>
      <c r="D42" s="266"/>
      <c r="E42" s="40">
        <f>E39</f>
        <v>6472427.3420509053</v>
      </c>
      <c r="F42" s="100">
        <f>F39</f>
        <v>6315685.8726471029</v>
      </c>
      <c r="G42" s="100">
        <f t="shared" ref="G42:AT42" si="11">G39</f>
        <v>6142032.1770225894</v>
      </c>
      <c r="H42" s="100">
        <f t="shared" si="11"/>
        <v>5973982.5891225981</v>
      </c>
      <c r="I42" s="100">
        <f t="shared" si="11"/>
        <v>5811117.6076011481</v>
      </c>
      <c r="J42" s="100">
        <f t="shared" si="11"/>
        <v>5653050.0004465636</v>
      </c>
      <c r="K42" s="100">
        <f t="shared" si="11"/>
        <v>5499419.4267590921</v>
      </c>
      <c r="L42" s="100">
        <f t="shared" si="11"/>
        <v>5349892.4367509037</v>
      </c>
      <c r="M42" s="100">
        <f t="shared" si="11"/>
        <v>5202656.5694784578</v>
      </c>
      <c r="N42" s="100">
        <f t="shared" si="11"/>
        <v>5055748.7737714611</v>
      </c>
      <c r="O42" s="100">
        <f t="shared" si="11"/>
        <v>4908840.9780644635</v>
      </c>
      <c r="P42" s="100">
        <f t="shared" si="11"/>
        <v>4761933.1823574658</v>
      </c>
      <c r="Q42" s="100">
        <f t="shared" si="11"/>
        <v>4615025.3866504673</v>
      </c>
      <c r="R42" s="100">
        <f t="shared" si="11"/>
        <v>4468117.5909434715</v>
      </c>
      <c r="S42" s="100">
        <f t="shared" si="11"/>
        <v>4321209.795236473</v>
      </c>
      <c r="T42" s="100">
        <f t="shared" si="11"/>
        <v>4174301.9995294749</v>
      </c>
      <c r="U42" s="100">
        <f t="shared" si="11"/>
        <v>4027394.2038224777</v>
      </c>
      <c r="V42" s="100">
        <f t="shared" si="11"/>
        <v>3880486.4081154806</v>
      </c>
      <c r="W42" s="100">
        <f t="shared" si="11"/>
        <v>3733578.6124084829</v>
      </c>
      <c r="X42" s="100">
        <f t="shared" si="11"/>
        <v>3586670.8167014858</v>
      </c>
      <c r="Y42" s="100">
        <f t="shared" si="11"/>
        <v>3451761.8351340373</v>
      </c>
      <c r="Z42" s="100">
        <f t="shared" si="11"/>
        <v>3340845.1036233036</v>
      </c>
      <c r="AA42" s="100">
        <f t="shared" si="11"/>
        <v>3241927.186252119</v>
      </c>
      <c r="AB42" s="100">
        <f t="shared" si="11"/>
        <v>3143009.2688809345</v>
      </c>
      <c r="AC42" s="100">
        <f t="shared" si="11"/>
        <v>3044091.3515097494</v>
      </c>
      <c r="AD42" s="100">
        <f t="shared" si="11"/>
        <v>2945173.4341385644</v>
      </c>
      <c r="AE42" s="100">
        <f t="shared" si="11"/>
        <v>2846255.5167673794</v>
      </c>
      <c r="AF42" s="100">
        <f t="shared" si="11"/>
        <v>2747337.5993961948</v>
      </c>
      <c r="AG42" s="100">
        <f t="shared" si="11"/>
        <v>2648419.6820250098</v>
      </c>
      <c r="AH42" s="100">
        <f t="shared" si="11"/>
        <v>2549501.7646538247</v>
      </c>
      <c r="AI42" s="100">
        <f t="shared" si="11"/>
        <v>2450583.8472826402</v>
      </c>
      <c r="AJ42" s="100">
        <f t="shared" si="11"/>
        <v>2351665.9299114547</v>
      </c>
      <c r="AK42" s="100">
        <f t="shared" si="11"/>
        <v>2252748.0125402696</v>
      </c>
      <c r="AL42" s="100">
        <f t="shared" si="11"/>
        <v>2153830.0951690846</v>
      </c>
      <c r="AM42" s="100">
        <f t="shared" si="11"/>
        <v>2054912.1777979</v>
      </c>
      <c r="AN42" s="100">
        <f t="shared" si="11"/>
        <v>1955994.2604267148</v>
      </c>
      <c r="AO42" s="100">
        <f t="shared" si="11"/>
        <v>1857076.34305553</v>
      </c>
      <c r="AP42" s="100">
        <f t="shared" si="11"/>
        <v>1758158.4256843447</v>
      </c>
      <c r="AQ42" s="100">
        <f t="shared" si="11"/>
        <v>1659240.5083131599</v>
      </c>
      <c r="AR42" s="100">
        <f t="shared" si="11"/>
        <v>1560322.5909419751</v>
      </c>
      <c r="AS42" s="100">
        <f t="shared" si="11"/>
        <v>1334568.8267339948</v>
      </c>
      <c r="AT42" s="100">
        <f t="shared" si="11"/>
        <v>92095.723431427032</v>
      </c>
      <c r="AU42" s="105">
        <f t="shared" si="3"/>
        <v>151393091.25315019</v>
      </c>
    </row>
    <row r="43" spans="1:47" x14ac:dyDescent="0.2">
      <c r="A43" s="234">
        <f t="shared" si="10"/>
        <v>13</v>
      </c>
      <c r="B43" s="2"/>
      <c r="C43" s="2"/>
      <c r="D43" s="266"/>
      <c r="E43" s="83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</row>
    <row r="44" spans="1:47" outlineLevel="1" x14ac:dyDescent="0.2">
      <c r="A44" s="234">
        <f t="shared" si="10"/>
        <v>14</v>
      </c>
      <c r="B44" s="2"/>
      <c r="C44" s="2"/>
      <c r="D44" s="266"/>
      <c r="E44" s="43"/>
      <c r="F44" s="266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</row>
    <row r="45" spans="1:47" outlineLevel="1" x14ac:dyDescent="0.2">
      <c r="A45" s="234">
        <f t="shared" si="10"/>
        <v>15</v>
      </c>
      <c r="B45" s="2" t="s">
        <v>63</v>
      </c>
      <c r="C45" s="266"/>
      <c r="D45" s="266"/>
      <c r="E45" s="45">
        <f>+E42/$F$22</f>
        <v>0.11683178739321196</v>
      </c>
      <c r="F45" s="101">
        <f t="shared" ref="F45:AT45" si="12">+F42/$F$22</f>
        <v>0.1140024955276841</v>
      </c>
      <c r="G45" s="101">
        <f t="shared" si="12"/>
        <v>0.11086792628880872</v>
      </c>
      <c r="H45" s="101">
        <f t="shared" si="12"/>
        <v>0.10783451506803055</v>
      </c>
      <c r="I45" s="101">
        <f t="shared" si="12"/>
        <v>0.10489468957608704</v>
      </c>
      <c r="J45" s="101">
        <f t="shared" si="12"/>
        <v>0.10204146000750504</v>
      </c>
      <c r="K45" s="101">
        <f t="shared" si="12"/>
        <v>9.9268321959969333E-2</v>
      </c>
      <c r="L45" s="101">
        <f t="shared" si="12"/>
        <v>9.6569256434322487E-2</v>
      </c>
      <c r="M45" s="101">
        <f t="shared" si="12"/>
        <v>9.3911547257724937E-2</v>
      </c>
      <c r="N45" s="101">
        <f t="shared" si="12"/>
        <v>9.1259759999653273E-2</v>
      </c>
      <c r="O45" s="101">
        <f t="shared" si="12"/>
        <v>8.8607972741581595E-2</v>
      </c>
      <c r="P45" s="101">
        <f t="shared" si="12"/>
        <v>8.5956185483509903E-2</v>
      </c>
      <c r="Q45" s="101">
        <f t="shared" si="12"/>
        <v>8.3304398225438211E-2</v>
      </c>
      <c r="R45" s="101">
        <f t="shared" si="12"/>
        <v>8.0652610967366561E-2</v>
      </c>
      <c r="S45" s="101">
        <f t="shared" si="12"/>
        <v>7.8000823709294856E-2</v>
      </c>
      <c r="T45" s="101">
        <f t="shared" si="12"/>
        <v>7.5349036451223164E-2</v>
      </c>
      <c r="U45" s="101">
        <f t="shared" si="12"/>
        <v>7.2697249193151486E-2</v>
      </c>
      <c r="V45" s="101">
        <f t="shared" si="12"/>
        <v>7.0045461935079822E-2</v>
      </c>
      <c r="W45" s="101">
        <f t="shared" si="12"/>
        <v>6.7393674677008131E-2</v>
      </c>
      <c r="X45" s="101">
        <f t="shared" si="12"/>
        <v>6.4741887418936453E-2</v>
      </c>
      <c r="Y45" s="101">
        <f t="shared" si="12"/>
        <v>6.2306687049900174E-2</v>
      </c>
      <c r="Z45" s="101">
        <f t="shared" si="12"/>
        <v>6.0304563378303137E-2</v>
      </c>
      <c r="AA45" s="101">
        <f t="shared" si="12"/>
        <v>5.85190265957415E-2</v>
      </c>
      <c r="AB45" s="101">
        <f t="shared" si="12"/>
        <v>5.6733489813179862E-2</v>
      </c>
      <c r="AC45" s="101">
        <f t="shared" si="12"/>
        <v>5.4947953030618217E-2</v>
      </c>
      <c r="AD45" s="101">
        <f t="shared" si="12"/>
        <v>5.3162416248056572E-2</v>
      </c>
      <c r="AE45" s="101">
        <f t="shared" si="12"/>
        <v>5.1376879465494928E-2</v>
      </c>
      <c r="AF45" s="101">
        <f t="shared" si="12"/>
        <v>4.959134268293329E-2</v>
      </c>
      <c r="AG45" s="101">
        <f t="shared" si="12"/>
        <v>4.7805805900371645E-2</v>
      </c>
      <c r="AH45" s="101">
        <f t="shared" si="12"/>
        <v>4.602026911781E-2</v>
      </c>
      <c r="AI45" s="101">
        <f t="shared" si="12"/>
        <v>4.4234732335248363E-2</v>
      </c>
      <c r="AJ45" s="101">
        <f t="shared" si="12"/>
        <v>4.2449195552686711E-2</v>
      </c>
      <c r="AK45" s="101">
        <f t="shared" si="12"/>
        <v>4.0663658770125066E-2</v>
      </c>
      <c r="AL45" s="101">
        <f t="shared" si="12"/>
        <v>3.8878121987563415E-2</v>
      </c>
      <c r="AM45" s="101">
        <f t="shared" si="12"/>
        <v>3.7092585205001784E-2</v>
      </c>
      <c r="AN45" s="101">
        <f t="shared" si="12"/>
        <v>3.5307048422440132E-2</v>
      </c>
      <c r="AO45" s="101">
        <f t="shared" si="12"/>
        <v>3.3521511639878487E-2</v>
      </c>
      <c r="AP45" s="101">
        <f t="shared" si="12"/>
        <v>3.1735974857316843E-2</v>
      </c>
      <c r="AQ45" s="101">
        <f t="shared" si="12"/>
        <v>2.9950438074755198E-2</v>
      </c>
      <c r="AR45" s="101">
        <f t="shared" si="12"/>
        <v>2.8164901292193557E-2</v>
      </c>
      <c r="AS45" s="101">
        <f t="shared" si="12"/>
        <v>2.4089889802793571E-2</v>
      </c>
      <c r="AT45" s="101">
        <f t="shared" si="12"/>
        <v>1.6623914663142629E-3</v>
      </c>
    </row>
    <row r="46" spans="1:47" outlineLevel="1" x14ac:dyDescent="0.2">
      <c r="A46" s="234">
        <f t="shared" si="10"/>
        <v>16</v>
      </c>
      <c r="B46" s="2"/>
      <c r="C46" s="2"/>
      <c r="D46" s="266"/>
      <c r="E46" s="43"/>
      <c r="F46" s="266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</row>
    <row r="47" spans="1:47" outlineLevel="1" x14ac:dyDescent="0.2">
      <c r="A47" s="234">
        <f t="shared" si="10"/>
        <v>17</v>
      </c>
      <c r="B47" s="2"/>
      <c r="C47" s="2"/>
      <c r="D47" s="266"/>
      <c r="E47" s="43">
        <f>+E27/2</f>
        <v>677133.94107697764</v>
      </c>
      <c r="F47" s="99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</row>
    <row r="48" spans="1:47" outlineLevel="1" x14ac:dyDescent="0.2">
      <c r="A48" s="234">
        <f t="shared" si="10"/>
        <v>18</v>
      </c>
      <c r="B48" s="2"/>
      <c r="C48" s="2"/>
      <c r="D48" s="266"/>
      <c r="E48" s="43">
        <f>+E60/2</f>
        <v>63281.302708403877</v>
      </c>
      <c r="F48" s="99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</row>
    <row r="49" spans="1:47" x14ac:dyDescent="0.2">
      <c r="A49" s="234">
        <f t="shared" si="10"/>
        <v>19</v>
      </c>
      <c r="B49" s="46" t="s">
        <v>64</v>
      </c>
      <c r="C49" s="2"/>
      <c r="D49" s="266"/>
      <c r="E49" s="41">
        <f>F22-E27/2-E60/2</f>
        <v>54659125.29621461</v>
      </c>
      <c r="F49" s="118">
        <f>$F$22-(SUM($E$27:E27)+F27/2)-(SUM($E$60:E60)+F60/2)</f>
        <v>52963848.491662249</v>
      </c>
      <c r="G49" s="118">
        <f>$F$22-(SUM($E$27:F27)+G27/2)-(SUM($E$60:F60)+G60/2)</f>
        <v>51085653.24864959</v>
      </c>
      <c r="H49" s="118">
        <f>$F$22-(SUM($E$27:G27)+H27/2)-(SUM($E$60:G60)+H60/2)</f>
        <v>49268070.642941743</v>
      </c>
      <c r="I49" s="118">
        <f>$F$22-(SUM($E$27:H27)+I27/2)-(SUM($E$60:H60)+I60/2)</f>
        <v>47506563.452168494</v>
      </c>
      <c r="J49" s="118">
        <f>$F$22-(SUM($E$27:I27)+J27/2)-(SUM($E$60:I60)+J60/2)</f>
        <v>45796943.471065</v>
      </c>
      <c r="K49" s="118">
        <f>$F$22-(SUM($E$27:J27)+K27/2)-(SUM($E$60:J60)+K60/2)</f>
        <v>44135313.341954283</v>
      </c>
      <c r="L49" s="118">
        <f>$F$22-(SUM($E$27:K27)+L27/2)-(SUM($E$60:K60)+L60/2)</f>
        <v>42518066.554747187</v>
      </c>
      <c r="M49" s="118">
        <f>$F$22-(SUM($E$27:L27)+M27/2)-(SUM($E$60:L60)+M60/2)</f>
        <v>40925599.982023634</v>
      </c>
      <c r="N49" s="118">
        <f>$F$22-(SUM($E$27:M27)+N27/2)-(SUM($E$60:M60)+N60/2)</f>
        <v>39336681.749871671</v>
      </c>
      <c r="O49" s="118">
        <f>$F$22-(SUM($E$27:N27)+O27/2)-(SUM($E$60:N60)+O60/2)</f>
        <v>37747763.517719708</v>
      </c>
      <c r="P49" s="118">
        <f>$F$22-(SUM($E$27:O27)+P27/2)-(SUM($E$60:O60)+P60/2)</f>
        <v>36158845.285567746</v>
      </c>
      <c r="Q49" s="118">
        <f>$F$22-(SUM($E$27:P27)+Q27/2)-(SUM($E$60:P60)+Q60/2)</f>
        <v>34569927.053415775</v>
      </c>
      <c r="R49" s="118">
        <f>$F$22-(SUM($E$27:Q27)+R27/2)-(SUM($E$60:Q60)+R60/2)</f>
        <v>32981008.821263816</v>
      </c>
      <c r="S49" s="118">
        <f>$F$22-(SUM($E$27:R27)+S27/2)-(SUM($E$60:R60)+S60/2)</f>
        <v>31392090.589111846</v>
      </c>
      <c r="T49" s="118">
        <f>$F$22-(SUM($E$27:S27)+T27/2)-(SUM($E$60:S60)+T60/2)</f>
        <v>29803172.356959879</v>
      </c>
      <c r="U49" s="118">
        <f>$F$22-(SUM($E$27:T27)+U27/2)-(SUM($E$60:T60)+U60/2)</f>
        <v>28214254.124807917</v>
      </c>
      <c r="V49" s="118">
        <f>$F$22-(SUM($E$27:U27)+V27/2)-(SUM($E$60:U60)+V60/2)</f>
        <v>26625335.892655954</v>
      </c>
      <c r="W49" s="118">
        <f>$F$22-(SUM($E$27:V27)+W27/2)-(SUM($E$60:V60)+W60/2)</f>
        <v>25036417.660503987</v>
      </c>
      <c r="X49" s="118">
        <f>$F$22-(SUM($E$27:W27)+X27/2)-(SUM($E$60:W60)+X60/2)</f>
        <v>23447499.428352024</v>
      </c>
      <c r="Y49" s="118">
        <f>$F$22-(SUM($E$27:X27)+Y27/2)-(SUM($E$60:X60)+Y60/2)</f>
        <v>21988357.389892034</v>
      </c>
      <c r="Z49" s="118">
        <f>$F$22-(SUM($E$27:Y27)+Z27/2)-(SUM($E$60:Y60)+Z60/2)</f>
        <v>20788709.569298435</v>
      </c>
      <c r="AA49" s="118">
        <f>$F$22-(SUM($E$27:Z27)+AA27/2)-(SUM($E$60:Z60)+AA60/2)</f>
        <v>19718837.942396812</v>
      </c>
      <c r="AB49" s="118">
        <f>$F$22-(SUM($E$27:AA27)+AB27/2)-(SUM($E$60:AA60)+AB60/2)</f>
        <v>18648966.315495189</v>
      </c>
      <c r="AC49" s="118">
        <f>$F$22-(SUM($E$27:AB27)+AC27/2)-(SUM($E$60:AB60)+AC60/2)</f>
        <v>17579094.688593566</v>
      </c>
      <c r="AD49" s="118">
        <f>$F$22-(SUM($E$27:AC27)+AD27/2)-(SUM($E$60:AC60)+AD60/2)</f>
        <v>16509223.061691936</v>
      </c>
      <c r="AE49" s="118">
        <f>$F$22-(SUM($E$27:AD27)+AE27/2)-(SUM($E$60:AD60)+AE60/2)</f>
        <v>15439351.43479031</v>
      </c>
      <c r="AF49" s="118">
        <f>$F$22-(SUM($E$27:AE27)+AF27/2)-(SUM($E$60:AE60)+AF60/2)</f>
        <v>14369479.807888681</v>
      </c>
      <c r="AG49" s="118">
        <f>$F$22-(SUM($E$27:AF27)+AG27/2)-(SUM($E$60:AF60)+AG60/2)</f>
        <v>13299608.180987054</v>
      </c>
      <c r="AH49" s="118">
        <f>$F$22-(SUM($E$27:AG27)+AH27/2)-(SUM($E$60:AG60)+AH60/2)</f>
        <v>12229736.554085426</v>
      </c>
      <c r="AI49" s="118">
        <f>$F$22-(SUM($E$27:AH27)+AI27/2)-(SUM($E$60:AH60)+AI60/2)</f>
        <v>11159864.927183799</v>
      </c>
      <c r="AJ49" s="118">
        <f>$F$22-(SUM($E$27:AI27)+AJ27/2)-(SUM($E$60:AI60)+AJ60/2)</f>
        <v>10089993.300282171</v>
      </c>
      <c r="AK49" s="118">
        <f>$F$22-(SUM($E$27:AJ27)+AK27/2)-(SUM($E$60:AJ60)+AK60/2)</f>
        <v>9020121.6733805444</v>
      </c>
      <c r="AL49" s="118">
        <f>$F$22-(SUM($E$27:AK27)+AL27/2)-(SUM($E$60:AK60)+AL60/2)</f>
        <v>7950250.046478916</v>
      </c>
      <c r="AM49" s="118">
        <f>$F$22-(SUM($E$27:AL27)+AM27/2)-(SUM($E$60:AL60)+AM60/2)</f>
        <v>6880378.4195772894</v>
      </c>
      <c r="AN49" s="118">
        <f>$F$22-(SUM($E$27:AM27)+AN27/2)-(SUM($E$60:AM60)+AN60/2)</f>
        <v>5810506.7926756609</v>
      </c>
      <c r="AO49" s="118">
        <f>$F$22-(SUM($E$27:AN27)+AO27/2)-(SUM($E$60:AN60)+AO60/2)</f>
        <v>4740635.1657740343</v>
      </c>
      <c r="AP49" s="118">
        <f>$F$22-(SUM($E$27:AO27)+AP27/2)-(SUM($E$60:AO60)+AP60/2)</f>
        <v>3670763.5388724064</v>
      </c>
      <c r="AQ49" s="118">
        <f>$F$22-(SUM($E$27:AP27)+AQ27/2)-(SUM($E$60:AP60)+AQ60/2)</f>
        <v>2600891.9119707788</v>
      </c>
      <c r="AR49" s="118">
        <f>$F$22-(SUM($E$27:AQ27)+AR27/2)-(SUM($E$60:AQ60)+AR60/2)</f>
        <v>1531020.2850691513</v>
      </c>
      <c r="AS49" s="118">
        <f>$F$22-(SUM($E$27:AR27)+AS27/2)-(SUM($E$60:AR60)+AS60/2)</f>
        <v>510698.49635083793</v>
      </c>
      <c r="AT49" s="118">
        <f>$F$22-(SUM($E$27:AR27)+AT27/2)-(SUM($E$60:AR60)+AT60/2)</f>
        <v>996084.47161833767</v>
      </c>
      <c r="AU49" s="105">
        <f t="shared" ref="AU49:AU60" si="13">SUM(D49:AT49)</f>
        <v>1009704754.9360095</v>
      </c>
    </row>
    <row r="50" spans="1:47" x14ac:dyDescent="0.2">
      <c r="A50" s="234">
        <f t="shared" si="10"/>
        <v>20</v>
      </c>
      <c r="B50" s="2"/>
      <c r="C50" s="2"/>
      <c r="D50" s="266"/>
      <c r="E50" s="84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5">
        <f t="shared" si="13"/>
        <v>0</v>
      </c>
    </row>
    <row r="51" spans="1:47" x14ac:dyDescent="0.2">
      <c r="A51" s="234">
        <f t="shared" si="10"/>
        <v>21</v>
      </c>
      <c r="B51" s="2"/>
      <c r="C51" s="2"/>
      <c r="D51" s="266"/>
      <c r="E51" s="38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5">
        <f t="shared" si="13"/>
        <v>0</v>
      </c>
    </row>
    <row r="52" spans="1:47" x14ac:dyDescent="0.2">
      <c r="A52" s="234">
        <f t="shared" si="10"/>
        <v>22</v>
      </c>
      <c r="B52" s="2" t="s">
        <v>65</v>
      </c>
      <c r="C52" s="2"/>
      <c r="D52" s="266"/>
      <c r="E52" s="38">
        <f>(E34)/(1-$F$15)</f>
        <v>3189602.1217158143</v>
      </c>
      <c r="F52" s="102">
        <f t="shared" ref="F52:AT52" si="14">(F34)/(1-$F$15)</f>
        <v>3090675.2094501639</v>
      </c>
      <c r="G52" s="102">
        <f t="shared" si="14"/>
        <v>2981074.1959022102</v>
      </c>
      <c r="H52" s="102">
        <f t="shared" si="14"/>
        <v>2875010.1982779931</v>
      </c>
      <c r="I52" s="102">
        <f t="shared" si="14"/>
        <v>2772218.4495505919</v>
      </c>
      <c r="J52" s="102">
        <f t="shared" si="14"/>
        <v>2672454.5493874638</v>
      </c>
      <c r="K52" s="102">
        <f t="shared" si="14"/>
        <v>2575491.0697013829</v>
      </c>
      <c r="L52" s="102">
        <f t="shared" si="14"/>
        <v>2481117.5546504371</v>
      </c>
      <c r="M52" s="102">
        <f t="shared" si="14"/>
        <v>2388190.0749003664</v>
      </c>
      <c r="N52" s="102">
        <f t="shared" si="14"/>
        <v>2295469.6565431445</v>
      </c>
      <c r="O52" s="102">
        <f t="shared" si="14"/>
        <v>2202749.2381859221</v>
      </c>
      <c r="P52" s="102">
        <f t="shared" si="14"/>
        <v>2110028.8198286998</v>
      </c>
      <c r="Q52" s="102">
        <f t="shared" si="14"/>
        <v>2017308.4014714775</v>
      </c>
      <c r="R52" s="102">
        <f t="shared" si="14"/>
        <v>1924587.9831142554</v>
      </c>
      <c r="S52" s="102">
        <f t="shared" si="14"/>
        <v>1831867.564757033</v>
      </c>
      <c r="T52" s="102">
        <f t="shared" si="14"/>
        <v>1739147.1463998107</v>
      </c>
      <c r="U52" s="102">
        <f t="shared" si="14"/>
        <v>1646426.7280425883</v>
      </c>
      <c r="V52" s="102">
        <f t="shared" si="14"/>
        <v>1553706.3096853665</v>
      </c>
      <c r="W52" s="102">
        <f t="shared" si="14"/>
        <v>1460985.8913281439</v>
      </c>
      <c r="X52" s="102">
        <f t="shared" si="14"/>
        <v>1368265.472970922</v>
      </c>
      <c r="Y52" s="102">
        <f t="shared" si="14"/>
        <v>1283118.0704734465</v>
      </c>
      <c r="Z52" s="102">
        <f t="shared" si="14"/>
        <v>1213113.3052464023</v>
      </c>
      <c r="AA52" s="102">
        <f t="shared" si="14"/>
        <v>1150681.5558791051</v>
      </c>
      <c r="AB52" s="102">
        <f t="shared" si="14"/>
        <v>1088249.806511808</v>
      </c>
      <c r="AC52" s="102">
        <f t="shared" si="14"/>
        <v>1025818.0571445106</v>
      </c>
      <c r="AD52" s="102">
        <f t="shared" si="14"/>
        <v>963386.30777721293</v>
      </c>
      <c r="AE52" s="102">
        <f t="shared" si="14"/>
        <v>900954.55840991542</v>
      </c>
      <c r="AF52" s="102">
        <f t="shared" si="14"/>
        <v>838522.80904261803</v>
      </c>
      <c r="AG52" s="102">
        <f t="shared" si="14"/>
        <v>776091.05967532052</v>
      </c>
      <c r="AH52" s="102">
        <f t="shared" si="14"/>
        <v>713659.31030802301</v>
      </c>
      <c r="AI52" s="102">
        <f t="shared" si="14"/>
        <v>651227.5609407255</v>
      </c>
      <c r="AJ52" s="102">
        <f t="shared" si="14"/>
        <v>588795.81157342799</v>
      </c>
      <c r="AK52" s="102">
        <f t="shared" si="14"/>
        <v>526364.06220613047</v>
      </c>
      <c r="AL52" s="102">
        <f t="shared" si="14"/>
        <v>463932.31283883296</v>
      </c>
      <c r="AM52" s="102">
        <f t="shared" si="14"/>
        <v>401500.56347153551</v>
      </c>
      <c r="AN52" s="102">
        <f t="shared" si="14"/>
        <v>339068.81410423788</v>
      </c>
      <c r="AO52" s="102">
        <f t="shared" si="14"/>
        <v>276637.06473694049</v>
      </c>
      <c r="AP52" s="102">
        <f t="shared" si="14"/>
        <v>214205.31536964298</v>
      </c>
      <c r="AQ52" s="102">
        <f t="shared" si="14"/>
        <v>151773.56600234544</v>
      </c>
      <c r="AR52" s="102">
        <f t="shared" si="14"/>
        <v>89341.816635047944</v>
      </c>
      <c r="AS52" s="102">
        <f t="shared" si="14"/>
        <v>29801.519850346365</v>
      </c>
      <c r="AT52" s="102">
        <f t="shared" si="14"/>
        <v>58125.941951399196</v>
      </c>
      <c r="AU52" s="105">
        <f t="shared" si="13"/>
        <v>58920745.82601276</v>
      </c>
    </row>
    <row r="53" spans="1:47" x14ac:dyDescent="0.2">
      <c r="A53" s="234">
        <f t="shared" si="10"/>
        <v>23</v>
      </c>
      <c r="B53" s="2" t="s">
        <v>66</v>
      </c>
      <c r="C53" s="2"/>
      <c r="D53" s="266"/>
      <c r="E53" s="40">
        <f t="shared" ref="E53:AT53" si="15">E52*$F15</f>
        <v>669816.44556032098</v>
      </c>
      <c r="F53" s="100">
        <f t="shared" si="15"/>
        <v>649041.79398453434</v>
      </c>
      <c r="G53" s="100">
        <f t="shared" si="15"/>
        <v>626025.58113946416</v>
      </c>
      <c r="H53" s="100">
        <f t="shared" si="15"/>
        <v>603752.1416383785</v>
      </c>
      <c r="I53" s="100">
        <f t="shared" si="15"/>
        <v>582165.87440562423</v>
      </c>
      <c r="J53" s="100">
        <f t="shared" si="15"/>
        <v>561215.4553713674</v>
      </c>
      <c r="K53" s="100">
        <f t="shared" si="15"/>
        <v>540853.12463729037</v>
      </c>
      <c r="L53" s="100">
        <f t="shared" si="15"/>
        <v>521034.68647659174</v>
      </c>
      <c r="M53" s="100">
        <f t="shared" si="15"/>
        <v>501519.91572907689</v>
      </c>
      <c r="N53" s="100">
        <f t="shared" si="15"/>
        <v>482048.6278740603</v>
      </c>
      <c r="O53" s="100">
        <f t="shared" si="15"/>
        <v>462577.34001904365</v>
      </c>
      <c r="P53" s="100">
        <f t="shared" si="15"/>
        <v>443106.05216402694</v>
      </c>
      <c r="Q53" s="100">
        <f t="shared" si="15"/>
        <v>423634.76430901024</v>
      </c>
      <c r="R53" s="100">
        <f t="shared" si="15"/>
        <v>404163.47645399359</v>
      </c>
      <c r="S53" s="100">
        <f t="shared" si="15"/>
        <v>384692.18859897694</v>
      </c>
      <c r="T53" s="100">
        <f t="shared" si="15"/>
        <v>365220.90074396023</v>
      </c>
      <c r="U53" s="100">
        <f t="shared" si="15"/>
        <v>345749.61288894352</v>
      </c>
      <c r="V53" s="100">
        <f t="shared" si="15"/>
        <v>326278.32503392693</v>
      </c>
      <c r="W53" s="100">
        <f t="shared" si="15"/>
        <v>306807.03717891022</v>
      </c>
      <c r="X53" s="100">
        <f t="shared" si="15"/>
        <v>287335.74932389363</v>
      </c>
      <c r="Y53" s="100">
        <f t="shared" si="15"/>
        <v>269454.79479942378</v>
      </c>
      <c r="Z53" s="100">
        <f t="shared" si="15"/>
        <v>254753.79410174448</v>
      </c>
      <c r="AA53" s="100">
        <f t="shared" si="15"/>
        <v>241643.12673461207</v>
      </c>
      <c r="AB53" s="100">
        <f t="shared" si="15"/>
        <v>228532.45936747966</v>
      </c>
      <c r="AC53" s="100">
        <f t="shared" si="15"/>
        <v>215421.7920003472</v>
      </c>
      <c r="AD53" s="100">
        <f t="shared" si="15"/>
        <v>202311.1246332147</v>
      </c>
      <c r="AE53" s="100">
        <f t="shared" si="15"/>
        <v>189200.45726608223</v>
      </c>
      <c r="AF53" s="100">
        <f t="shared" si="15"/>
        <v>176089.78989894979</v>
      </c>
      <c r="AG53" s="100">
        <f t="shared" si="15"/>
        <v>162979.12253181729</v>
      </c>
      <c r="AH53" s="100">
        <f t="shared" si="15"/>
        <v>149868.45516468483</v>
      </c>
      <c r="AI53" s="100">
        <f t="shared" si="15"/>
        <v>136757.78779755236</v>
      </c>
      <c r="AJ53" s="100">
        <f t="shared" si="15"/>
        <v>123647.12043041988</v>
      </c>
      <c r="AK53" s="100">
        <f t="shared" si="15"/>
        <v>110536.45306328739</v>
      </c>
      <c r="AL53" s="100">
        <f t="shared" si="15"/>
        <v>97425.785696154926</v>
      </c>
      <c r="AM53" s="100">
        <f t="shared" si="15"/>
        <v>84315.118329022458</v>
      </c>
      <c r="AN53" s="100">
        <f t="shared" si="15"/>
        <v>71204.450961889946</v>
      </c>
      <c r="AO53" s="100">
        <f t="shared" si="15"/>
        <v>58093.7835947575</v>
      </c>
      <c r="AP53" s="100">
        <f t="shared" si="15"/>
        <v>44983.116227625025</v>
      </c>
      <c r="AQ53" s="100">
        <f t="shared" si="15"/>
        <v>31872.448860492543</v>
      </c>
      <c r="AR53" s="100">
        <f t="shared" si="15"/>
        <v>18761.781493360068</v>
      </c>
      <c r="AS53" s="100">
        <f t="shared" si="15"/>
        <v>6258.3191685727361</v>
      </c>
      <c r="AT53" s="100">
        <f t="shared" si="15"/>
        <v>12206.44780979383</v>
      </c>
      <c r="AU53" s="105">
        <f t="shared" si="13"/>
        <v>12373356.623462679</v>
      </c>
    </row>
    <row r="54" spans="1:47" x14ac:dyDescent="0.2">
      <c r="A54" s="234">
        <f t="shared" si="10"/>
        <v>24</v>
      </c>
      <c r="B54" s="2" t="s">
        <v>67</v>
      </c>
      <c r="C54" s="2"/>
      <c r="D54" s="266"/>
      <c r="E54" s="38">
        <f>E52-E53</f>
        <v>2519785.6761554936</v>
      </c>
      <c r="F54" s="102">
        <f t="shared" ref="F54:AT54" si="16">F52-F53</f>
        <v>2441633.4154656297</v>
      </c>
      <c r="G54" s="102">
        <f t="shared" si="16"/>
        <v>2355048.6147627458</v>
      </c>
      <c r="H54" s="102">
        <f t="shared" si="16"/>
        <v>2271258.0566396145</v>
      </c>
      <c r="I54" s="102">
        <f t="shared" si="16"/>
        <v>2190052.5751449675</v>
      </c>
      <c r="J54" s="102">
        <f t="shared" si="16"/>
        <v>2111239.0940160966</v>
      </c>
      <c r="K54" s="102">
        <f t="shared" si="16"/>
        <v>2034637.9450640925</v>
      </c>
      <c r="L54" s="102">
        <f t="shared" si="16"/>
        <v>1960082.8681738453</v>
      </c>
      <c r="M54" s="102">
        <f t="shared" si="16"/>
        <v>1886670.1591712895</v>
      </c>
      <c r="N54" s="102">
        <f t="shared" si="16"/>
        <v>1813421.0286690842</v>
      </c>
      <c r="O54" s="102">
        <f t="shared" si="16"/>
        <v>1740171.8981668786</v>
      </c>
      <c r="P54" s="102">
        <f t="shared" si="16"/>
        <v>1666922.7676646728</v>
      </c>
      <c r="Q54" s="102">
        <f t="shared" si="16"/>
        <v>1593673.6371624672</v>
      </c>
      <c r="R54" s="102">
        <f t="shared" si="16"/>
        <v>1520424.5066602617</v>
      </c>
      <c r="S54" s="102">
        <f t="shared" si="16"/>
        <v>1447175.3761580561</v>
      </c>
      <c r="T54" s="102">
        <f t="shared" si="16"/>
        <v>1373926.2456558505</v>
      </c>
      <c r="U54" s="102">
        <f t="shared" si="16"/>
        <v>1300677.1151536447</v>
      </c>
      <c r="V54" s="102">
        <f t="shared" si="16"/>
        <v>1227427.9846514396</v>
      </c>
      <c r="W54" s="102">
        <f t="shared" si="16"/>
        <v>1154178.8541492335</v>
      </c>
      <c r="X54" s="102">
        <f t="shared" si="16"/>
        <v>1080929.7236470284</v>
      </c>
      <c r="Y54" s="102">
        <f t="shared" si="16"/>
        <v>1013663.2756740227</v>
      </c>
      <c r="Z54" s="102">
        <f t="shared" si="16"/>
        <v>958359.51114465785</v>
      </c>
      <c r="AA54" s="102">
        <f t="shared" si="16"/>
        <v>909038.42914449307</v>
      </c>
      <c r="AB54" s="102">
        <f t="shared" si="16"/>
        <v>859717.34714432829</v>
      </c>
      <c r="AC54" s="102">
        <f t="shared" si="16"/>
        <v>810396.26514416339</v>
      </c>
      <c r="AD54" s="102">
        <f t="shared" si="16"/>
        <v>761075.18314399826</v>
      </c>
      <c r="AE54" s="102">
        <f t="shared" si="16"/>
        <v>711754.10114383325</v>
      </c>
      <c r="AF54" s="102">
        <f t="shared" si="16"/>
        <v>662433.01914366824</v>
      </c>
      <c r="AG54" s="102">
        <f t="shared" si="16"/>
        <v>613111.93714350322</v>
      </c>
      <c r="AH54" s="102">
        <f t="shared" si="16"/>
        <v>563790.85514333821</v>
      </c>
      <c r="AI54" s="102">
        <f t="shared" si="16"/>
        <v>514469.77314317314</v>
      </c>
      <c r="AJ54" s="102">
        <f t="shared" si="16"/>
        <v>465148.69114300812</v>
      </c>
      <c r="AK54" s="102">
        <f t="shared" si="16"/>
        <v>415827.60914284305</v>
      </c>
      <c r="AL54" s="102">
        <f t="shared" si="16"/>
        <v>366506.52714267804</v>
      </c>
      <c r="AM54" s="102">
        <f t="shared" si="16"/>
        <v>317185.44514251302</v>
      </c>
      <c r="AN54" s="102">
        <f t="shared" si="16"/>
        <v>267864.36314234795</v>
      </c>
      <c r="AO54" s="102">
        <f t="shared" si="16"/>
        <v>218543.281142183</v>
      </c>
      <c r="AP54" s="102">
        <f t="shared" si="16"/>
        <v>169222.19914201795</v>
      </c>
      <c r="AQ54" s="102">
        <f t="shared" si="16"/>
        <v>119901.1171418529</v>
      </c>
      <c r="AR54" s="102">
        <f t="shared" si="16"/>
        <v>70580.035141687869</v>
      </c>
      <c r="AS54" s="102">
        <f t="shared" si="16"/>
        <v>23543.200681773629</v>
      </c>
      <c r="AT54" s="102">
        <f t="shared" si="16"/>
        <v>45919.494141605363</v>
      </c>
      <c r="AU54" s="105">
        <f t="shared" si="13"/>
        <v>46547389.202550083</v>
      </c>
    </row>
    <row r="55" spans="1:47" x14ac:dyDescent="0.2">
      <c r="A55" s="234">
        <f t="shared" si="10"/>
        <v>25</v>
      </c>
      <c r="B55" s="2"/>
      <c r="C55" s="2"/>
      <c r="D55" s="266"/>
      <c r="E55" s="268"/>
      <c r="F55" s="267"/>
      <c r="G55" s="267"/>
      <c r="H55" s="267"/>
      <c r="I55" s="267"/>
      <c r="J55" s="267"/>
      <c r="K55" s="267"/>
      <c r="L55" s="267"/>
      <c r="M55" s="267"/>
      <c r="N55" s="267"/>
      <c r="O55" s="267"/>
      <c r="P55" s="267"/>
      <c r="Q55" s="267"/>
      <c r="R55" s="267"/>
      <c r="S55" s="267"/>
      <c r="T55" s="267"/>
      <c r="U55" s="267"/>
      <c r="V55" s="267"/>
      <c r="W55" s="267"/>
      <c r="X55" s="267"/>
      <c r="Y55" s="267"/>
      <c r="Z55" s="267"/>
      <c r="AA55" s="267"/>
      <c r="AB55" s="267"/>
      <c r="AC55" s="267"/>
      <c r="AD55" s="267"/>
      <c r="AE55" s="267"/>
      <c r="AF55" s="267"/>
      <c r="AG55" s="267"/>
      <c r="AH55" s="267"/>
      <c r="AI55" s="267"/>
      <c r="AJ55" s="267"/>
      <c r="AK55" s="267"/>
      <c r="AL55" s="267"/>
      <c r="AM55" s="267"/>
      <c r="AN55" s="267"/>
      <c r="AO55" s="267"/>
      <c r="AP55" s="267"/>
      <c r="AQ55" s="267"/>
      <c r="AR55" s="267"/>
      <c r="AS55" s="267"/>
      <c r="AT55" s="267"/>
      <c r="AU55" s="105">
        <f t="shared" si="13"/>
        <v>0</v>
      </c>
    </row>
    <row r="56" spans="1:47" x14ac:dyDescent="0.2">
      <c r="A56" s="234">
        <f t="shared" si="10"/>
        <v>26</v>
      </c>
      <c r="B56" s="2"/>
      <c r="C56" s="2"/>
      <c r="D56" s="266"/>
      <c r="E56" s="84"/>
      <c r="F56" s="267"/>
      <c r="G56" s="267"/>
      <c r="H56" s="267"/>
      <c r="I56" s="267"/>
      <c r="J56" s="267"/>
      <c r="K56" s="267"/>
      <c r="L56" s="267"/>
      <c r="M56" s="267"/>
      <c r="N56" s="267"/>
      <c r="O56" s="267"/>
      <c r="P56" s="267"/>
      <c r="Q56" s="267"/>
      <c r="R56" s="267"/>
      <c r="S56" s="267"/>
      <c r="T56" s="267"/>
      <c r="U56" s="267"/>
      <c r="V56" s="267"/>
      <c r="W56" s="267"/>
      <c r="X56" s="267"/>
      <c r="Y56" s="267"/>
      <c r="Z56" s="267"/>
      <c r="AA56" s="267"/>
      <c r="AB56" s="267"/>
      <c r="AC56" s="267"/>
      <c r="AD56" s="267"/>
      <c r="AE56" s="267"/>
      <c r="AF56" s="267"/>
      <c r="AG56" s="267"/>
      <c r="AH56" s="267"/>
      <c r="AI56" s="267"/>
      <c r="AJ56" s="267"/>
      <c r="AK56" s="267"/>
      <c r="AL56" s="267"/>
      <c r="AM56" s="267"/>
      <c r="AN56" s="267"/>
      <c r="AO56" s="267"/>
      <c r="AP56" s="267"/>
      <c r="AQ56" s="267"/>
      <c r="AR56" s="267"/>
      <c r="AS56" s="267"/>
      <c r="AT56" s="267"/>
      <c r="AU56" s="105">
        <f t="shared" si="13"/>
        <v>0</v>
      </c>
    </row>
    <row r="57" spans="1:47" x14ac:dyDescent="0.2">
      <c r="A57" s="234">
        <f t="shared" si="10"/>
        <v>27</v>
      </c>
      <c r="B57" s="2" t="s">
        <v>68</v>
      </c>
      <c r="C57" s="2"/>
      <c r="D57" s="266"/>
      <c r="E57" s="38">
        <f>E27</f>
        <v>1354267.8821539553</v>
      </c>
      <c r="F57" s="102">
        <f>F27</f>
        <v>1354267.8821539553</v>
      </c>
      <c r="G57" s="102">
        <f>G27</f>
        <v>1354267.8821539553</v>
      </c>
      <c r="H57" s="102">
        <f t="shared" ref="H57:AT57" si="17">H27</f>
        <v>1354267.8821539553</v>
      </c>
      <c r="I57" s="102">
        <f t="shared" si="17"/>
        <v>1354267.8821539553</v>
      </c>
      <c r="J57" s="102">
        <f t="shared" si="17"/>
        <v>1354267.8821539553</v>
      </c>
      <c r="K57" s="102">
        <f t="shared" si="17"/>
        <v>1354267.8821539553</v>
      </c>
      <c r="L57" s="102">
        <f t="shared" si="17"/>
        <v>1354267.8821539553</v>
      </c>
      <c r="M57" s="102">
        <f t="shared" si="17"/>
        <v>1354267.8821539553</v>
      </c>
      <c r="N57" s="102">
        <f t="shared" si="17"/>
        <v>1354267.8821539553</v>
      </c>
      <c r="O57" s="102">
        <f t="shared" si="17"/>
        <v>1354267.8821539553</v>
      </c>
      <c r="P57" s="102">
        <f t="shared" si="17"/>
        <v>1354267.8821539553</v>
      </c>
      <c r="Q57" s="102">
        <f t="shared" si="17"/>
        <v>1354267.8821539553</v>
      </c>
      <c r="R57" s="102">
        <f t="shared" si="17"/>
        <v>1354267.8821539553</v>
      </c>
      <c r="S57" s="102">
        <f t="shared" si="17"/>
        <v>1354267.8821539553</v>
      </c>
      <c r="T57" s="102">
        <f t="shared" si="17"/>
        <v>1354267.8821539553</v>
      </c>
      <c r="U57" s="102">
        <f t="shared" si="17"/>
        <v>1354267.8821539553</v>
      </c>
      <c r="V57" s="102">
        <f t="shared" si="17"/>
        <v>1354267.8821539553</v>
      </c>
      <c r="W57" s="102">
        <f t="shared" si="17"/>
        <v>1354267.8821539553</v>
      </c>
      <c r="X57" s="102">
        <f t="shared" si="17"/>
        <v>1354267.8821539553</v>
      </c>
      <c r="Y57" s="102">
        <f t="shared" si="17"/>
        <v>1354267.8821539553</v>
      </c>
      <c r="Z57" s="102">
        <f t="shared" si="17"/>
        <v>1354267.8821539553</v>
      </c>
      <c r="AA57" s="102">
        <f t="shared" si="17"/>
        <v>1354267.8821539553</v>
      </c>
      <c r="AB57" s="102">
        <f t="shared" si="17"/>
        <v>1354267.8821539553</v>
      </c>
      <c r="AC57" s="102">
        <f t="shared" si="17"/>
        <v>1354267.8821539553</v>
      </c>
      <c r="AD57" s="102">
        <f t="shared" si="17"/>
        <v>1354267.8821539553</v>
      </c>
      <c r="AE57" s="102">
        <f t="shared" si="17"/>
        <v>1354267.8821539553</v>
      </c>
      <c r="AF57" s="102">
        <f t="shared" si="17"/>
        <v>1354267.8821539553</v>
      </c>
      <c r="AG57" s="102">
        <f t="shared" si="17"/>
        <v>1354267.8821539553</v>
      </c>
      <c r="AH57" s="102">
        <f t="shared" si="17"/>
        <v>1354267.8821539553</v>
      </c>
      <c r="AI57" s="102">
        <f t="shared" si="17"/>
        <v>1354267.8821539553</v>
      </c>
      <c r="AJ57" s="102">
        <f t="shared" si="17"/>
        <v>1354267.8821539553</v>
      </c>
      <c r="AK57" s="102">
        <f t="shared" si="17"/>
        <v>1354267.8821539553</v>
      </c>
      <c r="AL57" s="102">
        <f t="shared" si="17"/>
        <v>1354267.8821539553</v>
      </c>
      <c r="AM57" s="102">
        <f t="shared" si="17"/>
        <v>1354267.8821539553</v>
      </c>
      <c r="AN57" s="102">
        <f t="shared" si="17"/>
        <v>1354267.8821539553</v>
      </c>
      <c r="AO57" s="102">
        <f t="shared" si="17"/>
        <v>1354267.8821539553</v>
      </c>
      <c r="AP57" s="102">
        <f t="shared" si="17"/>
        <v>1354267.8821539553</v>
      </c>
      <c r="AQ57" s="102">
        <f t="shared" si="17"/>
        <v>1354267.8821539553</v>
      </c>
      <c r="AR57" s="102">
        <f t="shared" si="17"/>
        <v>1354267.8821539553</v>
      </c>
      <c r="AS57" s="102">
        <f t="shared" si="17"/>
        <v>1228825.2538417773</v>
      </c>
      <c r="AT57" s="102">
        <f t="shared" si="17"/>
        <v>0</v>
      </c>
      <c r="AU57" s="105">
        <f t="shared" si="13"/>
        <v>55399540.540000021</v>
      </c>
    </row>
    <row r="58" spans="1:47" x14ac:dyDescent="0.2">
      <c r="A58" s="234">
        <f t="shared" si="10"/>
        <v>28</v>
      </c>
      <c r="B58" s="2" t="s">
        <v>69</v>
      </c>
      <c r="C58" s="2"/>
      <c r="D58" s="266"/>
      <c r="E58" s="38">
        <f>$F22*E62</f>
        <v>2077482.7702499996</v>
      </c>
      <c r="F58" s="102">
        <f t="shared" ref="F58:AT58" si="18">$F22*F62</f>
        <v>3999292.8315825998</v>
      </c>
      <c r="G58" s="102">
        <f t="shared" si="18"/>
        <v>3699027.3218557993</v>
      </c>
      <c r="H58" s="102">
        <f t="shared" si="18"/>
        <v>3422029.6191557995</v>
      </c>
      <c r="I58" s="102">
        <f t="shared" si="18"/>
        <v>3164975.7510501994</v>
      </c>
      <c r="J58" s="102">
        <f t="shared" si="18"/>
        <v>2927865.7175389994</v>
      </c>
      <c r="K58" s="102">
        <f t="shared" si="18"/>
        <v>2707929.5415951996</v>
      </c>
      <c r="L58" s="102">
        <f t="shared" si="18"/>
        <v>2505167.2232188</v>
      </c>
      <c r="M58" s="102">
        <f t="shared" si="18"/>
        <v>2471927.4988947995</v>
      </c>
      <c r="N58" s="102">
        <f t="shared" si="18"/>
        <v>2471373.5034893998</v>
      </c>
      <c r="O58" s="102">
        <f t="shared" si="18"/>
        <v>2471927.4988947995</v>
      </c>
      <c r="P58" s="102">
        <f t="shared" si="18"/>
        <v>2471373.5034893998</v>
      </c>
      <c r="Q58" s="102">
        <f t="shared" si="18"/>
        <v>2471927.4988947995</v>
      </c>
      <c r="R58" s="102">
        <f t="shared" si="18"/>
        <v>2471373.5034893998</v>
      </c>
      <c r="S58" s="102">
        <f t="shared" si="18"/>
        <v>2471927.4988947995</v>
      </c>
      <c r="T58" s="102">
        <f t="shared" si="18"/>
        <v>2471373.5034893998</v>
      </c>
      <c r="U58" s="102">
        <f t="shared" si="18"/>
        <v>2471927.4988947995</v>
      </c>
      <c r="V58" s="102">
        <f t="shared" si="18"/>
        <v>2471373.5034893998</v>
      </c>
      <c r="W58" s="102">
        <f t="shared" si="18"/>
        <v>2471927.4988947995</v>
      </c>
      <c r="X58" s="102">
        <f t="shared" si="18"/>
        <v>2471373.5034893998</v>
      </c>
      <c r="Y58" s="102">
        <f t="shared" si="18"/>
        <v>1235963.7494473998</v>
      </c>
      <c r="Z58" s="102">
        <f t="shared" si="18"/>
        <v>0</v>
      </c>
      <c r="AA58" s="102">
        <f t="shared" si="18"/>
        <v>0</v>
      </c>
      <c r="AB58" s="102">
        <f t="shared" si="18"/>
        <v>0</v>
      </c>
      <c r="AC58" s="102">
        <f t="shared" si="18"/>
        <v>0</v>
      </c>
      <c r="AD58" s="102">
        <f t="shared" si="18"/>
        <v>0</v>
      </c>
      <c r="AE58" s="102">
        <f t="shared" si="18"/>
        <v>0</v>
      </c>
      <c r="AF58" s="102">
        <f t="shared" si="18"/>
        <v>0</v>
      </c>
      <c r="AG58" s="102">
        <f t="shared" si="18"/>
        <v>0</v>
      </c>
      <c r="AH58" s="102">
        <f t="shared" si="18"/>
        <v>0</v>
      </c>
      <c r="AI58" s="102">
        <f t="shared" si="18"/>
        <v>0</v>
      </c>
      <c r="AJ58" s="102">
        <f t="shared" si="18"/>
        <v>0</v>
      </c>
      <c r="AK58" s="102">
        <f t="shared" si="18"/>
        <v>0</v>
      </c>
      <c r="AL58" s="102">
        <f t="shared" si="18"/>
        <v>0</v>
      </c>
      <c r="AM58" s="102">
        <f t="shared" si="18"/>
        <v>0</v>
      </c>
      <c r="AN58" s="102">
        <f t="shared" si="18"/>
        <v>0</v>
      </c>
      <c r="AO58" s="102">
        <f t="shared" si="18"/>
        <v>0</v>
      </c>
      <c r="AP58" s="102">
        <f t="shared" si="18"/>
        <v>0</v>
      </c>
      <c r="AQ58" s="102">
        <f t="shared" si="18"/>
        <v>0</v>
      </c>
      <c r="AR58" s="102">
        <f t="shared" si="18"/>
        <v>0</v>
      </c>
      <c r="AS58" s="102">
        <f t="shared" si="18"/>
        <v>0</v>
      </c>
      <c r="AT58" s="102">
        <f t="shared" si="18"/>
        <v>0</v>
      </c>
      <c r="AU58" s="105">
        <f t="shared" si="13"/>
        <v>55399540.539999992</v>
      </c>
    </row>
    <row r="59" spans="1:47" x14ac:dyDescent="0.2">
      <c r="A59" s="234">
        <f t="shared" si="10"/>
        <v>29</v>
      </c>
      <c r="B59" s="2" t="s">
        <v>70</v>
      </c>
      <c r="C59" s="2"/>
      <c r="D59" s="266"/>
      <c r="E59" s="38">
        <f>E58-E57</f>
        <v>723214.88809604431</v>
      </c>
      <c r="F59" s="102">
        <f>F58-F57</f>
        <v>2645024.9494286445</v>
      </c>
      <c r="G59" s="102">
        <f>G58-G57</f>
        <v>2344759.439701844</v>
      </c>
      <c r="H59" s="102">
        <f t="shared" ref="H59:AT59" si="19">H58-H57</f>
        <v>2067761.7370018442</v>
      </c>
      <c r="I59" s="102">
        <f t="shared" si="19"/>
        <v>1810707.8688962441</v>
      </c>
      <c r="J59" s="102">
        <f t="shared" si="19"/>
        <v>1573597.8353850441</v>
      </c>
      <c r="K59" s="102">
        <f t="shared" si="19"/>
        <v>1353661.6594412443</v>
      </c>
      <c r="L59" s="102">
        <f t="shared" si="19"/>
        <v>1150899.3410648447</v>
      </c>
      <c r="M59" s="102">
        <f t="shared" si="19"/>
        <v>1117659.6167408442</v>
      </c>
      <c r="N59" s="102">
        <f t="shared" si="19"/>
        <v>1117105.6213354445</v>
      </c>
      <c r="O59" s="102">
        <f t="shared" si="19"/>
        <v>1117659.6167408442</v>
      </c>
      <c r="P59" s="102">
        <f t="shared" si="19"/>
        <v>1117105.6213354445</v>
      </c>
      <c r="Q59" s="102">
        <f t="shared" si="19"/>
        <v>1117659.6167408442</v>
      </c>
      <c r="R59" s="102">
        <f t="shared" si="19"/>
        <v>1117105.6213354445</v>
      </c>
      <c r="S59" s="102">
        <f t="shared" si="19"/>
        <v>1117659.6167408442</v>
      </c>
      <c r="T59" s="102">
        <f t="shared" si="19"/>
        <v>1117105.6213354445</v>
      </c>
      <c r="U59" s="102">
        <f t="shared" si="19"/>
        <v>1117659.6167408442</v>
      </c>
      <c r="V59" s="102">
        <f t="shared" si="19"/>
        <v>1117105.6213354445</v>
      </c>
      <c r="W59" s="102">
        <f t="shared" si="19"/>
        <v>1117659.6167408442</v>
      </c>
      <c r="X59" s="102">
        <f t="shared" si="19"/>
        <v>1117105.6213354445</v>
      </c>
      <c r="Y59" s="102">
        <f t="shared" si="19"/>
        <v>-118304.13270655554</v>
      </c>
      <c r="Z59" s="102">
        <f t="shared" si="19"/>
        <v>-1354267.8821539553</v>
      </c>
      <c r="AA59" s="102">
        <f t="shared" si="19"/>
        <v>-1354267.8821539553</v>
      </c>
      <c r="AB59" s="102">
        <f t="shared" si="19"/>
        <v>-1354267.8821539553</v>
      </c>
      <c r="AC59" s="102">
        <f t="shared" si="19"/>
        <v>-1354267.8821539553</v>
      </c>
      <c r="AD59" s="102">
        <f t="shared" si="19"/>
        <v>-1354267.8821539553</v>
      </c>
      <c r="AE59" s="102">
        <f t="shared" si="19"/>
        <v>-1354267.8821539553</v>
      </c>
      <c r="AF59" s="102">
        <f t="shared" si="19"/>
        <v>-1354267.8821539553</v>
      </c>
      <c r="AG59" s="102">
        <f t="shared" si="19"/>
        <v>-1354267.8821539553</v>
      </c>
      <c r="AH59" s="102">
        <f t="shared" si="19"/>
        <v>-1354267.8821539553</v>
      </c>
      <c r="AI59" s="102">
        <f t="shared" si="19"/>
        <v>-1354267.8821539553</v>
      </c>
      <c r="AJ59" s="102">
        <f t="shared" si="19"/>
        <v>-1354267.8821539553</v>
      </c>
      <c r="AK59" s="102">
        <f t="shared" si="19"/>
        <v>-1354267.8821539553</v>
      </c>
      <c r="AL59" s="102">
        <f t="shared" si="19"/>
        <v>-1354267.8821539553</v>
      </c>
      <c r="AM59" s="102">
        <f t="shared" si="19"/>
        <v>-1354267.8821539553</v>
      </c>
      <c r="AN59" s="102">
        <f t="shared" si="19"/>
        <v>-1354267.8821539553</v>
      </c>
      <c r="AO59" s="102">
        <f t="shared" si="19"/>
        <v>-1354267.8821539553</v>
      </c>
      <c r="AP59" s="102">
        <f t="shared" si="19"/>
        <v>-1354267.8821539553</v>
      </c>
      <c r="AQ59" s="102">
        <f t="shared" si="19"/>
        <v>-1354267.8821539553</v>
      </c>
      <c r="AR59" s="102">
        <f t="shared" si="19"/>
        <v>-1354267.8821539553</v>
      </c>
      <c r="AS59" s="102">
        <f t="shared" si="19"/>
        <v>-1228825.2538417773</v>
      </c>
      <c r="AT59" s="102">
        <f t="shared" si="19"/>
        <v>0</v>
      </c>
      <c r="AU59" s="105">
        <f t="shared" si="13"/>
        <v>1.2107193470001221E-8</v>
      </c>
    </row>
    <row r="60" spans="1:47" x14ac:dyDescent="0.2">
      <c r="A60" s="234">
        <f t="shared" si="10"/>
        <v>30</v>
      </c>
      <c r="B60" s="2" t="s">
        <v>71</v>
      </c>
      <c r="C60" s="2"/>
      <c r="D60" s="266"/>
      <c r="E60" s="38">
        <f>E59/12*2*J15+E59/12*10*F15</f>
        <v>126562.60541680775</v>
      </c>
      <c r="F60" s="102">
        <f t="shared" ref="F60:AT60" si="20">F59*$F$15</f>
        <v>555455.23938001529</v>
      </c>
      <c r="G60" s="102">
        <f t="shared" si="20"/>
        <v>492399.48233738722</v>
      </c>
      <c r="H60" s="102">
        <f t="shared" si="20"/>
        <v>434229.96477038728</v>
      </c>
      <c r="I60" s="102">
        <f t="shared" si="20"/>
        <v>380248.65246821125</v>
      </c>
      <c r="J60" s="102">
        <f t="shared" si="20"/>
        <v>330455.54543085926</v>
      </c>
      <c r="K60" s="102">
        <f t="shared" si="20"/>
        <v>284268.94848266128</v>
      </c>
      <c r="L60" s="102">
        <f t="shared" si="20"/>
        <v>241688.86162361738</v>
      </c>
      <c r="M60" s="102">
        <f t="shared" si="20"/>
        <v>234708.51951557727</v>
      </c>
      <c r="N60" s="102">
        <f t="shared" si="20"/>
        <v>234592.18048044335</v>
      </c>
      <c r="O60" s="102">
        <f t="shared" si="20"/>
        <v>234708.51951557727</v>
      </c>
      <c r="P60" s="102">
        <f t="shared" si="20"/>
        <v>234592.18048044335</v>
      </c>
      <c r="Q60" s="102">
        <f t="shared" si="20"/>
        <v>234708.51951557727</v>
      </c>
      <c r="R60" s="102">
        <f t="shared" si="20"/>
        <v>234592.18048044335</v>
      </c>
      <c r="S60" s="102">
        <f t="shared" si="20"/>
        <v>234708.51951557727</v>
      </c>
      <c r="T60" s="102">
        <f t="shared" si="20"/>
        <v>234592.18048044335</v>
      </c>
      <c r="U60" s="102">
        <f t="shared" si="20"/>
        <v>234708.51951557727</v>
      </c>
      <c r="V60" s="102">
        <f t="shared" si="20"/>
        <v>234592.18048044335</v>
      </c>
      <c r="W60" s="102">
        <f t="shared" si="20"/>
        <v>234708.51951557727</v>
      </c>
      <c r="X60" s="102">
        <f t="shared" si="20"/>
        <v>234592.18048044335</v>
      </c>
      <c r="Y60" s="102">
        <f t="shared" si="20"/>
        <v>-24843.867868376663</v>
      </c>
      <c r="Z60" s="102">
        <f t="shared" si="20"/>
        <v>-284396.25525233062</v>
      </c>
      <c r="AA60" s="102">
        <f t="shared" si="20"/>
        <v>-284396.25525233062</v>
      </c>
      <c r="AB60" s="102">
        <f t="shared" si="20"/>
        <v>-284396.25525233062</v>
      </c>
      <c r="AC60" s="102">
        <f t="shared" si="20"/>
        <v>-284396.25525233062</v>
      </c>
      <c r="AD60" s="102">
        <f t="shared" si="20"/>
        <v>-284396.25525233062</v>
      </c>
      <c r="AE60" s="102">
        <f t="shared" si="20"/>
        <v>-284396.25525233062</v>
      </c>
      <c r="AF60" s="102">
        <f t="shared" si="20"/>
        <v>-284396.25525233062</v>
      </c>
      <c r="AG60" s="102">
        <f t="shared" si="20"/>
        <v>-284396.25525233062</v>
      </c>
      <c r="AH60" s="102">
        <f t="shared" si="20"/>
        <v>-284396.25525233062</v>
      </c>
      <c r="AI60" s="102">
        <f t="shared" si="20"/>
        <v>-284396.25525233062</v>
      </c>
      <c r="AJ60" s="102">
        <f t="shared" si="20"/>
        <v>-284396.25525233062</v>
      </c>
      <c r="AK60" s="102">
        <f t="shared" si="20"/>
        <v>-284396.25525233062</v>
      </c>
      <c r="AL60" s="102">
        <f t="shared" si="20"/>
        <v>-284396.25525233062</v>
      </c>
      <c r="AM60" s="102">
        <f t="shared" si="20"/>
        <v>-284396.25525233062</v>
      </c>
      <c r="AN60" s="102">
        <f t="shared" si="20"/>
        <v>-284396.25525233062</v>
      </c>
      <c r="AO60" s="102">
        <f t="shared" si="20"/>
        <v>-284396.25525233062</v>
      </c>
      <c r="AP60" s="102">
        <f t="shared" si="20"/>
        <v>-284396.25525233062</v>
      </c>
      <c r="AQ60" s="102">
        <f t="shared" si="20"/>
        <v>-284396.25525233062</v>
      </c>
      <c r="AR60" s="102">
        <f t="shared" si="20"/>
        <v>-284396.25525233062</v>
      </c>
      <c r="AS60" s="102">
        <f t="shared" si="20"/>
        <v>-258053.30330677322</v>
      </c>
      <c r="AT60" s="102">
        <f t="shared" si="20"/>
        <v>0</v>
      </c>
      <c r="AU60" s="105">
        <f t="shared" si="13"/>
        <v>-25312.521083360567</v>
      </c>
    </row>
    <row r="61" spans="1:47" x14ac:dyDescent="0.2">
      <c r="A61" s="234">
        <f t="shared" si="10"/>
        <v>31</v>
      </c>
      <c r="B61" s="2"/>
      <c r="C61" s="2"/>
      <c r="D61" s="266"/>
      <c r="E61" s="84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266"/>
    </row>
    <row r="62" spans="1:47" s="50" customFormat="1" x14ac:dyDescent="0.2">
      <c r="A62" s="234">
        <f t="shared" si="10"/>
        <v>32</v>
      </c>
      <c r="B62" s="2" t="str">
        <f t="shared" ref="B62" si="21">IF($F$18=1,B66,B65)</f>
        <v>MACRS Depreciation - 20</v>
      </c>
      <c r="C62" s="2"/>
      <c r="D62" s="47"/>
      <c r="E62" s="62">
        <f t="shared" ref="E62:Y62" si="22">IF($F$18=1,E66,E65)</f>
        <v>3.7499999999999999E-2</v>
      </c>
      <c r="F62" s="58">
        <f t="shared" si="22"/>
        <v>7.2190000000000004E-2</v>
      </c>
      <c r="G62" s="58">
        <f t="shared" si="22"/>
        <v>6.6769999999999996E-2</v>
      </c>
      <c r="H62" s="61">
        <f t="shared" si="22"/>
        <v>6.1769999999999999E-2</v>
      </c>
      <c r="I62" s="61">
        <f t="shared" si="22"/>
        <v>5.713E-2</v>
      </c>
      <c r="J62" s="61">
        <f t="shared" si="22"/>
        <v>5.2850000000000001E-2</v>
      </c>
      <c r="K62" s="61">
        <f t="shared" si="22"/>
        <v>4.888E-2</v>
      </c>
      <c r="L62" s="61">
        <f t="shared" si="22"/>
        <v>4.5220000000000003E-2</v>
      </c>
      <c r="M62" s="61">
        <f t="shared" si="22"/>
        <v>4.462E-2</v>
      </c>
      <c r="N62" s="61">
        <f t="shared" si="22"/>
        <v>4.4610000000000004E-2</v>
      </c>
      <c r="O62" s="61">
        <f t="shared" si="22"/>
        <v>4.462E-2</v>
      </c>
      <c r="P62" s="61">
        <f t="shared" si="22"/>
        <v>4.4610000000000004E-2</v>
      </c>
      <c r="Q62" s="61">
        <f t="shared" si="22"/>
        <v>4.462E-2</v>
      </c>
      <c r="R62" s="61">
        <f t="shared" si="22"/>
        <v>4.4610000000000004E-2</v>
      </c>
      <c r="S62" s="61">
        <f t="shared" si="22"/>
        <v>4.462E-2</v>
      </c>
      <c r="T62" s="61">
        <f t="shared" si="22"/>
        <v>4.4610000000000004E-2</v>
      </c>
      <c r="U62" s="61">
        <f t="shared" si="22"/>
        <v>4.462E-2</v>
      </c>
      <c r="V62" s="61">
        <f t="shared" si="22"/>
        <v>4.4610000000000004E-2</v>
      </c>
      <c r="W62" s="61">
        <f t="shared" si="22"/>
        <v>4.462E-2</v>
      </c>
      <c r="X62" s="61">
        <f t="shared" si="22"/>
        <v>4.4610000000000004E-2</v>
      </c>
      <c r="Y62" s="61">
        <f t="shared" si="22"/>
        <v>2.231E-2</v>
      </c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7"/>
    </row>
    <row r="63" spans="1:47" outlineLevel="1" x14ac:dyDescent="0.25">
      <c r="A63" s="234">
        <f t="shared" si="10"/>
        <v>33</v>
      </c>
      <c r="B63" s="2"/>
      <c r="C63" s="269"/>
      <c r="E63" s="270"/>
      <c r="F63" s="271"/>
      <c r="G63" s="271"/>
      <c r="H63" s="271"/>
      <c r="I63" s="271"/>
      <c r="J63" s="271"/>
      <c r="K63" s="271"/>
      <c r="L63" s="271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66"/>
      <c r="AA63" s="266"/>
      <c r="AB63" s="266"/>
      <c r="AC63" s="266"/>
      <c r="AD63" s="266"/>
      <c r="AE63" s="266"/>
      <c r="AF63" s="266"/>
      <c r="AG63" s="266"/>
      <c r="AH63" s="266"/>
      <c r="AI63" s="266"/>
      <c r="AJ63" s="266"/>
      <c r="AK63" s="266"/>
      <c r="AL63" s="266"/>
      <c r="AM63" s="266"/>
      <c r="AN63" s="266"/>
      <c r="AO63" s="3"/>
    </row>
    <row r="64" spans="1:47" outlineLevel="1" x14ac:dyDescent="0.25">
      <c r="A64" s="234">
        <f t="shared" si="10"/>
        <v>34</v>
      </c>
      <c r="B64" s="2"/>
      <c r="C64" s="269"/>
      <c r="E64" s="270"/>
      <c r="F64" s="271"/>
      <c r="G64" s="271"/>
      <c r="H64" s="271"/>
      <c r="I64" s="271"/>
      <c r="J64" s="271"/>
      <c r="K64" s="271"/>
      <c r="L64" s="271"/>
      <c r="M64" s="272"/>
      <c r="N64" s="272"/>
      <c r="O64" s="272"/>
      <c r="P64" s="272"/>
      <c r="Q64" s="272"/>
      <c r="R64" s="272"/>
      <c r="S64" s="272"/>
      <c r="T64" s="272"/>
      <c r="U64" s="272"/>
      <c r="V64" s="272"/>
      <c r="W64" s="272"/>
      <c r="X64" s="272"/>
      <c r="Y64" s="272"/>
      <c r="Z64" s="266"/>
      <c r="AA64" s="266"/>
      <c r="AB64" s="266"/>
      <c r="AC64" s="266"/>
      <c r="AD64" s="266"/>
      <c r="AE64" s="266"/>
      <c r="AF64" s="266"/>
      <c r="AG64" s="266"/>
      <c r="AH64" s="266"/>
      <c r="AI64" s="266"/>
      <c r="AJ64" s="266"/>
      <c r="AK64" s="266"/>
      <c r="AL64" s="266"/>
      <c r="AM64" s="266"/>
      <c r="AN64" s="266"/>
      <c r="AO64" s="3"/>
    </row>
    <row r="65" spans="1:42" s="50" customFormat="1" x14ac:dyDescent="0.25">
      <c r="A65" s="234">
        <f t="shared" si="10"/>
        <v>35</v>
      </c>
      <c r="B65" s="2" t="s">
        <v>72</v>
      </c>
      <c r="C65" s="2"/>
      <c r="D65" s="51">
        <v>0</v>
      </c>
      <c r="E65" s="59">
        <v>3.7499999999999999E-2</v>
      </c>
      <c r="F65" s="58">
        <v>7.2190000000000004E-2</v>
      </c>
      <c r="G65" s="58">
        <v>6.6769999999999996E-2</v>
      </c>
      <c r="H65" s="60">
        <v>6.1769999999999999E-2</v>
      </c>
      <c r="I65" s="60">
        <v>5.713E-2</v>
      </c>
      <c r="J65" s="60">
        <v>5.2850000000000001E-2</v>
      </c>
      <c r="K65" s="60">
        <v>4.888E-2</v>
      </c>
      <c r="L65" s="60">
        <v>4.5220000000000003E-2</v>
      </c>
      <c r="M65" s="60">
        <v>4.462E-2</v>
      </c>
      <c r="N65" s="60">
        <v>4.4610000000000004E-2</v>
      </c>
      <c r="O65" s="60">
        <v>4.462E-2</v>
      </c>
      <c r="P65" s="60">
        <v>4.4610000000000004E-2</v>
      </c>
      <c r="Q65" s="60">
        <v>4.462E-2</v>
      </c>
      <c r="R65" s="60">
        <v>4.4610000000000004E-2</v>
      </c>
      <c r="S65" s="60">
        <v>4.462E-2</v>
      </c>
      <c r="T65" s="60">
        <v>4.4610000000000004E-2</v>
      </c>
      <c r="U65" s="60">
        <v>4.462E-2</v>
      </c>
      <c r="V65" s="60">
        <v>4.4610000000000004E-2</v>
      </c>
      <c r="W65" s="60">
        <v>4.462E-2</v>
      </c>
      <c r="X65" s="60">
        <v>4.4610000000000004E-2</v>
      </c>
      <c r="Y65" s="60">
        <v>2.231E-2</v>
      </c>
      <c r="Z65" s="52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7"/>
      <c r="AP65" s="53"/>
    </row>
    <row r="66" spans="1:42" x14ac:dyDescent="0.2">
      <c r="A66" s="234">
        <f t="shared" si="10"/>
        <v>36</v>
      </c>
      <c r="B66" s="2" t="s">
        <v>73</v>
      </c>
      <c r="C66" s="2"/>
      <c r="D66" s="51">
        <v>0</v>
      </c>
      <c r="E66" s="59">
        <v>0.51875000000000004</v>
      </c>
      <c r="F66" s="58">
        <v>3.6095000000000002E-2</v>
      </c>
      <c r="G66" s="58">
        <v>3.3384999999999998E-2</v>
      </c>
      <c r="H66" s="61">
        <v>3.0884999999999999E-2</v>
      </c>
      <c r="I66" s="61">
        <v>2.8565E-2</v>
      </c>
      <c r="J66" s="61">
        <v>2.6425000000000001E-2</v>
      </c>
      <c r="K66" s="61">
        <v>2.444E-2</v>
      </c>
      <c r="L66" s="61">
        <v>2.2610000000000002E-2</v>
      </c>
      <c r="M66" s="61">
        <v>2.231E-2</v>
      </c>
      <c r="N66" s="61">
        <v>2.2305000000000002E-2</v>
      </c>
      <c r="O66" s="61">
        <v>2.231E-2</v>
      </c>
      <c r="P66" s="61">
        <v>2.2305000000000002E-2</v>
      </c>
      <c r="Q66" s="61">
        <v>2.231E-2</v>
      </c>
      <c r="R66" s="61">
        <v>2.2305000000000002E-2</v>
      </c>
      <c r="S66" s="61">
        <v>2.231E-2</v>
      </c>
      <c r="T66" s="61">
        <v>2.2305000000000002E-2</v>
      </c>
      <c r="U66" s="61">
        <v>2.231E-2</v>
      </c>
      <c r="V66" s="61">
        <v>2.2305000000000002E-2</v>
      </c>
      <c r="W66" s="61">
        <v>2.231E-2</v>
      </c>
      <c r="X66" s="61">
        <v>2.2305000000000002E-2</v>
      </c>
      <c r="Y66" s="61">
        <v>1.1155E-2</v>
      </c>
      <c r="Z66" s="49"/>
      <c r="AA66" s="49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266"/>
      <c r="AO66" s="3"/>
      <c r="AP66" s="53">
        <f>SUM(D66:AO66)</f>
        <v>1.0000000000000004</v>
      </c>
    </row>
    <row r="69" spans="1:42" x14ac:dyDescent="0.25">
      <c r="B69" s="55"/>
    </row>
  </sheetData>
  <mergeCells count="1">
    <mergeCell ref="E1:F1"/>
  </mergeCells>
  <printOptions horizontalCentered="1"/>
  <pageMargins left="0.75" right="0.5" top="0.5" bottom="0.5" header="0.5" footer="0.25"/>
  <pageSetup scale="15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4"/>
  <sheetViews>
    <sheetView topLeftCell="A13" workbookViewId="0">
      <selection activeCell="D38" sqref="D38"/>
    </sheetView>
  </sheetViews>
  <sheetFormatPr defaultColWidth="9.140625" defaultRowHeight="15" x14ac:dyDescent="0.25"/>
  <cols>
    <col min="1" max="1" width="3" style="129" bestFit="1" customWidth="1"/>
    <col min="2" max="2" width="24.28515625" style="129" customWidth="1"/>
    <col min="3" max="3" width="19.5703125" style="129" bestFit="1" customWidth="1"/>
    <col min="4" max="5" width="19.7109375" style="125" bestFit="1" customWidth="1"/>
    <col min="6" max="6" width="12.28515625" style="125" bestFit="1" customWidth="1"/>
    <col min="7" max="8" width="9.140625" style="129"/>
    <col min="9" max="10" width="12.5703125" style="129" bestFit="1" customWidth="1"/>
    <col min="11" max="11" width="12.42578125" style="129" bestFit="1" customWidth="1"/>
    <col min="12" max="16384" width="9.140625" style="129"/>
  </cols>
  <sheetData>
    <row r="2" spans="1:12" ht="15.75" x14ac:dyDescent="0.25">
      <c r="B2" s="91" t="s">
        <v>158</v>
      </c>
      <c r="C2" s="91"/>
      <c r="D2" s="92"/>
      <c r="E2" s="92"/>
      <c r="F2" s="92"/>
    </row>
    <row r="3" spans="1:12" ht="15.75" x14ac:dyDescent="0.25">
      <c r="B3" s="91"/>
      <c r="C3" s="91"/>
      <c r="D3" s="92"/>
      <c r="E3" s="92"/>
      <c r="F3" s="92"/>
    </row>
    <row r="4" spans="1:12" ht="16.5" thickBot="1" x14ac:dyDescent="0.3">
      <c r="B4" s="183" t="s">
        <v>184</v>
      </c>
      <c r="C4" s="184"/>
      <c r="D4" s="185">
        <f>D23</f>
        <v>6472427.3420509053</v>
      </c>
      <c r="E4" s="185">
        <f t="shared" ref="E4:F4" si="0">E23</f>
        <v>7083256.8804140398</v>
      </c>
      <c r="F4" s="185">
        <f t="shared" si="0"/>
        <v>610829.53836313449</v>
      </c>
    </row>
    <row r="5" spans="1:12" ht="15.75" x14ac:dyDescent="0.25">
      <c r="B5" s="91"/>
      <c r="C5" s="91"/>
      <c r="D5" s="93" t="s">
        <v>157</v>
      </c>
      <c r="E5" s="93" t="s">
        <v>157</v>
      </c>
      <c r="F5" s="92"/>
    </row>
    <row r="6" spans="1:12" x14ac:dyDescent="0.25">
      <c r="A6" s="94"/>
      <c r="B6" s="94"/>
      <c r="C6" s="94"/>
      <c r="D6" s="95" t="s">
        <v>118</v>
      </c>
      <c r="E6" s="95" t="s">
        <v>119</v>
      </c>
      <c r="F6" s="95"/>
      <c r="I6"/>
      <c r="J6"/>
      <c r="K6"/>
      <c r="L6"/>
    </row>
    <row r="7" spans="1:12" x14ac:dyDescent="0.25">
      <c r="A7" s="96"/>
      <c r="B7" s="96"/>
      <c r="C7" s="96"/>
      <c r="D7" s="97"/>
      <c r="I7"/>
      <c r="J7"/>
      <c r="K7"/>
      <c r="L7"/>
    </row>
    <row r="8" spans="1:12" x14ac:dyDescent="0.25">
      <c r="A8" s="98">
        <v>1</v>
      </c>
      <c r="B8" s="2" t="s">
        <v>53</v>
      </c>
      <c r="C8" s="2"/>
      <c r="D8" s="102">
        <f>'2019 CRM Orig Flng'!E27</f>
        <v>1354267.8821539553</v>
      </c>
      <c r="E8" s="130">
        <f>E38</f>
        <v>1482270.176383141</v>
      </c>
      <c r="F8" s="130">
        <f>E8-D8</f>
        <v>128002.29422918567</v>
      </c>
      <c r="H8" s="274">
        <f>E8/E30</f>
        <v>2.4780774958672348E-2</v>
      </c>
      <c r="I8"/>
      <c r="J8"/>
      <c r="K8"/>
      <c r="L8"/>
    </row>
    <row r="9" spans="1:12" x14ac:dyDescent="0.25">
      <c r="A9" s="96"/>
      <c r="B9" s="2"/>
      <c r="C9" s="2"/>
      <c r="D9" s="137"/>
      <c r="I9"/>
      <c r="J9"/>
      <c r="K9"/>
      <c r="L9"/>
    </row>
    <row r="10" spans="1:12" x14ac:dyDescent="0.25">
      <c r="A10" s="98">
        <f>A8+1</f>
        <v>2</v>
      </c>
      <c r="B10" s="2" t="s">
        <v>54</v>
      </c>
      <c r="C10" s="2"/>
      <c r="D10" s="102">
        <f>'2019 CRM Orig Flng'!E29</f>
        <v>669816.44556032098</v>
      </c>
      <c r="E10" s="130">
        <f>'2019 CRM+True Up '!E53</f>
        <v>733002.76971787796</v>
      </c>
      <c r="F10" s="130">
        <f>E10-D10</f>
        <v>63186.324157556985</v>
      </c>
      <c r="I10"/>
      <c r="J10"/>
      <c r="K10"/>
      <c r="L10"/>
    </row>
    <row r="11" spans="1:12" x14ac:dyDescent="0.25">
      <c r="A11" s="96"/>
      <c r="B11" s="2"/>
      <c r="C11" s="2"/>
      <c r="D11" s="137"/>
      <c r="I11"/>
      <c r="J11"/>
      <c r="K11"/>
      <c r="L11"/>
    </row>
    <row r="12" spans="1:12" x14ac:dyDescent="0.25">
      <c r="A12" s="96"/>
      <c r="B12" s="2" t="s">
        <v>55</v>
      </c>
      <c r="C12" s="2"/>
      <c r="D12" s="137"/>
      <c r="I12"/>
      <c r="J12"/>
      <c r="K12"/>
      <c r="L12"/>
    </row>
    <row r="13" spans="1:12" x14ac:dyDescent="0.25">
      <c r="A13" s="98">
        <f>A10+1</f>
        <v>3</v>
      </c>
      <c r="B13" s="2"/>
      <c r="C13" s="2" t="s">
        <v>56</v>
      </c>
      <c r="D13" s="99">
        <v>0</v>
      </c>
      <c r="E13" s="130">
        <v>0</v>
      </c>
      <c r="F13" s="131">
        <f t="shared" ref="F13:F16" si="1">E13-D13</f>
        <v>0</v>
      </c>
      <c r="I13"/>
      <c r="J13"/>
      <c r="K13"/>
      <c r="L13"/>
    </row>
    <row r="14" spans="1:12" x14ac:dyDescent="0.25">
      <c r="A14" s="98">
        <f>A13+1</f>
        <v>4</v>
      </c>
      <c r="B14" s="2"/>
      <c r="C14" s="2" t="s">
        <v>57</v>
      </c>
      <c r="D14" s="99">
        <f>'2019 CRM Orig Flng'!E33</f>
        <v>1634307.8463568168</v>
      </c>
      <c r="E14" s="130">
        <f>'2019 CRM+True Up '!E33</f>
        <v>1788478.3001245733</v>
      </c>
      <c r="F14" s="131">
        <f t="shared" si="1"/>
        <v>154170.45376775647</v>
      </c>
      <c r="I14"/>
      <c r="J14"/>
      <c r="K14"/>
      <c r="L14"/>
    </row>
    <row r="15" spans="1:12" x14ac:dyDescent="0.25">
      <c r="A15" s="98">
        <f>A14+1</f>
        <v>5</v>
      </c>
      <c r="B15" s="2"/>
      <c r="C15" s="2" t="s">
        <v>9</v>
      </c>
      <c r="D15" s="100">
        <f>'2019 CRM Orig Flng'!E34</f>
        <v>2519785.6761554936</v>
      </c>
      <c r="E15" s="132">
        <f>'2019 CRM+True Up '!E34</f>
        <v>2757486.6098910649</v>
      </c>
      <c r="F15" s="132">
        <f t="shared" si="1"/>
        <v>237700.93373557134</v>
      </c>
      <c r="I15"/>
      <c r="J15"/>
      <c r="K15"/>
      <c r="L15"/>
    </row>
    <row r="16" spans="1:12" x14ac:dyDescent="0.25">
      <c r="A16" s="98">
        <f>A15+1</f>
        <v>6</v>
      </c>
      <c r="B16" s="2"/>
      <c r="C16" s="2" t="s">
        <v>58</v>
      </c>
      <c r="D16" s="102">
        <f>'2019 CRM Orig Flng'!E35</f>
        <v>4154093.5225123102</v>
      </c>
      <c r="E16" s="130">
        <f>SUM(E13:E15)</f>
        <v>4545964.910015638</v>
      </c>
      <c r="F16" s="130">
        <f t="shared" si="1"/>
        <v>391871.3875033278</v>
      </c>
      <c r="I16"/>
      <c r="J16"/>
      <c r="K16"/>
      <c r="L16"/>
    </row>
    <row r="17" spans="1:12" x14ac:dyDescent="0.25">
      <c r="A17" s="96"/>
      <c r="B17" s="2"/>
      <c r="C17" s="2"/>
      <c r="D17" s="137"/>
      <c r="I17"/>
      <c r="J17"/>
      <c r="K17"/>
      <c r="L17"/>
    </row>
    <row r="18" spans="1:12" x14ac:dyDescent="0.25">
      <c r="A18" s="98">
        <f>A16+1</f>
        <v>7</v>
      </c>
      <c r="B18" s="2" t="s">
        <v>59</v>
      </c>
      <c r="C18" s="2"/>
      <c r="D18" s="99">
        <f>'2019 CRM Orig Flng'!E37</f>
        <v>6178177.8502265867</v>
      </c>
      <c r="E18" s="130">
        <f>SUM(E8,E10,E16)</f>
        <v>6761237.8561166571</v>
      </c>
      <c r="F18" s="130">
        <f t="shared" ref="F18:F20" si="2">E18-D18</f>
        <v>583060.00589007046</v>
      </c>
      <c r="I18"/>
      <c r="J18"/>
      <c r="K18"/>
      <c r="L18"/>
    </row>
    <row r="19" spans="1:12" x14ac:dyDescent="0.25">
      <c r="A19" s="98">
        <f>A18+1</f>
        <v>8</v>
      </c>
      <c r="B19" s="2" t="s">
        <v>60</v>
      </c>
      <c r="C19" s="2"/>
      <c r="D19" s="100">
        <f>'2019 CRM Orig Flng'!E38</f>
        <v>294249.49182431865</v>
      </c>
      <c r="E19" s="132">
        <f>'2019 CRM+True Up '!E38</f>
        <v>322019.02429738268</v>
      </c>
      <c r="F19" s="132">
        <f>E19-D19</f>
        <v>27769.532473064028</v>
      </c>
      <c r="I19"/>
      <c r="J19"/>
      <c r="K19"/>
      <c r="L19"/>
    </row>
    <row r="20" spans="1:12" x14ac:dyDescent="0.25">
      <c r="A20" s="98">
        <f>A19+1</f>
        <v>9</v>
      </c>
      <c r="B20" s="2"/>
      <c r="C20" s="2" t="s">
        <v>61</v>
      </c>
      <c r="D20" s="99">
        <f>SUM(D18:D19)</f>
        <v>6472427.3420509053</v>
      </c>
      <c r="E20" s="130">
        <f>SUM(E18:E19)</f>
        <v>7083256.8804140398</v>
      </c>
      <c r="F20" s="130">
        <f t="shared" si="2"/>
        <v>610829.53836313449</v>
      </c>
      <c r="I20"/>
      <c r="J20"/>
      <c r="K20"/>
      <c r="L20"/>
    </row>
    <row r="21" spans="1:12" x14ac:dyDescent="0.25">
      <c r="A21" s="98">
        <f t="shared" ref="A21:A43" si="3">A20+1</f>
        <v>10</v>
      </c>
      <c r="B21" s="2"/>
      <c r="C21" s="2"/>
      <c r="D21" s="162"/>
      <c r="I21"/>
      <c r="J21"/>
      <c r="K21"/>
      <c r="L21"/>
    </row>
    <row r="22" spans="1:12" x14ac:dyDescent="0.25">
      <c r="A22" s="98">
        <f t="shared" si="3"/>
        <v>11</v>
      </c>
      <c r="B22" s="2"/>
      <c r="C22" s="2"/>
      <c r="D22" s="137"/>
      <c r="I22"/>
      <c r="J22"/>
      <c r="K22"/>
      <c r="L22"/>
    </row>
    <row r="23" spans="1:12" x14ac:dyDescent="0.25">
      <c r="A23" s="98">
        <f t="shared" si="3"/>
        <v>12</v>
      </c>
      <c r="B23" s="2" t="s">
        <v>62</v>
      </c>
      <c r="C23" s="2"/>
      <c r="D23" s="100">
        <f>D20</f>
        <v>6472427.3420509053</v>
      </c>
      <c r="E23" s="132">
        <f>+E20</f>
        <v>7083256.8804140398</v>
      </c>
      <c r="F23" s="132">
        <f>E23-D23</f>
        <v>610829.53836313449</v>
      </c>
      <c r="I23"/>
      <c r="J23"/>
      <c r="K23"/>
      <c r="L23"/>
    </row>
    <row r="24" spans="1:12" ht="15.75" thickBot="1" x14ac:dyDescent="0.3">
      <c r="A24" s="98">
        <f t="shared" si="3"/>
        <v>13</v>
      </c>
      <c r="B24" s="180" t="s">
        <v>102</v>
      </c>
      <c r="C24" s="180"/>
      <c r="D24" s="181"/>
      <c r="E24" s="182">
        <f>+E23-D23</f>
        <v>610829.53836313449</v>
      </c>
      <c r="F24" s="182"/>
      <c r="I24"/>
      <c r="J24"/>
      <c r="K24"/>
      <c r="L24"/>
    </row>
    <row r="25" spans="1:12" ht="15.75" thickTop="1" x14ac:dyDescent="0.25">
      <c r="A25" s="98">
        <f t="shared" si="3"/>
        <v>14</v>
      </c>
      <c r="B25" s="2"/>
      <c r="C25" s="2"/>
      <c r="D25" s="122"/>
      <c r="I25"/>
      <c r="J25"/>
      <c r="K25"/>
      <c r="L25"/>
    </row>
    <row r="26" spans="1:12" x14ac:dyDescent="0.25">
      <c r="A26" s="98">
        <f t="shared" si="3"/>
        <v>15</v>
      </c>
      <c r="B26" s="2" t="s">
        <v>63</v>
      </c>
      <c r="C26" s="122"/>
      <c r="D26" s="101">
        <f>'2019 CRM Orig Flng'!E45</f>
        <v>0.11683178739321196</v>
      </c>
      <c r="E26" s="133">
        <f>'2019 CRM Orig Flng'!E45</f>
        <v>0.11683178739321196</v>
      </c>
      <c r="F26" s="133">
        <f>E26-D26</f>
        <v>0</v>
      </c>
      <c r="I26"/>
      <c r="J26"/>
      <c r="K26"/>
      <c r="L26"/>
    </row>
    <row r="27" spans="1:12" x14ac:dyDescent="0.25">
      <c r="A27" s="98">
        <f t="shared" si="3"/>
        <v>16</v>
      </c>
      <c r="B27" s="2"/>
      <c r="C27" s="2"/>
      <c r="D27" s="122"/>
      <c r="I27"/>
      <c r="J27"/>
      <c r="K27"/>
      <c r="L27"/>
    </row>
    <row r="28" spans="1:12" x14ac:dyDescent="0.25">
      <c r="A28" s="98">
        <f t="shared" si="3"/>
        <v>17</v>
      </c>
      <c r="B28" s="2" t="s">
        <v>146</v>
      </c>
      <c r="C28" s="2"/>
      <c r="D28" s="101">
        <f>'2019 CRM Orig Flng'!F16</f>
        <v>4.5462000000000002E-2</v>
      </c>
      <c r="E28" s="101">
        <f>D28</f>
        <v>4.5462000000000002E-2</v>
      </c>
      <c r="F28" s="130"/>
      <c r="I28"/>
      <c r="J28"/>
      <c r="K28"/>
      <c r="L28"/>
    </row>
    <row r="29" spans="1:12" x14ac:dyDescent="0.25">
      <c r="A29" s="98">
        <f t="shared" si="3"/>
        <v>18</v>
      </c>
      <c r="B29" s="2"/>
      <c r="C29" s="2"/>
      <c r="D29" s="235"/>
      <c r="E29" s="132"/>
      <c r="F29" s="132"/>
      <c r="I29"/>
      <c r="J29"/>
      <c r="K29"/>
      <c r="L29"/>
    </row>
    <row r="30" spans="1:12" x14ac:dyDescent="0.25">
      <c r="A30" s="98">
        <f t="shared" si="3"/>
        <v>19</v>
      </c>
      <c r="B30" s="46" t="s">
        <v>64</v>
      </c>
      <c r="C30" s="2"/>
      <c r="D30" s="99">
        <f>'2019 CRM Orig Flng'!E49</f>
        <v>54659125.29621461</v>
      </c>
      <c r="E30" s="130">
        <f>'2019 CRM+True Up '!E49</f>
        <v>59815327.763363659</v>
      </c>
      <c r="F30" s="130">
        <f t="shared" ref="F30" si="4">E30-D30</f>
        <v>5156202.467149049</v>
      </c>
      <c r="I30"/>
      <c r="J30"/>
      <c r="K30"/>
      <c r="L30"/>
    </row>
    <row r="31" spans="1:12" x14ac:dyDescent="0.25">
      <c r="A31" s="98">
        <f t="shared" si="3"/>
        <v>20</v>
      </c>
      <c r="B31" s="2"/>
      <c r="C31" s="2"/>
      <c r="D31" s="102"/>
      <c r="I31"/>
      <c r="J31"/>
      <c r="K31"/>
      <c r="L31"/>
    </row>
    <row r="32" spans="1:12" x14ac:dyDescent="0.25">
      <c r="A32" s="98">
        <f t="shared" si="3"/>
        <v>21</v>
      </c>
      <c r="B32" s="2"/>
      <c r="C32" s="2"/>
      <c r="D32" s="102"/>
      <c r="I32"/>
      <c r="J32"/>
      <c r="K32"/>
      <c r="L32"/>
    </row>
    <row r="33" spans="1:12" x14ac:dyDescent="0.25">
      <c r="A33" s="98">
        <f t="shared" si="3"/>
        <v>22</v>
      </c>
      <c r="B33" s="2" t="s">
        <v>65</v>
      </c>
      <c r="C33" s="2"/>
      <c r="D33" s="102">
        <f>'2019 CRM Orig Flng'!E52</f>
        <v>3189602.1217158143</v>
      </c>
      <c r="E33" s="130">
        <f>'2019 CRM+True Up '!E52</f>
        <v>3490489.3796089427</v>
      </c>
      <c r="F33" s="130">
        <f>E33-D33</f>
        <v>300887.25789312832</v>
      </c>
      <c r="I33"/>
      <c r="J33"/>
      <c r="K33"/>
      <c r="L33"/>
    </row>
    <row r="34" spans="1:12" x14ac:dyDescent="0.25">
      <c r="A34" s="98">
        <f t="shared" si="3"/>
        <v>23</v>
      </c>
      <c r="B34" s="2" t="s">
        <v>66</v>
      </c>
      <c r="C34" s="2"/>
      <c r="D34" s="100">
        <f>'2019 CRM Orig Flng'!E53</f>
        <v>669816.44556032098</v>
      </c>
      <c r="E34" s="132">
        <f>'2019 CRM+True Up '!E53</f>
        <v>733002.76971787796</v>
      </c>
      <c r="F34" s="132">
        <f>E34-D34</f>
        <v>63186.324157556985</v>
      </c>
      <c r="I34"/>
      <c r="J34"/>
      <c r="K34"/>
      <c r="L34"/>
    </row>
    <row r="35" spans="1:12" x14ac:dyDescent="0.25">
      <c r="A35" s="98">
        <f t="shared" si="3"/>
        <v>24</v>
      </c>
      <c r="B35" s="2" t="s">
        <v>67</v>
      </c>
      <c r="C35" s="2"/>
      <c r="D35" s="130">
        <f>D33-D34</f>
        <v>2519785.6761554936</v>
      </c>
      <c r="E35" s="130">
        <f>E33-E34</f>
        <v>2757486.6098910645</v>
      </c>
      <c r="F35" s="130">
        <f>E35-D35</f>
        <v>237700.93373557087</v>
      </c>
      <c r="I35"/>
      <c r="J35"/>
      <c r="K35"/>
      <c r="L35"/>
    </row>
    <row r="36" spans="1:12" x14ac:dyDescent="0.25">
      <c r="A36" s="98">
        <f t="shared" si="3"/>
        <v>25</v>
      </c>
      <c r="B36" s="2"/>
      <c r="C36" s="2"/>
      <c r="D36" s="123"/>
      <c r="I36"/>
      <c r="J36"/>
      <c r="K36"/>
      <c r="L36"/>
    </row>
    <row r="37" spans="1:12" x14ac:dyDescent="0.25">
      <c r="A37" s="98">
        <f t="shared" si="3"/>
        <v>26</v>
      </c>
      <c r="B37" s="2"/>
      <c r="C37" s="2"/>
      <c r="D37" s="123"/>
      <c r="I37"/>
      <c r="J37"/>
      <c r="K37"/>
      <c r="L37"/>
    </row>
    <row r="38" spans="1:12" x14ac:dyDescent="0.25">
      <c r="A38" s="98">
        <f t="shared" si="3"/>
        <v>27</v>
      </c>
      <c r="B38" s="2" t="s">
        <v>68</v>
      </c>
      <c r="C38" s="2"/>
      <c r="D38" s="102">
        <f>'2019 CRM Orig Flng'!E57</f>
        <v>1354267.8821539553</v>
      </c>
      <c r="E38" s="130">
        <f>'2019 CRM+True Up '!E27</f>
        <v>1482270.176383141</v>
      </c>
      <c r="F38" s="130">
        <f t="shared" ref="F38:F41" si="5">E38-D38</f>
        <v>128002.29422918567</v>
      </c>
      <c r="I38"/>
      <c r="J38"/>
      <c r="K38"/>
      <c r="L38"/>
    </row>
    <row r="39" spans="1:12" x14ac:dyDescent="0.25">
      <c r="A39" s="98">
        <f t="shared" si="3"/>
        <v>28</v>
      </c>
      <c r="B39" s="2" t="s">
        <v>69</v>
      </c>
      <c r="C39" s="2"/>
      <c r="D39" s="102">
        <f>'2019 CRM Orig Flng'!E58</f>
        <v>2077482.7702499996</v>
      </c>
      <c r="E39" s="130">
        <f>'2019 CRM+True Up '!E58</f>
        <v>2273984.7329999995</v>
      </c>
      <c r="F39" s="130">
        <f t="shared" si="5"/>
        <v>196501.96274999995</v>
      </c>
      <c r="I39"/>
      <c r="J39"/>
      <c r="K39"/>
      <c r="L39"/>
    </row>
    <row r="40" spans="1:12" x14ac:dyDescent="0.25">
      <c r="A40" s="98">
        <f t="shared" si="3"/>
        <v>29</v>
      </c>
      <c r="B40" s="2" t="s">
        <v>70</v>
      </c>
      <c r="C40" s="2"/>
      <c r="D40" s="102">
        <f>'2019 CRM Orig Flng'!E59</f>
        <v>723214.88809604431</v>
      </c>
      <c r="E40" s="130">
        <f>E39-E38</f>
        <v>791714.55661685858</v>
      </c>
      <c r="F40" s="130">
        <f t="shared" si="5"/>
        <v>68499.668520814274</v>
      </c>
      <c r="I40"/>
      <c r="J40"/>
      <c r="K40"/>
      <c r="L40"/>
    </row>
    <row r="41" spans="1:12" x14ac:dyDescent="0.25">
      <c r="A41" s="98">
        <f t="shared" si="3"/>
        <v>30</v>
      </c>
      <c r="B41" s="2" t="s">
        <v>71</v>
      </c>
      <c r="C41" s="2"/>
      <c r="D41" s="102">
        <f>'2019 CRM Orig Flng'!E60</f>
        <v>126562.60541680775</v>
      </c>
      <c r="E41" s="130">
        <f>'2019 CRM+True Up '!E60</f>
        <v>166260.05688954028</v>
      </c>
      <c r="F41" s="130">
        <f t="shared" si="5"/>
        <v>39697.45147273253</v>
      </c>
      <c r="I41"/>
      <c r="J41"/>
      <c r="K41"/>
      <c r="L41"/>
    </row>
    <row r="42" spans="1:12" x14ac:dyDescent="0.25">
      <c r="A42" s="98">
        <f t="shared" si="3"/>
        <v>31</v>
      </c>
      <c r="B42" s="2"/>
      <c r="C42" s="2"/>
      <c r="D42" s="103"/>
      <c r="I42"/>
      <c r="J42"/>
      <c r="K42"/>
      <c r="L42"/>
    </row>
    <row r="43" spans="1:12" x14ac:dyDescent="0.25">
      <c r="A43" s="98">
        <f t="shared" si="3"/>
        <v>32</v>
      </c>
      <c r="B43" s="2" t="s">
        <v>72</v>
      </c>
      <c r="C43" s="2"/>
      <c r="D43" s="104">
        <f>'2019 CRM Orig Flng'!E66</f>
        <v>0.51875000000000004</v>
      </c>
      <c r="E43" s="134">
        <f>'2019 CRM+True Up '!E66</f>
        <v>0.51875000000000004</v>
      </c>
      <c r="F43" s="134">
        <f>E43-D43</f>
        <v>0</v>
      </c>
      <c r="I43"/>
      <c r="J43"/>
      <c r="K43"/>
      <c r="L43"/>
    </row>
    <row r="44" spans="1:12" x14ac:dyDescent="0.25">
      <c r="I44"/>
      <c r="J44"/>
      <c r="K44"/>
      <c r="L44"/>
    </row>
  </sheetData>
  <pageMargins left="0.45" right="0.45" top="0.75" bottom="0.75" header="0.3" footer="0.3"/>
  <pageSetup orientation="portrait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09"/>
  <sheetViews>
    <sheetView workbookViewId="0">
      <selection activeCell="J17" sqref="J17"/>
    </sheetView>
  </sheetViews>
  <sheetFormatPr defaultColWidth="10.28515625" defaultRowHeight="15" outlineLevelRow="1" outlineLevelCol="1" x14ac:dyDescent="0.2"/>
  <cols>
    <col min="1" max="1" width="5.7109375" style="34" customWidth="1"/>
    <col min="2" max="2" width="7.42578125" style="34" customWidth="1"/>
    <col min="3" max="3" width="26.42578125" style="34" customWidth="1"/>
    <col min="4" max="4" width="15.5703125" style="3" customWidth="1"/>
    <col min="5" max="5" width="12.5703125" style="56" bestFit="1" customWidth="1"/>
    <col min="6" max="6" width="13.42578125" style="56" customWidth="1"/>
    <col min="7" max="7" width="15.28515625" style="56" bestFit="1" customWidth="1"/>
    <col min="8" max="8" width="12.5703125" style="56" customWidth="1"/>
    <col min="9" max="9" width="12.85546875" style="56" bestFit="1" customWidth="1"/>
    <col min="10" max="10" width="16.28515625" style="56" customWidth="1"/>
    <col min="11" max="11" width="12.85546875" style="56" bestFit="1" customWidth="1"/>
    <col min="12" max="12" width="14.28515625" style="56" bestFit="1" customWidth="1"/>
    <col min="13" max="15" width="12.85546875" style="56" bestFit="1" customWidth="1"/>
    <col min="16" max="16" width="14.28515625" style="56" bestFit="1" customWidth="1"/>
    <col min="17" max="25" width="12.85546875" style="56" bestFit="1" customWidth="1"/>
    <col min="26" max="38" width="12.28515625" style="56" bestFit="1" customWidth="1"/>
    <col min="39" max="39" width="17" style="56" customWidth="1" outlineLevel="1"/>
    <col min="40" max="40" width="13" style="56" customWidth="1" outlineLevel="1"/>
    <col min="41" max="41" width="11" style="56" customWidth="1" outlineLevel="1"/>
    <col min="42" max="42" width="12.7109375" style="3" bestFit="1" customWidth="1"/>
    <col min="43" max="16384" width="10.28515625" style="3"/>
  </cols>
  <sheetData>
    <row r="1" spans="1:22" s="3" customFormat="1" ht="17.25" customHeight="1" outlineLevel="1" x14ac:dyDescent="0.25">
      <c r="A1" s="1" t="s">
        <v>0</v>
      </c>
      <c r="B1" s="2"/>
      <c r="C1" s="2"/>
      <c r="E1" s="351"/>
      <c r="F1" s="351"/>
      <c r="H1" s="4"/>
      <c r="I1" s="5"/>
    </row>
    <row r="2" spans="1:22" s="3" customFormat="1" ht="12.75" customHeight="1" outlineLevel="1" x14ac:dyDescent="0.25">
      <c r="A2" s="6" t="s">
        <v>1</v>
      </c>
      <c r="B2" s="2"/>
      <c r="C2" s="2"/>
      <c r="F2" s="5"/>
      <c r="G2" s="5"/>
    </row>
    <row r="3" spans="1:22" s="3" customFormat="1" ht="12.75" customHeight="1" outlineLevel="1" x14ac:dyDescent="0.25">
      <c r="A3" s="6" t="s">
        <v>2</v>
      </c>
      <c r="B3" s="2"/>
      <c r="C3" s="186">
        <v>2017</v>
      </c>
      <c r="D3" s="187" t="s">
        <v>3</v>
      </c>
      <c r="F3" s="5"/>
      <c r="G3" s="5"/>
    </row>
    <row r="4" spans="1:22" s="3" customFormat="1" ht="7.5" customHeight="1" outlineLevel="1" thickBot="1" x14ac:dyDescent="0.25">
      <c r="A4" s="2"/>
      <c r="B4" s="2"/>
      <c r="C4" s="2"/>
      <c r="F4" s="5"/>
      <c r="G4" s="5"/>
    </row>
    <row r="5" spans="1:22" s="3" customFormat="1" outlineLevel="1" x14ac:dyDescent="0.2">
      <c r="A5" s="7" t="s">
        <v>4</v>
      </c>
      <c r="B5" s="8"/>
      <c r="C5" s="8"/>
      <c r="D5" s="9"/>
      <c r="E5" s="9"/>
      <c r="F5" s="10"/>
      <c r="G5" s="11"/>
      <c r="H5" s="188"/>
      <c r="I5" s="9"/>
      <c r="J5" s="10"/>
    </row>
    <row r="6" spans="1:22" s="3" customFormat="1" outlineLevel="1" x14ac:dyDescent="0.2">
      <c r="A6" s="12"/>
      <c r="B6" s="13"/>
      <c r="C6" s="13"/>
      <c r="D6" s="114" t="s">
        <v>185</v>
      </c>
      <c r="E6" s="114"/>
      <c r="F6" s="115"/>
      <c r="G6" s="11"/>
      <c r="H6" s="189" t="s">
        <v>186</v>
      </c>
      <c r="I6" s="114"/>
      <c r="J6" s="115"/>
      <c r="L6" s="22">
        <f>E49*$J12/12*1+E49*F12/12*11</f>
        <v>1891107.2891529668</v>
      </c>
    </row>
    <row r="7" spans="1:22" s="3" customFormat="1" x14ac:dyDescent="0.2">
      <c r="A7" s="12"/>
      <c r="B7" s="13"/>
      <c r="C7" s="13"/>
      <c r="D7" s="16"/>
      <c r="E7" s="16"/>
      <c r="F7" s="17" t="s">
        <v>5</v>
      </c>
      <c r="G7" s="18"/>
      <c r="H7" s="190"/>
      <c r="I7" s="16"/>
      <c r="J7" s="17" t="s">
        <v>5</v>
      </c>
      <c r="L7" s="22"/>
    </row>
    <row r="8" spans="1:22" s="3" customFormat="1" x14ac:dyDescent="0.2">
      <c r="A8" s="12" t="s">
        <v>6</v>
      </c>
      <c r="B8" s="13"/>
      <c r="C8" s="13"/>
      <c r="D8" s="19" t="s">
        <v>7</v>
      </c>
      <c r="E8" s="19" t="s">
        <v>8</v>
      </c>
      <c r="F8" s="20" t="s">
        <v>8</v>
      </c>
      <c r="G8" s="18"/>
      <c r="H8" s="191" t="s">
        <v>7</v>
      </c>
      <c r="I8" s="19" t="s">
        <v>8</v>
      </c>
      <c r="J8" s="20" t="s">
        <v>8</v>
      </c>
      <c r="L8" s="106"/>
      <c r="N8" s="192"/>
      <c r="O8" s="192"/>
      <c r="P8" s="192"/>
      <c r="Q8" s="192">
        <f>O8-P8</f>
        <v>0</v>
      </c>
      <c r="R8" s="105"/>
      <c r="S8" s="105"/>
      <c r="T8" s="105"/>
      <c r="U8" s="105"/>
      <c r="V8" s="105"/>
    </row>
    <row r="9" spans="1:22" s="3" customFormat="1" x14ac:dyDescent="0.2">
      <c r="A9" s="12"/>
      <c r="B9" s="13"/>
      <c r="C9" s="13"/>
      <c r="D9" s="14"/>
      <c r="E9" s="14"/>
      <c r="F9" s="21"/>
      <c r="G9" s="14"/>
      <c r="H9" s="193"/>
      <c r="I9" s="14"/>
      <c r="J9" s="21"/>
      <c r="K9" s="105"/>
      <c r="L9" s="192"/>
      <c r="N9" s="192"/>
      <c r="O9" s="192"/>
      <c r="P9" s="192"/>
      <c r="Q9" s="192">
        <f t="shared" ref="Q9:Q13" si="0">O9-P9</f>
        <v>0</v>
      </c>
      <c r="R9" s="105"/>
      <c r="S9" s="105"/>
      <c r="T9" s="105"/>
      <c r="U9" s="105"/>
      <c r="V9" s="105"/>
    </row>
    <row r="10" spans="1:22" s="3" customFormat="1" x14ac:dyDescent="0.2">
      <c r="A10" s="12"/>
      <c r="B10" s="13"/>
      <c r="C10" s="13"/>
      <c r="D10" s="23"/>
      <c r="E10" s="23"/>
      <c r="F10" s="24"/>
      <c r="G10" s="22"/>
      <c r="H10" s="194"/>
      <c r="I10" s="23"/>
      <c r="J10" s="24"/>
      <c r="K10" s="105"/>
      <c r="L10" s="192"/>
      <c r="N10" s="192"/>
      <c r="O10" s="192"/>
      <c r="P10" s="192"/>
      <c r="Q10" s="192">
        <f t="shared" si="0"/>
        <v>0</v>
      </c>
      <c r="R10" s="105"/>
      <c r="S10" s="105"/>
      <c r="T10" s="105"/>
      <c r="U10" s="105"/>
      <c r="V10" s="105"/>
    </row>
    <row r="11" spans="1:22" s="3" customFormat="1" x14ac:dyDescent="0.2">
      <c r="A11" s="12" t="s">
        <v>121</v>
      </c>
      <c r="B11" s="13"/>
      <c r="C11" s="13"/>
      <c r="D11" s="23">
        <v>0.51500000000000001</v>
      </c>
      <c r="E11" s="23">
        <v>5.8058252427184473E-2</v>
      </c>
      <c r="F11" s="24">
        <v>2.9899999999999999E-2</v>
      </c>
      <c r="G11" s="22"/>
      <c r="H11" s="194">
        <v>0.52</v>
      </c>
      <c r="I11" s="23">
        <v>8.8400000000000006E-2</v>
      </c>
      <c r="J11" s="24">
        <v>3.0700000000000002E-2</v>
      </c>
      <c r="K11" s="105"/>
      <c r="L11" s="106"/>
      <c r="N11" s="192"/>
      <c r="O11" s="192"/>
      <c r="P11" s="192"/>
      <c r="Q11" s="192">
        <f t="shared" si="0"/>
        <v>0</v>
      </c>
      <c r="R11" s="105"/>
      <c r="S11" s="105"/>
      <c r="T11" s="105"/>
      <c r="U11" s="105"/>
      <c r="V11" s="105"/>
    </row>
    <row r="12" spans="1:22" s="3" customFormat="1" x14ac:dyDescent="0.2">
      <c r="A12" s="12" t="s">
        <v>9</v>
      </c>
      <c r="B12" s="13"/>
      <c r="C12" s="13"/>
      <c r="D12" s="25">
        <v>0.48499999999999999</v>
      </c>
      <c r="E12" s="23">
        <v>9.5000000000000001E-2</v>
      </c>
      <c r="F12" s="26">
        <v>4.6100000000000002E-2</v>
      </c>
      <c r="G12" s="22"/>
      <c r="H12" s="195">
        <v>0.48</v>
      </c>
      <c r="I12" s="25">
        <v>9.8000000000000004E-2</v>
      </c>
      <c r="J12" s="26">
        <v>4.7E-2</v>
      </c>
      <c r="K12" s="105"/>
      <c r="L12" s="192"/>
      <c r="N12" s="192"/>
      <c r="O12" s="192"/>
      <c r="P12" s="192"/>
      <c r="Q12" s="192">
        <f t="shared" si="0"/>
        <v>0</v>
      </c>
      <c r="R12" s="105"/>
      <c r="S12" s="105"/>
      <c r="T12" s="105"/>
      <c r="U12" s="105"/>
      <c r="V12" s="105"/>
    </row>
    <row r="13" spans="1:22" s="3" customFormat="1" ht="15.75" thickBot="1" x14ac:dyDescent="0.25">
      <c r="A13" s="12" t="s">
        <v>10</v>
      </c>
      <c r="B13" s="13"/>
      <c r="C13" s="13"/>
      <c r="D13" s="27">
        <f>D10+D11+D12</f>
        <v>1</v>
      </c>
      <c r="E13" s="28"/>
      <c r="F13" s="29">
        <f>F10+F11+F12</f>
        <v>7.5999999999999998E-2</v>
      </c>
      <c r="G13" s="28"/>
      <c r="H13" s="196">
        <f>H10+H11+H12</f>
        <v>1</v>
      </c>
      <c r="I13" s="28"/>
      <c r="J13" s="29">
        <f>J10+J11+J12</f>
        <v>7.7700000000000005E-2</v>
      </c>
      <c r="K13" s="105"/>
      <c r="L13" s="192"/>
      <c r="N13" s="192"/>
      <c r="O13" s="192"/>
      <c r="P13" s="192"/>
      <c r="Q13" s="192">
        <f t="shared" si="0"/>
        <v>0</v>
      </c>
      <c r="R13" s="105"/>
      <c r="S13" s="105"/>
      <c r="T13" s="105"/>
      <c r="U13" s="105"/>
      <c r="V13" s="105"/>
    </row>
    <row r="14" spans="1:22" s="3" customFormat="1" ht="15.75" thickTop="1" x14ac:dyDescent="0.2">
      <c r="A14" s="12"/>
      <c r="B14" s="13"/>
      <c r="C14" s="13"/>
      <c r="D14" s="14"/>
      <c r="E14" s="14"/>
      <c r="F14" s="21"/>
      <c r="G14" s="14"/>
      <c r="H14" s="193"/>
      <c r="I14" s="14"/>
      <c r="J14" s="21"/>
      <c r="L14" s="106"/>
      <c r="M14" s="105"/>
      <c r="N14" s="105"/>
      <c r="O14" s="105"/>
      <c r="P14" s="105"/>
      <c r="Q14" s="105"/>
      <c r="R14" s="105"/>
      <c r="S14" s="105"/>
      <c r="T14" s="105"/>
      <c r="U14" s="105"/>
      <c r="V14" s="105"/>
    </row>
    <row r="15" spans="1:22" s="3" customFormat="1" x14ac:dyDescent="0.2">
      <c r="A15" s="12" t="s">
        <v>11</v>
      </c>
      <c r="B15" s="13"/>
      <c r="C15" s="13"/>
      <c r="D15" s="14"/>
      <c r="E15" s="14"/>
      <c r="F15" s="24">
        <v>0.21</v>
      </c>
      <c r="G15" s="28"/>
      <c r="H15" s="193"/>
      <c r="I15" s="14"/>
      <c r="J15" s="24">
        <v>0.35</v>
      </c>
      <c r="L15" s="192"/>
      <c r="M15" s="105"/>
      <c r="N15" s="105"/>
      <c r="O15" s="105"/>
      <c r="P15" s="105"/>
      <c r="Q15" s="105"/>
      <c r="R15" s="105"/>
      <c r="S15" s="105"/>
      <c r="T15" s="105"/>
      <c r="U15" s="105"/>
      <c r="V15" s="105"/>
    </row>
    <row r="16" spans="1:22" s="3" customFormat="1" x14ac:dyDescent="0.2">
      <c r="A16" s="12" t="s">
        <v>12</v>
      </c>
      <c r="B16" s="13"/>
      <c r="C16" s="13"/>
      <c r="D16" s="14"/>
      <c r="E16" s="14"/>
      <c r="F16" s="24">
        <v>4.5462000000000002E-2</v>
      </c>
      <c r="G16" s="28"/>
      <c r="H16" s="193"/>
      <c r="I16" s="14"/>
      <c r="J16" s="24">
        <v>4.5462000000000002E-2</v>
      </c>
      <c r="L16" s="106"/>
      <c r="M16" s="105"/>
      <c r="N16" s="105"/>
      <c r="O16" s="105"/>
      <c r="P16" s="105"/>
      <c r="Q16" s="105"/>
      <c r="R16" s="105"/>
      <c r="S16" s="105"/>
      <c r="T16" s="105"/>
      <c r="U16" s="105"/>
      <c r="V16" s="105"/>
    </row>
    <row r="17" spans="1:42" x14ac:dyDescent="0.2">
      <c r="A17" s="12" t="s">
        <v>13</v>
      </c>
      <c r="B17" s="13"/>
      <c r="C17" s="13"/>
      <c r="D17" s="14"/>
      <c r="E17" s="14"/>
      <c r="F17" s="24">
        <v>2.5007867478263991E-2</v>
      </c>
      <c r="H17" s="193"/>
      <c r="I17" s="14"/>
      <c r="J17" s="24">
        <v>2.9089603215373776E-2</v>
      </c>
      <c r="K17" s="3"/>
      <c r="L17" s="192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</row>
    <row r="18" spans="1:42" x14ac:dyDescent="0.2">
      <c r="A18" s="12" t="s">
        <v>14</v>
      </c>
      <c r="B18" s="13"/>
      <c r="C18" s="13"/>
      <c r="D18" s="14"/>
      <c r="E18" s="14"/>
      <c r="F18" s="30">
        <v>1</v>
      </c>
      <c r="G18" s="5"/>
      <c r="H18" s="193"/>
      <c r="I18" s="14"/>
      <c r="J18" s="30">
        <v>1</v>
      </c>
      <c r="K18" s="3"/>
      <c r="L18" s="192"/>
      <c r="M18" s="197"/>
      <c r="N18" s="105"/>
      <c r="O18" s="105"/>
      <c r="P18" s="105"/>
      <c r="Q18" s="105"/>
      <c r="R18" s="105"/>
      <c r="S18" s="105"/>
      <c r="T18" s="105"/>
      <c r="U18" s="105"/>
      <c r="V18" s="105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</row>
    <row r="19" spans="1:42" x14ac:dyDescent="0.2">
      <c r="A19" s="12"/>
      <c r="B19" s="13"/>
      <c r="C19" s="13"/>
      <c r="D19" s="14"/>
      <c r="E19" s="14"/>
      <c r="F19" s="15"/>
      <c r="G19" s="5"/>
      <c r="H19" s="198"/>
      <c r="I19" s="14"/>
      <c r="J19" s="21"/>
      <c r="K19" s="3"/>
      <c r="L19" s="106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</row>
    <row r="20" spans="1:42" x14ac:dyDescent="0.2">
      <c r="A20" s="12" t="s">
        <v>15</v>
      </c>
      <c r="B20" s="13"/>
      <c r="C20" s="13"/>
      <c r="D20" s="14"/>
      <c r="E20" s="14"/>
      <c r="F20" s="15"/>
      <c r="G20" s="5"/>
      <c r="H20" s="198"/>
      <c r="I20" s="14"/>
      <c r="J20" s="21"/>
      <c r="K20" s="3"/>
      <c r="L20" s="192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</row>
    <row r="21" spans="1:42" x14ac:dyDescent="0.2">
      <c r="A21" s="12" t="s">
        <v>16</v>
      </c>
      <c r="B21" s="13"/>
      <c r="C21" s="13"/>
      <c r="D21" s="14"/>
      <c r="E21" s="14"/>
      <c r="F21" s="15"/>
      <c r="H21" s="198"/>
      <c r="I21" s="14"/>
      <c r="J21" s="21"/>
      <c r="K21" s="3"/>
      <c r="L21" s="106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</row>
    <row r="22" spans="1:42" ht="15.75" thickBot="1" x14ac:dyDescent="0.25">
      <c r="A22" s="31" t="s">
        <v>17</v>
      </c>
      <c r="B22" s="32"/>
      <c r="C22" s="32"/>
      <c r="D22" s="32"/>
      <c r="E22" s="33"/>
      <c r="F22" s="57">
        <v>45517704.079999976</v>
      </c>
      <c r="G22" s="199"/>
      <c r="H22" s="200"/>
      <c r="I22" s="33"/>
      <c r="J22" s="201"/>
      <c r="K22" s="3"/>
      <c r="L22" s="192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</row>
    <row r="23" spans="1:42" x14ac:dyDescent="0.2">
      <c r="E23" s="3"/>
      <c r="F23" s="3"/>
      <c r="G23" s="3"/>
      <c r="H23" s="3"/>
      <c r="I23" s="3"/>
      <c r="J23" s="3"/>
      <c r="K23" s="3"/>
      <c r="L23" s="192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</row>
    <row r="24" spans="1:42" ht="6" customHeight="1" x14ac:dyDescent="0.2">
      <c r="B24" s="3"/>
      <c r="C24" s="3"/>
      <c r="D24" s="106"/>
      <c r="E24" s="35"/>
      <c r="F24" s="35"/>
      <c r="G24" s="35"/>
      <c r="H24" s="35"/>
      <c r="I24" s="35"/>
      <c r="J24" s="35"/>
      <c r="K24" s="35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</row>
    <row r="25" spans="1:42" x14ac:dyDescent="0.2">
      <c r="A25" s="2"/>
      <c r="B25" s="2"/>
      <c r="C25" s="2"/>
      <c r="D25" s="187"/>
      <c r="E25" s="36" t="s">
        <v>18</v>
      </c>
      <c r="F25" s="95" t="s">
        <v>19</v>
      </c>
      <c r="G25" s="37" t="s">
        <v>20</v>
      </c>
      <c r="H25" s="37" t="s">
        <v>21</v>
      </c>
      <c r="I25" s="37" t="s">
        <v>22</v>
      </c>
      <c r="J25" s="37" t="s">
        <v>23</v>
      </c>
      <c r="K25" s="37" t="s">
        <v>24</v>
      </c>
      <c r="L25" s="37" t="s">
        <v>25</v>
      </c>
      <c r="M25" s="37" t="s">
        <v>26</v>
      </c>
      <c r="N25" s="37" t="s">
        <v>27</v>
      </c>
      <c r="O25" s="37" t="s">
        <v>28</v>
      </c>
      <c r="P25" s="37" t="s">
        <v>29</v>
      </c>
      <c r="Q25" s="37" t="s">
        <v>30</v>
      </c>
      <c r="R25" s="37" t="s">
        <v>31</v>
      </c>
      <c r="S25" s="37" t="s">
        <v>32</v>
      </c>
      <c r="T25" s="37" t="s">
        <v>33</v>
      </c>
      <c r="U25" s="37" t="s">
        <v>34</v>
      </c>
      <c r="V25" s="37" t="s">
        <v>35</v>
      </c>
      <c r="W25" s="37" t="s">
        <v>36</v>
      </c>
      <c r="X25" s="37" t="s">
        <v>37</v>
      </c>
      <c r="Y25" s="37" t="s">
        <v>38</v>
      </c>
      <c r="Z25" s="37" t="s">
        <v>39</v>
      </c>
      <c r="AA25" s="37" t="s">
        <v>40</v>
      </c>
      <c r="AB25" s="37" t="s">
        <v>41</v>
      </c>
      <c r="AC25" s="37" t="s">
        <v>42</v>
      </c>
      <c r="AD25" s="37" t="s">
        <v>43</v>
      </c>
      <c r="AE25" s="37" t="s">
        <v>44</v>
      </c>
      <c r="AF25" s="37" t="s">
        <v>45</v>
      </c>
      <c r="AG25" s="37" t="s">
        <v>46</v>
      </c>
      <c r="AH25" s="37" t="s">
        <v>47</v>
      </c>
      <c r="AI25" s="37" t="s">
        <v>48</v>
      </c>
      <c r="AJ25" s="37" t="s">
        <v>49</v>
      </c>
      <c r="AK25" s="37" t="s">
        <v>50</v>
      </c>
      <c r="AL25" s="37" t="s">
        <v>51</v>
      </c>
      <c r="AM25" s="37" t="s">
        <v>52</v>
      </c>
      <c r="AN25" s="37"/>
      <c r="AO25" s="37"/>
      <c r="AP25" s="187"/>
    </row>
    <row r="26" spans="1:42" x14ac:dyDescent="0.2">
      <c r="A26" s="2"/>
      <c r="B26" s="2"/>
      <c r="C26" s="2"/>
      <c r="D26" s="203"/>
      <c r="E26" s="204">
        <v>2017</v>
      </c>
      <c r="F26" s="204">
        <v>2018</v>
      </c>
      <c r="G26" s="204">
        <v>2017</v>
      </c>
      <c r="H26" s="204">
        <v>2017</v>
      </c>
      <c r="I26" s="204">
        <v>2017</v>
      </c>
      <c r="J26" s="204">
        <v>2017</v>
      </c>
      <c r="K26" s="204">
        <v>2017</v>
      </c>
      <c r="L26" s="204">
        <v>2017</v>
      </c>
      <c r="M26" s="204">
        <v>2017</v>
      </c>
      <c r="N26" s="204">
        <v>2017</v>
      </c>
      <c r="O26" s="204">
        <v>2017</v>
      </c>
      <c r="P26" s="204">
        <v>2017</v>
      </c>
      <c r="Q26" s="204">
        <v>2017</v>
      </c>
      <c r="R26" s="204">
        <v>2017</v>
      </c>
      <c r="S26" s="204">
        <v>2017</v>
      </c>
      <c r="T26" s="204">
        <v>2017</v>
      </c>
      <c r="U26" s="204">
        <v>2017</v>
      </c>
      <c r="V26" s="204">
        <v>2017</v>
      </c>
      <c r="W26" s="204">
        <v>2017</v>
      </c>
      <c r="X26" s="204">
        <v>2017</v>
      </c>
      <c r="Y26" s="204">
        <v>2017</v>
      </c>
      <c r="Z26" s="204">
        <v>2017</v>
      </c>
      <c r="AA26" s="204">
        <v>2017</v>
      </c>
      <c r="AB26" s="204">
        <v>2017</v>
      </c>
      <c r="AC26" s="204">
        <v>2017</v>
      </c>
      <c r="AD26" s="204">
        <v>2017</v>
      </c>
      <c r="AE26" s="204">
        <v>2017</v>
      </c>
      <c r="AF26" s="204">
        <v>2017</v>
      </c>
      <c r="AG26" s="204">
        <v>2017</v>
      </c>
      <c r="AH26" s="204">
        <v>2017</v>
      </c>
      <c r="AI26" s="204">
        <v>2017</v>
      </c>
      <c r="AJ26" s="204">
        <v>2017</v>
      </c>
      <c r="AK26" s="204">
        <v>2017</v>
      </c>
      <c r="AL26" s="204">
        <v>2017</v>
      </c>
      <c r="AM26" s="204">
        <v>2017</v>
      </c>
      <c r="AN26" s="97"/>
      <c r="AO26" s="97"/>
      <c r="AP26" s="187"/>
    </row>
    <row r="27" spans="1:42" x14ac:dyDescent="0.2">
      <c r="A27" s="186">
        <v>1</v>
      </c>
      <c r="B27" s="2" t="s">
        <v>53</v>
      </c>
      <c r="C27" s="2"/>
      <c r="D27" s="205"/>
      <c r="E27" s="38">
        <f>F22*J17</f>
        <v>1324091.9509619994</v>
      </c>
      <c r="F27" s="102">
        <f>F22*J17/12*1+F22*F17/12*11</f>
        <v>1153783.3148320192</v>
      </c>
      <c r="G27" s="102">
        <f t="shared" ref="G27:AL27" si="1">$F22*$F17</f>
        <v>1138300.7115474755</v>
      </c>
      <c r="H27" s="102">
        <f t="shared" si="1"/>
        <v>1138300.7115474755</v>
      </c>
      <c r="I27" s="102">
        <f t="shared" si="1"/>
        <v>1138300.7115474755</v>
      </c>
      <c r="J27" s="102">
        <f t="shared" si="1"/>
        <v>1138300.7115474755</v>
      </c>
      <c r="K27" s="102">
        <f t="shared" si="1"/>
        <v>1138300.7115474755</v>
      </c>
      <c r="L27" s="102">
        <f t="shared" si="1"/>
        <v>1138300.7115474755</v>
      </c>
      <c r="M27" s="102">
        <f t="shared" si="1"/>
        <v>1138300.7115474755</v>
      </c>
      <c r="N27" s="102">
        <f t="shared" si="1"/>
        <v>1138300.7115474755</v>
      </c>
      <c r="O27" s="102">
        <f t="shared" si="1"/>
        <v>1138300.7115474755</v>
      </c>
      <c r="P27" s="102">
        <f t="shared" si="1"/>
        <v>1138300.7115474755</v>
      </c>
      <c r="Q27" s="102">
        <f t="shared" si="1"/>
        <v>1138300.7115474755</v>
      </c>
      <c r="R27" s="102">
        <f t="shared" si="1"/>
        <v>1138300.7115474755</v>
      </c>
      <c r="S27" s="102">
        <f t="shared" si="1"/>
        <v>1138300.7115474755</v>
      </c>
      <c r="T27" s="102">
        <f t="shared" si="1"/>
        <v>1138300.7115474755</v>
      </c>
      <c r="U27" s="102">
        <f t="shared" si="1"/>
        <v>1138300.7115474755</v>
      </c>
      <c r="V27" s="102">
        <f t="shared" si="1"/>
        <v>1138300.7115474755</v>
      </c>
      <c r="W27" s="102">
        <f t="shared" si="1"/>
        <v>1138300.7115474755</v>
      </c>
      <c r="X27" s="102">
        <f t="shared" si="1"/>
        <v>1138300.7115474755</v>
      </c>
      <c r="Y27" s="102">
        <f t="shared" si="1"/>
        <v>1138300.7115474755</v>
      </c>
      <c r="Z27" s="102">
        <f t="shared" si="1"/>
        <v>1138300.7115474755</v>
      </c>
      <c r="AA27" s="102">
        <f t="shared" si="1"/>
        <v>1138300.7115474755</v>
      </c>
      <c r="AB27" s="102">
        <f t="shared" si="1"/>
        <v>1138300.7115474755</v>
      </c>
      <c r="AC27" s="102">
        <f t="shared" si="1"/>
        <v>1138300.7115474755</v>
      </c>
      <c r="AD27" s="102">
        <f t="shared" si="1"/>
        <v>1138300.7115474755</v>
      </c>
      <c r="AE27" s="102">
        <f t="shared" si="1"/>
        <v>1138300.7115474755</v>
      </c>
      <c r="AF27" s="102">
        <f t="shared" si="1"/>
        <v>1138300.7115474755</v>
      </c>
      <c r="AG27" s="102">
        <f t="shared" si="1"/>
        <v>1138300.7115474755</v>
      </c>
      <c r="AH27" s="102">
        <f t="shared" si="1"/>
        <v>1138300.7115474755</v>
      </c>
      <c r="AI27" s="102">
        <f t="shared" si="1"/>
        <v>1138300.7115474755</v>
      </c>
      <c r="AJ27" s="102">
        <f t="shared" si="1"/>
        <v>1138300.7115474755</v>
      </c>
      <c r="AK27" s="102">
        <f t="shared" si="1"/>
        <v>1138300.7115474755</v>
      </c>
      <c r="AL27" s="102">
        <f t="shared" si="1"/>
        <v>1138300.7115474755</v>
      </c>
      <c r="AM27" s="39">
        <f>F22-SUM(E27:AL27)</f>
        <v>6614206.0446867272</v>
      </c>
      <c r="AN27" s="102">
        <f>SUM(E27:AM27)</f>
        <v>45517704.079999976</v>
      </c>
      <c r="AO27" s="102"/>
      <c r="AP27" s="206">
        <f>+AM27/AL27</f>
        <v>5.8105964246433368</v>
      </c>
    </row>
    <row r="28" spans="1:42" x14ac:dyDescent="0.2">
      <c r="A28" s="2"/>
      <c r="B28" s="2"/>
      <c r="C28" s="2"/>
      <c r="D28" s="187"/>
      <c r="E28" s="38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39"/>
      <c r="AN28" s="102">
        <f>+AN27-F22</f>
        <v>0</v>
      </c>
      <c r="AO28" s="102"/>
      <c r="AP28" s="207"/>
    </row>
    <row r="29" spans="1:42" x14ac:dyDescent="0.2">
      <c r="A29" s="186">
        <f>A27+1</f>
        <v>2</v>
      </c>
      <c r="B29" s="2" t="s">
        <v>54</v>
      </c>
      <c r="C29" s="2"/>
      <c r="D29" s="187"/>
      <c r="E29" s="38">
        <f>E53</f>
        <v>588630.92836666503</v>
      </c>
      <c r="F29" s="102">
        <f t="shared" ref="F29:AM29" si="2">F53</f>
        <v>438203.40296548838</v>
      </c>
      <c r="G29" s="102">
        <f t="shared" si="2"/>
        <v>422969.30627122481</v>
      </c>
      <c r="H29" s="102">
        <f t="shared" si="2"/>
        <v>408185.23107613128</v>
      </c>
      <c r="I29" s="102">
        <f t="shared" si="2"/>
        <v>393683.45518945251</v>
      </c>
      <c r="J29" s="102">
        <f t="shared" si="2"/>
        <v>379442.89401553944</v>
      </c>
      <c r="K29" s="102">
        <f t="shared" si="2"/>
        <v>365443.92716677394</v>
      </c>
      <c r="L29" s="102">
        <f t="shared" si="2"/>
        <v>351668.39846356917</v>
      </c>
      <c r="M29" s="102">
        <f t="shared" si="2"/>
        <v>338017.62028462242</v>
      </c>
      <c r="N29" s="102">
        <f t="shared" si="2"/>
        <v>324384.70544365619</v>
      </c>
      <c r="O29" s="102">
        <f t="shared" si="2"/>
        <v>310751.79060269013</v>
      </c>
      <c r="P29" s="102">
        <f t="shared" si="2"/>
        <v>297118.87576172402</v>
      </c>
      <c r="Q29" s="102">
        <f t="shared" si="2"/>
        <v>283485.96092075791</v>
      </c>
      <c r="R29" s="102">
        <f t="shared" si="2"/>
        <v>269853.04607979173</v>
      </c>
      <c r="S29" s="102">
        <f t="shared" si="2"/>
        <v>256220.13123882562</v>
      </c>
      <c r="T29" s="102">
        <f t="shared" si="2"/>
        <v>242587.21639785945</v>
      </c>
      <c r="U29" s="102">
        <f t="shared" si="2"/>
        <v>228954.30155689336</v>
      </c>
      <c r="V29" s="102">
        <f t="shared" si="2"/>
        <v>215321.38671592719</v>
      </c>
      <c r="W29" s="102">
        <f t="shared" si="2"/>
        <v>201688.47187496105</v>
      </c>
      <c r="X29" s="102">
        <f t="shared" si="2"/>
        <v>188055.55703399496</v>
      </c>
      <c r="Y29" s="102">
        <f t="shared" si="2"/>
        <v>175075.97181654911</v>
      </c>
      <c r="Z29" s="102">
        <f t="shared" si="2"/>
        <v>163402.75300453769</v>
      </c>
      <c r="AA29" s="102">
        <f t="shared" si="2"/>
        <v>152382.86381604656</v>
      </c>
      <c r="AB29" s="102">
        <f t="shared" si="2"/>
        <v>141362.97462755549</v>
      </c>
      <c r="AC29" s="102">
        <f t="shared" si="2"/>
        <v>130343.08543906438</v>
      </c>
      <c r="AD29" s="102">
        <f t="shared" si="2"/>
        <v>119323.19625057327</v>
      </c>
      <c r="AE29" s="102">
        <f t="shared" si="2"/>
        <v>108303.30706208217</v>
      </c>
      <c r="AF29" s="102">
        <f t="shared" si="2"/>
        <v>97283.417873591039</v>
      </c>
      <c r="AG29" s="102">
        <f t="shared" si="2"/>
        <v>86263.528685099969</v>
      </c>
      <c r="AH29" s="102">
        <f t="shared" si="2"/>
        <v>75243.639496608856</v>
      </c>
      <c r="AI29" s="102">
        <f t="shared" si="2"/>
        <v>64223.750308117706</v>
      </c>
      <c r="AJ29" s="102">
        <f t="shared" si="2"/>
        <v>53203.861119626556</v>
      </c>
      <c r="AK29" s="102">
        <f t="shared" si="2"/>
        <v>42183.971931135398</v>
      </c>
      <c r="AL29" s="102">
        <f t="shared" si="2"/>
        <v>31164.082742644252</v>
      </c>
      <c r="AM29" s="102">
        <f t="shared" si="2"/>
        <v>-6361.9262109074698</v>
      </c>
      <c r="AN29" s="102"/>
      <c r="AO29" s="102"/>
      <c r="AP29" s="207"/>
    </row>
    <row r="30" spans="1:42" x14ac:dyDescent="0.2">
      <c r="A30" s="2"/>
      <c r="B30" s="2"/>
      <c r="C30" s="2"/>
      <c r="D30" s="187"/>
      <c r="E30" s="38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207"/>
    </row>
    <row r="31" spans="1:42" x14ac:dyDescent="0.2">
      <c r="A31" s="2"/>
      <c r="B31" s="2" t="s">
        <v>55</v>
      </c>
      <c r="C31" s="2"/>
      <c r="D31" s="187"/>
      <c r="E31" s="38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207"/>
    </row>
    <row r="32" spans="1:42" x14ac:dyDescent="0.2">
      <c r="A32" s="186">
        <f>A29+1</f>
        <v>3</v>
      </c>
      <c r="B32" s="2"/>
      <c r="C32" s="2"/>
      <c r="D32" s="187"/>
      <c r="E32" s="38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207"/>
    </row>
    <row r="33" spans="1:42" x14ac:dyDescent="0.2">
      <c r="A33" s="186">
        <f>A32+1</f>
        <v>4</v>
      </c>
      <c r="B33" s="2"/>
      <c r="C33" s="12" t="s">
        <v>121</v>
      </c>
      <c r="D33" s="187"/>
      <c r="E33" s="38">
        <f>E49*$J11/12*1+E49*F11/12*11</f>
        <v>1227291.429668664</v>
      </c>
      <c r="F33" s="102">
        <f>F49*$F11</f>
        <v>1069187.3341026548</v>
      </c>
      <c r="G33" s="102">
        <f t="shared" ref="G33:AM33" si="3">G49*$F11</f>
        <v>1032017.1452776162</v>
      </c>
      <c r="H33" s="102">
        <f t="shared" si="3"/>
        <v>995944.97916013817</v>
      </c>
      <c r="I33" s="102">
        <f t="shared" si="3"/>
        <v>960561.604692703</v>
      </c>
      <c r="J33" s="102">
        <f t="shared" si="3"/>
        <v>925815.57685580582</v>
      </c>
      <c r="K33" s="102">
        <f t="shared" si="3"/>
        <v>891659.02320074034</v>
      </c>
      <c r="L33" s="102">
        <f t="shared" si="3"/>
        <v>858047.64384959906</v>
      </c>
      <c r="M33" s="102">
        <f t="shared" si="3"/>
        <v>824740.64753053058</v>
      </c>
      <c r="N33" s="102">
        <f t="shared" si="3"/>
        <v>791477.23657520965</v>
      </c>
      <c r="O33" s="102">
        <f t="shared" si="3"/>
        <v>758213.82561988884</v>
      </c>
      <c r="P33" s="102">
        <f t="shared" si="3"/>
        <v>724950.41466456815</v>
      </c>
      <c r="Q33" s="102">
        <f t="shared" si="3"/>
        <v>691687.00370924722</v>
      </c>
      <c r="R33" s="102">
        <f t="shared" si="3"/>
        <v>658423.59275392629</v>
      </c>
      <c r="S33" s="102">
        <f t="shared" si="3"/>
        <v>625160.1817986056</v>
      </c>
      <c r="T33" s="102">
        <f t="shared" si="3"/>
        <v>591896.77084328455</v>
      </c>
      <c r="U33" s="102">
        <f t="shared" si="3"/>
        <v>558633.35988796386</v>
      </c>
      <c r="V33" s="102">
        <f t="shared" si="3"/>
        <v>525369.94893264293</v>
      </c>
      <c r="W33" s="102">
        <f t="shared" si="3"/>
        <v>492106.53797732206</v>
      </c>
      <c r="X33" s="102">
        <f t="shared" si="3"/>
        <v>458843.12702200131</v>
      </c>
      <c r="Y33" s="102">
        <f t="shared" si="3"/>
        <v>427173.79715718486</v>
      </c>
      <c r="Z33" s="102">
        <f t="shared" si="3"/>
        <v>398691.91495921748</v>
      </c>
      <c r="AA33" s="102">
        <f t="shared" si="3"/>
        <v>371804.11385175458</v>
      </c>
      <c r="AB33" s="102">
        <f t="shared" si="3"/>
        <v>344916.31274429167</v>
      </c>
      <c r="AC33" s="102">
        <f t="shared" si="3"/>
        <v>318028.51163682877</v>
      </c>
      <c r="AD33" s="102">
        <f t="shared" si="3"/>
        <v>291140.71052936587</v>
      </c>
      <c r="AE33" s="102">
        <f t="shared" si="3"/>
        <v>264252.90942190296</v>
      </c>
      <c r="AF33" s="102">
        <f t="shared" si="3"/>
        <v>237365.10831444009</v>
      </c>
      <c r="AG33" s="102">
        <f t="shared" si="3"/>
        <v>210477.30720697719</v>
      </c>
      <c r="AH33" s="102">
        <f t="shared" si="3"/>
        <v>183589.50609951428</v>
      </c>
      <c r="AI33" s="102">
        <f t="shared" si="3"/>
        <v>156701.70499205127</v>
      </c>
      <c r="AJ33" s="102">
        <f t="shared" si="3"/>
        <v>129813.90388458825</v>
      </c>
      <c r="AK33" s="102">
        <f t="shared" si="3"/>
        <v>102926.10277712523</v>
      </c>
      <c r="AL33" s="102">
        <f t="shared" si="3"/>
        <v>76038.301669662222</v>
      </c>
      <c r="AM33" s="102">
        <f t="shared" si="3"/>
        <v>-15522.679374841993</v>
      </c>
      <c r="AN33" s="102"/>
      <c r="AO33" s="102"/>
      <c r="AP33" s="207"/>
    </row>
    <row r="34" spans="1:42" x14ac:dyDescent="0.2">
      <c r="A34" s="186">
        <f>A33+1</f>
        <v>5</v>
      </c>
      <c r="B34" s="2"/>
      <c r="C34" s="2" t="s">
        <v>9</v>
      </c>
      <c r="D34" s="187"/>
      <c r="E34" s="38">
        <f>E49*$J12/12*1+E49*F12/12*11</f>
        <v>1891107.2891529668</v>
      </c>
      <c r="F34" s="100">
        <f>F49*$F12</f>
        <v>1648479.4682987421</v>
      </c>
      <c r="G34" s="100">
        <f t="shared" ref="G34:AM34" si="4">G49*$F12</f>
        <v>1591170.2474012745</v>
      </c>
      <c r="H34" s="100">
        <f t="shared" si="4"/>
        <v>1535553.964524494</v>
      </c>
      <c r="I34" s="100">
        <f t="shared" si="4"/>
        <v>1480999.6647603214</v>
      </c>
      <c r="J34" s="100">
        <f t="shared" si="4"/>
        <v>1427428.0298679818</v>
      </c>
      <c r="K34" s="100">
        <f t="shared" si="4"/>
        <v>1374765.249817864</v>
      </c>
      <c r="L34" s="100">
        <f t="shared" si="4"/>
        <v>1322943.0227915223</v>
      </c>
      <c r="M34" s="100">
        <f t="shared" si="4"/>
        <v>1271590.0953564369</v>
      </c>
      <c r="N34" s="100">
        <f t="shared" si="4"/>
        <v>1220304.368097564</v>
      </c>
      <c r="O34" s="100">
        <f t="shared" si="4"/>
        <v>1169018.6408386915</v>
      </c>
      <c r="P34" s="100">
        <f t="shared" si="4"/>
        <v>1117732.913579819</v>
      </c>
      <c r="Q34" s="100">
        <f t="shared" si="4"/>
        <v>1066447.1863209466</v>
      </c>
      <c r="R34" s="100">
        <f t="shared" si="4"/>
        <v>1015161.4590620737</v>
      </c>
      <c r="S34" s="100">
        <f t="shared" si="4"/>
        <v>963875.73180320126</v>
      </c>
      <c r="T34" s="100">
        <f t="shared" si="4"/>
        <v>912590.00454432843</v>
      </c>
      <c r="U34" s="100">
        <f t="shared" si="4"/>
        <v>861304.27728545596</v>
      </c>
      <c r="V34" s="100">
        <f t="shared" si="4"/>
        <v>810018.55002658325</v>
      </c>
      <c r="W34" s="100">
        <f t="shared" si="4"/>
        <v>758732.82276771066</v>
      </c>
      <c r="X34" s="100">
        <f t="shared" si="4"/>
        <v>707447.09550883819</v>
      </c>
      <c r="Y34" s="100">
        <f t="shared" si="4"/>
        <v>658619.13207178004</v>
      </c>
      <c r="Z34" s="100">
        <f t="shared" si="4"/>
        <v>614705.59463611804</v>
      </c>
      <c r="AA34" s="100">
        <f t="shared" si="4"/>
        <v>573249.82102227048</v>
      </c>
      <c r="AB34" s="100">
        <f t="shared" si="4"/>
        <v>531794.04740842304</v>
      </c>
      <c r="AC34" s="100">
        <f t="shared" si="4"/>
        <v>490338.27379457554</v>
      </c>
      <c r="AD34" s="100">
        <f t="shared" si="4"/>
        <v>448882.50018072804</v>
      </c>
      <c r="AE34" s="100">
        <f t="shared" si="4"/>
        <v>407426.72656688053</v>
      </c>
      <c r="AF34" s="100">
        <f t="shared" si="4"/>
        <v>365970.95295303303</v>
      </c>
      <c r="AG34" s="100">
        <f t="shared" si="4"/>
        <v>324515.17933918559</v>
      </c>
      <c r="AH34" s="100">
        <f t="shared" si="4"/>
        <v>283059.40572533809</v>
      </c>
      <c r="AI34" s="100">
        <f t="shared" si="4"/>
        <v>241603.63211149041</v>
      </c>
      <c r="AJ34" s="100">
        <f t="shared" si="4"/>
        <v>200147.85849764277</v>
      </c>
      <c r="AK34" s="100">
        <f t="shared" si="4"/>
        <v>158692.08488379509</v>
      </c>
      <c r="AL34" s="100">
        <f t="shared" si="4"/>
        <v>117236.31126994743</v>
      </c>
      <c r="AM34" s="100">
        <f t="shared" si="4"/>
        <v>-23932.960507699529</v>
      </c>
      <c r="AN34" s="100"/>
      <c r="AO34" s="100"/>
      <c r="AP34" s="207"/>
    </row>
    <row r="35" spans="1:42" x14ac:dyDescent="0.2">
      <c r="A35" s="186">
        <f>A34+1</f>
        <v>6</v>
      </c>
      <c r="B35" s="2"/>
      <c r="C35" s="2" t="s">
        <v>58</v>
      </c>
      <c r="D35" s="187"/>
      <c r="E35" s="208">
        <f>E32+E33+E34</f>
        <v>3118398.7188216308</v>
      </c>
      <c r="F35" s="102">
        <f>F32+F33+F34</f>
        <v>2717666.8024013969</v>
      </c>
      <c r="G35" s="102">
        <f>G32+G33+G34</f>
        <v>2623187.3926788908</v>
      </c>
      <c r="H35" s="102">
        <f t="shared" ref="H35:AM35" si="5">H32+H33+H34</f>
        <v>2531498.943684632</v>
      </c>
      <c r="I35" s="102">
        <f t="shared" si="5"/>
        <v>2441561.2694530245</v>
      </c>
      <c r="J35" s="102">
        <f t="shared" si="5"/>
        <v>2353243.6067237877</v>
      </c>
      <c r="K35" s="102">
        <f t="shared" si="5"/>
        <v>2266424.2730186041</v>
      </c>
      <c r="L35" s="102">
        <f t="shared" si="5"/>
        <v>2180990.6666411213</v>
      </c>
      <c r="M35" s="102">
        <f t="shared" si="5"/>
        <v>2096330.7428869675</v>
      </c>
      <c r="N35" s="102">
        <f t="shared" si="5"/>
        <v>2011781.6046727737</v>
      </c>
      <c r="O35" s="102">
        <f t="shared" si="5"/>
        <v>1927232.4664585805</v>
      </c>
      <c r="P35" s="102">
        <f t="shared" si="5"/>
        <v>1842683.3282443872</v>
      </c>
      <c r="Q35" s="102">
        <f t="shared" si="5"/>
        <v>1758134.1900301939</v>
      </c>
      <c r="R35" s="102">
        <f t="shared" si="5"/>
        <v>1673585.0518160001</v>
      </c>
      <c r="S35" s="102">
        <f t="shared" si="5"/>
        <v>1589035.9136018069</v>
      </c>
      <c r="T35" s="102">
        <f t="shared" si="5"/>
        <v>1504486.7753876131</v>
      </c>
      <c r="U35" s="102">
        <f t="shared" si="5"/>
        <v>1419937.6371734198</v>
      </c>
      <c r="V35" s="102">
        <f t="shared" si="5"/>
        <v>1335388.4989592261</v>
      </c>
      <c r="W35" s="102">
        <f t="shared" si="5"/>
        <v>1250839.3607450328</v>
      </c>
      <c r="X35" s="102">
        <f t="shared" si="5"/>
        <v>1166290.2225308395</v>
      </c>
      <c r="Y35" s="102">
        <f t="shared" si="5"/>
        <v>1085792.929228965</v>
      </c>
      <c r="Z35" s="102">
        <f t="shared" si="5"/>
        <v>1013397.5095953355</v>
      </c>
      <c r="AA35" s="102">
        <f t="shared" si="5"/>
        <v>945053.93487402506</v>
      </c>
      <c r="AB35" s="102">
        <f t="shared" si="5"/>
        <v>876710.36015271465</v>
      </c>
      <c r="AC35" s="102">
        <f t="shared" si="5"/>
        <v>808366.78543140437</v>
      </c>
      <c r="AD35" s="102">
        <f t="shared" si="5"/>
        <v>740023.21071009384</v>
      </c>
      <c r="AE35" s="102">
        <f t="shared" si="5"/>
        <v>671679.63598878356</v>
      </c>
      <c r="AF35" s="102">
        <f t="shared" si="5"/>
        <v>603336.06126747315</v>
      </c>
      <c r="AG35" s="102">
        <f t="shared" si="5"/>
        <v>534992.48654616275</v>
      </c>
      <c r="AH35" s="102">
        <f t="shared" si="5"/>
        <v>466648.91182485234</v>
      </c>
      <c r="AI35" s="102">
        <f t="shared" si="5"/>
        <v>398305.33710354171</v>
      </c>
      <c r="AJ35" s="102">
        <f t="shared" si="5"/>
        <v>329961.76238223101</v>
      </c>
      <c r="AK35" s="102">
        <f t="shared" si="5"/>
        <v>261618.18766092032</v>
      </c>
      <c r="AL35" s="102">
        <f t="shared" si="5"/>
        <v>193274.61293960965</v>
      </c>
      <c r="AM35" s="102">
        <f t="shared" si="5"/>
        <v>-39455.639882541524</v>
      </c>
      <c r="AN35" s="102"/>
      <c r="AO35" s="102"/>
      <c r="AP35" s="207"/>
    </row>
    <row r="36" spans="1:42" x14ac:dyDescent="0.2">
      <c r="A36" s="2"/>
      <c r="B36" s="2"/>
      <c r="C36" s="2"/>
      <c r="D36" s="187"/>
      <c r="E36" s="38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207"/>
    </row>
    <row r="37" spans="1:42" x14ac:dyDescent="0.2">
      <c r="A37" s="186">
        <f>A35+1</f>
        <v>7</v>
      </c>
      <c r="B37" s="2" t="s">
        <v>59</v>
      </c>
      <c r="C37" s="2"/>
      <c r="D37" s="187"/>
      <c r="E37" s="41">
        <f>E27+E29+E35</f>
        <v>5031121.5981502952</v>
      </c>
      <c r="F37" s="99">
        <f>F27+F29+F35</f>
        <v>4309653.520198904</v>
      </c>
      <c r="G37" s="99">
        <f t="shared" ref="G37:AM37" si="6">G27+G29+G35</f>
        <v>4184457.4104975909</v>
      </c>
      <c r="H37" s="99">
        <f t="shared" si="6"/>
        <v>4077984.8863082388</v>
      </c>
      <c r="I37" s="99">
        <f t="shared" si="6"/>
        <v>3973545.4361899523</v>
      </c>
      <c r="J37" s="99">
        <f t="shared" si="6"/>
        <v>3870987.2122868029</v>
      </c>
      <c r="K37" s="99">
        <f t="shared" si="6"/>
        <v>3770168.9117328534</v>
      </c>
      <c r="L37" s="99">
        <f t="shared" si="6"/>
        <v>3670959.7766521657</v>
      </c>
      <c r="M37" s="99">
        <f t="shared" si="6"/>
        <v>3572649.0747190653</v>
      </c>
      <c r="N37" s="99">
        <f t="shared" si="6"/>
        <v>3474467.0216639056</v>
      </c>
      <c r="O37" s="99">
        <f t="shared" si="6"/>
        <v>3376284.9686087463</v>
      </c>
      <c r="P37" s="99">
        <f t="shared" si="6"/>
        <v>3278102.9155535866</v>
      </c>
      <c r="Q37" s="99">
        <f t="shared" si="6"/>
        <v>3179920.8624984273</v>
      </c>
      <c r="R37" s="99">
        <f t="shared" si="6"/>
        <v>3081738.8094432675</v>
      </c>
      <c r="S37" s="99">
        <f t="shared" si="6"/>
        <v>2983556.7563881082</v>
      </c>
      <c r="T37" s="99">
        <f t="shared" si="6"/>
        <v>2885374.703332948</v>
      </c>
      <c r="U37" s="99">
        <f t="shared" si="6"/>
        <v>2787192.6502777888</v>
      </c>
      <c r="V37" s="99">
        <f t="shared" si="6"/>
        <v>2689010.597222629</v>
      </c>
      <c r="W37" s="99">
        <f t="shared" si="6"/>
        <v>2590828.5441674693</v>
      </c>
      <c r="X37" s="99">
        <f t="shared" si="6"/>
        <v>2492646.49111231</v>
      </c>
      <c r="Y37" s="99">
        <f t="shared" si="6"/>
        <v>2399169.6125929896</v>
      </c>
      <c r="Z37" s="99">
        <f t="shared" si="6"/>
        <v>2315100.9741473487</v>
      </c>
      <c r="AA37" s="99">
        <f t="shared" si="6"/>
        <v>2235737.5102375471</v>
      </c>
      <c r="AB37" s="99">
        <f t="shared" si="6"/>
        <v>2156374.0463277455</v>
      </c>
      <c r="AC37" s="99">
        <f t="shared" si="6"/>
        <v>2077010.5824179442</v>
      </c>
      <c r="AD37" s="99">
        <f t="shared" si="6"/>
        <v>1997647.1185081427</v>
      </c>
      <c r="AE37" s="99">
        <f t="shared" si="6"/>
        <v>1918283.6545983413</v>
      </c>
      <c r="AF37" s="99">
        <f t="shared" si="6"/>
        <v>1838920.1906885398</v>
      </c>
      <c r="AG37" s="99">
        <f t="shared" si="6"/>
        <v>1759556.7267787382</v>
      </c>
      <c r="AH37" s="99">
        <f t="shared" si="6"/>
        <v>1680193.2628689366</v>
      </c>
      <c r="AI37" s="99">
        <f t="shared" si="6"/>
        <v>1600829.7989591348</v>
      </c>
      <c r="AJ37" s="99">
        <f t="shared" si="6"/>
        <v>1521466.3350493331</v>
      </c>
      <c r="AK37" s="99">
        <f t="shared" si="6"/>
        <v>1442102.8711395315</v>
      </c>
      <c r="AL37" s="99">
        <f t="shared" si="6"/>
        <v>1362739.4072297295</v>
      </c>
      <c r="AM37" s="99">
        <f t="shared" si="6"/>
        <v>6568388.4785932787</v>
      </c>
      <c r="AN37" s="99"/>
      <c r="AO37" s="99"/>
      <c r="AP37" s="209"/>
    </row>
    <row r="38" spans="1:42" x14ac:dyDescent="0.2">
      <c r="A38" s="186">
        <f>A37+1</f>
        <v>8</v>
      </c>
      <c r="B38" s="2" t="s">
        <v>60</v>
      </c>
      <c r="C38" s="2"/>
      <c r="D38" s="187"/>
      <c r="E38" s="40">
        <f>E37/(1-$J16)-E37</f>
        <v>239618.38092889823</v>
      </c>
      <c r="F38" s="100">
        <f>F37/(1-$F16)-F37</f>
        <v>205256.85550002474</v>
      </c>
      <c r="G38" s="100">
        <f t="shared" ref="G38:AM38" si="7">G37/(1-$F16)-G37</f>
        <v>199294.11170224939</v>
      </c>
      <c r="H38" s="100">
        <f t="shared" si="7"/>
        <v>194223.12040101644</v>
      </c>
      <c r="I38" s="100">
        <f t="shared" si="7"/>
        <v>189248.95878432039</v>
      </c>
      <c r="J38" s="100">
        <f t="shared" si="7"/>
        <v>184364.39475954091</v>
      </c>
      <c r="K38" s="100">
        <f t="shared" si="7"/>
        <v>179562.69846271072</v>
      </c>
      <c r="L38" s="100">
        <f t="shared" si="7"/>
        <v>174837.64225851744</v>
      </c>
      <c r="M38" s="100">
        <f t="shared" si="7"/>
        <v>170155.37593566533</v>
      </c>
      <c r="N38" s="100">
        <f t="shared" si="7"/>
        <v>165479.23680239497</v>
      </c>
      <c r="O38" s="100">
        <f t="shared" si="7"/>
        <v>160803.0976691246</v>
      </c>
      <c r="P38" s="100">
        <f t="shared" si="7"/>
        <v>156126.95853585424</v>
      </c>
      <c r="Q38" s="100">
        <f t="shared" si="7"/>
        <v>151450.81940258387</v>
      </c>
      <c r="R38" s="100">
        <f t="shared" si="7"/>
        <v>146774.68026931351</v>
      </c>
      <c r="S38" s="100">
        <f t="shared" si="7"/>
        <v>142098.54113604315</v>
      </c>
      <c r="T38" s="100">
        <f t="shared" si="7"/>
        <v>137422.40200277232</v>
      </c>
      <c r="U38" s="100">
        <f t="shared" si="7"/>
        <v>132746.26286950195</v>
      </c>
      <c r="V38" s="100">
        <f t="shared" si="7"/>
        <v>128070.12373623159</v>
      </c>
      <c r="W38" s="100">
        <f t="shared" si="7"/>
        <v>123393.98460296122</v>
      </c>
      <c r="X38" s="100">
        <f t="shared" si="7"/>
        <v>118717.84546969086</v>
      </c>
      <c r="Y38" s="100">
        <f t="shared" si="7"/>
        <v>114265.80076194182</v>
      </c>
      <c r="Z38" s="100">
        <f t="shared" si="7"/>
        <v>110261.84445950482</v>
      </c>
      <c r="AA38" s="100">
        <f t="shared" si="7"/>
        <v>106481.98258258915</v>
      </c>
      <c r="AB38" s="100">
        <f t="shared" si="7"/>
        <v>102702.12070567347</v>
      </c>
      <c r="AC38" s="100">
        <f t="shared" si="7"/>
        <v>98922.258828757564</v>
      </c>
      <c r="AD38" s="100">
        <f t="shared" si="7"/>
        <v>95142.396951841889</v>
      </c>
      <c r="AE38" s="100">
        <f t="shared" si="7"/>
        <v>91362.535074925981</v>
      </c>
      <c r="AF38" s="100">
        <f t="shared" si="7"/>
        <v>87582.673198010307</v>
      </c>
      <c r="AG38" s="100">
        <f t="shared" si="7"/>
        <v>83802.811321094632</v>
      </c>
      <c r="AH38" s="100">
        <f t="shared" si="7"/>
        <v>80022.949444178957</v>
      </c>
      <c r="AI38" s="100">
        <f t="shared" si="7"/>
        <v>76243.08756726305</v>
      </c>
      <c r="AJ38" s="100">
        <f t="shared" si="7"/>
        <v>72463.225690347375</v>
      </c>
      <c r="AK38" s="100">
        <f t="shared" si="7"/>
        <v>68683.363813431701</v>
      </c>
      <c r="AL38" s="100">
        <f t="shared" si="7"/>
        <v>64903.501936515793</v>
      </c>
      <c r="AM38" s="100">
        <f t="shared" si="7"/>
        <v>312834.14281443786</v>
      </c>
      <c r="AN38" s="100"/>
      <c r="AO38" s="100"/>
      <c r="AP38" s="207"/>
    </row>
    <row r="39" spans="1:42" x14ac:dyDescent="0.2">
      <c r="A39" s="186">
        <f>A38+1</f>
        <v>9</v>
      </c>
      <c r="B39" s="2"/>
      <c r="C39" s="2" t="s">
        <v>61</v>
      </c>
      <c r="D39" s="187"/>
      <c r="E39" s="41">
        <f>SUM(E37:E38)</f>
        <v>5270739.9790791934</v>
      </c>
      <c r="F39" s="99">
        <f t="shared" ref="F39:AM39" si="8">SUM(F37:F38)</f>
        <v>4514910.3756989287</v>
      </c>
      <c r="G39" s="99">
        <f t="shared" si="8"/>
        <v>4383751.5221998403</v>
      </c>
      <c r="H39" s="99">
        <f t="shared" si="8"/>
        <v>4272208.0067092553</v>
      </c>
      <c r="I39" s="99">
        <f t="shared" si="8"/>
        <v>4162794.3949742727</v>
      </c>
      <c r="J39" s="99">
        <f t="shared" si="8"/>
        <v>4055351.6070463439</v>
      </c>
      <c r="K39" s="99">
        <f t="shared" si="8"/>
        <v>3949731.6101955641</v>
      </c>
      <c r="L39" s="99">
        <f t="shared" si="8"/>
        <v>3845797.4189106831</v>
      </c>
      <c r="M39" s="99">
        <f t="shared" si="8"/>
        <v>3742804.4506547307</v>
      </c>
      <c r="N39" s="99">
        <f t="shared" si="8"/>
        <v>3639946.2584663006</v>
      </c>
      <c r="O39" s="99">
        <f t="shared" si="8"/>
        <v>3537088.0662778709</v>
      </c>
      <c r="P39" s="99">
        <f t="shared" si="8"/>
        <v>3434229.8740894408</v>
      </c>
      <c r="Q39" s="99">
        <f t="shared" si="8"/>
        <v>3331371.6819010112</v>
      </c>
      <c r="R39" s="99">
        <f t="shared" si="8"/>
        <v>3228513.489712581</v>
      </c>
      <c r="S39" s="99">
        <f t="shared" si="8"/>
        <v>3125655.2975241514</v>
      </c>
      <c r="T39" s="99">
        <f t="shared" si="8"/>
        <v>3022797.1053357203</v>
      </c>
      <c r="U39" s="99">
        <f t="shared" si="8"/>
        <v>2919938.9131472907</v>
      </c>
      <c r="V39" s="99">
        <f t="shared" si="8"/>
        <v>2817080.7209588606</v>
      </c>
      <c r="W39" s="99">
        <f t="shared" si="8"/>
        <v>2714222.5287704305</v>
      </c>
      <c r="X39" s="99">
        <f t="shared" si="8"/>
        <v>2611364.3365820008</v>
      </c>
      <c r="Y39" s="99">
        <f t="shared" si="8"/>
        <v>2513435.4133549314</v>
      </c>
      <c r="Z39" s="99">
        <f t="shared" si="8"/>
        <v>2425362.8186068535</v>
      </c>
      <c r="AA39" s="99">
        <f t="shared" si="8"/>
        <v>2342219.4928201362</v>
      </c>
      <c r="AB39" s="99">
        <f t="shared" si="8"/>
        <v>2259076.167033419</v>
      </c>
      <c r="AC39" s="99">
        <f t="shared" si="8"/>
        <v>2175932.8412467018</v>
      </c>
      <c r="AD39" s="99">
        <f t="shared" si="8"/>
        <v>2092789.5154599845</v>
      </c>
      <c r="AE39" s="99">
        <f t="shared" si="8"/>
        <v>2009646.1896732673</v>
      </c>
      <c r="AF39" s="99">
        <f t="shared" si="8"/>
        <v>1926502.8638865501</v>
      </c>
      <c r="AG39" s="99">
        <f t="shared" si="8"/>
        <v>1843359.5380998328</v>
      </c>
      <c r="AH39" s="99">
        <f t="shared" si="8"/>
        <v>1760216.2123131156</v>
      </c>
      <c r="AI39" s="99">
        <f t="shared" si="8"/>
        <v>1677072.8865263979</v>
      </c>
      <c r="AJ39" s="99">
        <f t="shared" si="8"/>
        <v>1593929.5607396804</v>
      </c>
      <c r="AK39" s="99">
        <f t="shared" si="8"/>
        <v>1510786.2349529632</v>
      </c>
      <c r="AL39" s="99">
        <f t="shared" si="8"/>
        <v>1427642.9091662453</v>
      </c>
      <c r="AM39" s="99">
        <f t="shared" si="8"/>
        <v>6881222.6214077165</v>
      </c>
      <c r="AN39" s="99"/>
      <c r="AO39" s="99"/>
      <c r="AP39" s="207"/>
    </row>
    <row r="40" spans="1:42" x14ac:dyDescent="0.2">
      <c r="A40" s="186">
        <f t="shared" ref="A40:A66" si="9">A39+1</f>
        <v>10</v>
      </c>
      <c r="B40" s="2"/>
      <c r="C40" s="2"/>
      <c r="D40" s="187"/>
      <c r="E40" s="41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207"/>
    </row>
    <row r="41" spans="1:42" x14ac:dyDescent="0.2">
      <c r="A41" s="186">
        <f t="shared" si="9"/>
        <v>11</v>
      </c>
      <c r="B41" s="2"/>
      <c r="C41" s="2"/>
      <c r="D41" s="187"/>
      <c r="E41" s="38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207"/>
    </row>
    <row r="42" spans="1:42" x14ac:dyDescent="0.2">
      <c r="A42" s="186">
        <f t="shared" si="9"/>
        <v>12</v>
      </c>
      <c r="B42" s="2" t="s">
        <v>62</v>
      </c>
      <c r="C42" s="2"/>
      <c r="D42" s="203" t="s">
        <v>187</v>
      </c>
      <c r="E42" s="40">
        <f>E39</f>
        <v>5270739.9790791934</v>
      </c>
      <c r="F42" s="100">
        <f>F39</f>
        <v>4514910.3756989287</v>
      </c>
      <c r="G42" s="100">
        <f t="shared" ref="G42:AM42" si="10">G39</f>
        <v>4383751.5221998403</v>
      </c>
      <c r="H42" s="100">
        <f t="shared" si="10"/>
        <v>4272208.0067092553</v>
      </c>
      <c r="I42" s="100">
        <f t="shared" si="10"/>
        <v>4162794.3949742727</v>
      </c>
      <c r="J42" s="100">
        <f t="shared" si="10"/>
        <v>4055351.6070463439</v>
      </c>
      <c r="K42" s="100">
        <f t="shared" si="10"/>
        <v>3949731.6101955641</v>
      </c>
      <c r="L42" s="100">
        <f t="shared" si="10"/>
        <v>3845797.4189106831</v>
      </c>
      <c r="M42" s="100">
        <f t="shared" si="10"/>
        <v>3742804.4506547307</v>
      </c>
      <c r="N42" s="100">
        <f t="shared" si="10"/>
        <v>3639946.2584663006</v>
      </c>
      <c r="O42" s="100">
        <f t="shared" si="10"/>
        <v>3537088.0662778709</v>
      </c>
      <c r="P42" s="100">
        <f t="shared" si="10"/>
        <v>3434229.8740894408</v>
      </c>
      <c r="Q42" s="100">
        <f t="shared" si="10"/>
        <v>3331371.6819010112</v>
      </c>
      <c r="R42" s="100">
        <f t="shared" si="10"/>
        <v>3228513.489712581</v>
      </c>
      <c r="S42" s="100">
        <f t="shared" si="10"/>
        <v>3125655.2975241514</v>
      </c>
      <c r="T42" s="100">
        <f t="shared" si="10"/>
        <v>3022797.1053357203</v>
      </c>
      <c r="U42" s="100">
        <f t="shared" si="10"/>
        <v>2919938.9131472907</v>
      </c>
      <c r="V42" s="100">
        <f t="shared" si="10"/>
        <v>2817080.7209588606</v>
      </c>
      <c r="W42" s="100">
        <f t="shared" si="10"/>
        <v>2714222.5287704305</v>
      </c>
      <c r="X42" s="100">
        <f t="shared" si="10"/>
        <v>2611364.3365820008</v>
      </c>
      <c r="Y42" s="100">
        <f t="shared" si="10"/>
        <v>2513435.4133549314</v>
      </c>
      <c r="Z42" s="100">
        <f t="shared" si="10"/>
        <v>2425362.8186068535</v>
      </c>
      <c r="AA42" s="100">
        <f t="shared" si="10"/>
        <v>2342219.4928201362</v>
      </c>
      <c r="AB42" s="100">
        <f t="shared" si="10"/>
        <v>2259076.167033419</v>
      </c>
      <c r="AC42" s="100">
        <f t="shared" si="10"/>
        <v>2175932.8412467018</v>
      </c>
      <c r="AD42" s="100">
        <f t="shared" si="10"/>
        <v>2092789.5154599845</v>
      </c>
      <c r="AE42" s="100">
        <f t="shared" si="10"/>
        <v>2009646.1896732673</v>
      </c>
      <c r="AF42" s="100">
        <f t="shared" si="10"/>
        <v>1926502.8638865501</v>
      </c>
      <c r="AG42" s="100">
        <f t="shared" si="10"/>
        <v>1843359.5380998328</v>
      </c>
      <c r="AH42" s="100">
        <f t="shared" si="10"/>
        <v>1760216.2123131156</v>
      </c>
      <c r="AI42" s="100">
        <f t="shared" si="10"/>
        <v>1677072.8865263979</v>
      </c>
      <c r="AJ42" s="100">
        <f t="shared" si="10"/>
        <v>1593929.5607396804</v>
      </c>
      <c r="AK42" s="100">
        <f t="shared" si="10"/>
        <v>1510786.2349529632</v>
      </c>
      <c r="AL42" s="100">
        <f t="shared" si="10"/>
        <v>1427642.9091662453</v>
      </c>
      <c r="AM42" s="100">
        <f t="shared" si="10"/>
        <v>6881222.6214077165</v>
      </c>
      <c r="AN42" s="100"/>
      <c r="AO42" s="100"/>
      <c r="AP42" s="207"/>
    </row>
    <row r="43" spans="1:42" x14ac:dyDescent="0.2">
      <c r="A43" s="186">
        <f t="shared" si="9"/>
        <v>13</v>
      </c>
      <c r="B43" s="2"/>
      <c r="C43" s="2"/>
      <c r="D43" s="210"/>
      <c r="E43" s="211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187"/>
    </row>
    <row r="44" spans="1:42" outlineLevel="1" x14ac:dyDescent="0.2">
      <c r="A44" s="186">
        <f t="shared" si="9"/>
        <v>14</v>
      </c>
      <c r="B44" s="2"/>
      <c r="C44" s="2"/>
      <c r="D44" s="187"/>
      <c r="E44" s="43"/>
      <c r="F44" s="187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187"/>
    </row>
    <row r="45" spans="1:42" outlineLevel="1" x14ac:dyDescent="0.2">
      <c r="A45" s="186">
        <f t="shared" si="9"/>
        <v>15</v>
      </c>
      <c r="B45" s="2" t="s">
        <v>63</v>
      </c>
      <c r="C45" s="187"/>
      <c r="D45" s="187"/>
      <c r="E45" s="45">
        <f>+E42/$F$22</f>
        <v>0.11579538304075192</v>
      </c>
      <c r="F45" s="101">
        <f t="shared" ref="F45:AM45" si="11">+F42/$F$22</f>
        <v>9.919020449194263E-2</v>
      </c>
      <c r="G45" s="101">
        <f t="shared" si="11"/>
        <v>9.6308713517165662E-2</v>
      </c>
      <c r="H45" s="101">
        <f t="shared" si="11"/>
        <v>9.3858161193732539E-2</v>
      </c>
      <c r="I45" s="101">
        <f t="shared" si="11"/>
        <v>9.1454401734716737E-2</v>
      </c>
      <c r="J45" s="101">
        <f t="shared" si="11"/>
        <v>8.9093940237381722E-2</v>
      </c>
      <c r="K45" s="101">
        <f t="shared" si="11"/>
        <v>8.6773524500569812E-2</v>
      </c>
      <c r="L45" s="101">
        <f t="shared" si="11"/>
        <v>8.449014502470234E-2</v>
      </c>
      <c r="M45" s="101">
        <f t="shared" si="11"/>
        <v>8.2227443723359536E-2</v>
      </c>
      <c r="N45" s="101">
        <f t="shared" si="11"/>
        <v>7.9967703381279648E-2</v>
      </c>
      <c r="O45" s="101">
        <f t="shared" si="11"/>
        <v>7.7707963039199773E-2</v>
      </c>
      <c r="P45" s="101">
        <f t="shared" si="11"/>
        <v>7.5448222697119885E-2</v>
      </c>
      <c r="Q45" s="101">
        <f t="shared" si="11"/>
        <v>7.318848235504001E-2</v>
      </c>
      <c r="R45" s="101">
        <f t="shared" si="11"/>
        <v>7.0928742012960136E-2</v>
      </c>
      <c r="S45" s="101">
        <f t="shared" si="11"/>
        <v>6.8669001670880261E-2</v>
      </c>
      <c r="T45" s="101">
        <f t="shared" si="11"/>
        <v>6.6409261328800345E-2</v>
      </c>
      <c r="U45" s="101">
        <f t="shared" si="11"/>
        <v>6.4149520986720471E-2</v>
      </c>
      <c r="V45" s="101">
        <f t="shared" si="11"/>
        <v>6.1889780644640589E-2</v>
      </c>
      <c r="W45" s="101">
        <f t="shared" si="11"/>
        <v>5.9630040302560708E-2</v>
      </c>
      <c r="X45" s="101">
        <f t="shared" si="11"/>
        <v>5.7370299960480833E-2</v>
      </c>
      <c r="Y45" s="101">
        <f t="shared" si="11"/>
        <v>5.5218853062918648E-2</v>
      </c>
      <c r="Z45" s="101">
        <f t="shared" si="11"/>
        <v>5.3283944514076087E-2</v>
      </c>
      <c r="AA45" s="101">
        <f t="shared" si="11"/>
        <v>5.1457329409751229E-2</v>
      </c>
      <c r="AB45" s="101">
        <f t="shared" si="11"/>
        <v>4.9630714305426371E-2</v>
      </c>
      <c r="AC45" s="101">
        <f t="shared" si="11"/>
        <v>4.7804099201101513E-2</v>
      </c>
      <c r="AD45" s="101">
        <f t="shared" si="11"/>
        <v>4.5977484096776648E-2</v>
      </c>
      <c r="AE45" s="101">
        <f t="shared" si="11"/>
        <v>4.415086899245179E-2</v>
      </c>
      <c r="AF45" s="101">
        <f t="shared" si="11"/>
        <v>4.2324253888126932E-2</v>
      </c>
      <c r="AG45" s="101">
        <f t="shared" si="11"/>
        <v>4.0497638783802074E-2</v>
      </c>
      <c r="AH45" s="101">
        <f t="shared" si="11"/>
        <v>3.8671023679477209E-2</v>
      </c>
      <c r="AI45" s="101">
        <f t="shared" si="11"/>
        <v>3.6844408575152345E-2</v>
      </c>
      <c r="AJ45" s="101">
        <f t="shared" si="11"/>
        <v>3.501779347082748E-2</v>
      </c>
      <c r="AK45" s="101">
        <f t="shared" si="11"/>
        <v>3.3191178366502622E-2</v>
      </c>
      <c r="AL45" s="101">
        <f t="shared" si="11"/>
        <v>3.1364563262177743E-2</v>
      </c>
      <c r="AM45" s="101">
        <f t="shared" si="11"/>
        <v>0.15117683900122847</v>
      </c>
      <c r="AN45" s="101"/>
      <c r="AO45" s="101"/>
      <c r="AP45" s="187"/>
    </row>
    <row r="46" spans="1:42" outlineLevel="1" x14ac:dyDescent="0.2">
      <c r="A46" s="186">
        <f t="shared" si="9"/>
        <v>16</v>
      </c>
      <c r="B46" s="2"/>
      <c r="C46" s="2"/>
      <c r="D46" s="187"/>
      <c r="E46" s="43"/>
      <c r="F46" s="187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187"/>
    </row>
    <row r="47" spans="1:42" outlineLevel="1" x14ac:dyDescent="0.2">
      <c r="A47" s="186">
        <f t="shared" si="9"/>
        <v>17</v>
      </c>
      <c r="B47" s="2"/>
      <c r="C47" s="2"/>
      <c r="D47" s="187"/>
      <c r="E47" s="43">
        <f>+E27/2</f>
        <v>662045.97548099968</v>
      </c>
      <c r="F47" s="102">
        <f>E57+F57/2</f>
        <v>1900983.6083780089</v>
      </c>
      <c r="G47" s="102">
        <f>SUM($E$57:F57)+G57/2</f>
        <v>3047025.6215677559</v>
      </c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187"/>
    </row>
    <row r="48" spans="1:42" outlineLevel="1" x14ac:dyDescent="0.2">
      <c r="A48" s="186">
        <f t="shared" si="9"/>
        <v>18</v>
      </c>
      <c r="B48" s="2"/>
      <c r="C48" s="2"/>
      <c r="D48" s="187"/>
      <c r="E48" s="43">
        <f>+E60/2</f>
        <v>3900437.9820941482</v>
      </c>
      <c r="F48" s="102">
        <f>E60+F60/2</f>
        <v>7857946.7558141137</v>
      </c>
      <c r="G48" s="102">
        <f>SUM($E$60:$F$60)+G60/2</f>
        <v>7955054.8705520807</v>
      </c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187"/>
    </row>
    <row r="49" spans="1:42" x14ac:dyDescent="0.2">
      <c r="A49" s="186">
        <f t="shared" si="9"/>
        <v>19</v>
      </c>
      <c r="B49" s="46" t="s">
        <v>64</v>
      </c>
      <c r="C49" s="2"/>
      <c r="D49" s="187"/>
      <c r="E49" s="41">
        <f>F22-E27/2-E60/2</f>
        <v>40955220.122424833</v>
      </c>
      <c r="F49" s="212">
        <f>$F$22-(SUM($E$27:E27)+F27/2)-(SUM($E$60:E60)+F60/2)</f>
        <v>35758773.715807855</v>
      </c>
      <c r="G49" s="212">
        <f>$F$22-(SUM($E$27:F27)+G27/2)-(SUM($E$60:F60)+G60/2)</f>
        <v>34515623.587880142</v>
      </c>
      <c r="H49" s="212">
        <f>$F$22-(SUM($E$27:G27)+H27/2)-(SUM($E$60:G60)+H60/2)</f>
        <v>33309196.62742937</v>
      </c>
      <c r="I49" s="212">
        <f>$F$22-(SUM($E$27:H27)+I27/2)-(SUM($E$60:H60)+I60/2)</f>
        <v>32125806.177013479</v>
      </c>
      <c r="J49" s="212">
        <f>$F$22-(SUM($E$27:I27)+J27/2)-(SUM($E$60:I60)+J60/2)</f>
        <v>30963731.667418256</v>
      </c>
      <c r="K49" s="212">
        <f>$F$22-(SUM($E$27:J27)+K27/2)-(SUM($E$60:J60)+K60/2)</f>
        <v>29821372.013402689</v>
      </c>
      <c r="L49" s="212">
        <f>$F$22-(SUM($E$27:K27)+L27/2)-(SUM($E$60:K60)+L60/2)</f>
        <v>28697245.613698967</v>
      </c>
      <c r="M49" s="212">
        <f>$F$22-(SUM($E$27:L27)+M27/2)-(SUM($E$60:L60)+M60/2)</f>
        <v>27583299.24851273</v>
      </c>
      <c r="N49" s="212">
        <f>$F$22-(SUM($E$27:M27)+N27/2)-(SUM($E$60:M60)+N60/2)</f>
        <v>26470810.587799653</v>
      </c>
      <c r="O49" s="212">
        <f>$F$22-(SUM($E$27:N27)+O27/2)-(SUM($E$60:N60)+O60/2)</f>
        <v>25358321.927086584</v>
      </c>
      <c r="P49" s="212">
        <f>$F$22-(SUM($E$27:O27)+P27/2)-(SUM($E$60:O60)+P60/2)</f>
        <v>24245833.266373515</v>
      </c>
      <c r="Q49" s="212">
        <f>$F$22-(SUM($E$27:P27)+Q27/2)-(SUM($E$60:P60)+Q60/2)</f>
        <v>23133344.605660442</v>
      </c>
      <c r="R49" s="212">
        <f>$F$22-(SUM($E$27:Q27)+R27/2)-(SUM($E$60:Q60)+R60/2)</f>
        <v>22020855.944947369</v>
      </c>
      <c r="S49" s="212">
        <f>$F$22-(SUM($E$27:R27)+S27/2)-(SUM($E$60:R60)+S60/2)</f>
        <v>20908367.2842343</v>
      </c>
      <c r="T49" s="212">
        <f>$F$22-(SUM($E$27:S27)+T27/2)-(SUM($E$60:S60)+T60/2)</f>
        <v>19795878.623521224</v>
      </c>
      <c r="U49" s="212">
        <f>$F$22-(SUM($E$27:T27)+U27/2)-(SUM($E$60:T60)+U60/2)</f>
        <v>18683389.962808155</v>
      </c>
      <c r="V49" s="212">
        <f>$F$22-(SUM($E$27:U27)+V27/2)-(SUM($E$60:U60)+V60/2)</f>
        <v>17570901.302095082</v>
      </c>
      <c r="W49" s="212">
        <f>$F$22-(SUM($E$27:V27)+W27/2)-(SUM($E$60:V60)+W60/2)</f>
        <v>16458412.641382009</v>
      </c>
      <c r="X49" s="212">
        <f>$F$22-(SUM($E$27:W27)+X27/2)-(SUM($E$60:W60)+X60/2)</f>
        <v>15345923.98066894</v>
      </c>
      <c r="Y49" s="212">
        <f>$F$22-(SUM($E$27:X27)+Y27/2)-(SUM($E$60:X60)+Y60/2)</f>
        <v>14286749.06880217</v>
      </c>
      <c r="Z49" s="212">
        <f>$F$22-(SUM($E$27:Y27)+Z27/2)-(SUM($E$60:Y60)+Z60/2)</f>
        <v>13334177.757833362</v>
      </c>
      <c r="AA49" s="212">
        <f>$F$22-(SUM($E$27:Z27)+AA27/2)-(SUM($E$60:Z60)+AA60/2)</f>
        <v>12434920.195710856</v>
      </c>
      <c r="AB49" s="212">
        <f>$F$22-(SUM($E$27:AA27)+AB27/2)-(SUM($E$60:AA60)+AB60/2)</f>
        <v>11535662.633588351</v>
      </c>
      <c r="AC49" s="212">
        <f>$F$22-(SUM($E$27:AB27)+AC27/2)-(SUM($E$60:AB60)+AC60/2)</f>
        <v>10636405.071465846</v>
      </c>
      <c r="AD49" s="212">
        <f>$F$22-(SUM($E$27:AC27)+AD27/2)-(SUM($E$60:AC60)+AD60/2)</f>
        <v>9737147.509343341</v>
      </c>
      <c r="AE49" s="212">
        <f>$F$22-(SUM($E$27:AD27)+AE27/2)-(SUM($E$60:AD60)+AE60/2)</f>
        <v>8837889.9472208358</v>
      </c>
      <c r="AF49" s="212">
        <f>$F$22-(SUM($E$27:AE27)+AF27/2)-(SUM($E$60:AE60)+AF60/2)</f>
        <v>7938632.3850983307</v>
      </c>
      <c r="AG49" s="212">
        <f>$F$22-(SUM($E$27:AF27)+AG27/2)-(SUM($E$60:AF60)+AG60/2)</f>
        <v>7039374.8229758255</v>
      </c>
      <c r="AH49" s="212">
        <f>$F$22-(SUM($E$27:AG27)+AH27/2)-(SUM($E$60:AG60)+AH60/2)</f>
        <v>6140117.2608533204</v>
      </c>
      <c r="AI49" s="212">
        <f>$F$22-(SUM($E$27:AH27)+AI27/2)-(SUM($E$60:AH60)+AI60/2)</f>
        <v>5240859.6987308115</v>
      </c>
      <c r="AJ49" s="212">
        <f>$F$22-(SUM($E$27:AI27)+AJ27/2)-(SUM($E$60:AI60)+AJ60/2)</f>
        <v>4341602.1366083026</v>
      </c>
      <c r="AK49" s="212">
        <f>$F$22-(SUM($E$27:AJ27)+AK27/2)-(SUM($E$60:AJ60)+AK60/2)</f>
        <v>3442344.5744857937</v>
      </c>
      <c r="AL49" s="212">
        <f>$F$22-(SUM($E$27:AK27)+AL27/2)-(SUM($E$60:AK60)+AL60/2)</f>
        <v>2543087.0123632848</v>
      </c>
      <c r="AM49" s="212">
        <f>$F$22-(SUM($E$27:AL27)+AM27/2)-(SUM($E$60:AL60)+AM60/2)</f>
        <v>-519153.15634923056</v>
      </c>
      <c r="AN49" s="99"/>
      <c r="AO49" s="99"/>
      <c r="AP49" s="207"/>
    </row>
    <row r="50" spans="1:42" x14ac:dyDescent="0.2">
      <c r="A50" s="186">
        <f t="shared" si="9"/>
        <v>20</v>
      </c>
      <c r="B50" s="2"/>
      <c r="C50" s="2"/>
      <c r="D50" s="187"/>
      <c r="E50" s="84"/>
      <c r="F50" s="213"/>
      <c r="G50" s="213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207"/>
    </row>
    <row r="51" spans="1:42" x14ac:dyDescent="0.2">
      <c r="A51" s="186">
        <f t="shared" si="9"/>
        <v>21</v>
      </c>
      <c r="B51" s="2"/>
      <c r="C51" s="2"/>
      <c r="D51" s="187"/>
      <c r="E51" s="38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207"/>
    </row>
    <row r="52" spans="1:42" x14ac:dyDescent="0.2">
      <c r="A52" s="186">
        <f t="shared" si="9"/>
        <v>22</v>
      </c>
      <c r="B52" s="2" t="s">
        <v>65</v>
      </c>
      <c r="C52" s="2"/>
      <c r="D52" s="187"/>
      <c r="E52" s="38">
        <f>(E34)/(1-$F$15)/12*10+(E34)/(1-$J$15)/12*2</f>
        <v>2479738.2175196316</v>
      </c>
      <c r="F52" s="102">
        <f t="shared" ref="F52:AM52" si="12">(F34)/(1-$F$15)</f>
        <v>2086682.8712642305</v>
      </c>
      <c r="G52" s="102">
        <f t="shared" si="12"/>
        <v>2014139.5536724993</v>
      </c>
      <c r="H52" s="102">
        <f t="shared" si="12"/>
        <v>1943739.1956006254</v>
      </c>
      <c r="I52" s="102">
        <f t="shared" si="12"/>
        <v>1874683.1199497739</v>
      </c>
      <c r="J52" s="102">
        <f t="shared" si="12"/>
        <v>1806870.9238835212</v>
      </c>
      <c r="K52" s="102">
        <f t="shared" si="12"/>
        <v>1740209.176984638</v>
      </c>
      <c r="L52" s="102">
        <f t="shared" si="12"/>
        <v>1674611.4212550914</v>
      </c>
      <c r="M52" s="102">
        <f t="shared" si="12"/>
        <v>1609607.7156410592</v>
      </c>
      <c r="N52" s="102">
        <f t="shared" si="12"/>
        <v>1544689.07354122</v>
      </c>
      <c r="O52" s="102">
        <f t="shared" si="12"/>
        <v>1479770.4314413816</v>
      </c>
      <c r="P52" s="102">
        <f t="shared" si="12"/>
        <v>1414851.7893415431</v>
      </c>
      <c r="Q52" s="102">
        <f t="shared" si="12"/>
        <v>1349933.1472417044</v>
      </c>
      <c r="R52" s="102">
        <f t="shared" si="12"/>
        <v>1285014.5051418655</v>
      </c>
      <c r="S52" s="102">
        <f t="shared" si="12"/>
        <v>1220095.8630420268</v>
      </c>
      <c r="T52" s="102">
        <f t="shared" si="12"/>
        <v>1155177.2209421878</v>
      </c>
      <c r="U52" s="102">
        <f t="shared" si="12"/>
        <v>1090258.5788423494</v>
      </c>
      <c r="V52" s="102">
        <f t="shared" si="12"/>
        <v>1025339.9367425104</v>
      </c>
      <c r="W52" s="102">
        <f t="shared" si="12"/>
        <v>960421.29464267171</v>
      </c>
      <c r="X52" s="102">
        <f t="shared" si="12"/>
        <v>895502.65254283312</v>
      </c>
      <c r="Y52" s="102">
        <f t="shared" si="12"/>
        <v>833695.10388832912</v>
      </c>
      <c r="Z52" s="102">
        <f t="shared" si="12"/>
        <v>778108.3476406557</v>
      </c>
      <c r="AA52" s="102">
        <f t="shared" si="12"/>
        <v>725632.68483831699</v>
      </c>
      <c r="AB52" s="102">
        <f t="shared" si="12"/>
        <v>673157.0220359785</v>
      </c>
      <c r="AC52" s="102">
        <f t="shared" si="12"/>
        <v>620681.3592336399</v>
      </c>
      <c r="AD52" s="102">
        <f t="shared" si="12"/>
        <v>568205.6964313013</v>
      </c>
      <c r="AE52" s="102">
        <f t="shared" si="12"/>
        <v>515730.0336289627</v>
      </c>
      <c r="AF52" s="102">
        <f t="shared" si="12"/>
        <v>463254.37082662404</v>
      </c>
      <c r="AG52" s="102">
        <f t="shared" si="12"/>
        <v>410778.70802428556</v>
      </c>
      <c r="AH52" s="102">
        <f t="shared" si="12"/>
        <v>358303.04522194696</v>
      </c>
      <c r="AI52" s="102">
        <f t="shared" si="12"/>
        <v>305827.38241960813</v>
      </c>
      <c r="AJ52" s="102">
        <f t="shared" si="12"/>
        <v>253351.71961726932</v>
      </c>
      <c r="AK52" s="102">
        <f t="shared" si="12"/>
        <v>200876.05681493049</v>
      </c>
      <c r="AL52" s="102">
        <f t="shared" si="12"/>
        <v>148400.39401259169</v>
      </c>
      <c r="AM52" s="102">
        <f t="shared" si="12"/>
        <v>-30294.886718606998</v>
      </c>
      <c r="AN52" s="102"/>
      <c r="AO52" s="102"/>
      <c r="AP52" s="207"/>
    </row>
    <row r="53" spans="1:42" x14ac:dyDescent="0.2">
      <c r="A53" s="186">
        <f t="shared" si="9"/>
        <v>23</v>
      </c>
      <c r="B53" s="2" t="s">
        <v>66</v>
      </c>
      <c r="C53" s="2"/>
      <c r="D53" s="187"/>
      <c r="E53" s="40">
        <f>(E34)/(1-$F$15)/12*10*F15+(E34)/(1-$J$15)/12*2*J15</f>
        <v>588630.92836666503</v>
      </c>
      <c r="F53" s="100">
        <f t="shared" ref="F53:AM53" si="13">F52*$F15</f>
        <v>438203.40296548838</v>
      </c>
      <c r="G53" s="100">
        <f t="shared" si="13"/>
        <v>422969.30627122481</v>
      </c>
      <c r="H53" s="100">
        <f t="shared" si="13"/>
        <v>408185.23107613128</v>
      </c>
      <c r="I53" s="100">
        <f t="shared" si="13"/>
        <v>393683.45518945251</v>
      </c>
      <c r="J53" s="100">
        <f t="shared" si="13"/>
        <v>379442.89401553944</v>
      </c>
      <c r="K53" s="100">
        <f t="shared" si="13"/>
        <v>365443.92716677394</v>
      </c>
      <c r="L53" s="100">
        <f t="shared" si="13"/>
        <v>351668.39846356917</v>
      </c>
      <c r="M53" s="100">
        <f t="shared" si="13"/>
        <v>338017.62028462242</v>
      </c>
      <c r="N53" s="100">
        <f t="shared" si="13"/>
        <v>324384.70544365619</v>
      </c>
      <c r="O53" s="100">
        <f t="shared" si="13"/>
        <v>310751.79060269013</v>
      </c>
      <c r="P53" s="100">
        <f t="shared" si="13"/>
        <v>297118.87576172402</v>
      </c>
      <c r="Q53" s="100">
        <f t="shared" si="13"/>
        <v>283485.96092075791</v>
      </c>
      <c r="R53" s="100">
        <f t="shared" si="13"/>
        <v>269853.04607979173</v>
      </c>
      <c r="S53" s="100">
        <f t="shared" si="13"/>
        <v>256220.13123882562</v>
      </c>
      <c r="T53" s="100">
        <f t="shared" si="13"/>
        <v>242587.21639785945</v>
      </c>
      <c r="U53" s="100">
        <f t="shared" si="13"/>
        <v>228954.30155689336</v>
      </c>
      <c r="V53" s="100">
        <f t="shared" si="13"/>
        <v>215321.38671592719</v>
      </c>
      <c r="W53" s="100">
        <f t="shared" si="13"/>
        <v>201688.47187496105</v>
      </c>
      <c r="X53" s="100">
        <f t="shared" si="13"/>
        <v>188055.55703399496</v>
      </c>
      <c r="Y53" s="100">
        <f t="shared" si="13"/>
        <v>175075.97181654911</v>
      </c>
      <c r="Z53" s="100">
        <f t="shared" si="13"/>
        <v>163402.75300453769</v>
      </c>
      <c r="AA53" s="100">
        <f t="shared" si="13"/>
        <v>152382.86381604656</v>
      </c>
      <c r="AB53" s="100">
        <f t="shared" si="13"/>
        <v>141362.97462755549</v>
      </c>
      <c r="AC53" s="100">
        <f t="shared" si="13"/>
        <v>130343.08543906438</v>
      </c>
      <c r="AD53" s="100">
        <f t="shared" si="13"/>
        <v>119323.19625057327</v>
      </c>
      <c r="AE53" s="100">
        <f t="shared" si="13"/>
        <v>108303.30706208217</v>
      </c>
      <c r="AF53" s="100">
        <f t="shared" si="13"/>
        <v>97283.417873591039</v>
      </c>
      <c r="AG53" s="100">
        <f t="shared" si="13"/>
        <v>86263.528685099969</v>
      </c>
      <c r="AH53" s="100">
        <f t="shared" si="13"/>
        <v>75243.639496608856</v>
      </c>
      <c r="AI53" s="100">
        <f t="shared" si="13"/>
        <v>64223.750308117706</v>
      </c>
      <c r="AJ53" s="100">
        <f t="shared" si="13"/>
        <v>53203.861119626556</v>
      </c>
      <c r="AK53" s="100">
        <f t="shared" si="13"/>
        <v>42183.971931135398</v>
      </c>
      <c r="AL53" s="100">
        <f t="shared" si="13"/>
        <v>31164.082742644252</v>
      </c>
      <c r="AM53" s="100">
        <f t="shared" si="13"/>
        <v>-6361.9262109074698</v>
      </c>
      <c r="AN53" s="100"/>
      <c r="AO53" s="100"/>
      <c r="AP53" s="207"/>
    </row>
    <row r="54" spans="1:42" x14ac:dyDescent="0.2">
      <c r="A54" s="186">
        <f t="shared" si="9"/>
        <v>24</v>
      </c>
      <c r="B54" s="2" t="s">
        <v>67</v>
      </c>
      <c r="C54" s="2"/>
      <c r="D54" s="187"/>
      <c r="E54" s="38">
        <f>E52-E53</f>
        <v>1891107.2891529666</v>
      </c>
      <c r="F54" s="102">
        <f t="shared" ref="F54:AM54" si="14">F52-F53</f>
        <v>1648479.4682987421</v>
      </c>
      <c r="G54" s="102">
        <f t="shared" si="14"/>
        <v>1591170.2474012745</v>
      </c>
      <c r="H54" s="102">
        <f t="shared" si="14"/>
        <v>1535553.964524494</v>
      </c>
      <c r="I54" s="102">
        <f t="shared" si="14"/>
        <v>1480999.6647603214</v>
      </c>
      <c r="J54" s="102">
        <f t="shared" si="14"/>
        <v>1427428.0298679818</v>
      </c>
      <c r="K54" s="102">
        <f t="shared" si="14"/>
        <v>1374765.249817864</v>
      </c>
      <c r="L54" s="102">
        <f t="shared" si="14"/>
        <v>1322943.0227915223</v>
      </c>
      <c r="M54" s="102">
        <f t="shared" si="14"/>
        <v>1271590.0953564369</v>
      </c>
      <c r="N54" s="102">
        <f t="shared" si="14"/>
        <v>1220304.3680975637</v>
      </c>
      <c r="O54" s="102">
        <f t="shared" si="14"/>
        <v>1169018.6408386915</v>
      </c>
      <c r="P54" s="102">
        <f t="shared" si="14"/>
        <v>1117732.913579819</v>
      </c>
      <c r="Q54" s="102">
        <f t="shared" si="14"/>
        <v>1066447.1863209466</v>
      </c>
      <c r="R54" s="102">
        <f t="shared" si="14"/>
        <v>1015161.4590620737</v>
      </c>
      <c r="S54" s="102">
        <f t="shared" si="14"/>
        <v>963875.73180320114</v>
      </c>
      <c r="T54" s="102">
        <f t="shared" si="14"/>
        <v>912590.00454432843</v>
      </c>
      <c r="U54" s="102">
        <f t="shared" si="14"/>
        <v>861304.27728545596</v>
      </c>
      <c r="V54" s="102">
        <f t="shared" si="14"/>
        <v>810018.55002658325</v>
      </c>
      <c r="W54" s="102">
        <f t="shared" si="14"/>
        <v>758732.82276771066</v>
      </c>
      <c r="X54" s="102">
        <f t="shared" si="14"/>
        <v>707447.09550883819</v>
      </c>
      <c r="Y54" s="102">
        <f t="shared" si="14"/>
        <v>658619.13207178004</v>
      </c>
      <c r="Z54" s="102">
        <f t="shared" si="14"/>
        <v>614705.59463611804</v>
      </c>
      <c r="AA54" s="102">
        <f t="shared" si="14"/>
        <v>573249.82102227048</v>
      </c>
      <c r="AB54" s="102">
        <f t="shared" si="14"/>
        <v>531794.04740842304</v>
      </c>
      <c r="AC54" s="102">
        <f t="shared" si="14"/>
        <v>490338.27379457554</v>
      </c>
      <c r="AD54" s="102">
        <f t="shared" si="14"/>
        <v>448882.50018072804</v>
      </c>
      <c r="AE54" s="102">
        <f t="shared" si="14"/>
        <v>407426.72656688053</v>
      </c>
      <c r="AF54" s="102">
        <f t="shared" si="14"/>
        <v>365970.95295303303</v>
      </c>
      <c r="AG54" s="102">
        <f t="shared" si="14"/>
        <v>324515.17933918559</v>
      </c>
      <c r="AH54" s="102">
        <f t="shared" si="14"/>
        <v>283059.40572533809</v>
      </c>
      <c r="AI54" s="102">
        <f t="shared" si="14"/>
        <v>241603.63211149041</v>
      </c>
      <c r="AJ54" s="102">
        <f t="shared" si="14"/>
        <v>200147.85849764277</v>
      </c>
      <c r="AK54" s="102">
        <f t="shared" si="14"/>
        <v>158692.08488379509</v>
      </c>
      <c r="AL54" s="102">
        <f t="shared" si="14"/>
        <v>117236.31126994743</v>
      </c>
      <c r="AM54" s="102">
        <f t="shared" si="14"/>
        <v>-23932.960507699529</v>
      </c>
      <c r="AN54" s="102"/>
      <c r="AO54" s="102"/>
      <c r="AP54" s="207"/>
    </row>
    <row r="55" spans="1:42" x14ac:dyDescent="0.2">
      <c r="A55" s="186">
        <f t="shared" si="9"/>
        <v>25</v>
      </c>
      <c r="B55" s="2"/>
      <c r="C55" s="2"/>
      <c r="D55" s="187"/>
      <c r="E55" s="214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  <c r="Z55" s="207"/>
      <c r="AA55" s="207"/>
      <c r="AB55" s="207"/>
      <c r="AC55" s="207"/>
      <c r="AD55" s="207"/>
      <c r="AE55" s="207"/>
      <c r="AF55" s="207"/>
      <c r="AG55" s="207"/>
      <c r="AH55" s="207"/>
      <c r="AI55" s="207"/>
      <c r="AJ55" s="207"/>
      <c r="AK55" s="207"/>
      <c r="AL55" s="207"/>
      <c r="AM55" s="207"/>
      <c r="AN55" s="207"/>
      <c r="AO55" s="207"/>
      <c r="AP55" s="207"/>
    </row>
    <row r="56" spans="1:42" x14ac:dyDescent="0.2">
      <c r="A56" s="186">
        <f t="shared" si="9"/>
        <v>26</v>
      </c>
      <c r="B56" s="2"/>
      <c r="C56" s="2"/>
      <c r="D56" s="187"/>
      <c r="E56" s="84"/>
      <c r="F56" s="213"/>
      <c r="G56" s="213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7"/>
      <c r="AE56" s="207"/>
      <c r="AF56" s="207"/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</row>
    <row r="57" spans="1:42" x14ac:dyDescent="0.2">
      <c r="A57" s="186">
        <f t="shared" si="9"/>
        <v>27</v>
      </c>
      <c r="B57" s="2" t="s">
        <v>68</v>
      </c>
      <c r="C57" s="2"/>
      <c r="D57" s="187"/>
      <c r="E57" s="38">
        <f>E27</f>
        <v>1324091.9509619994</v>
      </c>
      <c r="F57" s="102">
        <f>F27</f>
        <v>1153783.3148320192</v>
      </c>
      <c r="G57" s="102">
        <f>G27</f>
        <v>1138300.7115474755</v>
      </c>
      <c r="H57" s="102">
        <f t="shared" ref="H57:AM57" si="15">H27</f>
        <v>1138300.7115474755</v>
      </c>
      <c r="I57" s="102">
        <f t="shared" si="15"/>
        <v>1138300.7115474755</v>
      </c>
      <c r="J57" s="102">
        <f t="shared" si="15"/>
        <v>1138300.7115474755</v>
      </c>
      <c r="K57" s="102">
        <f t="shared" si="15"/>
        <v>1138300.7115474755</v>
      </c>
      <c r="L57" s="102">
        <f t="shared" si="15"/>
        <v>1138300.7115474755</v>
      </c>
      <c r="M57" s="102">
        <f t="shared" si="15"/>
        <v>1138300.7115474755</v>
      </c>
      <c r="N57" s="102">
        <f t="shared" si="15"/>
        <v>1138300.7115474755</v>
      </c>
      <c r="O57" s="102">
        <f t="shared" si="15"/>
        <v>1138300.7115474755</v>
      </c>
      <c r="P57" s="102">
        <f t="shared" si="15"/>
        <v>1138300.7115474755</v>
      </c>
      <c r="Q57" s="102">
        <f t="shared" si="15"/>
        <v>1138300.7115474755</v>
      </c>
      <c r="R57" s="102">
        <f t="shared" si="15"/>
        <v>1138300.7115474755</v>
      </c>
      <c r="S57" s="102">
        <f t="shared" si="15"/>
        <v>1138300.7115474755</v>
      </c>
      <c r="T57" s="102">
        <f t="shared" si="15"/>
        <v>1138300.7115474755</v>
      </c>
      <c r="U57" s="102">
        <f t="shared" si="15"/>
        <v>1138300.7115474755</v>
      </c>
      <c r="V57" s="102">
        <f t="shared" si="15"/>
        <v>1138300.7115474755</v>
      </c>
      <c r="W57" s="102">
        <f t="shared" si="15"/>
        <v>1138300.7115474755</v>
      </c>
      <c r="X57" s="102">
        <f t="shared" si="15"/>
        <v>1138300.7115474755</v>
      </c>
      <c r="Y57" s="102">
        <f t="shared" si="15"/>
        <v>1138300.7115474755</v>
      </c>
      <c r="Z57" s="102">
        <f t="shared" si="15"/>
        <v>1138300.7115474755</v>
      </c>
      <c r="AA57" s="102">
        <f t="shared" si="15"/>
        <v>1138300.7115474755</v>
      </c>
      <c r="AB57" s="102">
        <f t="shared" si="15"/>
        <v>1138300.7115474755</v>
      </c>
      <c r="AC57" s="102">
        <f t="shared" si="15"/>
        <v>1138300.7115474755</v>
      </c>
      <c r="AD57" s="102">
        <f t="shared" si="15"/>
        <v>1138300.7115474755</v>
      </c>
      <c r="AE57" s="102">
        <f t="shared" si="15"/>
        <v>1138300.7115474755</v>
      </c>
      <c r="AF57" s="102">
        <f t="shared" si="15"/>
        <v>1138300.7115474755</v>
      </c>
      <c r="AG57" s="102">
        <f t="shared" si="15"/>
        <v>1138300.7115474755</v>
      </c>
      <c r="AH57" s="102">
        <f t="shared" si="15"/>
        <v>1138300.7115474755</v>
      </c>
      <c r="AI57" s="102">
        <f t="shared" si="15"/>
        <v>1138300.7115474755</v>
      </c>
      <c r="AJ57" s="102">
        <f t="shared" si="15"/>
        <v>1138300.7115474755</v>
      </c>
      <c r="AK57" s="102">
        <f t="shared" si="15"/>
        <v>1138300.7115474755</v>
      </c>
      <c r="AL57" s="102">
        <f t="shared" si="15"/>
        <v>1138300.7115474755</v>
      </c>
      <c r="AM57" s="102">
        <f t="shared" si="15"/>
        <v>6614206.0446867272</v>
      </c>
      <c r="AN57" s="102"/>
      <c r="AO57" s="102"/>
      <c r="AP57" s="207"/>
    </row>
    <row r="58" spans="1:42" x14ac:dyDescent="0.2">
      <c r="A58" s="186">
        <f t="shared" si="9"/>
        <v>28</v>
      </c>
      <c r="B58" s="2" t="s">
        <v>69</v>
      </c>
      <c r="C58" s="2"/>
      <c r="D58" s="187"/>
      <c r="E58" s="38">
        <f>$F22*E62</f>
        <v>23612308.99149999</v>
      </c>
      <c r="F58" s="38">
        <f>$F22*F62</f>
        <v>1642961.5287675993</v>
      </c>
      <c r="G58" s="102">
        <f t="shared" ref="G58:AM58" si="16">$F22*G62</f>
        <v>1519608.5507107992</v>
      </c>
      <c r="H58" s="102">
        <f t="shared" si="16"/>
        <v>1405814.2905107993</v>
      </c>
      <c r="I58" s="102">
        <f t="shared" si="16"/>
        <v>1300213.2170451994</v>
      </c>
      <c r="J58" s="102">
        <f t="shared" si="16"/>
        <v>1202805.3303139994</v>
      </c>
      <c r="K58" s="102">
        <f t="shared" si="16"/>
        <v>1112452.6877151993</v>
      </c>
      <c r="L58" s="102">
        <f t="shared" si="16"/>
        <v>1029155.2892487996</v>
      </c>
      <c r="M58" s="102">
        <f t="shared" si="16"/>
        <v>1015499.9780247995</v>
      </c>
      <c r="N58" s="102">
        <f t="shared" si="16"/>
        <v>1015272.3895043995</v>
      </c>
      <c r="O58" s="102">
        <f t="shared" si="16"/>
        <v>1015499.9780247995</v>
      </c>
      <c r="P58" s="102">
        <f t="shared" si="16"/>
        <v>1015272.3895043995</v>
      </c>
      <c r="Q58" s="102">
        <f t="shared" si="16"/>
        <v>1015499.9780247995</v>
      </c>
      <c r="R58" s="102">
        <f t="shared" si="16"/>
        <v>1015272.3895043995</v>
      </c>
      <c r="S58" s="102">
        <f t="shared" si="16"/>
        <v>1015499.9780247995</v>
      </c>
      <c r="T58" s="102">
        <f t="shared" si="16"/>
        <v>1015272.3895043995</v>
      </c>
      <c r="U58" s="102">
        <f t="shared" si="16"/>
        <v>1015499.9780247995</v>
      </c>
      <c r="V58" s="102">
        <f t="shared" si="16"/>
        <v>1015272.3895043995</v>
      </c>
      <c r="W58" s="102">
        <f t="shared" si="16"/>
        <v>1015499.9780247995</v>
      </c>
      <c r="X58" s="102">
        <f t="shared" si="16"/>
        <v>1015272.3895043995</v>
      </c>
      <c r="Y58" s="102">
        <f t="shared" si="16"/>
        <v>507749.98901239975</v>
      </c>
      <c r="Z58" s="102">
        <f t="shared" si="16"/>
        <v>0</v>
      </c>
      <c r="AA58" s="102">
        <f t="shared" si="16"/>
        <v>0</v>
      </c>
      <c r="AB58" s="102">
        <f t="shared" si="16"/>
        <v>0</v>
      </c>
      <c r="AC58" s="102">
        <f t="shared" si="16"/>
        <v>0</v>
      </c>
      <c r="AD58" s="102">
        <f t="shared" si="16"/>
        <v>0</v>
      </c>
      <c r="AE58" s="102">
        <f t="shared" si="16"/>
        <v>0</v>
      </c>
      <c r="AF58" s="102">
        <f t="shared" si="16"/>
        <v>0</v>
      </c>
      <c r="AG58" s="102">
        <f t="shared" si="16"/>
        <v>0</v>
      </c>
      <c r="AH58" s="102">
        <f t="shared" si="16"/>
        <v>0</v>
      </c>
      <c r="AI58" s="102">
        <f t="shared" si="16"/>
        <v>0</v>
      </c>
      <c r="AJ58" s="102">
        <f t="shared" si="16"/>
        <v>0</v>
      </c>
      <c r="AK58" s="102">
        <f t="shared" si="16"/>
        <v>0</v>
      </c>
      <c r="AL58" s="102">
        <f t="shared" si="16"/>
        <v>0</v>
      </c>
      <c r="AM58" s="102">
        <f t="shared" si="16"/>
        <v>0</v>
      </c>
      <c r="AN58" s="102"/>
      <c r="AO58" s="102"/>
      <c r="AP58" s="207"/>
    </row>
    <row r="59" spans="1:42" x14ac:dyDescent="0.2">
      <c r="A59" s="186">
        <f t="shared" si="9"/>
        <v>29</v>
      </c>
      <c r="B59" s="2" t="s">
        <v>70</v>
      </c>
      <c r="C59" s="2"/>
      <c r="D59" s="187"/>
      <c r="E59" s="38">
        <f>E58-E57</f>
        <v>22288217.040537991</v>
      </c>
      <c r="F59" s="102">
        <f>F58-F57</f>
        <v>489178.2139355801</v>
      </c>
      <c r="G59" s="102">
        <f>G58-G57</f>
        <v>381307.83916332363</v>
      </c>
      <c r="H59" s="102">
        <f t="shared" ref="H59:AM59" si="17">H58-H57</f>
        <v>267513.57896332373</v>
      </c>
      <c r="I59" s="102">
        <f t="shared" si="17"/>
        <v>161912.50549772382</v>
      </c>
      <c r="J59" s="102">
        <f t="shared" si="17"/>
        <v>64504.618766523898</v>
      </c>
      <c r="K59" s="102">
        <f t="shared" si="17"/>
        <v>-25848.023832276231</v>
      </c>
      <c r="L59" s="102">
        <f t="shared" si="17"/>
        <v>-109145.42229867599</v>
      </c>
      <c r="M59" s="102">
        <f t="shared" si="17"/>
        <v>-122800.73352267605</v>
      </c>
      <c r="N59" s="102">
        <f t="shared" si="17"/>
        <v>-123028.32204307604</v>
      </c>
      <c r="O59" s="102">
        <f t="shared" si="17"/>
        <v>-122800.73352267605</v>
      </c>
      <c r="P59" s="102">
        <f t="shared" si="17"/>
        <v>-123028.32204307604</v>
      </c>
      <c r="Q59" s="102">
        <f t="shared" si="17"/>
        <v>-122800.73352267605</v>
      </c>
      <c r="R59" s="102">
        <f t="shared" si="17"/>
        <v>-123028.32204307604</v>
      </c>
      <c r="S59" s="102">
        <f t="shared" si="17"/>
        <v>-122800.73352267605</v>
      </c>
      <c r="T59" s="102">
        <f t="shared" si="17"/>
        <v>-123028.32204307604</v>
      </c>
      <c r="U59" s="102">
        <f t="shared" si="17"/>
        <v>-122800.73352267605</v>
      </c>
      <c r="V59" s="102">
        <f t="shared" si="17"/>
        <v>-123028.32204307604</v>
      </c>
      <c r="W59" s="102">
        <f t="shared" si="17"/>
        <v>-122800.73352267605</v>
      </c>
      <c r="X59" s="102">
        <f t="shared" si="17"/>
        <v>-123028.32204307604</v>
      </c>
      <c r="Y59" s="102">
        <f t="shared" si="17"/>
        <v>-630550.72253507585</v>
      </c>
      <c r="Z59" s="102">
        <f t="shared" si="17"/>
        <v>-1138300.7115474755</v>
      </c>
      <c r="AA59" s="102">
        <f t="shared" si="17"/>
        <v>-1138300.7115474755</v>
      </c>
      <c r="AB59" s="102">
        <f t="shared" si="17"/>
        <v>-1138300.7115474755</v>
      </c>
      <c r="AC59" s="102">
        <f t="shared" si="17"/>
        <v>-1138300.7115474755</v>
      </c>
      <c r="AD59" s="102">
        <f t="shared" si="17"/>
        <v>-1138300.7115474755</v>
      </c>
      <c r="AE59" s="102">
        <f t="shared" si="17"/>
        <v>-1138300.7115474755</v>
      </c>
      <c r="AF59" s="102">
        <f t="shared" si="17"/>
        <v>-1138300.7115474755</v>
      </c>
      <c r="AG59" s="102">
        <f t="shared" si="17"/>
        <v>-1138300.7115474755</v>
      </c>
      <c r="AH59" s="102">
        <f t="shared" si="17"/>
        <v>-1138300.7115474755</v>
      </c>
      <c r="AI59" s="102">
        <f t="shared" si="17"/>
        <v>-1138300.7115474755</v>
      </c>
      <c r="AJ59" s="102">
        <f t="shared" si="17"/>
        <v>-1138300.7115474755</v>
      </c>
      <c r="AK59" s="102">
        <f t="shared" si="17"/>
        <v>-1138300.7115474755</v>
      </c>
      <c r="AL59" s="102">
        <f t="shared" si="17"/>
        <v>-1138300.7115474755</v>
      </c>
      <c r="AM59" s="102">
        <f t="shared" si="17"/>
        <v>-6614206.0446867272</v>
      </c>
      <c r="AN59" s="102"/>
      <c r="AO59" s="102"/>
      <c r="AP59" s="207"/>
    </row>
    <row r="60" spans="1:42" ht="14.45" x14ac:dyDescent="0.25">
      <c r="A60" s="186">
        <f t="shared" si="9"/>
        <v>30</v>
      </c>
      <c r="B60" s="2" t="s">
        <v>71</v>
      </c>
      <c r="C60" s="2"/>
      <c r="D60" s="187"/>
      <c r="E60" s="38">
        <f>E59*J15</f>
        <v>7800875.9641882963</v>
      </c>
      <c r="F60" s="215">
        <f>$F$59*$F$15/12*10+$F$59*$J$15/12*2</f>
        <v>114141.58325163535</v>
      </c>
      <c r="G60" s="102">
        <f t="shared" ref="G60:AM60" si="18">G59*$F$15</f>
        <v>80074.646224297961</v>
      </c>
      <c r="H60" s="102">
        <f t="shared" si="18"/>
        <v>56177.851582297983</v>
      </c>
      <c r="I60" s="102">
        <f t="shared" si="18"/>
        <v>34001.626154522004</v>
      </c>
      <c r="J60" s="102">
        <f t="shared" si="18"/>
        <v>13545.969940970019</v>
      </c>
      <c r="K60" s="102">
        <f t="shared" si="18"/>
        <v>-5428.0850047780086</v>
      </c>
      <c r="L60" s="102">
        <f t="shared" si="18"/>
        <v>-22920.538682721955</v>
      </c>
      <c r="M60" s="102">
        <f t="shared" si="18"/>
        <v>-25788.154039761968</v>
      </c>
      <c r="N60" s="102">
        <f t="shared" si="18"/>
        <v>-25835.947629045968</v>
      </c>
      <c r="O60" s="102">
        <f t="shared" si="18"/>
        <v>-25788.154039761968</v>
      </c>
      <c r="P60" s="102">
        <f t="shared" si="18"/>
        <v>-25835.947629045968</v>
      </c>
      <c r="Q60" s="102">
        <f t="shared" si="18"/>
        <v>-25788.154039761968</v>
      </c>
      <c r="R60" s="102">
        <f t="shared" si="18"/>
        <v>-25835.947629045968</v>
      </c>
      <c r="S60" s="102">
        <f t="shared" si="18"/>
        <v>-25788.154039761968</v>
      </c>
      <c r="T60" s="102">
        <f t="shared" si="18"/>
        <v>-25835.947629045968</v>
      </c>
      <c r="U60" s="102">
        <f t="shared" si="18"/>
        <v>-25788.154039761968</v>
      </c>
      <c r="V60" s="102">
        <f t="shared" si="18"/>
        <v>-25835.947629045968</v>
      </c>
      <c r="W60" s="102">
        <f t="shared" si="18"/>
        <v>-25788.154039761968</v>
      </c>
      <c r="X60" s="102">
        <f t="shared" si="18"/>
        <v>-25835.947629045968</v>
      </c>
      <c r="Y60" s="102">
        <f t="shared" si="18"/>
        <v>-132415.65173236592</v>
      </c>
      <c r="Z60" s="102">
        <f t="shared" si="18"/>
        <v>-239043.14942496986</v>
      </c>
      <c r="AA60" s="102">
        <f t="shared" si="18"/>
        <v>-239043.14942496986</v>
      </c>
      <c r="AB60" s="102">
        <f t="shared" si="18"/>
        <v>-239043.14942496986</v>
      </c>
      <c r="AC60" s="102">
        <f t="shared" si="18"/>
        <v>-239043.14942496986</v>
      </c>
      <c r="AD60" s="102">
        <f t="shared" si="18"/>
        <v>-239043.14942496986</v>
      </c>
      <c r="AE60" s="102">
        <f t="shared" si="18"/>
        <v>-239043.14942496986</v>
      </c>
      <c r="AF60" s="102">
        <f t="shared" si="18"/>
        <v>-239043.14942496986</v>
      </c>
      <c r="AG60" s="102">
        <f t="shared" si="18"/>
        <v>-239043.14942496986</v>
      </c>
      <c r="AH60" s="102">
        <f t="shared" si="18"/>
        <v>-239043.14942496986</v>
      </c>
      <c r="AI60" s="102">
        <f t="shared" si="18"/>
        <v>-239043.14942496986</v>
      </c>
      <c r="AJ60" s="102">
        <f t="shared" si="18"/>
        <v>-239043.14942496986</v>
      </c>
      <c r="AK60" s="102">
        <f t="shared" si="18"/>
        <v>-239043.14942496986</v>
      </c>
      <c r="AL60" s="102">
        <f t="shared" si="18"/>
        <v>-239043.14942496986</v>
      </c>
      <c r="AM60" s="102">
        <f t="shared" si="18"/>
        <v>-1388983.2693842126</v>
      </c>
      <c r="AN60" s="102"/>
      <c r="AO60" s="102"/>
      <c r="AP60" s="207"/>
    </row>
    <row r="61" spans="1:42" ht="14.45" x14ac:dyDescent="0.25">
      <c r="A61" s="186">
        <f t="shared" si="9"/>
        <v>31</v>
      </c>
      <c r="B61" s="2"/>
      <c r="C61" s="2"/>
      <c r="D61" s="187"/>
      <c r="E61" s="84"/>
      <c r="F61" s="213"/>
      <c r="G61" s="21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87"/>
    </row>
    <row r="62" spans="1:42" s="50" customFormat="1" ht="14.45" x14ac:dyDescent="0.25">
      <c r="A62" s="186">
        <f t="shared" si="9"/>
        <v>32</v>
      </c>
      <c r="B62" s="2" t="str">
        <f t="shared" ref="B62" si="19">IF($F$18=1,B66,B65)</f>
        <v>MACRS Depreciation - 20 year - Bonus</v>
      </c>
      <c r="C62" s="2"/>
      <c r="D62" s="47"/>
      <c r="E62" s="62">
        <f t="shared" ref="E62:Y62" si="20">IF($F$18=1,E66,E65)</f>
        <v>0.51875000000000004</v>
      </c>
      <c r="F62" s="58">
        <f t="shared" si="20"/>
        <v>3.6095000000000002E-2</v>
      </c>
      <c r="G62" s="58">
        <f t="shared" si="20"/>
        <v>3.3384999999999998E-2</v>
      </c>
      <c r="H62" s="61">
        <f t="shared" si="20"/>
        <v>3.0884999999999999E-2</v>
      </c>
      <c r="I62" s="61">
        <f t="shared" si="20"/>
        <v>2.8565E-2</v>
      </c>
      <c r="J62" s="61">
        <f t="shared" si="20"/>
        <v>2.6425000000000001E-2</v>
      </c>
      <c r="K62" s="61">
        <f t="shared" si="20"/>
        <v>2.444E-2</v>
      </c>
      <c r="L62" s="61">
        <f t="shared" si="20"/>
        <v>2.2610000000000002E-2</v>
      </c>
      <c r="M62" s="61">
        <f t="shared" si="20"/>
        <v>2.231E-2</v>
      </c>
      <c r="N62" s="61">
        <f t="shared" si="20"/>
        <v>2.2305000000000002E-2</v>
      </c>
      <c r="O62" s="61">
        <f t="shared" si="20"/>
        <v>2.231E-2</v>
      </c>
      <c r="P62" s="61">
        <f t="shared" si="20"/>
        <v>2.2305000000000002E-2</v>
      </c>
      <c r="Q62" s="61">
        <f t="shared" si="20"/>
        <v>2.231E-2</v>
      </c>
      <c r="R62" s="61">
        <f t="shared" si="20"/>
        <v>2.2305000000000002E-2</v>
      </c>
      <c r="S62" s="61">
        <f t="shared" si="20"/>
        <v>2.231E-2</v>
      </c>
      <c r="T62" s="61">
        <f t="shared" si="20"/>
        <v>2.2305000000000002E-2</v>
      </c>
      <c r="U62" s="61">
        <f t="shared" si="20"/>
        <v>2.231E-2</v>
      </c>
      <c r="V62" s="61">
        <f t="shared" si="20"/>
        <v>2.2305000000000002E-2</v>
      </c>
      <c r="W62" s="61">
        <f t="shared" si="20"/>
        <v>2.231E-2</v>
      </c>
      <c r="X62" s="61">
        <f t="shared" si="20"/>
        <v>2.2305000000000002E-2</v>
      </c>
      <c r="Y62" s="61">
        <f t="shared" si="20"/>
        <v>1.1155E-2</v>
      </c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7"/>
    </row>
    <row r="63" spans="1:42" ht="14.45" outlineLevel="1" x14ac:dyDescent="0.3">
      <c r="A63" s="186">
        <f t="shared" si="9"/>
        <v>33</v>
      </c>
      <c r="B63" s="2"/>
      <c r="C63" s="216"/>
      <c r="E63" s="217"/>
      <c r="F63" s="218"/>
      <c r="G63" s="218"/>
      <c r="H63" s="218"/>
      <c r="I63" s="218"/>
      <c r="J63" s="218"/>
      <c r="K63" s="218"/>
      <c r="L63" s="218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9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7"/>
      <c r="AK63" s="187"/>
      <c r="AL63" s="187"/>
      <c r="AM63" s="187"/>
      <c r="AN63" s="187"/>
      <c r="AO63" s="3"/>
    </row>
    <row r="64" spans="1:42" ht="14.45" outlineLevel="1" x14ac:dyDescent="0.3">
      <c r="A64" s="186">
        <f t="shared" si="9"/>
        <v>34</v>
      </c>
      <c r="B64" s="2"/>
      <c r="C64" s="216"/>
      <c r="E64" s="217"/>
      <c r="F64" s="218"/>
      <c r="G64" s="218"/>
      <c r="H64" s="218"/>
      <c r="I64" s="218"/>
      <c r="J64" s="218"/>
      <c r="K64" s="218"/>
      <c r="L64" s="218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9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3"/>
    </row>
    <row r="65" spans="1:42" s="50" customFormat="1" ht="14.45" x14ac:dyDescent="0.3">
      <c r="A65" s="186">
        <f t="shared" si="9"/>
        <v>35</v>
      </c>
      <c r="B65" s="2" t="s">
        <v>72</v>
      </c>
      <c r="C65" s="2"/>
      <c r="D65" s="51">
        <v>0</v>
      </c>
      <c r="E65" s="59">
        <v>3.7499999999999999E-2</v>
      </c>
      <c r="F65" s="58">
        <v>7.2190000000000004E-2</v>
      </c>
      <c r="G65" s="58">
        <v>6.6769999999999996E-2</v>
      </c>
      <c r="H65" s="60">
        <v>6.1769999999999999E-2</v>
      </c>
      <c r="I65" s="60">
        <v>5.713E-2</v>
      </c>
      <c r="J65" s="60">
        <v>5.2850000000000001E-2</v>
      </c>
      <c r="K65" s="60">
        <v>4.888E-2</v>
      </c>
      <c r="L65" s="60">
        <v>4.5220000000000003E-2</v>
      </c>
      <c r="M65" s="60">
        <v>4.462E-2</v>
      </c>
      <c r="N65" s="60">
        <v>4.4610000000000004E-2</v>
      </c>
      <c r="O65" s="60">
        <v>4.462E-2</v>
      </c>
      <c r="P65" s="60">
        <v>4.4610000000000004E-2</v>
      </c>
      <c r="Q65" s="60">
        <v>4.462E-2</v>
      </c>
      <c r="R65" s="60">
        <v>4.4610000000000004E-2</v>
      </c>
      <c r="S65" s="60">
        <v>4.462E-2</v>
      </c>
      <c r="T65" s="60">
        <v>4.4610000000000004E-2</v>
      </c>
      <c r="U65" s="60">
        <v>4.462E-2</v>
      </c>
      <c r="V65" s="60">
        <v>4.4610000000000004E-2</v>
      </c>
      <c r="W65" s="60">
        <v>4.462E-2</v>
      </c>
      <c r="X65" s="60">
        <v>4.4610000000000004E-2</v>
      </c>
      <c r="Y65" s="60">
        <v>2.231E-2</v>
      </c>
      <c r="Z65" s="52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7"/>
      <c r="AP65" s="53"/>
    </row>
    <row r="66" spans="1:42" ht="14.45" x14ac:dyDescent="0.25">
      <c r="A66" s="186">
        <f t="shared" si="9"/>
        <v>36</v>
      </c>
      <c r="B66" s="2" t="s">
        <v>73</v>
      </c>
      <c r="C66" s="2"/>
      <c r="D66" s="51">
        <v>0</v>
      </c>
      <c r="E66" s="59">
        <v>0.51875000000000004</v>
      </c>
      <c r="F66" s="58">
        <v>3.6095000000000002E-2</v>
      </c>
      <c r="G66" s="58">
        <v>3.3384999999999998E-2</v>
      </c>
      <c r="H66" s="61">
        <v>3.0884999999999999E-2</v>
      </c>
      <c r="I66" s="61">
        <v>2.8565E-2</v>
      </c>
      <c r="J66" s="61">
        <v>2.6425000000000001E-2</v>
      </c>
      <c r="K66" s="61">
        <v>2.444E-2</v>
      </c>
      <c r="L66" s="61">
        <v>2.2610000000000002E-2</v>
      </c>
      <c r="M66" s="61">
        <v>2.231E-2</v>
      </c>
      <c r="N66" s="61">
        <v>2.2305000000000002E-2</v>
      </c>
      <c r="O66" s="61">
        <v>2.231E-2</v>
      </c>
      <c r="P66" s="61">
        <v>2.2305000000000002E-2</v>
      </c>
      <c r="Q66" s="61">
        <v>2.231E-2</v>
      </c>
      <c r="R66" s="61">
        <v>2.2305000000000002E-2</v>
      </c>
      <c r="S66" s="61">
        <v>2.231E-2</v>
      </c>
      <c r="T66" s="61">
        <v>2.2305000000000002E-2</v>
      </c>
      <c r="U66" s="61">
        <v>2.231E-2</v>
      </c>
      <c r="V66" s="61">
        <v>2.2305000000000002E-2</v>
      </c>
      <c r="W66" s="61">
        <v>2.231E-2</v>
      </c>
      <c r="X66" s="61">
        <v>2.2305000000000002E-2</v>
      </c>
      <c r="Y66" s="61">
        <v>1.1155E-2</v>
      </c>
      <c r="Z66" s="49"/>
      <c r="AA66" s="49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187"/>
      <c r="AO66" s="3"/>
      <c r="AP66" s="53">
        <f>SUM(D66:AO66)</f>
        <v>1.0000000000000004</v>
      </c>
    </row>
    <row r="69" spans="1:42" ht="14.45" x14ac:dyDescent="0.3">
      <c r="B69" s="55"/>
    </row>
    <row r="74" spans="1:42" ht="14.45" x14ac:dyDescent="0.25">
      <c r="F74" s="220"/>
    </row>
    <row r="75" spans="1:42" ht="14.45" x14ac:dyDescent="0.25">
      <c r="F75" s="220"/>
    </row>
    <row r="76" spans="1:42" ht="14.45" x14ac:dyDescent="0.25">
      <c r="F76" s="220"/>
    </row>
    <row r="77" spans="1:42" ht="14.45" x14ac:dyDescent="0.25">
      <c r="F77" s="220"/>
    </row>
    <row r="78" spans="1:42" ht="14.45" x14ac:dyDescent="0.25">
      <c r="F78" s="220"/>
    </row>
    <row r="79" spans="1:42" ht="14.45" x14ac:dyDescent="0.25">
      <c r="F79" s="220"/>
    </row>
    <row r="80" spans="1:42" ht="14.45" x14ac:dyDescent="0.25">
      <c r="F80" s="220"/>
    </row>
    <row r="81" spans="6:6" ht="14.45" x14ac:dyDescent="0.25">
      <c r="F81" s="220"/>
    </row>
    <row r="82" spans="6:6" ht="14.45" x14ac:dyDescent="0.25">
      <c r="F82" s="220"/>
    </row>
    <row r="83" spans="6:6" ht="14.45" x14ac:dyDescent="0.25">
      <c r="F83" s="220"/>
    </row>
    <row r="84" spans="6:6" ht="14.45" x14ac:dyDescent="0.25">
      <c r="F84" s="220"/>
    </row>
    <row r="85" spans="6:6" ht="14.45" x14ac:dyDescent="0.25">
      <c r="F85" s="220"/>
    </row>
    <row r="86" spans="6:6" ht="14.45" x14ac:dyDescent="0.25">
      <c r="F86" s="220"/>
    </row>
    <row r="87" spans="6:6" ht="14.45" x14ac:dyDescent="0.25">
      <c r="F87" s="220"/>
    </row>
    <row r="88" spans="6:6" ht="14.45" x14ac:dyDescent="0.25">
      <c r="F88" s="220"/>
    </row>
    <row r="89" spans="6:6" ht="14.45" x14ac:dyDescent="0.25">
      <c r="F89" s="220"/>
    </row>
    <row r="90" spans="6:6" ht="14.45" x14ac:dyDescent="0.25">
      <c r="F90" s="220"/>
    </row>
    <row r="91" spans="6:6" ht="14.45" x14ac:dyDescent="0.25">
      <c r="F91" s="220"/>
    </row>
    <row r="92" spans="6:6" ht="14.45" x14ac:dyDescent="0.25">
      <c r="F92" s="220"/>
    </row>
    <row r="93" spans="6:6" ht="14.45" x14ac:dyDescent="0.25">
      <c r="F93" s="220"/>
    </row>
    <row r="94" spans="6:6" ht="14.45" x14ac:dyDescent="0.25">
      <c r="F94" s="220"/>
    </row>
    <row r="95" spans="6:6" ht="14.45" x14ac:dyDescent="0.25">
      <c r="F95" s="220"/>
    </row>
    <row r="96" spans="6:6" ht="14.45" x14ac:dyDescent="0.25">
      <c r="F96" s="220"/>
    </row>
    <row r="97" spans="6:6" ht="14.45" x14ac:dyDescent="0.25">
      <c r="F97" s="220"/>
    </row>
    <row r="98" spans="6:6" ht="14.45" x14ac:dyDescent="0.25">
      <c r="F98" s="220"/>
    </row>
    <row r="99" spans="6:6" ht="14.45" x14ac:dyDescent="0.25">
      <c r="F99" s="220"/>
    </row>
    <row r="100" spans="6:6" ht="14.45" x14ac:dyDescent="0.25">
      <c r="F100" s="220"/>
    </row>
    <row r="101" spans="6:6" ht="14.45" x14ac:dyDescent="0.25">
      <c r="F101" s="220"/>
    </row>
    <row r="102" spans="6:6" ht="14.45" x14ac:dyDescent="0.25">
      <c r="F102" s="220"/>
    </row>
    <row r="103" spans="6:6" ht="14.45" x14ac:dyDescent="0.25">
      <c r="F103" s="220"/>
    </row>
    <row r="104" spans="6:6" ht="14.45" x14ac:dyDescent="0.25">
      <c r="F104" s="220"/>
    </row>
    <row r="105" spans="6:6" ht="14.45" x14ac:dyDescent="0.25">
      <c r="F105" s="220"/>
    </row>
    <row r="106" spans="6:6" ht="14.45" x14ac:dyDescent="0.25">
      <c r="F106" s="220"/>
    </row>
    <row r="107" spans="6:6" ht="14.45" x14ac:dyDescent="0.25">
      <c r="F107" s="220"/>
    </row>
    <row r="108" spans="6:6" ht="14.45" x14ac:dyDescent="0.25">
      <c r="F108" s="220"/>
    </row>
    <row r="109" spans="6:6" ht="14.45" x14ac:dyDescent="0.25">
      <c r="F109" s="220"/>
    </row>
  </sheetData>
  <mergeCells count="1">
    <mergeCell ref="E1:F1"/>
  </mergeCells>
  <printOptions horizontalCentered="1"/>
  <pageMargins left="0.75" right="0.5" top="0.5" bottom="0.5" header="0.5" footer="0.25"/>
  <pageSetup scale="17" orientation="portrait" blackAndWhite="1" r:id="rId1"/>
  <headerFooter alignWithMargins="0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9"/>
  <sheetViews>
    <sheetView zoomScale="85" zoomScaleNormal="85" workbookViewId="0">
      <pane xSplit="4" ySplit="26" topLeftCell="E27" activePane="bottomRight" state="frozen"/>
      <selection activeCell="H42" sqref="H42"/>
      <selection pane="topRight" activeCell="H42" sqref="H42"/>
      <selection pane="bottomLeft" activeCell="H42" sqref="H42"/>
      <selection pane="bottomRight" activeCell="H10" sqref="H10:J14"/>
    </sheetView>
  </sheetViews>
  <sheetFormatPr defaultColWidth="10.28515625" defaultRowHeight="15" outlineLevelRow="1" outlineLevelCol="1" x14ac:dyDescent="0.2"/>
  <cols>
    <col min="1" max="1" width="5.7109375" style="34" customWidth="1"/>
    <col min="2" max="2" width="7.42578125" style="34" customWidth="1"/>
    <col min="3" max="3" width="26.42578125" style="34" customWidth="1"/>
    <col min="4" max="4" width="15.5703125" style="3" customWidth="1"/>
    <col min="5" max="5" width="13.5703125" style="56" customWidth="1"/>
    <col min="6" max="6" width="13.42578125" style="56" customWidth="1"/>
    <col min="7" max="7" width="14.5703125" style="56" bestFit="1" customWidth="1"/>
    <col min="8" max="8" width="12.5703125" style="56" customWidth="1"/>
    <col min="9" max="25" width="12.85546875" style="56" bestFit="1" customWidth="1"/>
    <col min="26" max="38" width="12.28515625" style="56" bestFit="1" customWidth="1"/>
    <col min="39" max="39" width="17" style="56" customWidth="1" outlineLevel="1"/>
    <col min="40" max="40" width="13" style="56" customWidth="1" outlineLevel="1"/>
    <col min="41" max="41" width="14.28515625" style="56" customWidth="1" outlineLevel="1"/>
    <col min="42" max="42" width="12.7109375" style="3" bestFit="1" customWidth="1"/>
    <col min="43" max="43" width="12.28515625" style="3" customWidth="1"/>
    <col min="44" max="44" width="14" style="3" customWidth="1"/>
    <col min="45" max="45" width="14.28515625" style="3" bestFit="1" customWidth="1"/>
    <col min="46" max="46" width="16.5703125" style="3" customWidth="1"/>
    <col min="47" max="16384" width="10.28515625" style="3"/>
  </cols>
  <sheetData>
    <row r="1" spans="1:14" s="3" customFormat="1" ht="17.25" customHeight="1" x14ac:dyDescent="0.25">
      <c r="A1" s="1" t="s">
        <v>0</v>
      </c>
      <c r="B1" s="2"/>
      <c r="C1" s="2"/>
      <c r="E1" s="351"/>
      <c r="F1" s="351"/>
      <c r="H1" s="4"/>
      <c r="I1" s="5"/>
    </row>
    <row r="2" spans="1:14" s="3" customFormat="1" ht="12.75" customHeight="1" x14ac:dyDescent="0.25">
      <c r="A2" s="6" t="s">
        <v>1</v>
      </c>
      <c r="B2" s="2"/>
      <c r="C2" s="2"/>
      <c r="F2" s="5"/>
      <c r="G2" s="5"/>
    </row>
    <row r="3" spans="1:14" s="3" customFormat="1" ht="12.75" customHeight="1" x14ac:dyDescent="0.25">
      <c r="A3" s="6" t="s">
        <v>2</v>
      </c>
      <c r="B3" s="2"/>
      <c r="C3" s="186">
        <v>2018</v>
      </c>
      <c r="D3" s="187" t="s">
        <v>3</v>
      </c>
      <c r="F3" s="5"/>
      <c r="G3" s="5"/>
    </row>
    <row r="4" spans="1:14" s="3" customFormat="1" ht="7.5" customHeight="1" thickBot="1" x14ac:dyDescent="0.25">
      <c r="A4" s="2"/>
      <c r="B4" s="2"/>
      <c r="C4" s="2"/>
      <c r="F4" s="5"/>
      <c r="G4" s="5"/>
    </row>
    <row r="5" spans="1:14" s="3" customFormat="1" x14ac:dyDescent="0.2">
      <c r="A5" s="7" t="s">
        <v>4</v>
      </c>
      <c r="B5" s="8"/>
      <c r="C5" s="8"/>
      <c r="D5" s="9"/>
      <c r="E5" s="9"/>
      <c r="F5" s="10"/>
      <c r="G5" s="11"/>
      <c r="H5" s="188"/>
      <c r="I5" s="9"/>
      <c r="J5" s="10"/>
      <c r="L5" s="3" t="s">
        <v>188</v>
      </c>
      <c r="N5" s="22">
        <f>F22</f>
        <v>60284764.079999998</v>
      </c>
    </row>
    <row r="6" spans="1:14" s="3" customFormat="1" x14ac:dyDescent="0.2">
      <c r="A6" s="12"/>
      <c r="B6" s="13"/>
      <c r="C6" s="13"/>
      <c r="D6" s="114" t="s">
        <v>185</v>
      </c>
      <c r="E6" s="114"/>
      <c r="F6" s="115"/>
      <c r="G6" s="11"/>
      <c r="H6" s="189" t="s">
        <v>186</v>
      </c>
      <c r="I6" s="114"/>
      <c r="J6" s="115"/>
    </row>
    <row r="7" spans="1:14" s="3" customFormat="1" x14ac:dyDescent="0.2">
      <c r="A7" s="12"/>
      <c r="B7" s="13"/>
      <c r="C7" s="13"/>
      <c r="D7" s="16"/>
      <c r="E7" s="16"/>
      <c r="F7" s="17" t="s">
        <v>5</v>
      </c>
      <c r="G7" s="18"/>
      <c r="H7" s="190"/>
      <c r="I7" s="16"/>
      <c r="J7" s="17" t="s">
        <v>5</v>
      </c>
      <c r="M7" s="116" t="s">
        <v>189</v>
      </c>
      <c r="N7" s="3" t="s">
        <v>53</v>
      </c>
    </row>
    <row r="8" spans="1:14" s="3" customFormat="1" x14ac:dyDescent="0.2">
      <c r="A8" s="12" t="s">
        <v>6</v>
      </c>
      <c r="B8" s="13"/>
      <c r="C8" s="13"/>
      <c r="D8" s="19" t="s">
        <v>7</v>
      </c>
      <c r="E8" s="19" t="s">
        <v>8</v>
      </c>
      <c r="F8" s="20" t="s">
        <v>8</v>
      </c>
      <c r="G8" s="18"/>
      <c r="H8" s="191" t="s">
        <v>7</v>
      </c>
      <c r="I8" s="19" t="s">
        <v>8</v>
      </c>
      <c r="J8" s="20" t="s">
        <v>8</v>
      </c>
      <c r="L8" s="221">
        <v>43069</v>
      </c>
      <c r="M8" s="106">
        <f>J17</f>
        <v>2.790316331356538E-2</v>
      </c>
      <c r="N8" s="22">
        <f>$N$5*M8/12</f>
        <v>140177.96812033333</v>
      </c>
    </row>
    <row r="9" spans="1:14" s="3" customFormat="1" x14ac:dyDescent="0.2">
      <c r="A9" s="12"/>
      <c r="B9" s="13"/>
      <c r="C9" s="13"/>
      <c r="D9" s="14"/>
      <c r="E9" s="14"/>
      <c r="F9" s="21"/>
      <c r="G9" s="14"/>
      <c r="H9" s="193"/>
      <c r="I9" s="14"/>
      <c r="J9" s="21"/>
      <c r="L9" s="221">
        <v>43100</v>
      </c>
      <c r="M9" s="106">
        <f>F17</f>
        <v>2.451496550967695E-2</v>
      </c>
      <c r="N9" s="22">
        <f>$N$5*M9/12</f>
        <v>123156.57601501765</v>
      </c>
    </row>
    <row r="10" spans="1:14" s="3" customFormat="1" x14ac:dyDescent="0.2">
      <c r="A10" s="12"/>
      <c r="B10" s="13"/>
      <c r="C10" s="13"/>
      <c r="D10" s="23"/>
      <c r="E10" s="23"/>
      <c r="F10" s="24"/>
      <c r="G10" s="22"/>
      <c r="H10" s="194"/>
      <c r="I10" s="23"/>
      <c r="J10" s="24"/>
      <c r="L10" s="221">
        <v>43131</v>
      </c>
      <c r="M10" s="106">
        <f>M9</f>
        <v>2.451496550967695E-2</v>
      </c>
      <c r="N10" s="22">
        <f>$N$5*M10/12</f>
        <v>123156.57601501765</v>
      </c>
    </row>
    <row r="11" spans="1:14" s="3" customFormat="1" x14ac:dyDescent="0.2">
      <c r="A11" s="12" t="s">
        <v>121</v>
      </c>
      <c r="B11" s="13"/>
      <c r="C11" s="13"/>
      <c r="D11" s="23">
        <v>0.51500000000000001</v>
      </c>
      <c r="E11" s="23">
        <v>5.8058252427184473E-2</v>
      </c>
      <c r="F11" s="24">
        <v>2.9899999999999999E-2</v>
      </c>
      <c r="G11" s="22"/>
      <c r="H11" s="194">
        <v>0.52</v>
      </c>
      <c r="I11" s="23">
        <v>8.8400000000000006E-2</v>
      </c>
      <c r="J11" s="24">
        <v>3.0700000000000002E-2</v>
      </c>
      <c r="K11" s="22"/>
      <c r="L11" s="221">
        <v>43159</v>
      </c>
      <c r="M11" s="106">
        <f t="shared" ref="M11:M19" si="0">M10</f>
        <v>2.451496550967695E-2</v>
      </c>
      <c r="N11" s="22">
        <f t="shared" ref="N11:N19" si="1">$N$5*M11/12</f>
        <v>123156.57601501765</v>
      </c>
    </row>
    <row r="12" spans="1:14" s="3" customFormat="1" x14ac:dyDescent="0.2">
      <c r="A12" s="12" t="s">
        <v>9</v>
      </c>
      <c r="B12" s="13"/>
      <c r="C12" s="13"/>
      <c r="D12" s="25">
        <v>0.48499999999999999</v>
      </c>
      <c r="E12" s="23">
        <v>9.5000000000000001E-2</v>
      </c>
      <c r="F12" s="26">
        <v>4.6100000000000002E-2</v>
      </c>
      <c r="G12" s="22"/>
      <c r="H12" s="195">
        <v>0.48</v>
      </c>
      <c r="I12" s="25">
        <v>9.8000000000000004E-2</v>
      </c>
      <c r="J12" s="26">
        <v>4.7E-2</v>
      </c>
      <c r="K12" s="22"/>
      <c r="L12" s="221">
        <v>43190</v>
      </c>
      <c r="M12" s="106">
        <f t="shared" si="0"/>
        <v>2.451496550967695E-2</v>
      </c>
      <c r="N12" s="22">
        <f t="shared" si="1"/>
        <v>123156.57601501765</v>
      </c>
    </row>
    <row r="13" spans="1:14" s="3" customFormat="1" ht="15.75" thickBot="1" x14ac:dyDescent="0.25">
      <c r="A13" s="12" t="s">
        <v>10</v>
      </c>
      <c r="B13" s="13"/>
      <c r="C13" s="13"/>
      <c r="D13" s="27">
        <f>D10+D11+D12</f>
        <v>1</v>
      </c>
      <c r="E13" s="28"/>
      <c r="F13" s="29">
        <f>F10+F11+F12</f>
        <v>7.5999999999999998E-2</v>
      </c>
      <c r="G13" s="28"/>
      <c r="H13" s="196">
        <f>H10+H11+H12</f>
        <v>1</v>
      </c>
      <c r="I13" s="28"/>
      <c r="J13" s="29">
        <f>J10+J11+J12</f>
        <v>7.7700000000000005E-2</v>
      </c>
      <c r="K13" s="22"/>
      <c r="L13" s="221">
        <v>43220</v>
      </c>
      <c r="M13" s="106">
        <f t="shared" si="0"/>
        <v>2.451496550967695E-2</v>
      </c>
      <c r="N13" s="22">
        <f t="shared" si="1"/>
        <v>123156.57601501765</v>
      </c>
    </row>
    <row r="14" spans="1:14" s="3" customFormat="1" ht="15.75" thickTop="1" x14ac:dyDescent="0.2">
      <c r="A14" s="12"/>
      <c r="B14" s="13"/>
      <c r="C14" s="13"/>
      <c r="D14" s="14"/>
      <c r="E14" s="14"/>
      <c r="F14" s="21"/>
      <c r="G14" s="14"/>
      <c r="H14" s="193"/>
      <c r="I14" s="14"/>
      <c r="J14" s="21"/>
      <c r="L14" s="221">
        <v>43251</v>
      </c>
      <c r="M14" s="106">
        <f t="shared" si="0"/>
        <v>2.451496550967695E-2</v>
      </c>
      <c r="N14" s="22">
        <f t="shared" si="1"/>
        <v>123156.57601501765</v>
      </c>
    </row>
    <row r="15" spans="1:14" s="3" customFormat="1" x14ac:dyDescent="0.2">
      <c r="A15" s="12" t="s">
        <v>11</v>
      </c>
      <c r="B15" s="13"/>
      <c r="C15" s="13"/>
      <c r="D15" s="14"/>
      <c r="E15" s="14"/>
      <c r="F15" s="24">
        <v>0.21</v>
      </c>
      <c r="G15" s="28"/>
      <c r="H15" s="193"/>
      <c r="I15" s="14"/>
      <c r="J15" s="24">
        <v>0.35</v>
      </c>
      <c r="L15" s="221">
        <v>43281</v>
      </c>
      <c r="M15" s="106">
        <f t="shared" si="0"/>
        <v>2.451496550967695E-2</v>
      </c>
      <c r="N15" s="22">
        <f t="shared" si="1"/>
        <v>123156.57601501765</v>
      </c>
    </row>
    <row r="16" spans="1:14" s="3" customFormat="1" x14ac:dyDescent="0.2">
      <c r="A16" s="12" t="s">
        <v>12</v>
      </c>
      <c r="B16" s="13"/>
      <c r="C16" s="13"/>
      <c r="D16" s="14"/>
      <c r="E16" s="14"/>
      <c r="F16" s="24">
        <v>4.5462000000000002E-2</v>
      </c>
      <c r="G16" s="28"/>
      <c r="H16" s="193"/>
      <c r="I16" s="14"/>
      <c r="J16" s="24">
        <v>4.5462000000000002E-2</v>
      </c>
      <c r="L16" s="221">
        <v>43312</v>
      </c>
      <c r="M16" s="106">
        <f t="shared" si="0"/>
        <v>2.451496550967695E-2</v>
      </c>
      <c r="N16" s="22">
        <f t="shared" si="1"/>
        <v>123156.57601501765</v>
      </c>
    </row>
    <row r="17" spans="1:46" x14ac:dyDescent="0.2">
      <c r="A17" s="12" t="s">
        <v>13</v>
      </c>
      <c r="B17" s="13"/>
      <c r="C17" s="13"/>
      <c r="D17" s="14"/>
      <c r="E17" s="14"/>
      <c r="F17" s="24">
        <v>2.451496550967695E-2</v>
      </c>
      <c r="H17" s="193"/>
      <c r="I17" s="14"/>
      <c r="J17" s="24">
        <v>2.790316331356538E-2</v>
      </c>
      <c r="K17" s="3"/>
      <c r="L17" s="221">
        <v>43343</v>
      </c>
      <c r="M17" s="106">
        <f t="shared" si="0"/>
        <v>2.451496550967695E-2</v>
      </c>
      <c r="N17" s="22">
        <f t="shared" si="1"/>
        <v>123156.57601501765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</row>
    <row r="18" spans="1:46" x14ac:dyDescent="0.2">
      <c r="A18" s="12" t="s">
        <v>14</v>
      </c>
      <c r="B18" s="13"/>
      <c r="C18" s="13"/>
      <c r="D18" s="14"/>
      <c r="E18" s="14"/>
      <c r="F18" s="30">
        <v>0</v>
      </c>
      <c r="G18" s="5"/>
      <c r="H18" s="193"/>
      <c r="I18" s="14"/>
      <c r="J18" s="30">
        <v>1</v>
      </c>
      <c r="K18" s="3"/>
      <c r="L18" s="221">
        <v>43373</v>
      </c>
      <c r="M18" s="106">
        <f t="shared" si="0"/>
        <v>2.451496550967695E-2</v>
      </c>
      <c r="N18" s="22">
        <f t="shared" si="1"/>
        <v>123156.57601501765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</row>
    <row r="19" spans="1:46" x14ac:dyDescent="0.2">
      <c r="A19" s="12"/>
      <c r="B19" s="13"/>
      <c r="C19" s="13"/>
      <c r="D19" s="14"/>
      <c r="E19" s="14"/>
      <c r="F19" s="15"/>
      <c r="G19" s="5"/>
      <c r="H19" s="198"/>
      <c r="I19" s="14"/>
      <c r="J19" s="21"/>
      <c r="K19" s="3"/>
      <c r="L19" s="221">
        <v>43404</v>
      </c>
      <c r="M19" s="106">
        <f t="shared" si="0"/>
        <v>2.451496550967695E-2</v>
      </c>
      <c r="N19" s="22">
        <f t="shared" si="1"/>
        <v>123156.57601501765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</row>
    <row r="20" spans="1:46" x14ac:dyDescent="0.2">
      <c r="A20" s="12" t="s">
        <v>15</v>
      </c>
      <c r="B20" s="13"/>
      <c r="C20" s="13"/>
      <c r="D20" s="14"/>
      <c r="E20" s="14"/>
      <c r="F20" s="15"/>
      <c r="G20" s="5"/>
      <c r="H20" s="198"/>
      <c r="I20" s="14"/>
      <c r="J20" s="21"/>
      <c r="K20" s="3"/>
      <c r="N20" s="117">
        <f>SUM(N8:N19)</f>
        <v>1494900.3042855277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</row>
    <row r="21" spans="1:46" x14ac:dyDescent="0.2">
      <c r="A21" s="12" t="s">
        <v>16</v>
      </c>
      <c r="B21" s="13"/>
      <c r="C21" s="13"/>
      <c r="D21" s="14"/>
      <c r="E21" s="14"/>
      <c r="F21" s="15"/>
      <c r="H21" s="198"/>
      <c r="I21" s="14"/>
      <c r="J21" s="2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</row>
    <row r="22" spans="1:46" ht="15.75" thickBot="1" x14ac:dyDescent="0.25">
      <c r="A22" s="31" t="s">
        <v>17</v>
      </c>
      <c r="B22" s="32"/>
      <c r="C22" s="32"/>
      <c r="D22" s="32"/>
      <c r="E22" s="33"/>
      <c r="F22" s="57">
        <v>60284764.079999998</v>
      </c>
      <c r="H22" s="200"/>
      <c r="I22" s="33"/>
      <c r="J22" s="20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</row>
    <row r="23" spans="1:46" ht="6" customHeight="1" x14ac:dyDescent="0.2"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</row>
    <row r="24" spans="1:46" ht="6" customHeight="1" x14ac:dyDescent="0.2">
      <c r="B24" s="3"/>
      <c r="C24" s="3"/>
      <c r="D24" s="106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</row>
    <row r="25" spans="1:46" x14ac:dyDescent="0.2">
      <c r="A25" s="2"/>
      <c r="B25" s="2"/>
      <c r="C25" s="2"/>
      <c r="D25" s="187"/>
      <c r="E25" s="36" t="s">
        <v>18</v>
      </c>
      <c r="F25" s="95" t="s">
        <v>19</v>
      </c>
      <c r="G25" s="37" t="s">
        <v>20</v>
      </c>
      <c r="H25" s="37" t="s">
        <v>21</v>
      </c>
      <c r="I25" s="37" t="s">
        <v>22</v>
      </c>
      <c r="J25" s="37" t="s">
        <v>23</v>
      </c>
      <c r="K25" s="37" t="s">
        <v>24</v>
      </c>
      <c r="L25" s="37" t="s">
        <v>25</v>
      </c>
      <c r="M25" s="37" t="s">
        <v>26</v>
      </c>
      <c r="N25" s="37" t="s">
        <v>27</v>
      </c>
      <c r="O25" s="37" t="s">
        <v>28</v>
      </c>
      <c r="P25" s="37" t="s">
        <v>29</v>
      </c>
      <c r="Q25" s="37" t="s">
        <v>30</v>
      </c>
      <c r="R25" s="37" t="s">
        <v>31</v>
      </c>
      <c r="S25" s="37" t="s">
        <v>32</v>
      </c>
      <c r="T25" s="37" t="s">
        <v>33</v>
      </c>
      <c r="U25" s="37" t="s">
        <v>34</v>
      </c>
      <c r="V25" s="37" t="s">
        <v>35</v>
      </c>
      <c r="W25" s="37" t="s">
        <v>36</v>
      </c>
      <c r="X25" s="37" t="s">
        <v>37</v>
      </c>
      <c r="Y25" s="37" t="s">
        <v>38</v>
      </c>
      <c r="Z25" s="37" t="s">
        <v>39</v>
      </c>
      <c r="AA25" s="37" t="s">
        <v>40</v>
      </c>
      <c r="AB25" s="37" t="s">
        <v>41</v>
      </c>
      <c r="AC25" s="37" t="s">
        <v>42</v>
      </c>
      <c r="AD25" s="37" t="s">
        <v>43</v>
      </c>
      <c r="AE25" s="37" t="s">
        <v>44</v>
      </c>
      <c r="AF25" s="37" t="s">
        <v>45</v>
      </c>
      <c r="AG25" s="37" t="s">
        <v>46</v>
      </c>
      <c r="AH25" s="37" t="s">
        <v>47</v>
      </c>
      <c r="AI25" s="37" t="s">
        <v>48</v>
      </c>
      <c r="AJ25" s="37" t="s">
        <v>49</v>
      </c>
      <c r="AK25" s="37" t="s">
        <v>50</v>
      </c>
      <c r="AL25" s="37" t="s">
        <v>51</v>
      </c>
      <c r="AM25" s="37" t="s">
        <v>52</v>
      </c>
      <c r="AN25" s="37" t="s">
        <v>74</v>
      </c>
      <c r="AO25" s="37" t="s">
        <v>75</v>
      </c>
      <c r="AP25" s="37" t="s">
        <v>122</v>
      </c>
      <c r="AQ25" s="37" t="s">
        <v>123</v>
      </c>
      <c r="AR25" s="37" t="s">
        <v>124</v>
      </c>
      <c r="AS25" s="3" t="s">
        <v>125</v>
      </c>
    </row>
    <row r="26" spans="1:46" x14ac:dyDescent="0.2">
      <c r="A26" s="2"/>
      <c r="B26" s="2"/>
      <c r="C26" s="2"/>
      <c r="D26" s="187"/>
      <c r="E26" s="82">
        <v>2018</v>
      </c>
      <c r="F26" s="82">
        <v>2019</v>
      </c>
      <c r="G26" s="82">
        <v>2020</v>
      </c>
      <c r="H26" s="82">
        <v>2021</v>
      </c>
      <c r="I26" s="82">
        <v>2022</v>
      </c>
      <c r="J26" s="82">
        <v>2023</v>
      </c>
      <c r="K26" s="82">
        <v>2024</v>
      </c>
      <c r="L26" s="82">
        <v>2025</v>
      </c>
      <c r="M26" s="82">
        <v>2026</v>
      </c>
      <c r="N26" s="82">
        <v>2027</v>
      </c>
      <c r="O26" s="82">
        <v>2028</v>
      </c>
      <c r="P26" s="82">
        <v>2029</v>
      </c>
      <c r="Q26" s="82">
        <v>2030</v>
      </c>
      <c r="R26" s="82">
        <v>2031</v>
      </c>
      <c r="S26" s="82">
        <v>2032</v>
      </c>
      <c r="T26" s="82">
        <v>2033</v>
      </c>
      <c r="U26" s="82">
        <v>2034</v>
      </c>
      <c r="V26" s="82">
        <v>2035</v>
      </c>
      <c r="W26" s="82">
        <v>2036</v>
      </c>
      <c r="X26" s="82">
        <v>2037</v>
      </c>
      <c r="Y26" s="82">
        <v>2038</v>
      </c>
      <c r="Z26" s="82">
        <v>2039</v>
      </c>
      <c r="AA26" s="82">
        <v>2040</v>
      </c>
      <c r="AB26" s="82">
        <v>2041</v>
      </c>
      <c r="AC26" s="82">
        <v>2042</v>
      </c>
      <c r="AD26" s="82">
        <v>2043</v>
      </c>
      <c r="AE26" s="82">
        <v>2044</v>
      </c>
      <c r="AF26" s="82">
        <v>2045</v>
      </c>
      <c r="AG26" s="82">
        <v>2046</v>
      </c>
      <c r="AH26" s="82">
        <v>2047</v>
      </c>
      <c r="AI26" s="82">
        <v>2048</v>
      </c>
      <c r="AJ26" s="82">
        <v>2049</v>
      </c>
      <c r="AK26" s="82">
        <v>2050</v>
      </c>
      <c r="AL26" s="82">
        <v>2051</v>
      </c>
      <c r="AM26" s="82">
        <v>2052</v>
      </c>
      <c r="AN26" s="82">
        <v>2053</v>
      </c>
      <c r="AO26" s="82">
        <v>2054</v>
      </c>
      <c r="AP26" s="82">
        <v>2055</v>
      </c>
      <c r="AQ26" s="82">
        <v>2056</v>
      </c>
      <c r="AR26" s="82">
        <v>2057</v>
      </c>
    </row>
    <row r="27" spans="1:46" x14ac:dyDescent="0.2">
      <c r="A27" s="186">
        <v>1</v>
      </c>
      <c r="B27" s="2" t="s">
        <v>53</v>
      </c>
      <c r="C27" s="2"/>
      <c r="D27" s="187"/>
      <c r="E27" s="38">
        <f>N20</f>
        <v>1494900.3042855277</v>
      </c>
      <c r="F27" s="102">
        <f>$F22*$F17</f>
        <v>1477878.9121802119</v>
      </c>
      <c r="G27" s="102">
        <f t="shared" ref="G27:AR27" si="2">$F22*$F17</f>
        <v>1477878.9121802119</v>
      </c>
      <c r="H27" s="102">
        <f t="shared" si="2"/>
        <v>1477878.9121802119</v>
      </c>
      <c r="I27" s="102">
        <f t="shared" si="2"/>
        <v>1477878.9121802119</v>
      </c>
      <c r="J27" s="102">
        <f t="shared" si="2"/>
        <v>1477878.9121802119</v>
      </c>
      <c r="K27" s="102">
        <f t="shared" si="2"/>
        <v>1477878.9121802119</v>
      </c>
      <c r="L27" s="102">
        <f t="shared" si="2"/>
        <v>1477878.9121802119</v>
      </c>
      <c r="M27" s="102">
        <f t="shared" si="2"/>
        <v>1477878.9121802119</v>
      </c>
      <c r="N27" s="102">
        <f t="shared" si="2"/>
        <v>1477878.9121802119</v>
      </c>
      <c r="O27" s="102">
        <f t="shared" si="2"/>
        <v>1477878.9121802119</v>
      </c>
      <c r="P27" s="102">
        <f t="shared" si="2"/>
        <v>1477878.9121802119</v>
      </c>
      <c r="Q27" s="102">
        <f t="shared" si="2"/>
        <v>1477878.9121802119</v>
      </c>
      <c r="R27" s="102">
        <f t="shared" si="2"/>
        <v>1477878.9121802119</v>
      </c>
      <c r="S27" s="102">
        <f t="shared" si="2"/>
        <v>1477878.9121802119</v>
      </c>
      <c r="T27" s="102">
        <f t="shared" si="2"/>
        <v>1477878.9121802119</v>
      </c>
      <c r="U27" s="102">
        <f t="shared" si="2"/>
        <v>1477878.9121802119</v>
      </c>
      <c r="V27" s="102">
        <f t="shared" si="2"/>
        <v>1477878.9121802119</v>
      </c>
      <c r="W27" s="102">
        <f t="shared" si="2"/>
        <v>1477878.9121802119</v>
      </c>
      <c r="X27" s="102">
        <f t="shared" si="2"/>
        <v>1477878.9121802119</v>
      </c>
      <c r="Y27" s="102">
        <f t="shared" si="2"/>
        <v>1477878.9121802119</v>
      </c>
      <c r="Z27" s="102">
        <f t="shared" si="2"/>
        <v>1477878.9121802119</v>
      </c>
      <c r="AA27" s="102">
        <f t="shared" si="2"/>
        <v>1477878.9121802119</v>
      </c>
      <c r="AB27" s="102">
        <f t="shared" si="2"/>
        <v>1477878.9121802119</v>
      </c>
      <c r="AC27" s="102">
        <f t="shared" si="2"/>
        <v>1477878.9121802119</v>
      </c>
      <c r="AD27" s="102">
        <f t="shared" si="2"/>
        <v>1477878.9121802119</v>
      </c>
      <c r="AE27" s="102">
        <f t="shared" si="2"/>
        <v>1477878.9121802119</v>
      </c>
      <c r="AF27" s="102">
        <f t="shared" si="2"/>
        <v>1477878.9121802119</v>
      </c>
      <c r="AG27" s="102">
        <f t="shared" si="2"/>
        <v>1477878.9121802119</v>
      </c>
      <c r="AH27" s="102">
        <f t="shared" si="2"/>
        <v>1477878.9121802119</v>
      </c>
      <c r="AI27" s="102">
        <f t="shared" si="2"/>
        <v>1477878.9121802119</v>
      </c>
      <c r="AJ27" s="102">
        <f t="shared" si="2"/>
        <v>1477878.9121802119</v>
      </c>
      <c r="AK27" s="102">
        <f t="shared" si="2"/>
        <v>1477878.9121802119</v>
      </c>
      <c r="AL27" s="102">
        <f t="shared" si="2"/>
        <v>1477878.9121802119</v>
      </c>
      <c r="AM27" s="102">
        <f t="shared" si="2"/>
        <v>1477878.9121802119</v>
      </c>
      <c r="AN27" s="102">
        <f t="shared" si="2"/>
        <v>1477878.9121802119</v>
      </c>
      <c r="AO27" s="102">
        <f t="shared" si="2"/>
        <v>1477878.9121802119</v>
      </c>
      <c r="AP27" s="102">
        <f t="shared" si="2"/>
        <v>1477878.9121802119</v>
      </c>
      <c r="AQ27" s="102">
        <f t="shared" si="2"/>
        <v>1477878.9121802119</v>
      </c>
      <c r="AR27" s="102">
        <f t="shared" si="2"/>
        <v>1477878.9121802119</v>
      </c>
      <c r="AS27" s="102">
        <v>50237.303400000004</v>
      </c>
      <c r="AT27" s="105">
        <f>SUM(D27:AS27)</f>
        <v>59182415.182713844</v>
      </c>
    </row>
    <row r="28" spans="1:46" x14ac:dyDescent="0.2">
      <c r="A28" s="2"/>
      <c r="B28" s="2"/>
      <c r="C28" s="2"/>
      <c r="D28" s="187"/>
      <c r="E28" s="38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39"/>
      <c r="AN28" s="102"/>
      <c r="AO28" s="102"/>
      <c r="AP28" s="207"/>
    </row>
    <row r="29" spans="1:46" x14ac:dyDescent="0.2">
      <c r="A29" s="186">
        <f>A27+1</f>
        <v>2</v>
      </c>
      <c r="B29" s="2" t="s">
        <v>54</v>
      </c>
      <c r="C29" s="2"/>
      <c r="D29" s="187"/>
      <c r="E29" s="38">
        <f>E53</f>
        <v>728501.04782231676</v>
      </c>
      <c r="F29" s="102">
        <f t="shared" ref="F29:AS29" si="3">F53</f>
        <v>705493.24906179088</v>
      </c>
      <c r="G29" s="102">
        <f t="shared" si="3"/>
        <v>680406.87037514627</v>
      </c>
      <c r="H29" s="102">
        <f t="shared" si="3"/>
        <v>656128.7640201957</v>
      </c>
      <c r="I29" s="102">
        <f t="shared" si="3"/>
        <v>632598.42592604412</v>
      </c>
      <c r="J29" s="102">
        <f t="shared" si="3"/>
        <v>609760.00618109677</v>
      </c>
      <c r="K29" s="102">
        <f t="shared" si="3"/>
        <v>587561.53333984176</v>
      </c>
      <c r="L29" s="102">
        <f t="shared" si="3"/>
        <v>565954.91442285012</v>
      </c>
      <c r="M29" s="102">
        <f t="shared" si="3"/>
        <v>544678.74081612867</v>
      </c>
      <c r="N29" s="102">
        <f t="shared" si="3"/>
        <v>523449.88449561945</v>
      </c>
      <c r="O29" s="102">
        <f t="shared" si="3"/>
        <v>502221.02817511029</v>
      </c>
      <c r="P29" s="102">
        <f t="shared" si="3"/>
        <v>480992.17185460124</v>
      </c>
      <c r="Q29" s="102">
        <f t="shared" si="3"/>
        <v>459763.31553409214</v>
      </c>
      <c r="R29" s="102">
        <f t="shared" si="3"/>
        <v>438534.45921358303</v>
      </c>
      <c r="S29" s="102">
        <f t="shared" si="3"/>
        <v>417305.60289307381</v>
      </c>
      <c r="T29" s="102">
        <f t="shared" si="3"/>
        <v>396076.74657256471</v>
      </c>
      <c r="U29" s="102">
        <f t="shared" si="3"/>
        <v>374847.89025205572</v>
      </c>
      <c r="V29" s="102">
        <f t="shared" si="3"/>
        <v>353619.03393154667</v>
      </c>
      <c r="W29" s="102">
        <f t="shared" si="3"/>
        <v>332390.17761103751</v>
      </c>
      <c r="X29" s="102">
        <f t="shared" si="3"/>
        <v>311161.3212905284</v>
      </c>
      <c r="Y29" s="102">
        <f t="shared" si="3"/>
        <v>291663.03653624654</v>
      </c>
      <c r="Z29" s="102">
        <f t="shared" si="3"/>
        <v>275625.11922120268</v>
      </c>
      <c r="AA29" s="102">
        <f t="shared" si="3"/>
        <v>261317.77347238603</v>
      </c>
      <c r="AB29" s="102">
        <f t="shared" si="3"/>
        <v>247010.42772356933</v>
      </c>
      <c r="AC29" s="102">
        <f t="shared" si="3"/>
        <v>232703.08197475271</v>
      </c>
      <c r="AD29" s="102">
        <f t="shared" si="3"/>
        <v>218395.73622593601</v>
      </c>
      <c r="AE29" s="102">
        <f t="shared" si="3"/>
        <v>204088.39047711936</v>
      </c>
      <c r="AF29" s="102">
        <f t="shared" si="3"/>
        <v>189781.04472830263</v>
      </c>
      <c r="AG29" s="102">
        <f t="shared" si="3"/>
        <v>175473.69897948598</v>
      </c>
      <c r="AH29" s="102">
        <f t="shared" si="3"/>
        <v>161166.35323066931</v>
      </c>
      <c r="AI29" s="102">
        <f t="shared" si="3"/>
        <v>146859.00748185266</v>
      </c>
      <c r="AJ29" s="102">
        <f t="shared" si="3"/>
        <v>132551.66173303599</v>
      </c>
      <c r="AK29" s="102">
        <f t="shared" si="3"/>
        <v>118244.3159842193</v>
      </c>
      <c r="AL29" s="102">
        <f t="shared" si="3"/>
        <v>103936.97023540264</v>
      </c>
      <c r="AM29" s="102">
        <f t="shared" si="3"/>
        <v>89629.624486585977</v>
      </c>
      <c r="AN29" s="102">
        <f t="shared" si="3"/>
        <v>75322.278737769302</v>
      </c>
      <c r="AO29" s="102">
        <f t="shared" si="3"/>
        <v>61014.932988952627</v>
      </c>
      <c r="AP29" s="102">
        <f t="shared" si="3"/>
        <v>46707.587240135952</v>
      </c>
      <c r="AQ29" s="102">
        <f t="shared" si="3"/>
        <v>32400.241491319288</v>
      </c>
      <c r="AR29" s="102">
        <f t="shared" si="3"/>
        <v>18092.895742502616</v>
      </c>
      <c r="AS29" s="102">
        <f t="shared" si="3"/>
        <v>10696.04920098661</v>
      </c>
      <c r="AT29" s="105">
        <f>SUM(D29:AS29)</f>
        <v>13394125.411681658</v>
      </c>
    </row>
    <row r="30" spans="1:46" x14ac:dyDescent="0.2">
      <c r="A30" s="2"/>
      <c r="B30" s="2"/>
      <c r="C30" s="2"/>
      <c r="D30" s="187"/>
      <c r="E30" s="38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</row>
    <row r="31" spans="1:46" x14ac:dyDescent="0.2">
      <c r="A31" s="2"/>
      <c r="B31" s="2" t="s">
        <v>55</v>
      </c>
      <c r="C31" s="2"/>
      <c r="D31" s="187"/>
      <c r="E31" s="38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</row>
    <row r="32" spans="1:46" x14ac:dyDescent="0.2">
      <c r="A32" s="186"/>
      <c r="B32" s="2"/>
      <c r="C32" s="2"/>
      <c r="D32" s="187"/>
      <c r="E32" s="38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5"/>
    </row>
    <row r="33" spans="1:46" x14ac:dyDescent="0.2">
      <c r="A33" s="186">
        <v>3</v>
      </c>
      <c r="B33" s="13"/>
      <c r="C33" s="13" t="s">
        <v>121</v>
      </c>
      <c r="D33" s="187"/>
      <c r="E33" s="38">
        <f>E49*$F11</f>
        <v>1777494.3963031655</v>
      </c>
      <c r="F33" s="102">
        <f t="shared" ref="F33:AS33" si="4">F49*$F11</f>
        <v>1721356.8883471298</v>
      </c>
      <c r="G33" s="102">
        <f t="shared" si="4"/>
        <v>1660147.7827839409</v>
      </c>
      <c r="H33" s="102">
        <f t="shared" si="4"/>
        <v>1600910.808276112</v>
      </c>
      <c r="I33" s="102">
        <f t="shared" si="4"/>
        <v>1543498.3388905164</v>
      </c>
      <c r="J33" s="102">
        <f t="shared" si="4"/>
        <v>1487774.1045350363</v>
      </c>
      <c r="K33" s="102">
        <f t="shared" si="4"/>
        <v>1433611.298318397</v>
      </c>
      <c r="L33" s="102">
        <f t="shared" si="4"/>
        <v>1380892.5765501645</v>
      </c>
      <c r="M33" s="102">
        <f t="shared" si="4"/>
        <v>1328980.119493624</v>
      </c>
      <c r="N33" s="102">
        <f t="shared" si="4"/>
        <v>1277183.1134873491</v>
      </c>
      <c r="O33" s="102">
        <f t="shared" si="4"/>
        <v>1225386.1074810743</v>
      </c>
      <c r="P33" s="102">
        <f t="shared" si="4"/>
        <v>1173589.1014747997</v>
      </c>
      <c r="Q33" s="102">
        <f t="shared" si="4"/>
        <v>1121792.0954685251</v>
      </c>
      <c r="R33" s="102">
        <f t="shared" si="4"/>
        <v>1069995.0894622502</v>
      </c>
      <c r="S33" s="102">
        <f t="shared" si="4"/>
        <v>1018198.0834559754</v>
      </c>
      <c r="T33" s="102">
        <f t="shared" si="4"/>
        <v>966401.07744970068</v>
      </c>
      <c r="U33" s="102">
        <f t="shared" si="4"/>
        <v>914604.07144342607</v>
      </c>
      <c r="V33" s="102">
        <f t="shared" si="4"/>
        <v>862807.06543715158</v>
      </c>
      <c r="W33" s="102">
        <f t="shared" si="4"/>
        <v>811010.05943087675</v>
      </c>
      <c r="X33" s="102">
        <f t="shared" si="4"/>
        <v>759213.05342460203</v>
      </c>
      <c r="Y33" s="102">
        <f t="shared" si="4"/>
        <v>711638.52763378574</v>
      </c>
      <c r="Z33" s="102">
        <f t="shared" si="4"/>
        <v>672507.06963371846</v>
      </c>
      <c r="AA33" s="102">
        <f t="shared" si="4"/>
        <v>637598.09184910974</v>
      </c>
      <c r="AB33" s="102">
        <f t="shared" si="4"/>
        <v>602689.11406450078</v>
      </c>
      <c r="AC33" s="102">
        <f t="shared" si="4"/>
        <v>567780.13627989194</v>
      </c>
      <c r="AD33" s="102">
        <f t="shared" si="4"/>
        <v>532871.15849528299</v>
      </c>
      <c r="AE33" s="102">
        <f t="shared" si="4"/>
        <v>497962.18071067409</v>
      </c>
      <c r="AF33" s="102">
        <f t="shared" si="4"/>
        <v>463053.20292606513</v>
      </c>
      <c r="AG33" s="102">
        <f t="shared" si="4"/>
        <v>428144.22514145635</v>
      </c>
      <c r="AH33" s="102">
        <f t="shared" si="4"/>
        <v>393235.24735684745</v>
      </c>
      <c r="AI33" s="102">
        <f t="shared" si="4"/>
        <v>358326.26957223855</v>
      </c>
      <c r="AJ33" s="102">
        <f t="shared" si="4"/>
        <v>323417.29178762971</v>
      </c>
      <c r="AK33" s="102">
        <f t="shared" si="4"/>
        <v>288508.31400302082</v>
      </c>
      <c r="AL33" s="102">
        <f t="shared" si="4"/>
        <v>253599.33621841192</v>
      </c>
      <c r="AM33" s="102">
        <f t="shared" si="4"/>
        <v>218690.35843380305</v>
      </c>
      <c r="AN33" s="102">
        <f t="shared" si="4"/>
        <v>183781.38064919415</v>
      </c>
      <c r="AO33" s="102">
        <f t="shared" si="4"/>
        <v>148872.40286458528</v>
      </c>
      <c r="AP33" s="102">
        <f t="shared" si="4"/>
        <v>113963.42507997638</v>
      </c>
      <c r="AQ33" s="102">
        <f t="shared" si="4"/>
        <v>79054.447295367514</v>
      </c>
      <c r="AR33" s="102">
        <f t="shared" si="4"/>
        <v>44145.46951075863</v>
      </c>
      <c r="AS33" s="102">
        <f t="shared" si="4"/>
        <v>26097.652946648566</v>
      </c>
      <c r="AT33" s="105">
        <f t="shared" ref="AT33:AT42" si="5">SUM(D33:AS33)</f>
        <v>32680780.533966795</v>
      </c>
    </row>
    <row r="34" spans="1:46" x14ac:dyDescent="0.2">
      <c r="A34" s="186">
        <f>A33+1</f>
        <v>4</v>
      </c>
      <c r="B34" s="2"/>
      <c r="C34" s="2" t="s">
        <v>9</v>
      </c>
      <c r="D34" s="187"/>
      <c r="E34" s="40">
        <f>E49*$F12</f>
        <v>2740551.5608553826</v>
      </c>
      <c r="F34" s="100">
        <f t="shared" ref="F34:AS34" si="6">F49*$F12</f>
        <v>2653998.4131372138</v>
      </c>
      <c r="G34" s="100">
        <f t="shared" si="6"/>
        <v>2559625.8456969792</v>
      </c>
      <c r="H34" s="100">
        <f t="shared" si="6"/>
        <v>2468293.9217902599</v>
      </c>
      <c r="I34" s="100">
        <f t="shared" si="6"/>
        <v>2379775.0308646425</v>
      </c>
      <c r="J34" s="100">
        <f t="shared" si="6"/>
        <v>2293859.0708717452</v>
      </c>
      <c r="K34" s="100">
        <f t="shared" si="6"/>
        <v>2210350.5301832142</v>
      </c>
      <c r="L34" s="100">
        <f t="shared" si="6"/>
        <v>2129068.4875907218</v>
      </c>
      <c r="M34" s="100">
        <f t="shared" si="6"/>
        <v>2049029.5487844839</v>
      </c>
      <c r="N34" s="100">
        <f t="shared" si="6"/>
        <v>1969168.6131025685</v>
      </c>
      <c r="O34" s="100">
        <f t="shared" si="6"/>
        <v>1889307.6774206532</v>
      </c>
      <c r="P34" s="100">
        <f t="shared" si="6"/>
        <v>1809446.741738738</v>
      </c>
      <c r="Q34" s="100">
        <f t="shared" si="6"/>
        <v>1729585.8060568231</v>
      </c>
      <c r="R34" s="100">
        <f t="shared" si="6"/>
        <v>1649724.8703749077</v>
      </c>
      <c r="S34" s="100">
        <f t="shared" si="6"/>
        <v>1569863.9346929921</v>
      </c>
      <c r="T34" s="100">
        <f t="shared" si="6"/>
        <v>1490002.999011077</v>
      </c>
      <c r="U34" s="100">
        <f t="shared" si="6"/>
        <v>1410142.0633291621</v>
      </c>
      <c r="V34" s="100">
        <f t="shared" si="6"/>
        <v>1330281.1276472472</v>
      </c>
      <c r="W34" s="100">
        <f t="shared" si="6"/>
        <v>1250420.1919653318</v>
      </c>
      <c r="X34" s="100">
        <f t="shared" si="6"/>
        <v>1170559.2562834164</v>
      </c>
      <c r="Y34" s="100">
        <f t="shared" si="6"/>
        <v>1097208.5660173085</v>
      </c>
      <c r="Z34" s="100">
        <f t="shared" si="6"/>
        <v>1036875.4484988101</v>
      </c>
      <c r="AA34" s="100">
        <f t="shared" si="6"/>
        <v>983052.57639611897</v>
      </c>
      <c r="AB34" s="100">
        <f t="shared" si="6"/>
        <v>929229.70429342764</v>
      </c>
      <c r="AC34" s="100">
        <f t="shared" si="6"/>
        <v>875406.83219073643</v>
      </c>
      <c r="AD34" s="100">
        <f t="shared" si="6"/>
        <v>821583.96008804499</v>
      </c>
      <c r="AE34" s="100">
        <f t="shared" si="6"/>
        <v>767761.08798535378</v>
      </c>
      <c r="AF34" s="100">
        <f t="shared" si="6"/>
        <v>713938.21588266233</v>
      </c>
      <c r="AG34" s="100">
        <f t="shared" si="6"/>
        <v>660115.34377997112</v>
      </c>
      <c r="AH34" s="100">
        <f t="shared" si="6"/>
        <v>606292.4716772798</v>
      </c>
      <c r="AI34" s="100">
        <f t="shared" si="6"/>
        <v>552469.59957458859</v>
      </c>
      <c r="AJ34" s="100">
        <f t="shared" si="6"/>
        <v>498646.72747189732</v>
      </c>
      <c r="AK34" s="100">
        <f t="shared" si="6"/>
        <v>444823.85536920599</v>
      </c>
      <c r="AL34" s="100">
        <f t="shared" si="6"/>
        <v>391000.98326651473</v>
      </c>
      <c r="AM34" s="100">
        <f t="shared" si="6"/>
        <v>337178.11116382346</v>
      </c>
      <c r="AN34" s="100">
        <f t="shared" si="6"/>
        <v>283355.23906113213</v>
      </c>
      <c r="AO34" s="100">
        <f t="shared" si="6"/>
        <v>229532.36695844086</v>
      </c>
      <c r="AP34" s="100">
        <f t="shared" si="6"/>
        <v>175709.49485574957</v>
      </c>
      <c r="AQ34" s="100">
        <f t="shared" si="6"/>
        <v>121886.62275305828</v>
      </c>
      <c r="AR34" s="100">
        <f t="shared" si="6"/>
        <v>68063.750650366987</v>
      </c>
      <c r="AS34" s="100">
        <f t="shared" si="6"/>
        <v>40237.51842275916</v>
      </c>
      <c r="AT34" s="105">
        <f t="shared" si="5"/>
        <v>50387424.167754821</v>
      </c>
    </row>
    <row r="35" spans="1:46" x14ac:dyDescent="0.2">
      <c r="A35" s="186">
        <f>A34+1</f>
        <v>5</v>
      </c>
      <c r="B35" s="2"/>
      <c r="C35" s="2" t="s">
        <v>58</v>
      </c>
      <c r="D35" s="187"/>
      <c r="E35" s="38">
        <f>E32+E33+E34</f>
        <v>4518045.9571585478</v>
      </c>
      <c r="F35" s="102">
        <f>F32+F33+F34</f>
        <v>4375355.3014843436</v>
      </c>
      <c r="G35" s="102">
        <f>G32+G33+G34</f>
        <v>4219773.6284809206</v>
      </c>
      <c r="H35" s="102">
        <f t="shared" ref="H35:AS35" si="7">H32+H33+H34</f>
        <v>4069204.7300663721</v>
      </c>
      <c r="I35" s="102">
        <f t="shared" si="7"/>
        <v>3923273.3697551591</v>
      </c>
      <c r="J35" s="102">
        <f t="shared" si="7"/>
        <v>3781633.1754067815</v>
      </c>
      <c r="K35" s="102">
        <f t="shared" si="7"/>
        <v>3643961.828501611</v>
      </c>
      <c r="L35" s="102">
        <f t="shared" si="7"/>
        <v>3509961.0641408861</v>
      </c>
      <c r="M35" s="102">
        <f t="shared" si="7"/>
        <v>3378009.6682781079</v>
      </c>
      <c r="N35" s="102">
        <f t="shared" si="7"/>
        <v>3246351.7265899177</v>
      </c>
      <c r="O35" s="102">
        <f t="shared" si="7"/>
        <v>3114693.7849017275</v>
      </c>
      <c r="P35" s="102">
        <f t="shared" si="7"/>
        <v>2983035.8432135377</v>
      </c>
      <c r="Q35" s="102">
        <f t="shared" si="7"/>
        <v>2851377.9015253484</v>
      </c>
      <c r="R35" s="102">
        <f t="shared" si="7"/>
        <v>2719719.9598371582</v>
      </c>
      <c r="S35" s="102">
        <f t="shared" si="7"/>
        <v>2588062.0181489675</v>
      </c>
      <c r="T35" s="102">
        <f t="shared" si="7"/>
        <v>2456404.0764607778</v>
      </c>
      <c r="U35" s="102">
        <f t="shared" si="7"/>
        <v>2324746.134772588</v>
      </c>
      <c r="V35" s="102">
        <f t="shared" si="7"/>
        <v>2193088.1930843988</v>
      </c>
      <c r="W35" s="102">
        <f t="shared" si="7"/>
        <v>2061430.2513962085</v>
      </c>
      <c r="X35" s="102">
        <f t="shared" si="7"/>
        <v>1929772.3097080183</v>
      </c>
      <c r="Y35" s="102">
        <f t="shared" si="7"/>
        <v>1808847.0936510942</v>
      </c>
      <c r="Z35" s="102">
        <f t="shared" si="7"/>
        <v>1709382.5181325285</v>
      </c>
      <c r="AA35" s="102">
        <f t="shared" si="7"/>
        <v>1620650.6682452287</v>
      </c>
      <c r="AB35" s="102">
        <f t="shared" si="7"/>
        <v>1531918.8183579284</v>
      </c>
      <c r="AC35" s="102">
        <f t="shared" si="7"/>
        <v>1443186.9684706284</v>
      </c>
      <c r="AD35" s="102">
        <f t="shared" si="7"/>
        <v>1354455.1185833281</v>
      </c>
      <c r="AE35" s="102">
        <f t="shared" si="7"/>
        <v>1265723.2686960278</v>
      </c>
      <c r="AF35" s="102">
        <f t="shared" si="7"/>
        <v>1176991.4188087275</v>
      </c>
      <c r="AG35" s="102">
        <f t="shared" si="7"/>
        <v>1088259.5689214275</v>
      </c>
      <c r="AH35" s="102">
        <f t="shared" si="7"/>
        <v>999527.71903412719</v>
      </c>
      <c r="AI35" s="102">
        <f t="shared" si="7"/>
        <v>910795.86914682714</v>
      </c>
      <c r="AJ35" s="102">
        <f t="shared" si="7"/>
        <v>822064.01925952709</v>
      </c>
      <c r="AK35" s="102">
        <f t="shared" si="7"/>
        <v>733332.16937222681</v>
      </c>
      <c r="AL35" s="102">
        <f t="shared" si="7"/>
        <v>644600.31948492664</v>
      </c>
      <c r="AM35" s="102">
        <f t="shared" si="7"/>
        <v>555868.46959762648</v>
      </c>
      <c r="AN35" s="102">
        <f t="shared" si="7"/>
        <v>467136.61971032631</v>
      </c>
      <c r="AO35" s="102">
        <f t="shared" si="7"/>
        <v>378404.76982302614</v>
      </c>
      <c r="AP35" s="102">
        <f t="shared" si="7"/>
        <v>289672.91993572598</v>
      </c>
      <c r="AQ35" s="102">
        <f t="shared" si="7"/>
        <v>200941.07004842581</v>
      </c>
      <c r="AR35" s="102">
        <f t="shared" si="7"/>
        <v>112209.22016112562</v>
      </c>
      <c r="AS35" s="102">
        <f t="shared" si="7"/>
        <v>66335.171369407733</v>
      </c>
      <c r="AT35" s="105">
        <f t="shared" si="5"/>
        <v>83068204.701721579</v>
      </c>
    </row>
    <row r="36" spans="1:46" x14ac:dyDescent="0.2">
      <c r="A36" s="2"/>
      <c r="B36" s="2"/>
      <c r="C36" s="2"/>
      <c r="D36" s="187"/>
      <c r="E36" s="38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5">
        <f t="shared" si="5"/>
        <v>0</v>
      </c>
    </row>
    <row r="37" spans="1:46" x14ac:dyDescent="0.2">
      <c r="A37" s="186">
        <f>A35+1</f>
        <v>6</v>
      </c>
      <c r="B37" s="2" t="s">
        <v>59</v>
      </c>
      <c r="C37" s="2"/>
      <c r="D37" s="187"/>
      <c r="E37" s="41">
        <f>E27+E29+E35</f>
        <v>6741447.3092663921</v>
      </c>
      <c r="F37" s="99">
        <f>F27+F29+F35</f>
        <v>6558727.4627263462</v>
      </c>
      <c r="G37" s="99">
        <f t="shared" ref="G37:AS37" si="8">G27+G29+G35</f>
        <v>6378059.4110362791</v>
      </c>
      <c r="H37" s="99">
        <f t="shared" si="8"/>
        <v>6203212.4062667796</v>
      </c>
      <c r="I37" s="99">
        <f t="shared" si="8"/>
        <v>6033750.7078614151</v>
      </c>
      <c r="J37" s="99">
        <f t="shared" si="8"/>
        <v>5869272.09376809</v>
      </c>
      <c r="K37" s="99">
        <f t="shared" si="8"/>
        <v>5709402.2740216646</v>
      </c>
      <c r="L37" s="99">
        <f t="shared" si="8"/>
        <v>5553794.8907439485</v>
      </c>
      <c r="M37" s="99">
        <f t="shared" si="8"/>
        <v>5400567.3212744482</v>
      </c>
      <c r="N37" s="99">
        <f t="shared" si="8"/>
        <v>5247680.5232657492</v>
      </c>
      <c r="O37" s="99">
        <f t="shared" si="8"/>
        <v>5094793.7252570493</v>
      </c>
      <c r="P37" s="99">
        <f t="shared" si="8"/>
        <v>4941906.9272483513</v>
      </c>
      <c r="Q37" s="99">
        <f t="shared" si="8"/>
        <v>4789020.1292396523</v>
      </c>
      <c r="R37" s="99">
        <f t="shared" si="8"/>
        <v>4636133.3312309533</v>
      </c>
      <c r="S37" s="99">
        <f t="shared" si="8"/>
        <v>4483246.5332222534</v>
      </c>
      <c r="T37" s="99">
        <f t="shared" si="8"/>
        <v>4330359.7352135545</v>
      </c>
      <c r="U37" s="99">
        <f t="shared" si="8"/>
        <v>4177472.9372048555</v>
      </c>
      <c r="V37" s="99">
        <f t="shared" si="8"/>
        <v>4024586.1391961575</v>
      </c>
      <c r="W37" s="99">
        <f t="shared" si="8"/>
        <v>3871699.341187458</v>
      </c>
      <c r="X37" s="99">
        <f t="shared" si="8"/>
        <v>3718812.5431787586</v>
      </c>
      <c r="Y37" s="99">
        <f t="shared" si="8"/>
        <v>3578389.0423675524</v>
      </c>
      <c r="Z37" s="99">
        <f t="shared" si="8"/>
        <v>3462886.5495339427</v>
      </c>
      <c r="AA37" s="99">
        <f t="shared" si="8"/>
        <v>3359847.3538978267</v>
      </c>
      <c r="AB37" s="99">
        <f t="shared" si="8"/>
        <v>3256808.1582617098</v>
      </c>
      <c r="AC37" s="99">
        <f t="shared" si="8"/>
        <v>3153768.9626255929</v>
      </c>
      <c r="AD37" s="99">
        <f t="shared" si="8"/>
        <v>3050729.766989476</v>
      </c>
      <c r="AE37" s="99">
        <f t="shared" si="8"/>
        <v>2947690.5713533591</v>
      </c>
      <c r="AF37" s="99">
        <f t="shared" si="8"/>
        <v>2844651.3757172422</v>
      </c>
      <c r="AG37" s="99">
        <f t="shared" si="8"/>
        <v>2741612.1800811253</v>
      </c>
      <c r="AH37" s="99">
        <f t="shared" si="8"/>
        <v>2638572.9844450084</v>
      </c>
      <c r="AI37" s="99">
        <f t="shared" si="8"/>
        <v>2535533.7888088915</v>
      </c>
      <c r="AJ37" s="99">
        <f t="shared" si="8"/>
        <v>2432494.5931727747</v>
      </c>
      <c r="AK37" s="99">
        <f t="shared" si="8"/>
        <v>2329455.3975366578</v>
      </c>
      <c r="AL37" s="99">
        <f t="shared" si="8"/>
        <v>2226416.2019005413</v>
      </c>
      <c r="AM37" s="99">
        <f t="shared" si="8"/>
        <v>2123377.0062644244</v>
      </c>
      <c r="AN37" s="99">
        <f t="shared" si="8"/>
        <v>2020337.8106283075</v>
      </c>
      <c r="AO37" s="99">
        <f t="shared" si="8"/>
        <v>1917298.6149921906</v>
      </c>
      <c r="AP37" s="99">
        <f t="shared" si="8"/>
        <v>1814259.4193560737</v>
      </c>
      <c r="AQ37" s="99">
        <f t="shared" si="8"/>
        <v>1711220.2237199571</v>
      </c>
      <c r="AR37" s="99">
        <f t="shared" si="8"/>
        <v>1608181.0280838399</v>
      </c>
      <c r="AS37" s="99">
        <f t="shared" si="8"/>
        <v>127268.52397039435</v>
      </c>
      <c r="AT37" s="105">
        <f t="shared" si="5"/>
        <v>155644745.29611704</v>
      </c>
    </row>
    <row r="38" spans="1:46" x14ac:dyDescent="0.2">
      <c r="A38" s="186">
        <f>A37+1</f>
        <v>7</v>
      </c>
      <c r="B38" s="2" t="s">
        <v>60</v>
      </c>
      <c r="C38" s="2"/>
      <c r="D38" s="187"/>
      <c r="E38" s="40">
        <f t="shared" ref="E38:AS38" si="9">E37/(1-$F16)-E37</f>
        <v>321076.45538875181</v>
      </c>
      <c r="F38" s="100">
        <f t="shared" si="9"/>
        <v>312374.01539851259</v>
      </c>
      <c r="G38" s="100">
        <f t="shared" si="9"/>
        <v>303769.29671163578</v>
      </c>
      <c r="H38" s="100">
        <f t="shared" si="9"/>
        <v>295441.81835998222</v>
      </c>
      <c r="I38" s="100">
        <f t="shared" si="9"/>
        <v>287370.82722824626</v>
      </c>
      <c r="J38" s="100">
        <f t="shared" si="9"/>
        <v>279537.16659460869</v>
      </c>
      <c r="K38" s="100">
        <f t="shared" si="9"/>
        <v>271923.0100651551</v>
      </c>
      <c r="L38" s="100">
        <f t="shared" si="9"/>
        <v>264511.86157387309</v>
      </c>
      <c r="M38" s="100">
        <f t="shared" si="9"/>
        <v>257214.05702002347</v>
      </c>
      <c r="N38" s="100">
        <f t="shared" si="9"/>
        <v>249932.48246660456</v>
      </c>
      <c r="O38" s="100">
        <f t="shared" si="9"/>
        <v>242650.90791318566</v>
      </c>
      <c r="P38" s="100">
        <f t="shared" si="9"/>
        <v>235369.33335976582</v>
      </c>
      <c r="Q38" s="100">
        <f t="shared" si="9"/>
        <v>228087.75880634692</v>
      </c>
      <c r="R38" s="100">
        <f t="shared" si="9"/>
        <v>220806.18425292801</v>
      </c>
      <c r="S38" s="100">
        <f t="shared" si="9"/>
        <v>213524.60969950911</v>
      </c>
      <c r="T38" s="100">
        <f t="shared" si="9"/>
        <v>206243.0351460902</v>
      </c>
      <c r="U38" s="100">
        <f t="shared" si="9"/>
        <v>198961.4605926713</v>
      </c>
      <c r="V38" s="100">
        <f t="shared" si="9"/>
        <v>191679.88603925239</v>
      </c>
      <c r="W38" s="100">
        <f t="shared" si="9"/>
        <v>184398.31148583302</v>
      </c>
      <c r="X38" s="100">
        <f t="shared" si="9"/>
        <v>177116.73693241412</v>
      </c>
      <c r="Y38" s="100">
        <f t="shared" si="9"/>
        <v>170428.75468982244</v>
      </c>
      <c r="Z38" s="100">
        <f t="shared" si="9"/>
        <v>164927.69100330444</v>
      </c>
      <c r="AA38" s="100">
        <f t="shared" si="9"/>
        <v>160020.21962761367</v>
      </c>
      <c r="AB38" s="100">
        <f t="shared" si="9"/>
        <v>155112.74825192289</v>
      </c>
      <c r="AC38" s="100">
        <f t="shared" si="9"/>
        <v>150205.27687623212</v>
      </c>
      <c r="AD38" s="100">
        <f t="shared" si="9"/>
        <v>145297.80550054135</v>
      </c>
      <c r="AE38" s="100">
        <f t="shared" si="9"/>
        <v>140390.33412485057</v>
      </c>
      <c r="AF38" s="100">
        <f t="shared" si="9"/>
        <v>135482.86274915934</v>
      </c>
      <c r="AG38" s="100">
        <f t="shared" si="9"/>
        <v>130575.39137346856</v>
      </c>
      <c r="AH38" s="100">
        <f t="shared" si="9"/>
        <v>125667.91999777779</v>
      </c>
      <c r="AI38" s="100">
        <f t="shared" si="9"/>
        <v>120760.44862208702</v>
      </c>
      <c r="AJ38" s="100">
        <f t="shared" si="9"/>
        <v>115852.97724639624</v>
      </c>
      <c r="AK38" s="100">
        <f t="shared" si="9"/>
        <v>110945.50587070547</v>
      </c>
      <c r="AL38" s="100">
        <f t="shared" si="9"/>
        <v>106038.0344950147</v>
      </c>
      <c r="AM38" s="100">
        <f t="shared" si="9"/>
        <v>101130.56311932392</v>
      </c>
      <c r="AN38" s="100">
        <f t="shared" si="9"/>
        <v>96223.091743633151</v>
      </c>
      <c r="AO38" s="100">
        <f t="shared" si="9"/>
        <v>91315.620367942378</v>
      </c>
      <c r="AP38" s="100">
        <f t="shared" si="9"/>
        <v>86408.148992251605</v>
      </c>
      <c r="AQ38" s="100">
        <f t="shared" si="9"/>
        <v>81500.677616560832</v>
      </c>
      <c r="AR38" s="100">
        <f t="shared" si="9"/>
        <v>76593.206240870059</v>
      </c>
      <c r="AS38" s="100">
        <f t="shared" si="9"/>
        <v>6061.4471469360724</v>
      </c>
      <c r="AT38" s="105">
        <f t="shared" si="5"/>
        <v>7412927.9406918017</v>
      </c>
    </row>
    <row r="39" spans="1:46" x14ac:dyDescent="0.2">
      <c r="A39" s="186">
        <f>A38+1</f>
        <v>8</v>
      </c>
      <c r="B39" s="2"/>
      <c r="C39" s="2" t="s">
        <v>61</v>
      </c>
      <c r="D39" s="187"/>
      <c r="E39" s="41">
        <f>SUM(E37:E38)</f>
        <v>7062523.764655144</v>
      </c>
      <c r="F39" s="99">
        <f t="shared" ref="F39:AS39" si="10">SUM(F37:F38)</f>
        <v>6871101.4781248588</v>
      </c>
      <c r="G39" s="99">
        <f t="shared" si="10"/>
        <v>6681828.7077479148</v>
      </c>
      <c r="H39" s="99">
        <f t="shared" si="10"/>
        <v>6498654.2246267619</v>
      </c>
      <c r="I39" s="99">
        <f t="shared" si="10"/>
        <v>6321121.5350896614</v>
      </c>
      <c r="J39" s="99">
        <f t="shared" si="10"/>
        <v>6148809.2603626987</v>
      </c>
      <c r="K39" s="99">
        <f t="shared" si="10"/>
        <v>5981325.2840868197</v>
      </c>
      <c r="L39" s="99">
        <f t="shared" si="10"/>
        <v>5818306.7523178216</v>
      </c>
      <c r="M39" s="99">
        <f t="shared" si="10"/>
        <v>5657781.3782944717</v>
      </c>
      <c r="N39" s="99">
        <f t="shared" si="10"/>
        <v>5497613.0057323538</v>
      </c>
      <c r="O39" s="99">
        <f t="shared" si="10"/>
        <v>5337444.633170235</v>
      </c>
      <c r="P39" s="99">
        <f t="shared" si="10"/>
        <v>5177276.2606081171</v>
      </c>
      <c r="Q39" s="99">
        <f t="shared" si="10"/>
        <v>5017107.8880459992</v>
      </c>
      <c r="R39" s="99">
        <f t="shared" si="10"/>
        <v>4856939.5154838813</v>
      </c>
      <c r="S39" s="99">
        <f t="shared" si="10"/>
        <v>4696771.1429217625</v>
      </c>
      <c r="T39" s="99">
        <f t="shared" si="10"/>
        <v>4536602.7703596447</v>
      </c>
      <c r="U39" s="99">
        <f t="shared" si="10"/>
        <v>4376434.3977975268</v>
      </c>
      <c r="V39" s="99">
        <f t="shared" si="10"/>
        <v>4216266.0252354098</v>
      </c>
      <c r="W39" s="99">
        <f t="shared" si="10"/>
        <v>4056097.652673291</v>
      </c>
      <c r="X39" s="99">
        <f t="shared" si="10"/>
        <v>3895929.2801111727</v>
      </c>
      <c r="Y39" s="99">
        <f t="shared" si="10"/>
        <v>3748817.7970573748</v>
      </c>
      <c r="Z39" s="99">
        <f t="shared" si="10"/>
        <v>3627814.2405372472</v>
      </c>
      <c r="AA39" s="99">
        <f t="shared" si="10"/>
        <v>3519867.5735254404</v>
      </c>
      <c r="AB39" s="99">
        <f t="shared" si="10"/>
        <v>3411920.9065136327</v>
      </c>
      <c r="AC39" s="99">
        <f t="shared" si="10"/>
        <v>3303974.2395018251</v>
      </c>
      <c r="AD39" s="99">
        <f t="shared" si="10"/>
        <v>3196027.5724900174</v>
      </c>
      <c r="AE39" s="99">
        <f t="shared" si="10"/>
        <v>3088080.9054782097</v>
      </c>
      <c r="AF39" s="99">
        <f t="shared" si="10"/>
        <v>2980134.2384664016</v>
      </c>
      <c r="AG39" s="99">
        <f t="shared" si="10"/>
        <v>2872187.5714545939</v>
      </c>
      <c r="AH39" s="99">
        <f t="shared" si="10"/>
        <v>2764240.9044427862</v>
      </c>
      <c r="AI39" s="99">
        <f t="shared" si="10"/>
        <v>2656294.2374309786</v>
      </c>
      <c r="AJ39" s="99">
        <f t="shared" si="10"/>
        <v>2548347.5704191709</v>
      </c>
      <c r="AK39" s="99">
        <f t="shared" si="10"/>
        <v>2440400.9034073632</v>
      </c>
      <c r="AL39" s="99">
        <f t="shared" si="10"/>
        <v>2332454.236395556</v>
      </c>
      <c r="AM39" s="99">
        <f t="shared" si="10"/>
        <v>2224507.5693837483</v>
      </c>
      <c r="AN39" s="99">
        <f t="shared" si="10"/>
        <v>2116560.9023719407</v>
      </c>
      <c r="AO39" s="99">
        <f t="shared" si="10"/>
        <v>2008614.235360133</v>
      </c>
      <c r="AP39" s="99">
        <f t="shared" si="10"/>
        <v>1900667.5683483253</v>
      </c>
      <c r="AQ39" s="99">
        <f t="shared" si="10"/>
        <v>1792720.9013365179</v>
      </c>
      <c r="AR39" s="99">
        <f t="shared" si="10"/>
        <v>1684774.23432471</v>
      </c>
      <c r="AS39" s="99">
        <f t="shared" si="10"/>
        <v>133329.97111733042</v>
      </c>
      <c r="AT39" s="105">
        <f t="shared" si="5"/>
        <v>163057673.23680887</v>
      </c>
    </row>
    <row r="40" spans="1:46" x14ac:dyDescent="0.2">
      <c r="A40" s="186">
        <f t="shared" ref="A40:A66" si="11">A39+1</f>
        <v>9</v>
      </c>
      <c r="B40" s="2"/>
      <c r="C40" s="2"/>
      <c r="D40" s="187"/>
      <c r="E40" s="41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105">
        <f t="shared" si="5"/>
        <v>0</v>
      </c>
    </row>
    <row r="41" spans="1:46" x14ac:dyDescent="0.2">
      <c r="A41" s="186">
        <f t="shared" si="11"/>
        <v>10</v>
      </c>
      <c r="B41" s="2"/>
      <c r="C41" s="2"/>
      <c r="D41" s="187"/>
      <c r="E41" s="38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5">
        <f t="shared" si="5"/>
        <v>0</v>
      </c>
    </row>
    <row r="42" spans="1:46" x14ac:dyDescent="0.2">
      <c r="A42" s="186">
        <f t="shared" si="11"/>
        <v>11</v>
      </c>
      <c r="B42" s="2" t="s">
        <v>62</v>
      </c>
      <c r="C42" s="2"/>
      <c r="D42" s="187"/>
      <c r="E42" s="40">
        <f>E39</f>
        <v>7062523.764655144</v>
      </c>
      <c r="F42" s="100">
        <f>F39</f>
        <v>6871101.4781248588</v>
      </c>
      <c r="G42" s="100">
        <f t="shared" ref="G42:AS42" si="12">G39</f>
        <v>6681828.7077479148</v>
      </c>
      <c r="H42" s="100">
        <f t="shared" si="12"/>
        <v>6498654.2246267619</v>
      </c>
      <c r="I42" s="100">
        <f t="shared" si="12"/>
        <v>6321121.5350896614</v>
      </c>
      <c r="J42" s="100">
        <f t="shared" si="12"/>
        <v>6148809.2603626987</v>
      </c>
      <c r="K42" s="100">
        <f t="shared" si="12"/>
        <v>5981325.2840868197</v>
      </c>
      <c r="L42" s="100">
        <f t="shared" si="12"/>
        <v>5818306.7523178216</v>
      </c>
      <c r="M42" s="100">
        <f t="shared" si="12"/>
        <v>5657781.3782944717</v>
      </c>
      <c r="N42" s="100">
        <f t="shared" si="12"/>
        <v>5497613.0057323538</v>
      </c>
      <c r="O42" s="100">
        <f t="shared" si="12"/>
        <v>5337444.633170235</v>
      </c>
      <c r="P42" s="100">
        <f t="shared" si="12"/>
        <v>5177276.2606081171</v>
      </c>
      <c r="Q42" s="100">
        <f t="shared" si="12"/>
        <v>5017107.8880459992</v>
      </c>
      <c r="R42" s="100">
        <f t="shared" si="12"/>
        <v>4856939.5154838813</v>
      </c>
      <c r="S42" s="100">
        <f t="shared" si="12"/>
        <v>4696771.1429217625</v>
      </c>
      <c r="T42" s="100">
        <f t="shared" si="12"/>
        <v>4536602.7703596447</v>
      </c>
      <c r="U42" s="100">
        <f t="shared" si="12"/>
        <v>4376434.3977975268</v>
      </c>
      <c r="V42" s="100">
        <f t="shared" si="12"/>
        <v>4216266.0252354098</v>
      </c>
      <c r="W42" s="100">
        <f t="shared" si="12"/>
        <v>4056097.652673291</v>
      </c>
      <c r="X42" s="100">
        <f t="shared" si="12"/>
        <v>3895929.2801111727</v>
      </c>
      <c r="Y42" s="100">
        <f t="shared" si="12"/>
        <v>3748817.7970573748</v>
      </c>
      <c r="Z42" s="100">
        <f t="shared" si="12"/>
        <v>3627814.2405372472</v>
      </c>
      <c r="AA42" s="100">
        <f t="shared" si="12"/>
        <v>3519867.5735254404</v>
      </c>
      <c r="AB42" s="100">
        <f t="shared" si="12"/>
        <v>3411920.9065136327</v>
      </c>
      <c r="AC42" s="100">
        <f t="shared" si="12"/>
        <v>3303974.2395018251</v>
      </c>
      <c r="AD42" s="100">
        <f t="shared" si="12"/>
        <v>3196027.5724900174</v>
      </c>
      <c r="AE42" s="100">
        <f t="shared" si="12"/>
        <v>3088080.9054782097</v>
      </c>
      <c r="AF42" s="100">
        <f t="shared" si="12"/>
        <v>2980134.2384664016</v>
      </c>
      <c r="AG42" s="100">
        <f t="shared" si="12"/>
        <v>2872187.5714545939</v>
      </c>
      <c r="AH42" s="100">
        <f t="shared" si="12"/>
        <v>2764240.9044427862</v>
      </c>
      <c r="AI42" s="100">
        <f t="shared" si="12"/>
        <v>2656294.2374309786</v>
      </c>
      <c r="AJ42" s="100">
        <f t="shared" si="12"/>
        <v>2548347.5704191709</v>
      </c>
      <c r="AK42" s="100">
        <f t="shared" si="12"/>
        <v>2440400.9034073632</v>
      </c>
      <c r="AL42" s="100">
        <f t="shared" si="12"/>
        <v>2332454.236395556</v>
      </c>
      <c r="AM42" s="100">
        <f t="shared" si="12"/>
        <v>2224507.5693837483</v>
      </c>
      <c r="AN42" s="100">
        <f t="shared" si="12"/>
        <v>2116560.9023719407</v>
      </c>
      <c r="AO42" s="100">
        <f t="shared" si="12"/>
        <v>2008614.235360133</v>
      </c>
      <c r="AP42" s="100">
        <f t="shared" si="12"/>
        <v>1900667.5683483253</v>
      </c>
      <c r="AQ42" s="100">
        <f t="shared" si="12"/>
        <v>1792720.9013365179</v>
      </c>
      <c r="AR42" s="100">
        <f t="shared" si="12"/>
        <v>1684774.23432471</v>
      </c>
      <c r="AS42" s="100">
        <f t="shared" si="12"/>
        <v>133329.97111733042</v>
      </c>
      <c r="AT42" s="105">
        <f t="shared" si="5"/>
        <v>163057673.23680887</v>
      </c>
    </row>
    <row r="43" spans="1:46" x14ac:dyDescent="0.2">
      <c r="A43" s="186">
        <f t="shared" si="11"/>
        <v>12</v>
      </c>
      <c r="B43" s="2"/>
      <c r="C43" s="2"/>
      <c r="D43" s="187"/>
      <c r="E43" s="83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</row>
    <row r="44" spans="1:46" outlineLevel="1" x14ac:dyDescent="0.2">
      <c r="A44" s="186">
        <f t="shared" si="11"/>
        <v>13</v>
      </c>
      <c r="B44" s="2"/>
      <c r="C44" s="2"/>
      <c r="D44" s="187"/>
      <c r="E44" s="43"/>
      <c r="F44" s="187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</row>
    <row r="45" spans="1:46" outlineLevel="1" x14ac:dyDescent="0.2">
      <c r="A45" s="186">
        <f t="shared" si="11"/>
        <v>14</v>
      </c>
      <c r="B45" s="2" t="s">
        <v>63</v>
      </c>
      <c r="C45" s="187"/>
      <c r="D45" s="187"/>
      <c r="E45" s="45">
        <f>+E42/$F$22</f>
        <v>0.11715271466075453</v>
      </c>
      <c r="F45" s="101">
        <f t="shared" ref="F45:AS45" si="13">+F42/$F$22</f>
        <v>0.11397741341421966</v>
      </c>
      <c r="G45" s="101">
        <f t="shared" si="13"/>
        <v>0.11083776821090141</v>
      </c>
      <c r="H45" s="101">
        <f t="shared" si="13"/>
        <v>0.10779928102568039</v>
      </c>
      <c r="I45" s="101">
        <f t="shared" si="13"/>
        <v>0.10485437956929401</v>
      </c>
      <c r="J45" s="101">
        <f t="shared" si="13"/>
        <v>0.10199607403626915</v>
      </c>
      <c r="K45" s="101">
        <f t="shared" si="13"/>
        <v>9.9217860024290561E-2</v>
      </c>
      <c r="L45" s="101">
        <f t="shared" si="13"/>
        <v>9.6513718534200849E-2</v>
      </c>
      <c r="M45" s="101">
        <f t="shared" si="13"/>
        <v>9.385093339316046E-2</v>
      </c>
      <c r="N45" s="101">
        <f t="shared" si="13"/>
        <v>9.1194070170645902E-2</v>
      </c>
      <c r="O45" s="101">
        <f t="shared" si="13"/>
        <v>8.8537206948131345E-2</v>
      </c>
      <c r="P45" s="101">
        <f t="shared" si="13"/>
        <v>8.5880343725616801E-2</v>
      </c>
      <c r="Q45" s="101">
        <f t="shared" si="13"/>
        <v>8.3223480503102257E-2</v>
      </c>
      <c r="R45" s="101">
        <f t="shared" si="13"/>
        <v>8.0566617280587713E-2</v>
      </c>
      <c r="S45" s="101">
        <f t="shared" si="13"/>
        <v>7.7909754058073155E-2</v>
      </c>
      <c r="T45" s="101">
        <f t="shared" si="13"/>
        <v>7.5252890835558611E-2</v>
      </c>
      <c r="U45" s="101">
        <f t="shared" si="13"/>
        <v>7.2596027613044067E-2</v>
      </c>
      <c r="V45" s="101">
        <f t="shared" si="13"/>
        <v>6.9939164390529537E-2</v>
      </c>
      <c r="W45" s="101">
        <f t="shared" si="13"/>
        <v>6.728230116801498E-2</v>
      </c>
      <c r="X45" s="101">
        <f t="shared" si="13"/>
        <v>6.4625437945500422E-2</v>
      </c>
      <c r="Y45" s="101">
        <f t="shared" si="13"/>
        <v>6.2185161612021277E-2</v>
      </c>
      <c r="Z45" s="101">
        <f t="shared" si="13"/>
        <v>6.0177961975981367E-2</v>
      </c>
      <c r="AA45" s="101">
        <f t="shared" si="13"/>
        <v>5.838734922897687E-2</v>
      </c>
      <c r="AB45" s="101">
        <f t="shared" si="13"/>
        <v>5.659673648197236E-2</v>
      </c>
      <c r="AC45" s="101">
        <f t="shared" si="13"/>
        <v>5.4806123734967849E-2</v>
      </c>
      <c r="AD45" s="101">
        <f t="shared" si="13"/>
        <v>5.3015510987963338E-2</v>
      </c>
      <c r="AE45" s="101">
        <f t="shared" si="13"/>
        <v>5.1224898240958827E-2</v>
      </c>
      <c r="AF45" s="101">
        <f t="shared" si="13"/>
        <v>4.9434285493954309E-2</v>
      </c>
      <c r="AG45" s="101">
        <f t="shared" si="13"/>
        <v>4.7643672746949799E-2</v>
      </c>
      <c r="AH45" s="101">
        <f t="shared" si="13"/>
        <v>4.5853059999945288E-2</v>
      </c>
      <c r="AI45" s="101">
        <f t="shared" si="13"/>
        <v>4.4062447252940777E-2</v>
      </c>
      <c r="AJ45" s="101">
        <f t="shared" si="13"/>
        <v>4.2271834505936266E-2</v>
      </c>
      <c r="AK45" s="101">
        <f t="shared" si="13"/>
        <v>4.0481221758931749E-2</v>
      </c>
      <c r="AL45" s="101">
        <f t="shared" si="13"/>
        <v>3.8690609011927252E-2</v>
      </c>
      <c r="AM45" s="101">
        <f t="shared" si="13"/>
        <v>3.6899996264922741E-2</v>
      </c>
      <c r="AN45" s="101">
        <f t="shared" si="13"/>
        <v>3.5109383517918223E-2</v>
      </c>
      <c r="AO45" s="101">
        <f t="shared" si="13"/>
        <v>3.3318770770913712E-2</v>
      </c>
      <c r="AP45" s="101">
        <f t="shared" si="13"/>
        <v>3.1528158023909202E-2</v>
      </c>
      <c r="AQ45" s="101">
        <f t="shared" si="13"/>
        <v>2.9737545276904698E-2</v>
      </c>
      <c r="AR45" s="101">
        <f t="shared" si="13"/>
        <v>2.7946932529900183E-2</v>
      </c>
      <c r="AS45" s="101">
        <f t="shared" si="13"/>
        <v>2.2116694516776557E-3</v>
      </c>
    </row>
    <row r="46" spans="1:46" outlineLevel="1" x14ac:dyDescent="0.2">
      <c r="A46" s="186">
        <f t="shared" si="11"/>
        <v>15</v>
      </c>
      <c r="B46" s="2"/>
      <c r="C46" s="2"/>
      <c r="D46" s="187"/>
      <c r="E46" s="43"/>
      <c r="F46" s="187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</row>
    <row r="47" spans="1:46" outlineLevel="1" x14ac:dyDescent="0.2">
      <c r="A47" s="186">
        <f t="shared" si="11"/>
        <v>16</v>
      </c>
      <c r="B47" s="2"/>
      <c r="C47" s="2"/>
      <c r="D47" s="187"/>
      <c r="E47" s="43">
        <f>+E27/2</f>
        <v>747450.15214276384</v>
      </c>
      <c r="F47" s="99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</row>
    <row r="48" spans="1:46" outlineLevel="1" x14ac:dyDescent="0.2">
      <c r="A48" s="186">
        <f t="shared" si="11"/>
        <v>17</v>
      </c>
      <c r="B48" s="2"/>
      <c r="C48" s="2"/>
      <c r="D48" s="187"/>
      <c r="E48" s="43">
        <f>+E60/2</f>
        <v>89340.807350021758</v>
      </c>
      <c r="F48" s="99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</row>
    <row r="49" spans="1:46" x14ac:dyDescent="0.2">
      <c r="A49" s="186">
        <f t="shared" si="11"/>
        <v>18</v>
      </c>
      <c r="B49" s="46" t="s">
        <v>64</v>
      </c>
      <c r="C49" s="2"/>
      <c r="D49" s="187"/>
      <c r="E49" s="41">
        <f>F22-E27/2-E60/2</f>
        <v>59447973.12050721</v>
      </c>
      <c r="F49" s="118">
        <f>$F$22-(SUM($E$27:E27)+F27/2)-(SUM($E$60:E60)+F60/2)</f>
        <v>57570464.493215047</v>
      </c>
      <c r="G49" s="118">
        <f>$F$22-(SUM($E$27:F27)+G27/2)-(SUM($E$60:F60)+G60/2)</f>
        <v>55523337.216854215</v>
      </c>
      <c r="H49" s="118">
        <f>$F$22-(SUM($E$27:G27)+H27/2)-(SUM($E$60:G60)+H60/2)</f>
        <v>53542167.500873312</v>
      </c>
      <c r="I49" s="118">
        <f>$F$22-(SUM($E$27:H27)+I27/2)-(SUM($E$60:H60)+I60/2)</f>
        <v>51622018.023094192</v>
      </c>
      <c r="J49" s="118">
        <f>$F$22-(SUM($E$27:I27)+J27/2)-(SUM($E$60:I60)+J60/2)</f>
        <v>49758331.255352385</v>
      </c>
      <c r="K49" s="118">
        <f>$F$22-(SUM($E$27:J27)+K27/2)-(SUM($E$60:J60)+K60/2)</f>
        <v>47946866.164494887</v>
      </c>
      <c r="L49" s="118">
        <f>$F$22-(SUM($E$27:K27)+L27/2)-(SUM($E$60:K60)+L60/2)</f>
        <v>46183698.212380081</v>
      </c>
      <c r="M49" s="118">
        <f>$F$22-(SUM($E$27:L27)+M27/2)-(SUM($E$60:L60)+M60/2)</f>
        <v>44447495.63523826</v>
      </c>
      <c r="N49" s="118">
        <f>$F$22-(SUM($E$27:M27)+N27/2)-(SUM($E$60:M60)+N60/2)</f>
        <v>42715154.297235757</v>
      </c>
      <c r="O49" s="118">
        <f>$F$22-(SUM($E$27:N27)+O27/2)-(SUM($E$60:N60)+O60/2)</f>
        <v>40982812.959233254</v>
      </c>
      <c r="P49" s="118">
        <f>$F$22-(SUM($E$27:O27)+P27/2)-(SUM($E$60:O60)+P60/2)</f>
        <v>39250471.621230759</v>
      </c>
      <c r="Q49" s="118">
        <f>$F$22-(SUM($E$27:P27)+Q27/2)-(SUM($E$60:P60)+Q60/2)</f>
        <v>37518130.283228263</v>
      </c>
      <c r="R49" s="118">
        <f>$F$22-(SUM($E$27:Q27)+R27/2)-(SUM($E$60:Q60)+R60/2)</f>
        <v>35785788.94522576</v>
      </c>
      <c r="S49" s="118">
        <f>$F$22-(SUM($E$27:R27)+S27/2)-(SUM($E$60:R60)+S60/2)</f>
        <v>34053447.607223257</v>
      </c>
      <c r="T49" s="118">
        <f>$F$22-(SUM($E$27:S27)+T27/2)-(SUM($E$60:S60)+T60/2)</f>
        <v>32321106.269220758</v>
      </c>
      <c r="U49" s="118">
        <f>$F$22-(SUM($E$27:T27)+U27/2)-(SUM($E$60:T60)+U60/2)</f>
        <v>30588764.931218263</v>
      </c>
      <c r="V49" s="118">
        <f>$F$22-(SUM($E$27:U27)+V27/2)-(SUM($E$60:U60)+V60/2)</f>
        <v>28856423.593215771</v>
      </c>
      <c r="W49" s="118">
        <f>$F$22-(SUM($E$27:V27)+W27/2)-(SUM($E$60:V60)+W60/2)</f>
        <v>27124082.255213268</v>
      </c>
      <c r="X49" s="118">
        <f>$F$22-(SUM($E$27:W27)+X27/2)-(SUM($E$60:W60)+X60/2)</f>
        <v>25391740.917210769</v>
      </c>
      <c r="Y49" s="118">
        <f>$F$22-(SUM($E$27:X27)+Y27/2)-(SUM($E$60:X60)+Y60/2)</f>
        <v>23800619.653303873</v>
      </c>
      <c r="Z49" s="118">
        <f>$F$22-(SUM($E$27:Y27)+Z27/2)-(SUM($E$60:Y60)+Z60/2)</f>
        <v>22491875.238585901</v>
      </c>
      <c r="AA49" s="118">
        <f>$F$22-(SUM($E$27:Z27)+AA27/2)-(SUM($E$60:Z60)+AA60/2)</f>
        <v>21324350.897963535</v>
      </c>
      <c r="AB49" s="118">
        <f>$F$22-(SUM($E$27:AA27)+AB27/2)-(SUM($E$60:AA60)+AB60/2)</f>
        <v>20156826.557341162</v>
      </c>
      <c r="AC49" s="118">
        <f>$F$22-(SUM($E$27:AB27)+AC27/2)-(SUM($E$60:AB60)+AC60/2)</f>
        <v>18989302.216718793</v>
      </c>
      <c r="AD49" s="118">
        <f>$F$22-(SUM($E$27:AC27)+AD27/2)-(SUM($E$60:AC60)+AD60/2)</f>
        <v>17821777.87609642</v>
      </c>
      <c r="AE49" s="118">
        <f>$F$22-(SUM($E$27:AD27)+AE27/2)-(SUM($E$60:AD60)+AE60/2)</f>
        <v>16654253.535474051</v>
      </c>
      <c r="AF49" s="118">
        <f>$F$22-(SUM($E$27:AE27)+AF27/2)-(SUM($E$60:AE60)+AF60/2)</f>
        <v>15486729.194851678</v>
      </c>
      <c r="AG49" s="118">
        <f>$F$22-(SUM($E$27:AF27)+AG27/2)-(SUM($E$60:AF60)+AG60/2)</f>
        <v>14319204.854229309</v>
      </c>
      <c r="AH49" s="118">
        <f>$F$22-(SUM($E$27:AG27)+AH27/2)-(SUM($E$60:AG60)+AH60/2)</f>
        <v>13151680.513606938</v>
      </c>
      <c r="AI49" s="118">
        <f>$F$22-(SUM($E$27:AH27)+AI27/2)-(SUM($E$60:AH60)+AI60/2)</f>
        <v>11984156.172984567</v>
      </c>
      <c r="AJ49" s="118">
        <f>$F$22-(SUM($E$27:AI27)+AJ27/2)-(SUM($E$60:AI60)+AJ60/2)</f>
        <v>10816631.832362197</v>
      </c>
      <c r="AK49" s="118">
        <f>$F$22-(SUM($E$27:AJ27)+AK27/2)-(SUM($E$60:AJ60)+AK60/2)</f>
        <v>9649107.4917398263</v>
      </c>
      <c r="AL49" s="118">
        <f>$F$22-(SUM($E$27:AK27)+AL27/2)-(SUM($E$60:AK60)+AL60/2)</f>
        <v>8481583.1511174552</v>
      </c>
      <c r="AM49" s="118">
        <f>$F$22-(SUM($E$27:AL27)+AM27/2)-(SUM($E$60:AL60)+AM60/2)</f>
        <v>7314058.8104950851</v>
      </c>
      <c r="AN49" s="118">
        <f>$F$22-(SUM($E$27:AM27)+AN27/2)-(SUM($E$60:AM60)+AN60/2)</f>
        <v>6146534.469872714</v>
      </c>
      <c r="AO49" s="118">
        <f>$F$22-(SUM($E$27:AN27)+AO27/2)-(SUM($E$60:AN60)+AO60/2)</f>
        <v>4979010.1292503439</v>
      </c>
      <c r="AP49" s="118">
        <f>$F$22-(SUM($E$27:AO27)+AP27/2)-(SUM($E$60:AO60)+AP60/2)</f>
        <v>3811485.7886279728</v>
      </c>
      <c r="AQ49" s="118">
        <f>$F$22-(SUM($E$27:AP27)+AQ27/2)-(SUM($E$60:AP60)+AQ60/2)</f>
        <v>2643961.4480056027</v>
      </c>
      <c r="AR49" s="118">
        <f>$F$22-(SUM($E$27:AQ27)+AR27/2)-(SUM($E$60:AQ60)+AR60/2)</f>
        <v>1476437.1073832319</v>
      </c>
      <c r="AS49" s="118">
        <f>$F$22-(SUM($E$27:AR27)+AS27/2)-(SUM($E$60:AR60)+AS60/2)</f>
        <v>872831.20222904906</v>
      </c>
      <c r="AT49" s="105">
        <f t="shared" ref="AT49:AT60" si="14">SUM(D49:AS49)</f>
        <v>1093002693.4437053</v>
      </c>
    </row>
    <row r="50" spans="1:46" x14ac:dyDescent="0.2">
      <c r="A50" s="186">
        <f t="shared" si="11"/>
        <v>19</v>
      </c>
      <c r="B50" s="2"/>
      <c r="C50" s="2"/>
      <c r="D50" s="187"/>
      <c r="E50" s="84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5">
        <f t="shared" si="14"/>
        <v>0</v>
      </c>
    </row>
    <row r="51" spans="1:46" x14ac:dyDescent="0.2">
      <c r="A51" s="186">
        <f t="shared" si="11"/>
        <v>20</v>
      </c>
      <c r="B51" s="2"/>
      <c r="C51" s="2"/>
      <c r="D51" s="187"/>
      <c r="E51" s="38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5">
        <f t="shared" si="14"/>
        <v>0</v>
      </c>
    </row>
    <row r="52" spans="1:46" x14ac:dyDescent="0.2">
      <c r="A52" s="186">
        <f t="shared" si="11"/>
        <v>21</v>
      </c>
      <c r="B52" s="2" t="s">
        <v>65</v>
      </c>
      <c r="C52" s="2"/>
      <c r="D52" s="187"/>
      <c r="E52" s="38">
        <f>(E34)/(1-$F$15)</f>
        <v>3469052.6086776992</v>
      </c>
      <c r="F52" s="102">
        <f t="shared" ref="F52:AS52" si="15">(F34)/(1-$F$15)</f>
        <v>3359491.6621990046</v>
      </c>
      <c r="G52" s="102">
        <f t="shared" si="15"/>
        <v>3240032.7160721254</v>
      </c>
      <c r="H52" s="102">
        <f t="shared" si="15"/>
        <v>3124422.6858104556</v>
      </c>
      <c r="I52" s="102">
        <f t="shared" si="15"/>
        <v>3012373.4567906866</v>
      </c>
      <c r="J52" s="102">
        <f t="shared" si="15"/>
        <v>2903619.0770528419</v>
      </c>
      <c r="K52" s="102">
        <f t="shared" si="15"/>
        <v>2797912.063523056</v>
      </c>
      <c r="L52" s="102">
        <f t="shared" si="15"/>
        <v>2695023.4020135719</v>
      </c>
      <c r="M52" s="102">
        <f t="shared" si="15"/>
        <v>2593708.2896006126</v>
      </c>
      <c r="N52" s="102">
        <f t="shared" si="15"/>
        <v>2492618.497598188</v>
      </c>
      <c r="O52" s="102">
        <f t="shared" si="15"/>
        <v>2391528.7055957634</v>
      </c>
      <c r="P52" s="102">
        <f t="shared" si="15"/>
        <v>2290438.9135933393</v>
      </c>
      <c r="Q52" s="102">
        <f t="shared" si="15"/>
        <v>2189349.1215909151</v>
      </c>
      <c r="R52" s="102">
        <f t="shared" si="15"/>
        <v>2088259.3295884908</v>
      </c>
      <c r="S52" s="102">
        <f t="shared" si="15"/>
        <v>1987169.5375860659</v>
      </c>
      <c r="T52" s="102">
        <f t="shared" si="15"/>
        <v>1886079.7455836416</v>
      </c>
      <c r="U52" s="102">
        <f t="shared" si="15"/>
        <v>1784989.9535812177</v>
      </c>
      <c r="V52" s="102">
        <f t="shared" si="15"/>
        <v>1683900.1615787938</v>
      </c>
      <c r="W52" s="102">
        <f t="shared" si="15"/>
        <v>1582810.3695763692</v>
      </c>
      <c r="X52" s="102">
        <f t="shared" si="15"/>
        <v>1481720.5775739448</v>
      </c>
      <c r="Y52" s="102">
        <f t="shared" si="15"/>
        <v>1388871.602553555</v>
      </c>
      <c r="Z52" s="102">
        <f t="shared" si="15"/>
        <v>1312500.5677200127</v>
      </c>
      <c r="AA52" s="102">
        <f t="shared" si="15"/>
        <v>1244370.349868505</v>
      </c>
      <c r="AB52" s="102">
        <f t="shared" si="15"/>
        <v>1176240.1320169969</v>
      </c>
      <c r="AC52" s="102">
        <f t="shared" si="15"/>
        <v>1108109.9141654891</v>
      </c>
      <c r="AD52" s="102">
        <f t="shared" si="15"/>
        <v>1039979.696313981</v>
      </c>
      <c r="AE52" s="102">
        <f t="shared" si="15"/>
        <v>971849.47846247314</v>
      </c>
      <c r="AF52" s="102">
        <f t="shared" si="15"/>
        <v>903719.26061096496</v>
      </c>
      <c r="AG52" s="102">
        <f t="shared" si="15"/>
        <v>835589.04275945714</v>
      </c>
      <c r="AH52" s="102">
        <f t="shared" si="15"/>
        <v>767458.82490794908</v>
      </c>
      <c r="AI52" s="102">
        <f t="shared" si="15"/>
        <v>699328.60705644125</v>
      </c>
      <c r="AJ52" s="102">
        <f t="shared" si="15"/>
        <v>631198.38920493331</v>
      </c>
      <c r="AK52" s="102">
        <f t="shared" si="15"/>
        <v>563068.17135342525</v>
      </c>
      <c r="AL52" s="102">
        <f t="shared" si="15"/>
        <v>494937.95350191736</v>
      </c>
      <c r="AM52" s="102">
        <f t="shared" si="15"/>
        <v>426807.73565040942</v>
      </c>
      <c r="AN52" s="102">
        <f t="shared" si="15"/>
        <v>358677.51779890142</v>
      </c>
      <c r="AO52" s="102">
        <f t="shared" si="15"/>
        <v>290547.29994739348</v>
      </c>
      <c r="AP52" s="102">
        <f t="shared" si="15"/>
        <v>222417.0820958855</v>
      </c>
      <c r="AQ52" s="102">
        <f t="shared" si="15"/>
        <v>154286.86424437756</v>
      </c>
      <c r="AR52" s="102">
        <f t="shared" si="15"/>
        <v>86156.646392869603</v>
      </c>
      <c r="AS52" s="102">
        <f t="shared" si="15"/>
        <v>50933.567623745766</v>
      </c>
      <c r="AT52" s="105">
        <f t="shared" si="14"/>
        <v>63781549.579436459</v>
      </c>
    </row>
    <row r="53" spans="1:46" x14ac:dyDescent="0.2">
      <c r="A53" s="186">
        <f t="shared" si="11"/>
        <v>22</v>
      </c>
      <c r="B53" s="2" t="s">
        <v>66</v>
      </c>
      <c r="C53" s="2"/>
      <c r="D53" s="187"/>
      <c r="E53" s="40">
        <f t="shared" ref="E53:AS53" si="16">E52*$F15</f>
        <v>728501.04782231676</v>
      </c>
      <c r="F53" s="100">
        <f t="shared" si="16"/>
        <v>705493.24906179088</v>
      </c>
      <c r="G53" s="100">
        <f t="shared" si="16"/>
        <v>680406.87037514627</v>
      </c>
      <c r="H53" s="100">
        <f t="shared" si="16"/>
        <v>656128.7640201957</v>
      </c>
      <c r="I53" s="100">
        <f t="shared" si="16"/>
        <v>632598.42592604412</v>
      </c>
      <c r="J53" s="100">
        <f t="shared" si="16"/>
        <v>609760.00618109677</v>
      </c>
      <c r="K53" s="100">
        <f t="shared" si="16"/>
        <v>587561.53333984176</v>
      </c>
      <c r="L53" s="100">
        <f t="shared" si="16"/>
        <v>565954.91442285012</v>
      </c>
      <c r="M53" s="100">
        <f t="shared" si="16"/>
        <v>544678.74081612867</v>
      </c>
      <c r="N53" s="100">
        <f t="shared" si="16"/>
        <v>523449.88449561945</v>
      </c>
      <c r="O53" s="100">
        <f t="shared" si="16"/>
        <v>502221.02817511029</v>
      </c>
      <c r="P53" s="100">
        <f t="shared" si="16"/>
        <v>480992.17185460124</v>
      </c>
      <c r="Q53" s="100">
        <f t="shared" si="16"/>
        <v>459763.31553409214</v>
      </c>
      <c r="R53" s="100">
        <f t="shared" si="16"/>
        <v>438534.45921358303</v>
      </c>
      <c r="S53" s="100">
        <f t="shared" si="16"/>
        <v>417305.60289307381</v>
      </c>
      <c r="T53" s="100">
        <f t="shared" si="16"/>
        <v>396076.74657256471</v>
      </c>
      <c r="U53" s="100">
        <f t="shared" si="16"/>
        <v>374847.89025205572</v>
      </c>
      <c r="V53" s="100">
        <f t="shared" si="16"/>
        <v>353619.03393154667</v>
      </c>
      <c r="W53" s="100">
        <f t="shared" si="16"/>
        <v>332390.17761103751</v>
      </c>
      <c r="X53" s="100">
        <f t="shared" si="16"/>
        <v>311161.3212905284</v>
      </c>
      <c r="Y53" s="100">
        <f t="shared" si="16"/>
        <v>291663.03653624654</v>
      </c>
      <c r="Z53" s="100">
        <f t="shared" si="16"/>
        <v>275625.11922120268</v>
      </c>
      <c r="AA53" s="100">
        <f t="shared" si="16"/>
        <v>261317.77347238603</v>
      </c>
      <c r="AB53" s="100">
        <f t="shared" si="16"/>
        <v>247010.42772356933</v>
      </c>
      <c r="AC53" s="100">
        <f t="shared" si="16"/>
        <v>232703.08197475271</v>
      </c>
      <c r="AD53" s="100">
        <f t="shared" si="16"/>
        <v>218395.73622593601</v>
      </c>
      <c r="AE53" s="100">
        <f t="shared" si="16"/>
        <v>204088.39047711936</v>
      </c>
      <c r="AF53" s="100">
        <f t="shared" si="16"/>
        <v>189781.04472830263</v>
      </c>
      <c r="AG53" s="100">
        <f t="shared" si="16"/>
        <v>175473.69897948598</v>
      </c>
      <c r="AH53" s="100">
        <f t="shared" si="16"/>
        <v>161166.35323066931</v>
      </c>
      <c r="AI53" s="100">
        <f t="shared" si="16"/>
        <v>146859.00748185266</v>
      </c>
      <c r="AJ53" s="100">
        <f t="shared" si="16"/>
        <v>132551.66173303599</v>
      </c>
      <c r="AK53" s="100">
        <f t="shared" si="16"/>
        <v>118244.3159842193</v>
      </c>
      <c r="AL53" s="100">
        <f t="shared" si="16"/>
        <v>103936.97023540264</v>
      </c>
      <c r="AM53" s="100">
        <f t="shared" si="16"/>
        <v>89629.624486585977</v>
      </c>
      <c r="AN53" s="100">
        <f t="shared" si="16"/>
        <v>75322.278737769302</v>
      </c>
      <c r="AO53" s="100">
        <f t="shared" si="16"/>
        <v>61014.932988952627</v>
      </c>
      <c r="AP53" s="100">
        <f t="shared" si="16"/>
        <v>46707.587240135952</v>
      </c>
      <c r="AQ53" s="100">
        <f t="shared" si="16"/>
        <v>32400.241491319288</v>
      </c>
      <c r="AR53" s="100">
        <f t="shared" si="16"/>
        <v>18092.895742502616</v>
      </c>
      <c r="AS53" s="100">
        <f t="shared" si="16"/>
        <v>10696.04920098661</v>
      </c>
      <c r="AT53" s="105">
        <f t="shared" si="14"/>
        <v>13394125.411681658</v>
      </c>
    </row>
    <row r="54" spans="1:46" x14ac:dyDescent="0.2">
      <c r="A54" s="186">
        <f t="shared" si="11"/>
        <v>23</v>
      </c>
      <c r="B54" s="2" t="s">
        <v>67</v>
      </c>
      <c r="C54" s="2"/>
      <c r="D54" s="187"/>
      <c r="E54" s="38">
        <f>E52-E53</f>
        <v>2740551.5608553826</v>
      </c>
      <c r="F54" s="102">
        <f t="shared" ref="F54:AS54" si="17">F52-F53</f>
        <v>2653998.4131372138</v>
      </c>
      <c r="G54" s="102">
        <f t="shared" si="17"/>
        <v>2559625.8456969792</v>
      </c>
      <c r="H54" s="102">
        <f t="shared" si="17"/>
        <v>2468293.9217902599</v>
      </c>
      <c r="I54" s="102">
        <f t="shared" si="17"/>
        <v>2379775.0308646425</v>
      </c>
      <c r="J54" s="102">
        <f t="shared" si="17"/>
        <v>2293859.0708717452</v>
      </c>
      <c r="K54" s="102">
        <f t="shared" si="17"/>
        <v>2210350.5301832142</v>
      </c>
      <c r="L54" s="102">
        <f t="shared" si="17"/>
        <v>2129068.4875907218</v>
      </c>
      <c r="M54" s="102">
        <f t="shared" si="17"/>
        <v>2049029.5487844839</v>
      </c>
      <c r="N54" s="102">
        <f t="shared" si="17"/>
        <v>1969168.6131025685</v>
      </c>
      <c r="O54" s="102">
        <f t="shared" si="17"/>
        <v>1889307.6774206532</v>
      </c>
      <c r="P54" s="102">
        <f t="shared" si="17"/>
        <v>1809446.741738738</v>
      </c>
      <c r="Q54" s="102">
        <f t="shared" si="17"/>
        <v>1729585.8060568231</v>
      </c>
      <c r="R54" s="102">
        <f t="shared" si="17"/>
        <v>1649724.8703749077</v>
      </c>
      <c r="S54" s="102">
        <f t="shared" si="17"/>
        <v>1569863.9346929921</v>
      </c>
      <c r="T54" s="102">
        <f t="shared" si="17"/>
        <v>1490002.999011077</v>
      </c>
      <c r="U54" s="102">
        <f t="shared" si="17"/>
        <v>1410142.0633291621</v>
      </c>
      <c r="V54" s="102">
        <f t="shared" si="17"/>
        <v>1330281.1276472472</v>
      </c>
      <c r="W54" s="102">
        <f t="shared" si="17"/>
        <v>1250420.1919653318</v>
      </c>
      <c r="X54" s="102">
        <f t="shared" si="17"/>
        <v>1170559.2562834164</v>
      </c>
      <c r="Y54" s="102">
        <f t="shared" si="17"/>
        <v>1097208.5660173085</v>
      </c>
      <c r="Z54" s="102">
        <f t="shared" si="17"/>
        <v>1036875.4484988101</v>
      </c>
      <c r="AA54" s="102">
        <f t="shared" si="17"/>
        <v>983052.57639611897</v>
      </c>
      <c r="AB54" s="102">
        <f t="shared" si="17"/>
        <v>929229.70429342752</v>
      </c>
      <c r="AC54" s="102">
        <f t="shared" si="17"/>
        <v>875406.83219073643</v>
      </c>
      <c r="AD54" s="102">
        <f t="shared" si="17"/>
        <v>821583.96008804499</v>
      </c>
      <c r="AE54" s="102">
        <f t="shared" si="17"/>
        <v>767761.08798535378</v>
      </c>
      <c r="AF54" s="102">
        <f t="shared" si="17"/>
        <v>713938.21588266233</v>
      </c>
      <c r="AG54" s="102">
        <f t="shared" si="17"/>
        <v>660115.34377997112</v>
      </c>
      <c r="AH54" s="102">
        <f t="shared" si="17"/>
        <v>606292.4716772798</v>
      </c>
      <c r="AI54" s="102">
        <f t="shared" si="17"/>
        <v>552469.59957458859</v>
      </c>
      <c r="AJ54" s="102">
        <f t="shared" si="17"/>
        <v>498646.72747189732</v>
      </c>
      <c r="AK54" s="102">
        <f t="shared" si="17"/>
        <v>444823.85536920594</v>
      </c>
      <c r="AL54" s="102">
        <f t="shared" si="17"/>
        <v>391000.98326651473</v>
      </c>
      <c r="AM54" s="102">
        <f t="shared" si="17"/>
        <v>337178.11116382346</v>
      </c>
      <c r="AN54" s="102">
        <f t="shared" si="17"/>
        <v>283355.23906113213</v>
      </c>
      <c r="AO54" s="102">
        <f t="shared" si="17"/>
        <v>229532.36695844086</v>
      </c>
      <c r="AP54" s="102">
        <f t="shared" si="17"/>
        <v>175709.49485574954</v>
      </c>
      <c r="AQ54" s="102">
        <f t="shared" si="17"/>
        <v>121886.62275305827</v>
      </c>
      <c r="AR54" s="102">
        <f t="shared" si="17"/>
        <v>68063.750650366987</v>
      </c>
      <c r="AS54" s="102">
        <f t="shared" si="17"/>
        <v>40237.518422759153</v>
      </c>
      <c r="AT54" s="105">
        <f t="shared" si="14"/>
        <v>50387424.167754821</v>
      </c>
    </row>
    <row r="55" spans="1:46" x14ac:dyDescent="0.2">
      <c r="A55" s="186">
        <f t="shared" si="11"/>
        <v>24</v>
      </c>
      <c r="B55" s="2"/>
      <c r="C55" s="2"/>
      <c r="D55" s="187"/>
      <c r="E55" s="214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  <c r="Z55" s="207"/>
      <c r="AA55" s="207"/>
      <c r="AB55" s="207"/>
      <c r="AC55" s="207"/>
      <c r="AD55" s="207"/>
      <c r="AE55" s="207"/>
      <c r="AF55" s="207"/>
      <c r="AG55" s="207"/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105">
        <f t="shared" si="14"/>
        <v>0</v>
      </c>
    </row>
    <row r="56" spans="1:46" x14ac:dyDescent="0.2">
      <c r="A56" s="186">
        <f t="shared" si="11"/>
        <v>25</v>
      </c>
      <c r="B56" s="2"/>
      <c r="C56" s="2"/>
      <c r="D56" s="187"/>
      <c r="E56" s="84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7"/>
      <c r="AE56" s="207"/>
      <c r="AF56" s="207"/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105">
        <f t="shared" si="14"/>
        <v>0</v>
      </c>
    </row>
    <row r="57" spans="1:46" x14ac:dyDescent="0.2">
      <c r="A57" s="186">
        <f t="shared" si="11"/>
        <v>26</v>
      </c>
      <c r="B57" s="2" t="s">
        <v>68</v>
      </c>
      <c r="C57" s="2"/>
      <c r="D57" s="187"/>
      <c r="E57" s="38">
        <f>E27</f>
        <v>1494900.3042855277</v>
      </c>
      <c r="F57" s="102">
        <f>F27</f>
        <v>1477878.9121802119</v>
      </c>
      <c r="G57" s="102">
        <f>G27</f>
        <v>1477878.9121802119</v>
      </c>
      <c r="H57" s="102">
        <f t="shared" ref="H57:AS57" si="18">H27</f>
        <v>1477878.9121802119</v>
      </c>
      <c r="I57" s="102">
        <f t="shared" si="18"/>
        <v>1477878.9121802119</v>
      </c>
      <c r="J57" s="102">
        <f t="shared" si="18"/>
        <v>1477878.9121802119</v>
      </c>
      <c r="K57" s="102">
        <f t="shared" si="18"/>
        <v>1477878.9121802119</v>
      </c>
      <c r="L57" s="102">
        <f t="shared" si="18"/>
        <v>1477878.9121802119</v>
      </c>
      <c r="M57" s="102">
        <f t="shared" si="18"/>
        <v>1477878.9121802119</v>
      </c>
      <c r="N57" s="102">
        <f t="shared" si="18"/>
        <v>1477878.9121802119</v>
      </c>
      <c r="O57" s="102">
        <f t="shared" si="18"/>
        <v>1477878.9121802119</v>
      </c>
      <c r="P57" s="102">
        <f t="shared" si="18"/>
        <v>1477878.9121802119</v>
      </c>
      <c r="Q57" s="102">
        <f t="shared" si="18"/>
        <v>1477878.9121802119</v>
      </c>
      <c r="R57" s="102">
        <f t="shared" si="18"/>
        <v>1477878.9121802119</v>
      </c>
      <c r="S57" s="102">
        <f t="shared" si="18"/>
        <v>1477878.9121802119</v>
      </c>
      <c r="T57" s="102">
        <f t="shared" si="18"/>
        <v>1477878.9121802119</v>
      </c>
      <c r="U57" s="102">
        <f t="shared" si="18"/>
        <v>1477878.9121802119</v>
      </c>
      <c r="V57" s="102">
        <f t="shared" si="18"/>
        <v>1477878.9121802119</v>
      </c>
      <c r="W57" s="102">
        <f t="shared" si="18"/>
        <v>1477878.9121802119</v>
      </c>
      <c r="X57" s="102">
        <f t="shared" si="18"/>
        <v>1477878.9121802119</v>
      </c>
      <c r="Y57" s="102">
        <f t="shared" si="18"/>
        <v>1477878.9121802119</v>
      </c>
      <c r="Z57" s="102">
        <f t="shared" si="18"/>
        <v>1477878.9121802119</v>
      </c>
      <c r="AA57" s="102">
        <f t="shared" si="18"/>
        <v>1477878.9121802119</v>
      </c>
      <c r="AB57" s="102">
        <f t="shared" si="18"/>
        <v>1477878.9121802119</v>
      </c>
      <c r="AC57" s="102">
        <f t="shared" si="18"/>
        <v>1477878.9121802119</v>
      </c>
      <c r="AD57" s="102">
        <f t="shared" si="18"/>
        <v>1477878.9121802119</v>
      </c>
      <c r="AE57" s="102">
        <f t="shared" si="18"/>
        <v>1477878.9121802119</v>
      </c>
      <c r="AF57" s="102">
        <f t="shared" si="18"/>
        <v>1477878.9121802119</v>
      </c>
      <c r="AG57" s="102">
        <f t="shared" si="18"/>
        <v>1477878.9121802119</v>
      </c>
      <c r="AH57" s="102">
        <f t="shared" si="18"/>
        <v>1477878.9121802119</v>
      </c>
      <c r="AI57" s="102">
        <f t="shared" si="18"/>
        <v>1477878.9121802119</v>
      </c>
      <c r="AJ57" s="102">
        <f t="shared" si="18"/>
        <v>1477878.9121802119</v>
      </c>
      <c r="AK57" s="102">
        <f t="shared" si="18"/>
        <v>1477878.9121802119</v>
      </c>
      <c r="AL57" s="102">
        <f t="shared" si="18"/>
        <v>1477878.9121802119</v>
      </c>
      <c r="AM57" s="102">
        <f t="shared" si="18"/>
        <v>1477878.9121802119</v>
      </c>
      <c r="AN57" s="102">
        <f t="shared" si="18"/>
        <v>1477878.9121802119</v>
      </c>
      <c r="AO57" s="102">
        <f t="shared" si="18"/>
        <v>1477878.9121802119</v>
      </c>
      <c r="AP57" s="102">
        <f t="shared" si="18"/>
        <v>1477878.9121802119</v>
      </c>
      <c r="AQ57" s="102">
        <f t="shared" si="18"/>
        <v>1477878.9121802119</v>
      </c>
      <c r="AR57" s="102">
        <f t="shared" si="18"/>
        <v>1477878.9121802119</v>
      </c>
      <c r="AS57" s="102">
        <f t="shared" si="18"/>
        <v>50237.303400000004</v>
      </c>
      <c r="AT57" s="105">
        <f t="shared" si="14"/>
        <v>59182415.182713844</v>
      </c>
    </row>
    <row r="58" spans="1:46" x14ac:dyDescent="0.2">
      <c r="A58" s="186">
        <f t="shared" si="11"/>
        <v>27</v>
      </c>
      <c r="B58" s="2" t="s">
        <v>69</v>
      </c>
      <c r="C58" s="2"/>
      <c r="D58" s="187"/>
      <c r="E58" s="38">
        <f>$F22*E62</f>
        <v>2260678.6529999999</v>
      </c>
      <c r="F58" s="102">
        <f t="shared" ref="F58:AS58" si="19">$F22*F62</f>
        <v>4351957.1189352004</v>
      </c>
      <c r="G58" s="102">
        <f t="shared" si="19"/>
        <v>4025213.6976215998</v>
      </c>
      <c r="H58" s="102">
        <f t="shared" si="19"/>
        <v>3723789.8772215997</v>
      </c>
      <c r="I58" s="102">
        <f t="shared" si="19"/>
        <v>3444068.5718903998</v>
      </c>
      <c r="J58" s="102">
        <f t="shared" si="19"/>
        <v>3186049.7816280001</v>
      </c>
      <c r="K58" s="102">
        <f t="shared" si="19"/>
        <v>2946719.2682304</v>
      </c>
      <c r="L58" s="102">
        <f t="shared" si="19"/>
        <v>2726077.0316976001</v>
      </c>
      <c r="M58" s="102">
        <f t="shared" si="19"/>
        <v>2689906.1732496</v>
      </c>
      <c r="N58" s="102">
        <f t="shared" si="19"/>
        <v>2689303.3256088002</v>
      </c>
      <c r="O58" s="102">
        <f t="shared" si="19"/>
        <v>2689906.1732496</v>
      </c>
      <c r="P58" s="102">
        <f t="shared" si="19"/>
        <v>2689303.3256088002</v>
      </c>
      <c r="Q58" s="102">
        <f t="shared" si="19"/>
        <v>2689906.1732496</v>
      </c>
      <c r="R58" s="102">
        <f t="shared" si="19"/>
        <v>2689303.3256088002</v>
      </c>
      <c r="S58" s="102">
        <f t="shared" si="19"/>
        <v>2689906.1732496</v>
      </c>
      <c r="T58" s="102">
        <f t="shared" si="19"/>
        <v>2689303.3256088002</v>
      </c>
      <c r="U58" s="102">
        <f t="shared" si="19"/>
        <v>2689906.1732496</v>
      </c>
      <c r="V58" s="102">
        <f t="shared" si="19"/>
        <v>2689303.3256088002</v>
      </c>
      <c r="W58" s="102">
        <f t="shared" si="19"/>
        <v>2689906.1732496</v>
      </c>
      <c r="X58" s="102">
        <f t="shared" si="19"/>
        <v>2689303.3256088002</v>
      </c>
      <c r="Y58" s="102">
        <f t="shared" si="19"/>
        <v>1344953.0866248</v>
      </c>
      <c r="Z58" s="102">
        <f t="shared" si="19"/>
        <v>0</v>
      </c>
      <c r="AA58" s="102">
        <f t="shared" si="19"/>
        <v>0</v>
      </c>
      <c r="AB58" s="102">
        <f t="shared" si="19"/>
        <v>0</v>
      </c>
      <c r="AC58" s="102">
        <f t="shared" si="19"/>
        <v>0</v>
      </c>
      <c r="AD58" s="102">
        <f t="shared" si="19"/>
        <v>0</v>
      </c>
      <c r="AE58" s="102">
        <f t="shared" si="19"/>
        <v>0</v>
      </c>
      <c r="AF58" s="102">
        <f t="shared" si="19"/>
        <v>0</v>
      </c>
      <c r="AG58" s="102">
        <f t="shared" si="19"/>
        <v>0</v>
      </c>
      <c r="AH58" s="102">
        <f t="shared" si="19"/>
        <v>0</v>
      </c>
      <c r="AI58" s="102">
        <f t="shared" si="19"/>
        <v>0</v>
      </c>
      <c r="AJ58" s="102">
        <f t="shared" si="19"/>
        <v>0</v>
      </c>
      <c r="AK58" s="102">
        <f t="shared" si="19"/>
        <v>0</v>
      </c>
      <c r="AL58" s="102">
        <f t="shared" si="19"/>
        <v>0</v>
      </c>
      <c r="AM58" s="102">
        <f t="shared" si="19"/>
        <v>0</v>
      </c>
      <c r="AN58" s="102">
        <f t="shared" si="19"/>
        <v>0</v>
      </c>
      <c r="AO58" s="102">
        <f t="shared" si="19"/>
        <v>0</v>
      </c>
      <c r="AP58" s="102">
        <f t="shared" si="19"/>
        <v>0</v>
      </c>
      <c r="AQ58" s="102">
        <f t="shared" si="19"/>
        <v>0</v>
      </c>
      <c r="AR58" s="102">
        <f t="shared" si="19"/>
        <v>0</v>
      </c>
      <c r="AS58" s="102">
        <f t="shared" si="19"/>
        <v>0</v>
      </c>
      <c r="AT58" s="105">
        <f t="shared" si="14"/>
        <v>60284764.079999998</v>
      </c>
    </row>
    <row r="59" spans="1:46" x14ac:dyDescent="0.2">
      <c r="A59" s="186">
        <f t="shared" si="11"/>
        <v>28</v>
      </c>
      <c r="B59" s="2" t="s">
        <v>70</v>
      </c>
      <c r="C59" s="2"/>
      <c r="D59" s="187"/>
      <c r="E59" s="38">
        <f>E58-E57</f>
        <v>765778.34871447226</v>
      </c>
      <c r="F59" s="102">
        <f>F58-F57</f>
        <v>2874078.2067549885</v>
      </c>
      <c r="G59" s="102">
        <f>G58-G57</f>
        <v>2547334.7854413879</v>
      </c>
      <c r="H59" s="102">
        <f t="shared" ref="H59:AS59" si="20">H58-H57</f>
        <v>2245910.9650413878</v>
      </c>
      <c r="I59" s="102">
        <f t="shared" si="20"/>
        <v>1966189.6597101879</v>
      </c>
      <c r="J59" s="102">
        <f t="shared" si="20"/>
        <v>1708170.8694477882</v>
      </c>
      <c r="K59" s="102">
        <f t="shared" si="20"/>
        <v>1468840.3560501882</v>
      </c>
      <c r="L59" s="102">
        <f t="shared" si="20"/>
        <v>1248198.1195173883</v>
      </c>
      <c r="M59" s="102">
        <f t="shared" si="20"/>
        <v>1212027.2610693881</v>
      </c>
      <c r="N59" s="102">
        <f t="shared" si="20"/>
        <v>1211424.4134285883</v>
      </c>
      <c r="O59" s="102">
        <f t="shared" si="20"/>
        <v>1212027.2610693881</v>
      </c>
      <c r="P59" s="102">
        <f t="shared" si="20"/>
        <v>1211424.4134285883</v>
      </c>
      <c r="Q59" s="102">
        <f t="shared" si="20"/>
        <v>1212027.2610693881</v>
      </c>
      <c r="R59" s="102">
        <f t="shared" si="20"/>
        <v>1211424.4134285883</v>
      </c>
      <c r="S59" s="102">
        <f t="shared" si="20"/>
        <v>1212027.2610693881</v>
      </c>
      <c r="T59" s="102">
        <f t="shared" si="20"/>
        <v>1211424.4134285883</v>
      </c>
      <c r="U59" s="102">
        <f t="shared" si="20"/>
        <v>1212027.2610693881</v>
      </c>
      <c r="V59" s="102">
        <f t="shared" si="20"/>
        <v>1211424.4134285883</v>
      </c>
      <c r="W59" s="102">
        <f t="shared" si="20"/>
        <v>1212027.2610693881</v>
      </c>
      <c r="X59" s="102">
        <f t="shared" si="20"/>
        <v>1211424.4134285883</v>
      </c>
      <c r="Y59" s="102">
        <f t="shared" si="20"/>
        <v>-132925.82555541187</v>
      </c>
      <c r="Z59" s="102">
        <f t="shared" si="20"/>
        <v>-1477878.9121802119</v>
      </c>
      <c r="AA59" s="102">
        <f t="shared" si="20"/>
        <v>-1477878.9121802119</v>
      </c>
      <c r="AB59" s="102">
        <f t="shared" si="20"/>
        <v>-1477878.9121802119</v>
      </c>
      <c r="AC59" s="102">
        <f t="shared" si="20"/>
        <v>-1477878.9121802119</v>
      </c>
      <c r="AD59" s="102">
        <f t="shared" si="20"/>
        <v>-1477878.9121802119</v>
      </c>
      <c r="AE59" s="102">
        <f t="shared" si="20"/>
        <v>-1477878.9121802119</v>
      </c>
      <c r="AF59" s="102">
        <f t="shared" si="20"/>
        <v>-1477878.9121802119</v>
      </c>
      <c r="AG59" s="102">
        <f t="shared" si="20"/>
        <v>-1477878.9121802119</v>
      </c>
      <c r="AH59" s="102">
        <f t="shared" si="20"/>
        <v>-1477878.9121802119</v>
      </c>
      <c r="AI59" s="102">
        <f t="shared" si="20"/>
        <v>-1477878.9121802119</v>
      </c>
      <c r="AJ59" s="102">
        <f t="shared" si="20"/>
        <v>-1477878.9121802119</v>
      </c>
      <c r="AK59" s="102">
        <f t="shared" si="20"/>
        <v>-1477878.9121802119</v>
      </c>
      <c r="AL59" s="102">
        <f t="shared" si="20"/>
        <v>-1477878.9121802119</v>
      </c>
      <c r="AM59" s="102">
        <f t="shared" si="20"/>
        <v>-1477878.9121802119</v>
      </c>
      <c r="AN59" s="102">
        <f t="shared" si="20"/>
        <v>-1477878.9121802119</v>
      </c>
      <c r="AO59" s="102">
        <f t="shared" si="20"/>
        <v>-1477878.9121802119</v>
      </c>
      <c r="AP59" s="102">
        <f t="shared" si="20"/>
        <v>-1477878.9121802119</v>
      </c>
      <c r="AQ59" s="102">
        <f t="shared" si="20"/>
        <v>-1477878.9121802119</v>
      </c>
      <c r="AR59" s="102">
        <f t="shared" si="20"/>
        <v>-1477878.9121802119</v>
      </c>
      <c r="AS59" s="102">
        <f t="shared" si="20"/>
        <v>-50237.303400000004</v>
      </c>
      <c r="AT59" s="105">
        <f t="shared" si="14"/>
        <v>1102348.8972862223</v>
      </c>
    </row>
    <row r="60" spans="1:46" x14ac:dyDescent="0.2">
      <c r="A60" s="186">
        <f t="shared" si="11"/>
        <v>29</v>
      </c>
      <c r="B60" s="2" t="s">
        <v>71</v>
      </c>
      <c r="C60" s="2"/>
      <c r="D60" s="187"/>
      <c r="E60" s="38">
        <f>E59/12*2*J15+E59/12*10*F15</f>
        <v>178681.61470004352</v>
      </c>
      <c r="F60" s="102">
        <f t="shared" ref="F60:AS60" si="21">F59*$F$15</f>
        <v>603556.42341854761</v>
      </c>
      <c r="G60" s="102">
        <f t="shared" si="21"/>
        <v>534940.30494269147</v>
      </c>
      <c r="H60" s="102">
        <f t="shared" si="21"/>
        <v>471641.30265869142</v>
      </c>
      <c r="I60" s="102">
        <f t="shared" si="21"/>
        <v>412899.82853913947</v>
      </c>
      <c r="J60" s="102">
        <f t="shared" si="21"/>
        <v>358715.88258403551</v>
      </c>
      <c r="K60" s="102">
        <f t="shared" si="21"/>
        <v>308456.4747705395</v>
      </c>
      <c r="L60" s="102">
        <f t="shared" si="21"/>
        <v>262121.60509865152</v>
      </c>
      <c r="M60" s="102">
        <f t="shared" si="21"/>
        <v>254525.72482457149</v>
      </c>
      <c r="N60" s="102">
        <f t="shared" si="21"/>
        <v>254399.12682000353</v>
      </c>
      <c r="O60" s="102">
        <f t="shared" si="21"/>
        <v>254525.72482457149</v>
      </c>
      <c r="P60" s="102">
        <f t="shared" si="21"/>
        <v>254399.12682000353</v>
      </c>
      <c r="Q60" s="102">
        <f t="shared" si="21"/>
        <v>254525.72482457149</v>
      </c>
      <c r="R60" s="102">
        <f t="shared" si="21"/>
        <v>254399.12682000353</v>
      </c>
      <c r="S60" s="102">
        <f t="shared" si="21"/>
        <v>254525.72482457149</v>
      </c>
      <c r="T60" s="102">
        <f t="shared" si="21"/>
        <v>254399.12682000353</v>
      </c>
      <c r="U60" s="102">
        <f t="shared" si="21"/>
        <v>254525.72482457149</v>
      </c>
      <c r="V60" s="102">
        <f t="shared" si="21"/>
        <v>254399.12682000353</v>
      </c>
      <c r="W60" s="102">
        <f t="shared" si="21"/>
        <v>254525.72482457149</v>
      </c>
      <c r="X60" s="102">
        <f t="shared" si="21"/>
        <v>254399.12682000353</v>
      </c>
      <c r="Y60" s="102">
        <f t="shared" si="21"/>
        <v>-27914.423366636493</v>
      </c>
      <c r="Z60" s="102">
        <f t="shared" si="21"/>
        <v>-310354.57155784447</v>
      </c>
      <c r="AA60" s="102">
        <f t="shared" si="21"/>
        <v>-310354.57155784447</v>
      </c>
      <c r="AB60" s="102">
        <f t="shared" si="21"/>
        <v>-310354.57155784447</v>
      </c>
      <c r="AC60" s="102">
        <f t="shared" si="21"/>
        <v>-310354.57155784447</v>
      </c>
      <c r="AD60" s="102">
        <f t="shared" si="21"/>
        <v>-310354.57155784447</v>
      </c>
      <c r="AE60" s="102">
        <f t="shared" si="21"/>
        <v>-310354.57155784447</v>
      </c>
      <c r="AF60" s="102">
        <f t="shared" si="21"/>
        <v>-310354.57155784447</v>
      </c>
      <c r="AG60" s="102">
        <f t="shared" si="21"/>
        <v>-310354.57155784447</v>
      </c>
      <c r="AH60" s="102">
        <f t="shared" si="21"/>
        <v>-310354.57155784447</v>
      </c>
      <c r="AI60" s="102">
        <f t="shared" si="21"/>
        <v>-310354.57155784447</v>
      </c>
      <c r="AJ60" s="102">
        <f t="shared" si="21"/>
        <v>-310354.57155784447</v>
      </c>
      <c r="AK60" s="102">
        <f t="shared" si="21"/>
        <v>-310354.57155784447</v>
      </c>
      <c r="AL60" s="102">
        <f t="shared" si="21"/>
        <v>-310354.57155784447</v>
      </c>
      <c r="AM60" s="102">
        <f t="shared" si="21"/>
        <v>-310354.57155784447</v>
      </c>
      <c r="AN60" s="102">
        <f t="shared" si="21"/>
        <v>-310354.57155784447</v>
      </c>
      <c r="AO60" s="102">
        <f t="shared" si="21"/>
        <v>-310354.57155784447</v>
      </c>
      <c r="AP60" s="102">
        <f t="shared" si="21"/>
        <v>-310354.57155784447</v>
      </c>
      <c r="AQ60" s="102">
        <f t="shared" si="21"/>
        <v>-310354.57155784447</v>
      </c>
      <c r="AR60" s="102">
        <f t="shared" si="21"/>
        <v>-310354.57155784447</v>
      </c>
      <c r="AS60" s="102">
        <f t="shared" si="21"/>
        <v>-10549.833714</v>
      </c>
      <c r="AT60" s="105">
        <f t="shared" si="14"/>
        <v>249361.42990011023</v>
      </c>
    </row>
    <row r="61" spans="1:46" x14ac:dyDescent="0.2">
      <c r="A61" s="186">
        <f t="shared" si="11"/>
        <v>30</v>
      </c>
      <c r="B61" s="2"/>
      <c r="C61" s="2"/>
      <c r="D61" s="187"/>
      <c r="E61" s="84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87"/>
    </row>
    <row r="62" spans="1:46" s="50" customFormat="1" x14ac:dyDescent="0.2">
      <c r="A62" s="186">
        <f t="shared" si="11"/>
        <v>31</v>
      </c>
      <c r="B62" s="2" t="str">
        <f t="shared" ref="B62" si="22">IF($F$18=1,B66,B65)</f>
        <v>MACRS Depreciation - 20</v>
      </c>
      <c r="C62" s="2"/>
      <c r="D62" s="47"/>
      <c r="E62" s="62">
        <f t="shared" ref="E62:Y62" si="23">IF($F$18=1,E66,E65)</f>
        <v>3.7499999999999999E-2</v>
      </c>
      <c r="F62" s="58">
        <f t="shared" si="23"/>
        <v>7.2190000000000004E-2</v>
      </c>
      <c r="G62" s="58">
        <f t="shared" si="23"/>
        <v>6.6769999999999996E-2</v>
      </c>
      <c r="H62" s="61">
        <f t="shared" si="23"/>
        <v>6.1769999999999999E-2</v>
      </c>
      <c r="I62" s="61">
        <f t="shared" si="23"/>
        <v>5.713E-2</v>
      </c>
      <c r="J62" s="61">
        <f t="shared" si="23"/>
        <v>5.2850000000000001E-2</v>
      </c>
      <c r="K62" s="61">
        <f t="shared" si="23"/>
        <v>4.888E-2</v>
      </c>
      <c r="L62" s="61">
        <f t="shared" si="23"/>
        <v>4.5220000000000003E-2</v>
      </c>
      <c r="M62" s="61">
        <f t="shared" si="23"/>
        <v>4.462E-2</v>
      </c>
      <c r="N62" s="61">
        <f t="shared" si="23"/>
        <v>4.4610000000000004E-2</v>
      </c>
      <c r="O62" s="61">
        <f t="shared" si="23"/>
        <v>4.462E-2</v>
      </c>
      <c r="P62" s="61">
        <f t="shared" si="23"/>
        <v>4.4610000000000004E-2</v>
      </c>
      <c r="Q62" s="61">
        <f t="shared" si="23"/>
        <v>4.462E-2</v>
      </c>
      <c r="R62" s="61">
        <f t="shared" si="23"/>
        <v>4.4610000000000004E-2</v>
      </c>
      <c r="S62" s="61">
        <f t="shared" si="23"/>
        <v>4.462E-2</v>
      </c>
      <c r="T62" s="61">
        <f t="shared" si="23"/>
        <v>4.4610000000000004E-2</v>
      </c>
      <c r="U62" s="61">
        <f t="shared" si="23"/>
        <v>4.462E-2</v>
      </c>
      <c r="V62" s="61">
        <f t="shared" si="23"/>
        <v>4.4610000000000004E-2</v>
      </c>
      <c r="W62" s="61">
        <f t="shared" si="23"/>
        <v>4.462E-2</v>
      </c>
      <c r="X62" s="61">
        <f t="shared" si="23"/>
        <v>4.4610000000000004E-2</v>
      </c>
      <c r="Y62" s="61">
        <f t="shared" si="23"/>
        <v>2.231E-2</v>
      </c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7"/>
    </row>
    <row r="63" spans="1:46" outlineLevel="1" x14ac:dyDescent="0.25">
      <c r="A63" s="186">
        <f t="shared" si="11"/>
        <v>32</v>
      </c>
      <c r="B63" s="2"/>
      <c r="C63" s="216"/>
      <c r="E63" s="217"/>
      <c r="F63" s="218"/>
      <c r="G63" s="218"/>
      <c r="H63" s="218"/>
      <c r="I63" s="218"/>
      <c r="J63" s="218"/>
      <c r="K63" s="218"/>
      <c r="L63" s="218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9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7"/>
      <c r="AK63" s="187"/>
      <c r="AL63" s="187"/>
      <c r="AM63" s="187"/>
      <c r="AN63" s="187"/>
      <c r="AO63" s="3"/>
    </row>
    <row r="64" spans="1:46" outlineLevel="1" x14ac:dyDescent="0.25">
      <c r="A64" s="186">
        <f t="shared" si="11"/>
        <v>33</v>
      </c>
      <c r="B64" s="2"/>
      <c r="C64" s="216"/>
      <c r="E64" s="217"/>
      <c r="F64" s="218"/>
      <c r="G64" s="218"/>
      <c r="H64" s="218"/>
      <c r="I64" s="218"/>
      <c r="J64" s="218"/>
      <c r="K64" s="218"/>
      <c r="L64" s="218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9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3"/>
    </row>
    <row r="65" spans="1:42" s="50" customFormat="1" x14ac:dyDescent="0.25">
      <c r="A65" s="186">
        <f t="shared" si="11"/>
        <v>34</v>
      </c>
      <c r="B65" s="2" t="s">
        <v>72</v>
      </c>
      <c r="C65" s="2"/>
      <c r="D65" s="51">
        <v>0</v>
      </c>
      <c r="E65" s="59">
        <v>3.7499999999999999E-2</v>
      </c>
      <c r="F65" s="58">
        <v>7.2190000000000004E-2</v>
      </c>
      <c r="G65" s="58">
        <v>6.6769999999999996E-2</v>
      </c>
      <c r="H65" s="60">
        <v>6.1769999999999999E-2</v>
      </c>
      <c r="I65" s="60">
        <v>5.713E-2</v>
      </c>
      <c r="J65" s="60">
        <v>5.2850000000000001E-2</v>
      </c>
      <c r="K65" s="60">
        <v>4.888E-2</v>
      </c>
      <c r="L65" s="60">
        <v>4.5220000000000003E-2</v>
      </c>
      <c r="M65" s="60">
        <v>4.462E-2</v>
      </c>
      <c r="N65" s="60">
        <v>4.4610000000000004E-2</v>
      </c>
      <c r="O65" s="60">
        <v>4.462E-2</v>
      </c>
      <c r="P65" s="60">
        <v>4.4610000000000004E-2</v>
      </c>
      <c r="Q65" s="60">
        <v>4.462E-2</v>
      </c>
      <c r="R65" s="60">
        <v>4.4610000000000004E-2</v>
      </c>
      <c r="S65" s="60">
        <v>4.462E-2</v>
      </c>
      <c r="T65" s="60">
        <v>4.4610000000000004E-2</v>
      </c>
      <c r="U65" s="60">
        <v>4.462E-2</v>
      </c>
      <c r="V65" s="60">
        <v>4.4610000000000004E-2</v>
      </c>
      <c r="W65" s="60">
        <v>4.462E-2</v>
      </c>
      <c r="X65" s="60">
        <v>4.4610000000000004E-2</v>
      </c>
      <c r="Y65" s="60">
        <v>2.231E-2</v>
      </c>
      <c r="Z65" s="52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7"/>
      <c r="AP65" s="53"/>
    </row>
    <row r="66" spans="1:42" x14ac:dyDescent="0.2">
      <c r="A66" s="186">
        <f t="shared" si="11"/>
        <v>35</v>
      </c>
      <c r="B66" s="2" t="s">
        <v>73</v>
      </c>
      <c r="C66" s="2"/>
      <c r="D66" s="51">
        <v>0</v>
      </c>
      <c r="E66" s="59">
        <v>0.51875000000000004</v>
      </c>
      <c r="F66" s="58">
        <v>3.6095000000000002E-2</v>
      </c>
      <c r="G66" s="58">
        <v>3.3384999999999998E-2</v>
      </c>
      <c r="H66" s="61">
        <v>3.0884999999999999E-2</v>
      </c>
      <c r="I66" s="61">
        <v>2.8565E-2</v>
      </c>
      <c r="J66" s="61">
        <v>2.6425000000000001E-2</v>
      </c>
      <c r="K66" s="61">
        <v>2.444E-2</v>
      </c>
      <c r="L66" s="61">
        <v>2.2610000000000002E-2</v>
      </c>
      <c r="M66" s="61">
        <v>2.231E-2</v>
      </c>
      <c r="N66" s="61">
        <v>2.2305000000000002E-2</v>
      </c>
      <c r="O66" s="61">
        <v>2.231E-2</v>
      </c>
      <c r="P66" s="61">
        <v>2.2305000000000002E-2</v>
      </c>
      <c r="Q66" s="61">
        <v>2.231E-2</v>
      </c>
      <c r="R66" s="61">
        <v>2.2305000000000002E-2</v>
      </c>
      <c r="S66" s="61">
        <v>2.231E-2</v>
      </c>
      <c r="T66" s="61">
        <v>2.2305000000000002E-2</v>
      </c>
      <c r="U66" s="61">
        <v>2.231E-2</v>
      </c>
      <c r="V66" s="61">
        <v>2.2305000000000002E-2</v>
      </c>
      <c r="W66" s="61">
        <v>2.231E-2</v>
      </c>
      <c r="X66" s="61">
        <v>2.2305000000000002E-2</v>
      </c>
      <c r="Y66" s="61">
        <v>1.1155E-2</v>
      </c>
      <c r="Z66" s="49"/>
      <c r="AA66" s="49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187"/>
      <c r="AO66" s="3"/>
      <c r="AP66" s="53">
        <f>SUM(D66:AO66)</f>
        <v>1.0000000000000004</v>
      </c>
    </row>
    <row r="69" spans="1:42" x14ac:dyDescent="0.25">
      <c r="B69" s="55"/>
    </row>
  </sheetData>
  <mergeCells count="1">
    <mergeCell ref="E1:F1"/>
  </mergeCells>
  <printOptions horizontalCentered="1"/>
  <pageMargins left="0.75" right="0.5" top="0.5" bottom="0.5" header="0.5" footer="0.25"/>
  <pageSetup scale="15" orientation="portrait" blackAndWhite="1" r:id="rId1"/>
  <headerFooter alignWithMargins="0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1"/>
  <sheetViews>
    <sheetView zoomScaleNormal="100" workbookViewId="0">
      <selection activeCell="F17" sqref="F17"/>
    </sheetView>
  </sheetViews>
  <sheetFormatPr defaultColWidth="9.140625" defaultRowHeight="12.75" x14ac:dyDescent="0.2"/>
  <cols>
    <col min="1" max="1" width="3.5703125" style="65" customWidth="1"/>
    <col min="2" max="2" width="8.7109375" style="65" customWidth="1"/>
    <col min="3" max="3" width="63" style="65" bestFit="1" customWidth="1"/>
    <col min="4" max="4" width="4.42578125" style="65" customWidth="1"/>
    <col min="5" max="16384" width="9.140625" style="65"/>
  </cols>
  <sheetData>
    <row r="3" spans="2:6" ht="13.5" thickBot="1" x14ac:dyDescent="0.25"/>
    <row r="4" spans="2:6" ht="13.5" thickBot="1" x14ac:dyDescent="0.25">
      <c r="B4" s="63"/>
      <c r="C4" s="63"/>
      <c r="D4" s="63"/>
      <c r="E4" s="63"/>
      <c r="F4" s="66" t="s">
        <v>138</v>
      </c>
    </row>
    <row r="5" spans="2:6" x14ac:dyDescent="0.2">
      <c r="C5" s="352" t="s">
        <v>139</v>
      </c>
      <c r="D5" s="352"/>
      <c r="E5" s="352"/>
      <c r="F5" s="352"/>
    </row>
    <row r="6" spans="2:6" x14ac:dyDescent="0.2">
      <c r="B6" s="67"/>
      <c r="C6" s="353" t="s">
        <v>145</v>
      </c>
      <c r="D6" s="353"/>
      <c r="E6" s="353"/>
      <c r="F6" s="353"/>
    </row>
    <row r="7" spans="2:6" x14ac:dyDescent="0.2">
      <c r="B7" s="68"/>
      <c r="C7" s="354" t="s">
        <v>140</v>
      </c>
      <c r="D7" s="354"/>
      <c r="E7" s="354"/>
      <c r="F7" s="354"/>
    </row>
    <row r="8" spans="2:6" x14ac:dyDescent="0.2">
      <c r="B8" s="68"/>
      <c r="C8" s="354"/>
      <c r="D8" s="354"/>
      <c r="E8" s="354"/>
      <c r="F8" s="354"/>
    </row>
    <row r="9" spans="2:6" x14ac:dyDescent="0.2">
      <c r="B9" s="63"/>
      <c r="C9" s="63"/>
      <c r="D9" s="63"/>
      <c r="E9" s="63"/>
      <c r="F9" s="63"/>
    </row>
    <row r="10" spans="2:6" x14ac:dyDescent="0.2">
      <c r="B10" s="121" t="s">
        <v>108</v>
      </c>
      <c r="C10" s="63"/>
      <c r="D10" s="63"/>
      <c r="E10" s="63"/>
      <c r="F10" s="63"/>
    </row>
    <row r="11" spans="2:6" x14ac:dyDescent="0.2">
      <c r="B11" s="69" t="s">
        <v>109</v>
      </c>
      <c r="C11" s="70" t="s">
        <v>110</v>
      </c>
      <c r="D11" s="71"/>
      <c r="E11" s="71"/>
      <c r="F11" s="72" t="s">
        <v>111</v>
      </c>
    </row>
    <row r="12" spans="2:6" x14ac:dyDescent="0.2">
      <c r="B12" s="64"/>
      <c r="C12" s="64"/>
      <c r="D12" s="64"/>
      <c r="E12" s="64"/>
      <c r="F12" s="73"/>
    </row>
    <row r="13" spans="2:6" x14ac:dyDescent="0.2">
      <c r="B13" s="73">
        <v>1</v>
      </c>
      <c r="C13" s="74" t="s">
        <v>112</v>
      </c>
      <c r="D13" s="64"/>
      <c r="E13" s="64"/>
      <c r="F13" s="75">
        <v>5.1399999999999996E-3</v>
      </c>
    </row>
    <row r="14" spans="2:6" x14ac:dyDescent="0.2">
      <c r="B14" s="73">
        <v>2</v>
      </c>
      <c r="C14" s="74" t="s">
        <v>113</v>
      </c>
      <c r="D14" s="64"/>
      <c r="E14" s="64"/>
      <c r="F14" s="75">
        <v>2E-3</v>
      </c>
    </row>
    <row r="15" spans="2:6" x14ac:dyDescent="0.2">
      <c r="B15" s="73">
        <v>3</v>
      </c>
      <c r="C15" s="74" t="s">
        <v>141</v>
      </c>
      <c r="D15" s="64"/>
      <c r="E15" s="76">
        <v>3.8519999999999999E-2</v>
      </c>
      <c r="F15" s="77">
        <v>3.8322000000000002E-2</v>
      </c>
    </row>
    <row r="16" spans="2:6" x14ac:dyDescent="0.2">
      <c r="B16" s="73">
        <v>4</v>
      </c>
      <c r="C16" s="74"/>
      <c r="D16" s="64"/>
      <c r="E16" s="64"/>
      <c r="F16" s="78"/>
    </row>
    <row r="17" spans="1:6" x14ac:dyDescent="0.2">
      <c r="B17" s="73">
        <v>5</v>
      </c>
      <c r="C17" s="74" t="s">
        <v>114</v>
      </c>
      <c r="D17" s="64"/>
      <c r="E17" s="64"/>
      <c r="F17" s="75">
        <v>4.5462000000000002E-2</v>
      </c>
    </row>
    <row r="18" spans="1:6" x14ac:dyDescent="0.2">
      <c r="B18" s="73">
        <v>6</v>
      </c>
      <c r="C18" s="64"/>
      <c r="D18" s="64"/>
      <c r="E18" s="64"/>
      <c r="F18" s="75"/>
    </row>
    <row r="19" spans="1:6" x14ac:dyDescent="0.2">
      <c r="A19" s="79"/>
      <c r="B19" s="73">
        <v>7</v>
      </c>
      <c r="C19" s="64" t="s">
        <v>115</v>
      </c>
      <c r="D19" s="64"/>
      <c r="E19" s="64"/>
      <c r="F19" s="75">
        <v>0.954538</v>
      </c>
    </row>
    <row r="20" spans="1:6" x14ac:dyDescent="0.2">
      <c r="B20" s="73">
        <v>8</v>
      </c>
      <c r="C20" s="74" t="s">
        <v>116</v>
      </c>
      <c r="D20" s="64"/>
      <c r="E20" s="80">
        <v>0.35</v>
      </c>
      <c r="F20" s="75">
        <v>0.334088</v>
      </c>
    </row>
    <row r="21" spans="1:6" x14ac:dyDescent="0.2">
      <c r="B21" s="73">
        <v>9</v>
      </c>
      <c r="C21" s="74" t="s">
        <v>117</v>
      </c>
      <c r="D21" s="64"/>
      <c r="E21" s="64"/>
      <c r="F21" s="81">
        <v>0.62044999999999995</v>
      </c>
    </row>
  </sheetData>
  <mergeCells count="4">
    <mergeCell ref="C5:F5"/>
    <mergeCell ref="C6:F6"/>
    <mergeCell ref="C7:F7"/>
    <mergeCell ref="C8:F8"/>
  </mergeCells>
  <printOptions horizontalCentered="1"/>
  <pageMargins left="0.68" right="0.56000000000000005" top="1" bottom="1" header="0.5" footer="0.5"/>
  <pageSetup scale="96" orientation="portrait" r:id="rId1"/>
  <headerFooter alignWithMargins="0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J16" sqref="J16"/>
    </sheetView>
  </sheetViews>
  <sheetFormatPr defaultRowHeight="12.75" x14ac:dyDescent="0.2"/>
  <cols>
    <col min="1" max="1" width="5.42578125" customWidth="1"/>
    <col min="2" max="2" width="49.85546875" bestFit="1" customWidth="1"/>
    <col min="5" max="5" width="18.85546875" customWidth="1"/>
    <col min="6" max="6" width="5" bestFit="1" customWidth="1"/>
    <col min="7" max="7" width="75.42578125" bestFit="1" customWidth="1"/>
    <col min="9" max="9" width="8.42578125" bestFit="1" customWidth="1"/>
    <col min="10" max="10" width="9.5703125" bestFit="1" customWidth="1"/>
  </cols>
  <sheetData>
    <row r="1" spans="1:10" ht="15" x14ac:dyDescent="0.25">
      <c r="A1" s="261" t="s">
        <v>224</v>
      </c>
      <c r="B1" s="236"/>
      <c r="C1" s="236"/>
      <c r="D1" s="237" t="s">
        <v>204</v>
      </c>
      <c r="E1" s="238"/>
      <c r="F1" s="261" t="s">
        <v>224</v>
      </c>
      <c r="G1" s="236"/>
      <c r="H1" s="236"/>
      <c r="I1" s="237" t="s">
        <v>205</v>
      </c>
      <c r="J1" s="238"/>
    </row>
    <row r="2" spans="1:10" ht="15" x14ac:dyDescent="0.25">
      <c r="A2" s="239" t="s">
        <v>206</v>
      </c>
      <c r="B2" s="239"/>
      <c r="C2" s="239"/>
      <c r="D2" s="239"/>
      <c r="E2" s="239"/>
      <c r="F2" s="239" t="s">
        <v>206</v>
      </c>
      <c r="G2" s="239"/>
      <c r="H2" s="240"/>
      <c r="I2" s="240"/>
      <c r="J2" s="240"/>
    </row>
    <row r="3" spans="1:10" ht="15" x14ac:dyDescent="0.25">
      <c r="A3" s="239" t="s">
        <v>207</v>
      </c>
      <c r="B3" s="239"/>
      <c r="C3" s="239"/>
      <c r="D3" s="239"/>
      <c r="E3" s="239"/>
      <c r="F3" s="239" t="s">
        <v>207</v>
      </c>
      <c r="G3" s="239"/>
      <c r="H3" s="240"/>
      <c r="I3" s="240"/>
      <c r="J3" s="240"/>
    </row>
    <row r="4" spans="1:10" ht="15" x14ac:dyDescent="0.25">
      <c r="A4" s="239" t="s">
        <v>208</v>
      </c>
      <c r="B4" s="239"/>
      <c r="C4" s="239"/>
      <c r="D4" s="239"/>
      <c r="E4" s="239"/>
      <c r="F4" s="239" t="s">
        <v>208</v>
      </c>
      <c r="G4" s="239"/>
      <c r="H4" s="240"/>
      <c r="I4" s="240"/>
      <c r="J4" s="240"/>
    </row>
    <row r="5" spans="1:10" ht="15" x14ac:dyDescent="0.25">
      <c r="A5" s="239" t="s">
        <v>209</v>
      </c>
      <c r="B5" s="239"/>
      <c r="C5" s="239"/>
      <c r="D5" s="239"/>
      <c r="E5" s="239"/>
      <c r="F5" s="239" t="s">
        <v>209</v>
      </c>
      <c r="G5" s="239"/>
      <c r="H5" s="240"/>
      <c r="I5" s="240"/>
      <c r="J5" s="240"/>
    </row>
    <row r="6" spans="1:10" ht="14.25" x14ac:dyDescent="0.2">
      <c r="A6" s="239" t="s">
        <v>210</v>
      </c>
      <c r="B6" s="239"/>
      <c r="C6" s="239"/>
      <c r="D6" s="239"/>
      <c r="E6" s="239"/>
      <c r="F6" s="239" t="s">
        <v>211</v>
      </c>
      <c r="G6" s="239"/>
      <c r="H6" s="239"/>
      <c r="I6" s="239"/>
      <c r="J6" s="239"/>
    </row>
    <row r="7" spans="1:10" ht="15" x14ac:dyDescent="0.25">
      <c r="A7" s="236"/>
      <c r="B7" s="240"/>
      <c r="C7" s="240"/>
      <c r="D7" s="240"/>
      <c r="E7" s="240"/>
      <c r="F7" s="240"/>
      <c r="G7" s="240"/>
      <c r="H7" s="240"/>
      <c r="I7" s="240"/>
      <c r="J7" s="240"/>
    </row>
    <row r="8" spans="1:10" ht="15" x14ac:dyDescent="0.25">
      <c r="A8" s="236"/>
      <c r="B8" s="236"/>
      <c r="C8" s="236"/>
      <c r="D8" s="236"/>
      <c r="E8" s="236"/>
      <c r="F8" s="240"/>
      <c r="G8" s="240"/>
      <c r="H8" s="240"/>
      <c r="I8" s="240"/>
      <c r="J8" s="236"/>
    </row>
    <row r="9" spans="1:10" x14ac:dyDescent="0.2">
      <c r="A9" s="241" t="s">
        <v>108</v>
      </c>
      <c r="B9" s="241"/>
      <c r="C9" s="242" t="s">
        <v>168</v>
      </c>
      <c r="D9" s="243"/>
      <c r="E9" s="242" t="s">
        <v>212</v>
      </c>
      <c r="F9" s="241" t="s">
        <v>108</v>
      </c>
      <c r="G9" s="241"/>
      <c r="H9" s="241"/>
      <c r="I9" s="243"/>
      <c r="J9" s="243"/>
    </row>
    <row r="10" spans="1:10" x14ac:dyDescent="0.2">
      <c r="A10" s="244" t="s">
        <v>109</v>
      </c>
      <c r="B10" s="244" t="s">
        <v>110</v>
      </c>
      <c r="C10" s="245" t="s">
        <v>213</v>
      </c>
      <c r="D10" s="245" t="s">
        <v>214</v>
      </c>
      <c r="E10" s="245" t="s">
        <v>214</v>
      </c>
      <c r="F10" s="244" t="s">
        <v>109</v>
      </c>
      <c r="G10" s="244" t="s">
        <v>110</v>
      </c>
      <c r="H10" s="244"/>
      <c r="I10" s="246"/>
      <c r="J10" s="246"/>
    </row>
    <row r="11" spans="1:10" ht="15" x14ac:dyDescent="0.25">
      <c r="A11" s="236"/>
      <c r="B11" s="236"/>
      <c r="C11" s="236"/>
      <c r="D11" s="236"/>
      <c r="E11" s="236"/>
      <c r="F11" s="236"/>
      <c r="G11" s="236"/>
      <c r="H11" s="236"/>
      <c r="I11" s="236"/>
      <c r="J11" s="236"/>
    </row>
    <row r="12" spans="1:10" ht="15" x14ac:dyDescent="0.25">
      <c r="A12" s="247">
        <v>1</v>
      </c>
      <c r="B12" s="248" t="s">
        <v>215</v>
      </c>
      <c r="C12" s="249">
        <v>0.51500000000000001</v>
      </c>
      <c r="D12" s="249">
        <v>5.4951456310679617E-2</v>
      </c>
      <c r="E12" s="249">
        <v>2.8299999999999999E-2</v>
      </c>
      <c r="F12" s="247">
        <v>1</v>
      </c>
      <c r="G12" s="250" t="s">
        <v>112</v>
      </c>
      <c r="H12" s="248"/>
      <c r="I12" s="248"/>
      <c r="J12" s="251">
        <v>5.1240000000000001E-3</v>
      </c>
    </row>
    <row r="13" spans="1:10" ht="15" x14ac:dyDescent="0.25">
      <c r="A13" s="247">
        <v>2</v>
      </c>
      <c r="B13" s="248" t="s">
        <v>216</v>
      </c>
      <c r="C13" s="249">
        <v>0.48499999999999999</v>
      </c>
      <c r="D13" s="249">
        <v>9.4E-2</v>
      </c>
      <c r="E13" s="249">
        <v>4.5600000000000002E-2</v>
      </c>
      <c r="F13" s="247">
        <v>2</v>
      </c>
      <c r="G13" s="250" t="s">
        <v>113</v>
      </c>
      <c r="H13" s="248"/>
      <c r="I13" s="248"/>
      <c r="J13" s="251">
        <v>2E-3</v>
      </c>
    </row>
    <row r="14" spans="1:10" ht="15" x14ac:dyDescent="0.25">
      <c r="A14" s="247">
        <v>3</v>
      </c>
      <c r="B14" s="248" t="s">
        <v>217</v>
      </c>
      <c r="C14" s="252">
        <v>1</v>
      </c>
      <c r="D14" s="253"/>
      <c r="E14" s="263">
        <v>7.3899999999999993E-2</v>
      </c>
      <c r="F14" s="247">
        <v>3</v>
      </c>
      <c r="G14" s="250" t="s">
        <v>218</v>
      </c>
      <c r="H14" s="236"/>
      <c r="I14" s="254">
        <v>3.8519999999999999E-2</v>
      </c>
      <c r="J14" s="255">
        <v>3.8323000000000003E-2</v>
      </c>
    </row>
    <row r="15" spans="1:10" ht="15" x14ac:dyDescent="0.25">
      <c r="A15" s="247">
        <v>4</v>
      </c>
      <c r="B15" s="248"/>
      <c r="C15" s="236"/>
      <c r="D15" s="236"/>
      <c r="E15" s="236"/>
      <c r="F15" s="247">
        <v>4</v>
      </c>
      <c r="G15" s="250"/>
      <c r="H15" s="248"/>
      <c r="I15" s="248"/>
      <c r="J15" s="256"/>
    </row>
    <row r="16" spans="1:10" ht="15" x14ac:dyDescent="0.25">
      <c r="A16" s="247">
        <v>5</v>
      </c>
      <c r="B16" s="248" t="s">
        <v>219</v>
      </c>
      <c r="C16" s="249">
        <v>0.51500000000000001</v>
      </c>
      <c r="D16" s="249">
        <v>4.3411650485436902E-2</v>
      </c>
      <c r="E16" s="249">
        <v>2.24E-2</v>
      </c>
      <c r="F16" s="247">
        <v>5</v>
      </c>
      <c r="G16" s="250" t="s">
        <v>114</v>
      </c>
      <c r="H16" s="248"/>
      <c r="I16" s="248"/>
      <c r="J16" s="262">
        <v>4.5447000000000001E-2</v>
      </c>
    </row>
    <row r="17" spans="1:10" ht="15" x14ac:dyDescent="0.25">
      <c r="A17" s="247">
        <v>6</v>
      </c>
      <c r="B17" s="248" t="s">
        <v>216</v>
      </c>
      <c r="C17" s="249">
        <v>0.48499999999999999</v>
      </c>
      <c r="D17" s="249">
        <v>9.4E-2</v>
      </c>
      <c r="E17" s="249">
        <v>4.5600000000000002E-2</v>
      </c>
      <c r="F17" s="247">
        <v>6</v>
      </c>
      <c r="G17" s="248"/>
      <c r="H17" s="248"/>
      <c r="I17" s="248"/>
      <c r="J17" s="251"/>
    </row>
    <row r="18" spans="1:10" ht="15" x14ac:dyDescent="0.25">
      <c r="A18" s="247">
        <v>7</v>
      </c>
      <c r="B18" s="248" t="s">
        <v>220</v>
      </c>
      <c r="C18" s="252">
        <v>1</v>
      </c>
      <c r="D18" s="253"/>
      <c r="E18" s="252">
        <v>6.8000000000000005E-2</v>
      </c>
      <c r="F18" s="247">
        <v>7</v>
      </c>
      <c r="G18" s="248" t="s">
        <v>221</v>
      </c>
      <c r="H18" s="248"/>
      <c r="I18" s="248"/>
      <c r="J18" s="251">
        <v>0.95455299999999998</v>
      </c>
    </row>
    <row r="19" spans="1:10" ht="15" x14ac:dyDescent="0.25">
      <c r="A19" s="247"/>
      <c r="B19" s="236"/>
      <c r="C19" s="236"/>
      <c r="D19" s="236"/>
      <c r="E19" s="236"/>
      <c r="F19" s="247">
        <v>8</v>
      </c>
      <c r="G19" s="250" t="s">
        <v>222</v>
      </c>
      <c r="H19" s="248"/>
      <c r="I19" s="257">
        <v>0.21</v>
      </c>
      <c r="J19" s="251">
        <v>0.200456</v>
      </c>
    </row>
    <row r="20" spans="1:10" ht="15.75" thickBot="1" x14ac:dyDescent="0.3">
      <c r="A20" s="247"/>
      <c r="B20" s="236"/>
      <c r="C20" s="236"/>
      <c r="D20" s="236"/>
      <c r="E20" s="236"/>
      <c r="F20" s="247">
        <v>9</v>
      </c>
      <c r="G20" s="250" t="s">
        <v>223</v>
      </c>
      <c r="H20" s="248"/>
      <c r="I20" s="248"/>
      <c r="J20" s="258">
        <v>0.75409700000000002</v>
      </c>
    </row>
    <row r="21" spans="1:10" ht="15.75" thickTop="1" x14ac:dyDescent="0.25">
      <c r="A21" s="247"/>
      <c r="B21" s="259"/>
      <c r="C21" s="260"/>
      <c r="D21" s="236"/>
      <c r="E21" s="236"/>
      <c r="F21" s="247"/>
      <c r="G21" s="236"/>
      <c r="H21" s="248"/>
      <c r="I21" s="248"/>
      <c r="J21" s="248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7"/>
  <sheetViews>
    <sheetView workbookViewId="0">
      <selection activeCell="R40" sqref="R40"/>
    </sheetView>
  </sheetViews>
  <sheetFormatPr defaultColWidth="9.140625" defaultRowHeight="15" x14ac:dyDescent="0.2"/>
  <cols>
    <col min="1" max="1" width="19.140625" style="107" bestFit="1" customWidth="1"/>
    <col min="2" max="2" width="11.5703125" style="107" bestFit="1" customWidth="1"/>
    <col min="3" max="22" width="10.28515625" style="107" bestFit="1" customWidth="1"/>
    <col min="23" max="23" width="12.85546875" style="107" bestFit="1" customWidth="1"/>
    <col min="24" max="16384" width="9.140625" style="107"/>
  </cols>
  <sheetData>
    <row r="2" spans="1:23" x14ac:dyDescent="0.2">
      <c r="B2" s="108"/>
    </row>
    <row r="4" spans="1:23" x14ac:dyDescent="0.2">
      <c r="A4" s="109" t="s">
        <v>103</v>
      </c>
      <c r="B4" s="110">
        <v>1</v>
      </c>
      <c r="C4" s="110">
        <v>2</v>
      </c>
      <c r="D4" s="110">
        <v>3</v>
      </c>
      <c r="E4" s="110">
        <v>4</v>
      </c>
      <c r="F4" s="110">
        <v>5</v>
      </c>
      <c r="G4" s="110">
        <v>6</v>
      </c>
      <c r="H4" s="110">
        <v>7</v>
      </c>
      <c r="I4" s="110">
        <v>8</v>
      </c>
      <c r="J4" s="110">
        <v>9</v>
      </c>
      <c r="K4" s="110">
        <v>10</v>
      </c>
      <c r="L4" s="110">
        <v>11</v>
      </c>
      <c r="M4" s="110">
        <v>12</v>
      </c>
      <c r="N4" s="110">
        <v>13</v>
      </c>
      <c r="O4" s="110">
        <v>14</v>
      </c>
      <c r="P4" s="110">
        <v>15</v>
      </c>
      <c r="Q4" s="110">
        <v>16</v>
      </c>
      <c r="R4" s="110">
        <v>17</v>
      </c>
      <c r="S4" s="110">
        <v>18</v>
      </c>
      <c r="T4" s="110">
        <v>19</v>
      </c>
      <c r="U4" s="110">
        <v>20</v>
      </c>
      <c r="V4" s="110">
        <v>21</v>
      </c>
      <c r="W4" s="110" t="s">
        <v>104</v>
      </c>
    </row>
    <row r="5" spans="1:23" x14ac:dyDescent="0.2">
      <c r="A5" s="111" t="s">
        <v>105</v>
      </c>
      <c r="B5" s="112">
        <v>3.7499999999999999E-2</v>
      </c>
      <c r="C5" s="112">
        <v>7.2190000000000004E-2</v>
      </c>
      <c r="D5" s="112">
        <v>6.6769999999999996E-2</v>
      </c>
      <c r="E5" s="112">
        <v>6.1769999999999999E-2</v>
      </c>
      <c r="F5" s="112">
        <v>5.713E-2</v>
      </c>
      <c r="G5" s="112">
        <v>5.2850000000000001E-2</v>
      </c>
      <c r="H5" s="112">
        <v>4.888E-2</v>
      </c>
      <c r="I5" s="112">
        <v>4.5220000000000003E-2</v>
      </c>
      <c r="J5" s="112">
        <v>4.462E-2</v>
      </c>
      <c r="K5" s="112">
        <v>4.4610000000000004E-2</v>
      </c>
      <c r="L5" s="112">
        <v>4.462E-2</v>
      </c>
      <c r="M5" s="112">
        <v>4.4610000000000004E-2</v>
      </c>
      <c r="N5" s="112">
        <v>4.462E-2</v>
      </c>
      <c r="O5" s="112">
        <v>4.4610000000000004E-2</v>
      </c>
      <c r="P5" s="112">
        <v>4.462E-2</v>
      </c>
      <c r="Q5" s="112">
        <v>4.4610000000000004E-2</v>
      </c>
      <c r="R5" s="112">
        <v>4.462E-2</v>
      </c>
      <c r="S5" s="112">
        <v>4.4610000000000004E-2</v>
      </c>
      <c r="T5" s="112">
        <v>4.462E-2</v>
      </c>
      <c r="U5" s="112">
        <v>4.4610000000000004E-2</v>
      </c>
      <c r="V5" s="112">
        <v>2.231E-2</v>
      </c>
      <c r="W5" s="112">
        <f>SUM(B5:V5)</f>
        <v>1.0000000000000002</v>
      </c>
    </row>
    <row r="6" spans="1:23" x14ac:dyDescent="0.2">
      <c r="A6" s="111" t="s">
        <v>106</v>
      </c>
      <c r="B6" s="112">
        <f>B5*0.5+0.5</f>
        <v>0.51875000000000004</v>
      </c>
      <c r="C6" s="112">
        <f>C5*0.5</f>
        <v>3.6095000000000002E-2</v>
      </c>
      <c r="D6" s="112">
        <f t="shared" ref="D6:V6" si="0">D5*0.5</f>
        <v>3.3384999999999998E-2</v>
      </c>
      <c r="E6" s="112">
        <f t="shared" si="0"/>
        <v>3.0884999999999999E-2</v>
      </c>
      <c r="F6" s="112">
        <f t="shared" si="0"/>
        <v>2.8565E-2</v>
      </c>
      <c r="G6" s="112">
        <f t="shared" si="0"/>
        <v>2.6425000000000001E-2</v>
      </c>
      <c r="H6" s="112">
        <f t="shared" si="0"/>
        <v>2.444E-2</v>
      </c>
      <c r="I6" s="112">
        <f t="shared" si="0"/>
        <v>2.2610000000000002E-2</v>
      </c>
      <c r="J6" s="112">
        <f t="shared" si="0"/>
        <v>2.231E-2</v>
      </c>
      <c r="K6" s="112">
        <f t="shared" si="0"/>
        <v>2.2305000000000002E-2</v>
      </c>
      <c r="L6" s="112">
        <f t="shared" si="0"/>
        <v>2.231E-2</v>
      </c>
      <c r="M6" s="112">
        <f t="shared" si="0"/>
        <v>2.2305000000000002E-2</v>
      </c>
      <c r="N6" s="112">
        <f t="shared" si="0"/>
        <v>2.231E-2</v>
      </c>
      <c r="O6" s="112">
        <f t="shared" si="0"/>
        <v>2.2305000000000002E-2</v>
      </c>
      <c r="P6" s="112">
        <f t="shared" si="0"/>
        <v>2.231E-2</v>
      </c>
      <c r="Q6" s="112">
        <f t="shared" si="0"/>
        <v>2.2305000000000002E-2</v>
      </c>
      <c r="R6" s="112">
        <f t="shared" si="0"/>
        <v>2.231E-2</v>
      </c>
      <c r="S6" s="112">
        <f t="shared" si="0"/>
        <v>2.2305000000000002E-2</v>
      </c>
      <c r="T6" s="112">
        <f t="shared" si="0"/>
        <v>2.231E-2</v>
      </c>
      <c r="U6" s="112">
        <f t="shared" si="0"/>
        <v>2.2305000000000002E-2</v>
      </c>
      <c r="V6" s="112">
        <f t="shared" si="0"/>
        <v>1.1155E-2</v>
      </c>
      <c r="W6" s="112">
        <f>SUM(B6:V6)</f>
        <v>1.0000000000000004</v>
      </c>
    </row>
    <row r="7" spans="1:23" x14ac:dyDescent="0.2">
      <c r="A7" s="111" t="s">
        <v>107</v>
      </c>
      <c r="B7" s="112">
        <f>B5*0.6+0.4</f>
        <v>0.42250000000000004</v>
      </c>
      <c r="C7" s="112">
        <f>C5*0.6</f>
        <v>4.3313999999999998E-2</v>
      </c>
      <c r="D7" s="112">
        <f t="shared" ref="D7:V7" si="1">D5*0.6</f>
        <v>4.0061999999999993E-2</v>
      </c>
      <c r="E7" s="112">
        <f t="shared" si="1"/>
        <v>3.7061999999999998E-2</v>
      </c>
      <c r="F7" s="112">
        <f t="shared" si="1"/>
        <v>3.4277999999999996E-2</v>
      </c>
      <c r="G7" s="112">
        <f t="shared" si="1"/>
        <v>3.1710000000000002E-2</v>
      </c>
      <c r="H7" s="112">
        <f t="shared" si="1"/>
        <v>2.9328E-2</v>
      </c>
      <c r="I7" s="112">
        <f t="shared" si="1"/>
        <v>2.7132E-2</v>
      </c>
      <c r="J7" s="112">
        <f t="shared" si="1"/>
        <v>2.6772000000000001E-2</v>
      </c>
      <c r="K7" s="112">
        <f t="shared" si="1"/>
        <v>2.6766000000000002E-2</v>
      </c>
      <c r="L7" s="112">
        <f t="shared" si="1"/>
        <v>2.6772000000000001E-2</v>
      </c>
      <c r="M7" s="112">
        <f t="shared" si="1"/>
        <v>2.6766000000000002E-2</v>
      </c>
      <c r="N7" s="112">
        <f t="shared" si="1"/>
        <v>2.6772000000000001E-2</v>
      </c>
      <c r="O7" s="112">
        <f t="shared" si="1"/>
        <v>2.6766000000000002E-2</v>
      </c>
      <c r="P7" s="112">
        <f t="shared" si="1"/>
        <v>2.6772000000000001E-2</v>
      </c>
      <c r="Q7" s="112">
        <f t="shared" si="1"/>
        <v>2.6766000000000002E-2</v>
      </c>
      <c r="R7" s="112">
        <f t="shared" si="1"/>
        <v>2.6772000000000001E-2</v>
      </c>
      <c r="S7" s="112">
        <f t="shared" si="1"/>
        <v>2.6766000000000002E-2</v>
      </c>
      <c r="T7" s="112">
        <f t="shared" si="1"/>
        <v>2.6772000000000001E-2</v>
      </c>
      <c r="U7" s="112">
        <f t="shared" si="1"/>
        <v>2.6766000000000002E-2</v>
      </c>
      <c r="V7" s="112">
        <f t="shared" si="1"/>
        <v>1.3386E-2</v>
      </c>
      <c r="W7" s="112">
        <f>SUM(B7:V7)</f>
        <v>1</v>
      </c>
    </row>
  </sheetData>
  <pageMargins left="0.7" right="0.7" top="0.75" bottom="0.75" header="0.3" footer="0.3"/>
  <pageSetup scale="50" orientation="landscape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FEB3498DA4D74468420633951C73946" ma:contentTypeVersion="52" ma:contentTypeDescription="" ma:contentTypeScope="" ma:versionID="37cd7cf7ac4221db81cad4eefa3d561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2020-10-01T07:00:00+00:00</OpenedDate>
    <SignificantOrder xmlns="dc463f71-b30c-4ab2-9473-d307f9d35888">false</SignificantOrder>
    <Date1 xmlns="dc463f71-b30c-4ab2-9473-d307f9d35888">2020-10-01T07:00:00+00:00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200840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7A09EF3-33DA-4155-A6A8-A5F1F28FBBF1}"/>
</file>

<file path=customXml/itemProps2.xml><?xml version="1.0" encoding="utf-8"?>
<ds:datastoreItem xmlns:ds="http://schemas.openxmlformats.org/officeDocument/2006/customXml" ds:itemID="{89D52B3E-7B25-43B9-99BE-14C6C023ECE5}"/>
</file>

<file path=customXml/itemProps3.xml><?xml version="1.0" encoding="utf-8"?>
<ds:datastoreItem xmlns:ds="http://schemas.openxmlformats.org/officeDocument/2006/customXml" ds:itemID="{D61A7DE6-EC4B-4359-BF52-4A40FBBBD5E6}"/>
</file>

<file path=customXml/itemProps4.xml><?xml version="1.0" encoding="utf-8"?>
<ds:datastoreItem xmlns:ds="http://schemas.openxmlformats.org/officeDocument/2006/customXml" ds:itemID="{744D5917-1E27-4A4F-8B13-AD27EA4BC3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Summary</vt:lpstr>
      <vt:lpstr>Work Papers--&gt;</vt:lpstr>
      <vt:lpstr>2020 CAP CRM</vt:lpstr>
      <vt:lpstr>2020 C&amp;OM</vt:lpstr>
      <vt:lpstr>CRM CAP Forecast</vt:lpstr>
      <vt:lpstr>2019 CRM+True Up </vt:lpstr>
      <vt:lpstr>2019 CRM Orig Flng</vt:lpstr>
      <vt:lpstr>2019TrueUp</vt:lpstr>
      <vt:lpstr>2017 CRM</vt:lpstr>
      <vt:lpstr>2018 CRM</vt:lpstr>
      <vt:lpstr>2017 4.01 G</vt:lpstr>
      <vt:lpstr>2019 GRC</vt:lpstr>
      <vt:lpstr>MACRS 20</vt:lpstr>
      <vt:lpstr>'2017 4.01 G'!Print_Area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Nicole Anastasia</cp:lastModifiedBy>
  <cp:lastPrinted>2019-10-14T16:46:50Z</cp:lastPrinted>
  <dcterms:created xsi:type="dcterms:W3CDTF">2017-05-26T23:01:59Z</dcterms:created>
  <dcterms:modified xsi:type="dcterms:W3CDTF">2020-09-25T17:15:14Z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fWorkbookId">
    <vt:lpwstr>95fad769-6140-4836-ad7c-4ae80e9abf77</vt:lpwstr>
  </property>
  <property fmtid="{D5CDD505-2E9C-101B-9397-08002B2CF9AE}" pid="3" name="ContentTypeId">
    <vt:lpwstr>0x0101006E56B4D1795A2E4DB2F0B01679ED314A00AFEB3498DA4D74468420633951C73946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