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20" activeTab="2"/>
  </bookViews>
  <sheets>
    <sheet name="Disposal Increase" sheetId="1" r:id="rId1"/>
    <sheet name="Totals - Commercial" sheetId="2" r:id="rId2"/>
    <sheet name="Totals - Residential" sheetId="3" r:id="rId3"/>
    <sheet name="AUG 2018" sheetId="4" r:id="rId4"/>
    <sheet name="SEPT 2018" sheetId="5" r:id="rId5"/>
    <sheet name="OCT 2018" sheetId="6" r:id="rId6"/>
    <sheet name="NOV 2018" sheetId="7" r:id="rId7"/>
    <sheet name="DEC 2018" sheetId="8" r:id="rId8"/>
    <sheet name="JAN 2019" sheetId="9" r:id="rId9"/>
    <sheet name="FEB 2019" sheetId="10" r:id="rId10"/>
    <sheet name="MAR 2019" sheetId="11" r:id="rId11"/>
    <sheet name="APR 2019" sheetId="12" r:id="rId12"/>
    <sheet name="MAY 2019" sheetId="13" r:id="rId13"/>
    <sheet name="JUNE 2019" sheetId="14" r:id="rId14"/>
    <sheet name="JULY 2019" sheetId="15" r:id="rId15"/>
    <sheet name="AUG-SEPT 2018 RES. " sheetId="16" r:id="rId16"/>
    <sheet name="OCT-NOV 2018 RES." sheetId="17" r:id="rId17"/>
    <sheet name="DEC 2018-JAN 2019 RES." sheetId="18" r:id="rId18"/>
    <sheet name="FEB-MAR 2019 RES." sheetId="19" r:id="rId19"/>
    <sheet name="APR-MAY 2019 RES." sheetId="20" r:id="rId20"/>
    <sheet name="JUNE-JULY 2019 RES." sheetId="21" r:id="rId21"/>
  </sheets>
  <definedNames/>
  <calcPr fullCalcOnLoad="1"/>
</workbook>
</file>

<file path=xl/sharedStrings.xml><?xml version="1.0" encoding="utf-8"?>
<sst xmlns="http://schemas.openxmlformats.org/spreadsheetml/2006/main" count="702" uniqueCount="126">
  <si>
    <t>Commercial Price Out</t>
  </si>
  <si>
    <t>Cans</t>
  </si>
  <si>
    <t>Extra Cans</t>
  </si>
  <si>
    <t xml:space="preserve"> </t>
  </si>
  <si>
    <t>1-yd</t>
  </si>
  <si>
    <t>1-yd spec.</t>
  </si>
  <si>
    <t>1.5-yd</t>
  </si>
  <si>
    <t>1.5-yd spec</t>
  </si>
  <si>
    <t>2-yd</t>
  </si>
  <si>
    <t>2-yd spec</t>
  </si>
  <si>
    <t>2-yd compacted</t>
  </si>
  <si>
    <t>2-yd spec comp</t>
  </si>
  <si>
    <t>Roll-out</t>
  </si>
  <si>
    <t>Drive-in</t>
  </si>
  <si>
    <t>Hours Hauling</t>
  </si>
  <si>
    <t>Garbage Rent</t>
  </si>
  <si>
    <t>Debit/Credit</t>
  </si>
  <si>
    <t>Total</t>
  </si>
  <si>
    <t>Overfilled Charge</t>
  </si>
  <si>
    <t>Rent</t>
  </si>
  <si>
    <t>Proposed Total</t>
  </si>
  <si>
    <t>Actual per WTB</t>
  </si>
  <si>
    <t>San Juan Sanitation</t>
  </si>
  <si>
    <t>proposed price</t>
  </si>
  <si>
    <t>roll-out</t>
  </si>
  <si>
    <t>drive-in</t>
  </si>
  <si>
    <t>extension</t>
  </si>
  <si>
    <t>1-yd cust owned</t>
  </si>
  <si>
    <t>1.5-yd compacted</t>
  </si>
  <si>
    <t>1-yd customer owned</t>
  </si>
  <si>
    <t>1.5yd compacted</t>
  </si>
  <si>
    <t>Units</t>
  </si>
  <si>
    <t>X</t>
  </si>
  <si>
    <t>1-yd compacted</t>
  </si>
  <si>
    <t>1-yd Compacted</t>
  </si>
  <si>
    <t>1.5-yd spec compact</t>
  </si>
  <si>
    <t>overfull dumpster</t>
  </si>
  <si>
    <t>1.5-yd spec comact</t>
  </si>
  <si>
    <t>Pounds per</t>
  </si>
  <si>
    <t>Pickup</t>
  </si>
  <si>
    <t>Calculated Price</t>
  </si>
  <si>
    <t>Number of pickups</t>
  </si>
  <si>
    <t>Current Price</t>
  </si>
  <si>
    <t>Extension</t>
  </si>
  <si>
    <t>Month</t>
  </si>
  <si>
    <t>Year</t>
  </si>
  <si>
    <t>Tons</t>
  </si>
  <si>
    <t>Rate</t>
  </si>
  <si>
    <t>Oct</t>
  </si>
  <si>
    <t>Mar</t>
  </si>
  <si>
    <t>May</t>
  </si>
  <si>
    <t>June</t>
  </si>
  <si>
    <t>July</t>
  </si>
  <si>
    <t>Aug.</t>
  </si>
  <si>
    <t>Sept.</t>
  </si>
  <si>
    <t>Annual Increase</t>
  </si>
  <si>
    <t>Total Annual Increase</t>
  </si>
  <si>
    <t>Revenue Need</t>
  </si>
  <si>
    <t>Historical - Non Pass-Through Cost</t>
  </si>
  <si>
    <t>Nov</t>
  </si>
  <si>
    <t>Dec</t>
  </si>
  <si>
    <t>Jan</t>
  </si>
  <si>
    <t>Feb</t>
  </si>
  <si>
    <t>April</t>
  </si>
  <si>
    <t>Totals with new rate</t>
  </si>
  <si>
    <t>Increase per pound</t>
  </si>
  <si>
    <t>Projected Increase</t>
  </si>
  <si>
    <t>Meeks</t>
  </si>
  <si>
    <t>Calculated Increase</t>
  </si>
  <si>
    <t>Totals</t>
  </si>
  <si>
    <t>Credits</t>
  </si>
  <si>
    <t>Debits</t>
  </si>
  <si>
    <t>Billed Cans</t>
  </si>
  <si>
    <t>Prepaid 32</t>
  </si>
  <si>
    <t xml:space="preserve">Distance </t>
  </si>
  <si>
    <t>Base</t>
  </si>
  <si>
    <t>2 can</t>
  </si>
  <si>
    <t>1 can</t>
  </si>
  <si>
    <t>MiniOM</t>
  </si>
  <si>
    <t>Miniwkly</t>
  </si>
  <si>
    <t>Monthly</t>
  </si>
  <si>
    <t>EOW</t>
  </si>
  <si>
    <t>Weekly</t>
  </si>
  <si>
    <t>Residential Price Out</t>
  </si>
  <si>
    <t>Mini OM</t>
  </si>
  <si>
    <t>Pre-paid tags</t>
  </si>
  <si>
    <t>MiniEOW</t>
  </si>
  <si>
    <t>TOTAL INCREASE</t>
  </si>
  <si>
    <t>per month</t>
  </si>
  <si>
    <t>Misc Credits</t>
  </si>
  <si>
    <t>Total Yearly Customers</t>
  </si>
  <si>
    <t>Misc Debits</t>
  </si>
  <si>
    <t>Drive In</t>
  </si>
  <si>
    <t>Plus Billed/Sticker Can Customers</t>
  </si>
  <si>
    <t>Distance</t>
  </si>
  <si>
    <t>`</t>
  </si>
  <si>
    <t>Prepaid Stickers</t>
  </si>
  <si>
    <t>EOW 2 can</t>
  </si>
  <si>
    <t>EOW 1 can</t>
  </si>
  <si>
    <t>wk 2 cans</t>
  </si>
  <si>
    <t>wk 1can</t>
  </si>
  <si>
    <t>Proposed Rates</t>
  </si>
  <si>
    <t>Calculated Rate</t>
  </si>
  <si>
    <t>Meeks Weight</t>
  </si>
  <si>
    <t>Current Rates</t>
  </si>
  <si>
    <t>Calculated</t>
  </si>
  <si>
    <t>Counted</t>
  </si>
  <si>
    <t>Customers</t>
  </si>
  <si>
    <t>Residential Price-out</t>
  </si>
  <si>
    <t xml:space="preserve">San Juan Sanitation </t>
  </si>
  <si>
    <t>Grand Total</t>
  </si>
  <si>
    <t># of cans</t>
  </si>
  <si>
    <t>Total Cust.</t>
  </si>
  <si>
    <t>MiniOm</t>
  </si>
  <si>
    <t>Disposal Fee Increase - Non Pass Through Customers</t>
  </si>
  <si>
    <t>2018-19 Totals</t>
  </si>
  <si>
    <t>for rates effective 12/01/19</t>
  </si>
  <si>
    <t>ORS Disposal Residential and Commercial</t>
  </si>
  <si>
    <t>for the 12 months ending July 31, 2019</t>
  </si>
  <si>
    <t xml:space="preserve">Meeks </t>
  </si>
  <si>
    <t xml:space="preserve">Total Weight </t>
  </si>
  <si>
    <t>Total Meeks</t>
  </si>
  <si>
    <t>Weight</t>
  </si>
  <si>
    <t xml:space="preserve"> Totals</t>
  </si>
  <si>
    <t>Increase in Revenue from Proposed Rates</t>
  </si>
  <si>
    <t>Effective 12-01-2019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</si>
</sst>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_(* #,##0.000_);_(* \(#,##0.000\);_(* &quot;-&quot;???_);_(@_)"/>
    <numFmt numFmtId="167" formatCode="&quot;$&quot;#,##0.000_);\(&quot;$&quot;#,##0.000\)"/>
    <numFmt numFmtId="168" formatCode="&quot;$&quot;#,##0.0000_);\(&quot;$&quot;#,##0.0000\)"/>
    <numFmt numFmtId="169" formatCode="&quot;$&quot;#,##0.0"/>
    <numFmt numFmtId="170" formatCode="&quot;$&quot;#,##0"/>
    <numFmt numFmtId="171" formatCode="&quot;$&quot;#,##0.000"/>
    <numFmt numFmtId="172" formatCode="&quot;$&quot;#,##0.0000"/>
    <numFmt numFmtId="173" formatCode="&quot;$&quot;#,##0.00000"/>
    <numFmt numFmtId="174" formatCode="&quot;$&quot;#,##0.0_);\(&quot;$&quot;#,##0.0\)"/>
    <numFmt numFmtId="175" formatCode="0.0000"/>
    <numFmt numFmtId="176" formatCode="0.000"/>
    <numFmt numFmtId="177" formatCode="0.000000"/>
    <numFmt numFmtId="178" formatCode="0.00000"/>
    <numFmt numFmtId="179" formatCode="_(* #,##0.000_);_(* \(#,##0.000\);_(* &quot;-&quot;??_);_(@_)"/>
    <numFmt numFmtId="180" formatCode="_(* #,##0.0000_);_(* \(#,##0.0000\);_(* &quot;-&quot;??_);_(@_)"/>
    <numFmt numFmtId="181" formatCode="_(&quot;$&quot;* #,##0.0_);_(&quot;$&quot;* \(#,##0.0\);_(&quot;$&quot;* &quot;-&quot;??_);_(@_)"/>
    <numFmt numFmtId="182" formatCode="_(&quot;$&quot;* #,##0_);_(&quot;$&quot;* \(#,##0\);_(&quot;$&quot;* &quot;-&quot;??_);_(@_)"/>
    <numFmt numFmtId="183" formatCode="#,##0.0_);\(#,##0.0\)"/>
    <numFmt numFmtId="184" formatCode="_(* #,##0.0_);_(* \(#,##0.0\);_(* &quot;-&quot;??_);_(@_)"/>
    <numFmt numFmtId="185" formatCode="_(* #,##0_);_(* \(#,##0\);_(* &quot;-&quot;??_);_(@_)"/>
    <numFmt numFmtId="186" formatCode="_(* #,##0.0000000_);_(* \(#,##0.0000000\);_(* &quot;-&quot;???????_);_(@_)"/>
    <numFmt numFmtId="187" formatCode="_(* #,##0.00000_);_(* \(#,##0.00000\);_(* &quot;-&quot;??_);_(@_)"/>
    <numFmt numFmtId="188" formatCode="_(* #,##0.00000_);_(* \(#,##0.00000\);_(* &quot;-&quot;?????_);_(@_)"/>
    <numFmt numFmtId="189" formatCode="_(* #,##0.000000_);_(* \(#,##0.000000\);_(* &quot;-&quot;??????_);_(@_)"/>
    <numFmt numFmtId="190" formatCode="[$-409]dddd\,\ mmmm\ dd\,\ yyyy"/>
    <numFmt numFmtId="191" formatCode="[$-409]mmmm\-yy;@"/>
    <numFmt numFmtId="192" formatCode="0.0000000"/>
    <numFmt numFmtId="193" formatCode="0.00000000"/>
    <numFmt numFmtId="194" formatCode="_(* #,##0.0000_);_(* \(#,##0.0000\);_(* &quot;-&quot;????_);_(@_)"/>
  </numFmts>
  <fonts count="24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u val="single"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 vertical="top"/>
      <protection/>
    </xf>
    <xf numFmtId="0" fontId="16" fillId="0" borderId="0">
      <alignment vertical="top"/>
      <protection/>
    </xf>
    <xf numFmtId="0" fontId="3" fillId="0" borderId="0">
      <alignment/>
      <protection/>
    </xf>
    <xf numFmtId="0" fontId="3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22" borderId="1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7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22" borderId="10" xfId="0" applyNumberFormat="1" applyFill="1" applyBorder="1" applyAlignment="1">
      <alignment/>
    </xf>
    <xf numFmtId="4" fontId="0" fillId="24" borderId="1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43" fontId="0" fillId="0" borderId="0" xfId="42" applyFont="1" applyAlignment="1">
      <alignment/>
    </xf>
    <xf numFmtId="0" fontId="0" fillId="0" borderId="0" xfId="0" applyAlignment="1">
      <alignment horizontal="right"/>
    </xf>
    <xf numFmtId="7" fontId="0" fillId="0" borderId="0" xfId="42" applyNumberFormat="1" applyFont="1" applyAlignment="1">
      <alignment/>
    </xf>
    <xf numFmtId="7" fontId="0" fillId="0" borderId="0" xfId="45" applyNumberFormat="1" applyFont="1" applyAlignment="1">
      <alignment/>
    </xf>
    <xf numFmtId="1" fontId="0" fillId="0" borderId="0" xfId="42" applyNumberFormat="1" applyFont="1" applyAlignment="1">
      <alignment/>
    </xf>
    <xf numFmtId="37" fontId="0" fillId="0" borderId="0" xfId="45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/>
    </xf>
    <xf numFmtId="0" fontId="19" fillId="0" borderId="0" xfId="59" applyFont="1">
      <alignment/>
      <protection/>
    </xf>
    <xf numFmtId="0" fontId="3" fillId="0" borderId="0" xfId="59" applyFont="1">
      <alignment/>
      <protection/>
    </xf>
    <xf numFmtId="0" fontId="3" fillId="0" borderId="0" xfId="59" applyFont="1" applyFill="1" applyBorder="1">
      <alignment/>
      <protection/>
    </xf>
    <xf numFmtId="0" fontId="20" fillId="0" borderId="0" xfId="59" applyFont="1" applyFill="1" applyAlignment="1">
      <alignment horizontal="center"/>
      <protection/>
    </xf>
    <xf numFmtId="0" fontId="3" fillId="0" borderId="0" xfId="59" applyFont="1" quotePrefix="1">
      <alignment/>
      <protection/>
    </xf>
    <xf numFmtId="0" fontId="19" fillId="0" borderId="0" xfId="59" applyFont="1" applyFill="1" applyBorder="1" applyAlignment="1">
      <alignment horizontal="center"/>
      <protection/>
    </xf>
    <xf numFmtId="0" fontId="19" fillId="20" borderId="10" xfId="59" applyFont="1" applyFill="1" applyBorder="1">
      <alignment/>
      <protection/>
    </xf>
    <xf numFmtId="0" fontId="19" fillId="20" borderId="10" xfId="59" applyFont="1" applyFill="1" applyBorder="1" applyAlignment="1">
      <alignment horizontal="center"/>
      <protection/>
    </xf>
    <xf numFmtId="0" fontId="3" fillId="0" borderId="11" xfId="59" applyFont="1" applyBorder="1">
      <alignment/>
      <protection/>
    </xf>
    <xf numFmtId="0" fontId="19" fillId="0" borderId="11" xfId="59" applyFont="1" applyBorder="1">
      <alignment/>
      <protection/>
    </xf>
    <xf numFmtId="43" fontId="3" fillId="0" borderId="0" xfId="42" applyFont="1" applyFill="1" applyBorder="1" applyAlignment="1">
      <alignment/>
    </xf>
    <xf numFmtId="43" fontId="3" fillId="0" borderId="11" xfId="42" applyFont="1" applyBorder="1" applyAlignment="1">
      <alignment/>
    </xf>
    <xf numFmtId="43" fontId="3" fillId="0" borderId="0" xfId="42" applyFont="1" applyAlignment="1">
      <alignment/>
    </xf>
    <xf numFmtId="0" fontId="3" fillId="0" borderId="12" xfId="59" applyFont="1" applyBorder="1">
      <alignment/>
      <protection/>
    </xf>
    <xf numFmtId="0" fontId="19" fillId="0" borderId="12" xfId="59" applyFont="1" applyBorder="1">
      <alignment/>
      <protection/>
    </xf>
    <xf numFmtId="43" fontId="3" fillId="0" borderId="12" xfId="42" applyFont="1" applyBorder="1" applyAlignment="1">
      <alignment/>
    </xf>
    <xf numFmtId="0" fontId="3" fillId="0" borderId="13" xfId="59" applyFont="1" applyBorder="1">
      <alignment/>
      <protection/>
    </xf>
    <xf numFmtId="43" fontId="3" fillId="0" borderId="13" xfId="42" applyFont="1" applyBorder="1" applyAlignment="1">
      <alignment/>
    </xf>
    <xf numFmtId="44" fontId="19" fillId="0" borderId="0" xfId="45" applyFont="1" applyFill="1" applyBorder="1" applyAlignment="1">
      <alignment/>
    </xf>
    <xf numFmtId="43" fontId="19" fillId="20" borderId="10" xfId="42" applyFont="1" applyFill="1" applyBorder="1" applyAlignment="1">
      <alignment/>
    </xf>
    <xf numFmtId="43" fontId="19" fillId="20" borderId="10" xfId="42" applyFont="1" applyFill="1" applyBorder="1" applyAlignment="1">
      <alignment horizontal="center"/>
    </xf>
    <xf numFmtId="44" fontId="19" fillId="20" borderId="10" xfId="45" applyFont="1" applyFill="1" applyBorder="1" applyAlignment="1">
      <alignment/>
    </xf>
    <xf numFmtId="43" fontId="19" fillId="0" borderId="0" xfId="42" applyFont="1" applyBorder="1" applyAlignment="1">
      <alignment/>
    </xf>
    <xf numFmtId="0" fontId="19" fillId="0" borderId="0" xfId="59" applyFont="1" applyBorder="1">
      <alignment/>
      <protection/>
    </xf>
    <xf numFmtId="0" fontId="3" fillId="0" borderId="0" xfId="59" applyFont="1" applyAlignment="1">
      <alignment/>
      <protection/>
    </xf>
    <xf numFmtId="0" fontId="19" fillId="9" borderId="10" xfId="59" applyFont="1" applyFill="1" applyBorder="1">
      <alignment/>
      <protection/>
    </xf>
    <xf numFmtId="0" fontId="19" fillId="9" borderId="10" xfId="59" applyFont="1" applyFill="1" applyBorder="1" applyAlignment="1">
      <alignment horizontal="right"/>
      <protection/>
    </xf>
    <xf numFmtId="43" fontId="19" fillId="9" borderId="10" xfId="59" applyNumberFormat="1" applyFont="1" applyFill="1" applyBorder="1">
      <alignment/>
      <protection/>
    </xf>
    <xf numFmtId="0" fontId="3" fillId="0" borderId="0" xfId="59" applyFont="1" applyAlignment="1">
      <alignment horizontal="right"/>
      <protection/>
    </xf>
    <xf numFmtId="43" fontId="3" fillId="0" borderId="0" xfId="59" applyNumberFormat="1" applyFont="1" applyAlignment="1">
      <alignment horizontal="right"/>
      <protection/>
    </xf>
    <xf numFmtId="0" fontId="3" fillId="0" borderId="0" xfId="59">
      <alignment/>
      <protection/>
    </xf>
    <xf numFmtId="10" fontId="3" fillId="0" borderId="0" xfId="59" applyNumberFormat="1">
      <alignment/>
      <protection/>
    </xf>
    <xf numFmtId="43" fontId="3" fillId="0" borderId="0" xfId="59" applyNumberFormat="1">
      <alignment/>
      <protection/>
    </xf>
    <xf numFmtId="185" fontId="22" fillId="0" borderId="0" xfId="42" applyNumberFormat="1" applyFont="1" applyAlignment="1">
      <alignment/>
    </xf>
    <xf numFmtId="0" fontId="3" fillId="0" borderId="0" xfId="59" applyFont="1" applyAlignment="1">
      <alignment wrapText="1"/>
      <protection/>
    </xf>
    <xf numFmtId="43" fontId="3" fillId="0" borderId="0" xfId="59" applyNumberFormat="1" applyFont="1">
      <alignment/>
      <protection/>
    </xf>
    <xf numFmtId="44" fontId="20" fillId="0" borderId="0" xfId="45" applyFont="1" applyFill="1" applyAlignment="1">
      <alignment/>
    </xf>
    <xf numFmtId="0" fontId="0" fillId="25" borderId="0" xfId="0" applyFill="1" applyAlignment="1">
      <alignment/>
    </xf>
    <xf numFmtId="0" fontId="0" fillId="0" borderId="0" xfId="0" applyFont="1" applyAlignment="1">
      <alignment/>
    </xf>
    <xf numFmtId="0" fontId="19" fillId="0" borderId="0" xfId="59" applyFont="1" applyFill="1" applyBorder="1">
      <alignment/>
      <protection/>
    </xf>
    <xf numFmtId="43" fontId="19" fillId="0" borderId="0" xfId="59" applyNumberFormat="1" applyFont="1">
      <alignment/>
      <protection/>
    </xf>
    <xf numFmtId="2" fontId="0" fillId="24" borderId="1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22" borderId="1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22" borderId="14" xfId="0" applyNumberFormat="1" applyFill="1" applyBorder="1" applyAlignment="1">
      <alignment/>
    </xf>
    <xf numFmtId="2" fontId="23" fillId="0" borderId="0" xfId="0" applyNumberFormat="1" applyFont="1" applyAlignment="1">
      <alignment/>
    </xf>
    <xf numFmtId="0" fontId="0" fillId="24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22" borderId="10" xfId="0" applyFill="1" applyBorder="1" applyAlignment="1">
      <alignment/>
    </xf>
    <xf numFmtId="0" fontId="0" fillId="0" borderId="0" xfId="0" applyFill="1" applyAlignment="1">
      <alignment/>
    </xf>
    <xf numFmtId="0" fontId="0" fillId="22" borderId="14" xfId="0" applyFill="1" applyBorder="1" applyAlignment="1">
      <alignment/>
    </xf>
    <xf numFmtId="0" fontId="23" fillId="0" borderId="0" xfId="0" applyFont="1" applyAlignment="1">
      <alignment/>
    </xf>
    <xf numFmtId="4" fontId="0" fillId="0" borderId="0" xfId="0" applyNumberFormat="1" applyFill="1" applyAlignment="1">
      <alignment/>
    </xf>
    <xf numFmtId="4" fontId="0" fillId="22" borderId="14" xfId="0" applyNumberFormat="1" applyFill="1" applyBorder="1" applyAlignment="1">
      <alignment/>
    </xf>
    <xf numFmtId="4" fontId="0" fillId="22" borderId="12" xfId="0" applyNumberFormat="1" applyFill="1" applyBorder="1" applyAlignment="1">
      <alignment/>
    </xf>
    <xf numFmtId="4" fontId="23" fillId="0" borderId="0" xfId="0" applyNumberFormat="1" applyFont="1" applyAlignment="1">
      <alignment/>
    </xf>
    <xf numFmtId="4" fontId="0" fillId="26" borderId="10" xfId="0" applyNumberFormat="1" applyFill="1" applyBorder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4" fontId="0" fillId="24" borderId="10" xfId="0" applyNumberFormat="1" applyFill="1" applyBorder="1" applyAlignment="1">
      <alignment/>
    </xf>
    <xf numFmtId="185" fontId="0" fillId="0" borderId="0" xfId="44" applyNumberFormat="1" applyFont="1" applyAlignment="1">
      <alignment/>
    </xf>
    <xf numFmtId="164" fontId="0" fillId="22" borderId="0" xfId="0" applyNumberFormat="1" applyFill="1" applyBorder="1" applyAlignment="1">
      <alignment/>
    </xf>
    <xf numFmtId="43" fontId="0" fillId="0" borderId="0" xfId="0" applyNumberFormat="1" applyAlignment="1">
      <alignment/>
    </xf>
    <xf numFmtId="43" fontId="0" fillId="0" borderId="0" xfId="44" applyFont="1" applyAlignment="1">
      <alignment/>
    </xf>
    <xf numFmtId="0" fontId="3" fillId="0" borderId="15" xfId="59" applyFont="1" applyBorder="1">
      <alignment/>
      <protection/>
    </xf>
    <xf numFmtId="4" fontId="0" fillId="25" borderId="0" xfId="0" applyNumberFormat="1" applyFill="1" applyBorder="1" applyAlignment="1">
      <alignment/>
    </xf>
    <xf numFmtId="4" fontId="0" fillId="22" borderId="1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19" fillId="20" borderId="10" xfId="59" applyFont="1" applyFill="1" applyBorder="1" applyAlignment="1">
      <alignment horizontal="right"/>
      <protection/>
    </xf>
    <xf numFmtId="43" fontId="19" fillId="20" borderId="10" xfId="42" applyFont="1" applyFill="1" applyBorder="1" applyAlignment="1">
      <alignment horizontal="right"/>
    </xf>
    <xf numFmtId="0" fontId="19" fillId="4" borderId="10" xfId="59" applyFont="1" applyFill="1" applyBorder="1" applyAlignment="1">
      <alignment horizontal="center"/>
      <protection/>
    </xf>
    <xf numFmtId="193" fontId="19" fillId="0" borderId="0" xfId="59" applyNumberFormat="1" applyFont="1">
      <alignment/>
      <protection/>
    </xf>
    <xf numFmtId="43" fontId="19" fillId="25" borderId="0" xfId="42" applyFont="1" applyFill="1" applyBorder="1" applyAlignment="1">
      <alignment/>
    </xf>
    <xf numFmtId="185" fontId="0" fillId="0" borderId="0" xfId="42" applyNumberFormat="1" applyFont="1" applyAlignment="1">
      <alignment/>
    </xf>
    <xf numFmtId="0" fontId="19" fillId="27" borderId="0" xfId="59" applyFont="1" applyFill="1">
      <alignment/>
      <protection/>
    </xf>
    <xf numFmtId="0" fontId="19" fillId="27" borderId="0" xfId="59" applyFont="1" applyFill="1" applyBorder="1">
      <alignment/>
      <protection/>
    </xf>
    <xf numFmtId="7" fontId="19" fillId="27" borderId="0" xfId="59" applyNumberFormat="1" applyFont="1" applyFill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_Disposal Fee Increase file(1)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523875</xdr:colOff>
      <xdr:row>30</xdr:row>
      <xdr:rowOff>0</xdr:rowOff>
    </xdr:from>
    <xdr:ext cx="1219200" cy="1562100"/>
    <xdr:sp>
      <xdr:nvSpPr>
        <xdr:cNvPr id="1" name="TextBox 2"/>
        <xdr:cNvSpPr txBox="1">
          <a:spLocks noChangeArrowheads="1"/>
        </xdr:cNvSpPr>
      </xdr:nvSpPr>
      <xdr:spPr>
        <a:xfrm>
          <a:off x="4819650" y="5429250"/>
          <a:ext cx="1219200" cy="1562100"/>
        </a:xfrm>
        <a:prstGeom prst="rect">
          <a:avLst/>
        </a:prstGeom>
        <a:solidFill>
          <a:srgbClr val="F8FEBE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Revenue Need: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Includes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 &amp; O and UTC taxes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4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0.00390625" style="22" customWidth="1"/>
    <col min="2" max="2" width="11.140625" style="22" customWidth="1"/>
    <col min="3" max="3" width="6.140625" style="23" customWidth="1"/>
    <col min="4" max="4" width="12.57421875" style="22" customWidth="1"/>
    <col min="5" max="5" width="9.28125" style="22" customWidth="1"/>
    <col min="6" max="6" width="15.28125" style="22" customWidth="1"/>
    <col min="7" max="16384" width="8.8515625" style="22" customWidth="1"/>
  </cols>
  <sheetData>
    <row r="1" ht="14.25">
      <c r="A1" s="21" t="s">
        <v>114</v>
      </c>
    </row>
    <row r="2" ht="14.25">
      <c r="A2" s="21" t="s">
        <v>125</v>
      </c>
    </row>
    <row r="3" spans="1:5" ht="14.25">
      <c r="A3" s="21"/>
      <c r="E3" s="24"/>
    </row>
    <row r="4" ht="14.25">
      <c r="E4" s="24"/>
    </row>
    <row r="5" spans="1:5" ht="14.25">
      <c r="A5" s="21"/>
      <c r="E5" s="24"/>
    </row>
    <row r="6" ht="14.25">
      <c r="E6" s="24"/>
    </row>
    <row r="7" spans="1:5" ht="14.25">
      <c r="A7" s="25"/>
      <c r="B7" s="25"/>
      <c r="D7" s="22" t="s">
        <v>117</v>
      </c>
      <c r="E7" s="57"/>
    </row>
    <row r="8" spans="3:6" ht="14.25">
      <c r="C8" s="26"/>
      <c r="D8" s="92" t="s">
        <v>58</v>
      </c>
      <c r="E8" s="92"/>
      <c r="F8" s="92"/>
    </row>
    <row r="9" spans="1:6" ht="14.25">
      <c r="A9" s="27" t="s">
        <v>44</v>
      </c>
      <c r="B9" s="27" t="s">
        <v>45</v>
      </c>
      <c r="C9" s="26"/>
      <c r="D9" s="28" t="s">
        <v>46</v>
      </c>
      <c r="E9" s="28" t="s">
        <v>47</v>
      </c>
      <c r="F9" s="28" t="s">
        <v>17</v>
      </c>
    </row>
    <row r="10" spans="1:10" ht="14.25">
      <c r="A10" s="29" t="s">
        <v>53</v>
      </c>
      <c r="B10" s="30">
        <v>2018</v>
      </c>
      <c r="C10" s="31"/>
      <c r="D10" s="32">
        <v>238.78</v>
      </c>
      <c r="E10" s="32">
        <v>195</v>
      </c>
      <c r="F10" s="32">
        <f aca="true" t="shared" si="0" ref="F10:F21">+E10*D10</f>
        <v>46562.1</v>
      </c>
      <c r="G10" s="33"/>
      <c r="H10" s="33"/>
      <c r="I10" s="33"/>
      <c r="J10" s="33"/>
    </row>
    <row r="11" spans="1:10" ht="14.25">
      <c r="A11" s="34" t="s">
        <v>54</v>
      </c>
      <c r="B11" s="35">
        <v>2018</v>
      </c>
      <c r="C11" s="31"/>
      <c r="D11" s="36">
        <v>160.3</v>
      </c>
      <c r="E11" s="32">
        <v>195</v>
      </c>
      <c r="F11" s="36">
        <f t="shared" si="0"/>
        <v>31258.500000000004</v>
      </c>
      <c r="G11" s="33"/>
      <c r="H11" s="33"/>
      <c r="I11" s="33"/>
      <c r="J11" s="33"/>
    </row>
    <row r="12" spans="1:10" ht="14.25">
      <c r="A12" s="34" t="s">
        <v>48</v>
      </c>
      <c r="B12" s="35">
        <v>2018</v>
      </c>
      <c r="C12" s="31"/>
      <c r="D12" s="36">
        <v>148.66</v>
      </c>
      <c r="E12" s="32">
        <v>195</v>
      </c>
      <c r="F12" s="36">
        <f t="shared" si="0"/>
        <v>28988.7</v>
      </c>
      <c r="G12" s="33"/>
      <c r="H12" s="33"/>
      <c r="I12" s="33"/>
      <c r="J12" s="33"/>
    </row>
    <row r="13" spans="1:10" ht="14.25">
      <c r="A13" s="34" t="s">
        <v>59</v>
      </c>
      <c r="B13" s="34">
        <v>2018</v>
      </c>
      <c r="C13" s="31"/>
      <c r="D13" s="36">
        <v>132.39</v>
      </c>
      <c r="E13" s="32">
        <v>195</v>
      </c>
      <c r="F13" s="36">
        <f t="shared" si="0"/>
        <v>25816.049999999996</v>
      </c>
      <c r="G13" s="33"/>
      <c r="H13" s="33"/>
      <c r="I13" s="33"/>
      <c r="J13" s="33"/>
    </row>
    <row r="14" spans="1:10" ht="14.25">
      <c r="A14" s="34" t="s">
        <v>60</v>
      </c>
      <c r="B14" s="34">
        <v>2018</v>
      </c>
      <c r="C14" s="31"/>
      <c r="D14" s="36">
        <v>119.74</v>
      </c>
      <c r="E14" s="32">
        <v>195</v>
      </c>
      <c r="F14" s="36">
        <f t="shared" si="0"/>
        <v>23349.3</v>
      </c>
      <c r="G14" s="33"/>
      <c r="H14" s="33"/>
      <c r="I14" s="33"/>
      <c r="J14" s="33"/>
    </row>
    <row r="15" spans="1:10" ht="14.25">
      <c r="A15" s="34" t="s">
        <v>61</v>
      </c>
      <c r="B15" s="34">
        <v>2019</v>
      </c>
      <c r="C15" s="31"/>
      <c r="D15" s="36">
        <v>131.08</v>
      </c>
      <c r="E15" s="32">
        <v>195</v>
      </c>
      <c r="F15" s="36">
        <f t="shared" si="0"/>
        <v>25560.600000000002</v>
      </c>
      <c r="G15" s="33"/>
      <c r="H15" s="33"/>
      <c r="I15" s="33"/>
      <c r="J15" s="33"/>
    </row>
    <row r="16" spans="1:10" ht="14.25">
      <c r="A16" s="34" t="s">
        <v>62</v>
      </c>
      <c r="B16" s="34">
        <v>2019</v>
      </c>
      <c r="C16" s="31"/>
      <c r="D16" s="36">
        <v>101.49</v>
      </c>
      <c r="E16" s="32">
        <v>195</v>
      </c>
      <c r="F16" s="36">
        <f t="shared" si="0"/>
        <v>19790.55</v>
      </c>
      <c r="G16" s="33"/>
      <c r="H16" s="33"/>
      <c r="I16" s="33"/>
      <c r="J16" s="33"/>
    </row>
    <row r="17" spans="1:10" ht="14.25">
      <c r="A17" s="34" t="s">
        <v>49</v>
      </c>
      <c r="B17" s="34">
        <v>2019</v>
      </c>
      <c r="C17" s="31"/>
      <c r="D17" s="36">
        <v>119.42</v>
      </c>
      <c r="E17" s="32">
        <v>195</v>
      </c>
      <c r="F17" s="36">
        <f t="shared" si="0"/>
        <v>23286.9</v>
      </c>
      <c r="G17" s="33"/>
      <c r="H17" s="33"/>
      <c r="I17" s="33"/>
      <c r="J17" s="33"/>
    </row>
    <row r="18" spans="1:10" ht="14.25">
      <c r="A18" s="34" t="s">
        <v>63</v>
      </c>
      <c r="B18" s="34">
        <v>2019</v>
      </c>
      <c r="C18" s="31"/>
      <c r="D18" s="36">
        <v>148.68</v>
      </c>
      <c r="E18" s="32">
        <v>195</v>
      </c>
      <c r="F18" s="36">
        <f t="shared" si="0"/>
        <v>28992.600000000002</v>
      </c>
      <c r="G18" s="33"/>
      <c r="H18" s="33"/>
      <c r="I18" s="33"/>
      <c r="J18" s="33"/>
    </row>
    <row r="19" spans="1:10" ht="14.25">
      <c r="A19" s="34" t="s">
        <v>50</v>
      </c>
      <c r="B19" s="34">
        <v>2019</v>
      </c>
      <c r="C19" s="31"/>
      <c r="D19" s="36">
        <v>161.76</v>
      </c>
      <c r="E19" s="32">
        <v>195</v>
      </c>
      <c r="F19" s="36">
        <f t="shared" si="0"/>
        <v>31543.199999999997</v>
      </c>
      <c r="G19" s="33"/>
      <c r="H19" s="33"/>
      <c r="I19" s="33"/>
      <c r="J19" s="33"/>
    </row>
    <row r="20" spans="1:10" ht="14.25">
      <c r="A20" s="86" t="s">
        <v>51</v>
      </c>
      <c r="B20" s="34">
        <v>2019</v>
      </c>
      <c r="C20" s="31"/>
      <c r="D20" s="36">
        <v>160.72</v>
      </c>
      <c r="E20" s="32">
        <v>195</v>
      </c>
      <c r="F20" s="36">
        <f t="shared" si="0"/>
        <v>31340.4</v>
      </c>
      <c r="G20" s="33"/>
      <c r="H20" s="33"/>
      <c r="I20" s="33"/>
      <c r="J20" s="33"/>
    </row>
    <row r="21" spans="1:10" ht="14.25">
      <c r="A21" s="37" t="s">
        <v>52</v>
      </c>
      <c r="B21" s="37">
        <v>2019</v>
      </c>
      <c r="C21" s="31"/>
      <c r="D21" s="38">
        <v>241.6</v>
      </c>
      <c r="E21" s="38">
        <v>195</v>
      </c>
      <c r="F21" s="38">
        <f t="shared" si="0"/>
        <v>47112</v>
      </c>
      <c r="G21" s="33"/>
      <c r="H21" s="33"/>
      <c r="I21" s="33"/>
      <c r="J21" s="33"/>
    </row>
    <row r="22" spans="3:10" ht="14.25">
      <c r="C22" s="31"/>
      <c r="D22" s="33"/>
      <c r="E22" s="33"/>
      <c r="F22" s="33"/>
      <c r="G22" s="33"/>
      <c r="H22" s="33"/>
      <c r="I22" s="33"/>
      <c r="J22" s="33"/>
    </row>
    <row r="23" spans="1:10" s="44" customFormat="1" ht="14.25">
      <c r="A23" s="90" t="s">
        <v>115</v>
      </c>
      <c r="B23" s="90"/>
      <c r="C23" s="39"/>
      <c r="D23" s="40">
        <f>SUM(D10:D22)</f>
        <v>1864.6200000000001</v>
      </c>
      <c r="E23" s="41">
        <v>195</v>
      </c>
      <c r="F23" s="42">
        <f>SUM(F10:F22)</f>
        <v>363600.9</v>
      </c>
      <c r="G23" s="94"/>
      <c r="H23" s="94"/>
      <c r="I23" s="94"/>
      <c r="J23" s="43"/>
    </row>
    <row r="24" spans="3:10" ht="14.25">
      <c r="C24" s="31"/>
      <c r="D24" s="33"/>
      <c r="E24" s="33"/>
      <c r="F24" s="33"/>
      <c r="G24" s="33"/>
      <c r="H24" s="33"/>
      <c r="I24" s="33"/>
      <c r="J24" s="33"/>
    </row>
    <row r="25" spans="1:10" s="44" customFormat="1" ht="14.25">
      <c r="A25" s="90" t="s">
        <v>64</v>
      </c>
      <c r="B25" s="90"/>
      <c r="C25" s="39"/>
      <c r="D25" s="40">
        <f>D23</f>
        <v>1864.6200000000001</v>
      </c>
      <c r="E25" s="41">
        <v>260</v>
      </c>
      <c r="F25" s="42">
        <f>+E25*D23</f>
        <v>484801.2</v>
      </c>
      <c r="G25" s="43"/>
      <c r="H25" s="43"/>
      <c r="I25" s="43"/>
      <c r="J25" s="43"/>
    </row>
    <row r="26" spans="3:10" ht="14.25">
      <c r="C26" s="31"/>
      <c r="D26" s="33"/>
      <c r="E26" s="33"/>
      <c r="F26" s="33"/>
      <c r="G26" s="33"/>
      <c r="H26" s="33"/>
      <c r="I26" s="33"/>
      <c r="J26" s="33"/>
    </row>
    <row r="27" spans="2:10" ht="14.25">
      <c r="B27" s="45"/>
      <c r="C27" s="31"/>
      <c r="D27" s="90" t="s">
        <v>55</v>
      </c>
      <c r="E27" s="90"/>
      <c r="F27" s="42">
        <f>+F25-F23</f>
        <v>121200.29999999999</v>
      </c>
      <c r="G27" s="33"/>
      <c r="H27" s="33"/>
      <c r="I27" s="33"/>
      <c r="J27" s="33"/>
    </row>
    <row r="28" spans="3:10" ht="14.25">
      <c r="C28" s="31"/>
      <c r="D28" s="33"/>
      <c r="E28" s="33"/>
      <c r="F28" s="33"/>
      <c r="G28" s="33"/>
      <c r="H28" s="33"/>
      <c r="I28" s="33"/>
      <c r="J28" s="33"/>
    </row>
    <row r="29" spans="3:10" ht="14.25">
      <c r="C29" s="31"/>
      <c r="D29" s="91" t="s">
        <v>56</v>
      </c>
      <c r="E29" s="91"/>
      <c r="F29" s="40">
        <f>+F27</f>
        <v>121200.29999999999</v>
      </c>
      <c r="G29" s="33"/>
      <c r="H29" s="33"/>
      <c r="I29" s="33"/>
      <c r="J29" s="33"/>
    </row>
    <row r="30" spans="3:10" ht="14.25">
      <c r="C30" s="31"/>
      <c r="D30" s="33"/>
      <c r="E30" s="33"/>
      <c r="F30" s="33"/>
      <c r="G30" s="33"/>
      <c r="H30" s="33"/>
      <c r="I30" s="33"/>
      <c r="J30" s="33"/>
    </row>
    <row r="31" ht="15"/>
    <row r="32" spans="4:6" ht="15">
      <c r="D32" s="46"/>
      <c r="E32" s="47" t="s">
        <v>57</v>
      </c>
      <c r="F32" s="48">
        <f>F29*1.0201</f>
        <v>123636.42602999999</v>
      </c>
    </row>
    <row r="33" ht="15"/>
    <row r="34" spans="3:6" ht="15">
      <c r="C34" s="22"/>
      <c r="E34" s="49"/>
      <c r="F34" s="50"/>
    </row>
    <row r="35" spans="2:6" ht="15">
      <c r="B35" s="96" t="s">
        <v>124</v>
      </c>
      <c r="C35" s="97"/>
      <c r="D35" s="96"/>
      <c r="E35" s="96"/>
      <c r="F35" s="98">
        <f>'Totals - Commercial'!N87+'Totals - Residential'!T52</f>
        <v>123596.9970129098</v>
      </c>
    </row>
    <row r="36" spans="3:6" ht="15">
      <c r="C36" s="22"/>
      <c r="E36" s="51" t="s">
        <v>3</v>
      </c>
      <c r="F36" s="52" t="s">
        <v>3</v>
      </c>
    </row>
    <row r="37" ht="15"/>
    <row r="38" spans="1:4" ht="15">
      <c r="A38" s="21"/>
      <c r="B38" s="21"/>
      <c r="C38" s="60"/>
      <c r="D38" s="21"/>
    </row>
    <row r="39" spans="1:6" ht="15">
      <c r="A39" s="21"/>
      <c r="B39" s="21"/>
      <c r="C39" s="60"/>
      <c r="D39" s="61" t="s">
        <v>3</v>
      </c>
      <c r="E39" s="51" t="s">
        <v>3</v>
      </c>
      <c r="F39" s="53" t="s">
        <v>3</v>
      </c>
    </row>
    <row r="40" spans="1:6" ht="15">
      <c r="A40" s="21" t="s">
        <v>65</v>
      </c>
      <c r="B40" s="21"/>
      <c r="C40" s="60"/>
      <c r="D40" s="93">
        <f>F32/('Totals - Commercial'!I85+'Totals - Residential'!M50)</f>
        <v>0.017719279731508168</v>
      </c>
      <c r="E40" s="51" t="s">
        <v>3</v>
      </c>
      <c r="F40" s="54" t="s">
        <v>3</v>
      </c>
    </row>
    <row r="42" spans="4:6" ht="14.25">
      <c r="D42" s="55"/>
      <c r="F42" s="56"/>
    </row>
    <row r="44" ht="14.25">
      <c r="F44" s="56"/>
    </row>
  </sheetData>
  <sheetProtection/>
  <mergeCells count="5">
    <mergeCell ref="A23:B23"/>
    <mergeCell ref="A25:B25"/>
    <mergeCell ref="D29:E29"/>
    <mergeCell ref="D8:F8"/>
    <mergeCell ref="D27:E2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3">
      <selection activeCell="C7" sqref="C7"/>
    </sheetView>
  </sheetViews>
  <sheetFormatPr defaultColWidth="9.140625" defaultRowHeight="12.75"/>
  <cols>
    <col min="3" max="3" width="10.140625" style="7" bestFit="1" customWidth="1"/>
  </cols>
  <sheetData>
    <row r="1" spans="1:4" ht="12.75">
      <c r="A1" t="s">
        <v>0</v>
      </c>
      <c r="D1" t="s">
        <v>3</v>
      </c>
    </row>
    <row r="3" spans="1:3" ht="12.75">
      <c r="A3" t="s">
        <v>1</v>
      </c>
      <c r="C3" s="8">
        <v>1043.28</v>
      </c>
    </row>
    <row r="4" ht="12.75">
      <c r="A4" t="s">
        <v>3</v>
      </c>
    </row>
    <row r="5" spans="1:3" ht="12.75">
      <c r="A5" t="s">
        <v>2</v>
      </c>
      <c r="C5" s="8">
        <f>2.22+393.12</f>
        <v>395.34000000000003</v>
      </c>
    </row>
    <row r="7" spans="1:3" ht="12.75">
      <c r="A7" t="s">
        <v>4</v>
      </c>
      <c r="C7" s="8">
        <v>12000.6</v>
      </c>
    </row>
    <row r="9" spans="1:3" ht="12.75">
      <c r="A9" t="s">
        <v>5</v>
      </c>
      <c r="C9" s="8">
        <v>2918.4</v>
      </c>
    </row>
    <row r="11" spans="1:3" ht="12.75">
      <c r="A11" t="s">
        <v>27</v>
      </c>
      <c r="C11" s="8">
        <v>0</v>
      </c>
    </row>
    <row r="13" spans="1:3" ht="12.75">
      <c r="A13" t="s">
        <v>6</v>
      </c>
      <c r="C13" s="8">
        <v>7778.16</v>
      </c>
    </row>
    <row r="15" spans="1:3" ht="12.75">
      <c r="A15" t="s">
        <v>7</v>
      </c>
      <c r="C15" s="8">
        <v>861.76</v>
      </c>
    </row>
    <row r="16" ht="12.75">
      <c r="C16" s="10"/>
    </row>
    <row r="17" spans="1:3" ht="12.75">
      <c r="A17" t="s">
        <v>28</v>
      </c>
      <c r="C17" s="8">
        <v>298.2</v>
      </c>
    </row>
    <row r="19" spans="1:3" ht="12.75">
      <c r="A19" t="s">
        <v>8</v>
      </c>
      <c r="C19" s="8">
        <f>28320.6-67.3+61.3</f>
        <v>28314.6</v>
      </c>
    </row>
    <row r="21" spans="1:3" ht="12.75">
      <c r="A21" t="s">
        <v>9</v>
      </c>
      <c r="C21" s="8">
        <v>8412.5</v>
      </c>
    </row>
    <row r="23" spans="1:3" ht="12.75">
      <c r="A23" t="s">
        <v>33</v>
      </c>
      <c r="C23" s="8">
        <f>128.74-64.37</f>
        <v>64.37</v>
      </c>
    </row>
    <row r="25" spans="1:3" ht="12.75">
      <c r="A25" t="s">
        <v>10</v>
      </c>
      <c r="C25" s="8">
        <v>1629.55</v>
      </c>
    </row>
    <row r="27" spans="1:3" ht="12.75">
      <c r="A27" t="s">
        <v>11</v>
      </c>
      <c r="C27" s="8">
        <v>250.7</v>
      </c>
    </row>
    <row r="29" spans="1:3" ht="12.75">
      <c r="A29" t="s">
        <v>12</v>
      </c>
      <c r="C29" s="8">
        <v>108</v>
      </c>
    </row>
    <row r="31" spans="1:3" ht="12.75">
      <c r="A31" t="s">
        <v>13</v>
      </c>
      <c r="C31" s="8">
        <v>360.44</v>
      </c>
    </row>
    <row r="33" spans="1:3" ht="12.75">
      <c r="A33" t="s">
        <v>14</v>
      </c>
      <c r="C33" s="8">
        <v>6069</v>
      </c>
    </row>
    <row r="35" spans="1:3" ht="12.75">
      <c r="A35" t="s">
        <v>15</v>
      </c>
      <c r="C35" s="9">
        <f>1449.14+613.57+680+168+2376+1255+397.5+1854.06</f>
        <v>8793.27</v>
      </c>
    </row>
    <row r="37" spans="1:3" ht="12.75">
      <c r="A37" t="s">
        <v>16</v>
      </c>
      <c r="C37" s="9">
        <v>1226.65</v>
      </c>
    </row>
    <row r="39" spans="1:4" ht="12.75">
      <c r="A39" t="s">
        <v>17</v>
      </c>
      <c r="C39" s="7">
        <f>SUM(C3:C37)</f>
        <v>80524.81999999999</v>
      </c>
      <c r="D39" t="s">
        <v>32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&amp;CAPRIL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D37" sqref="D37"/>
    </sheetView>
  </sheetViews>
  <sheetFormatPr defaultColWidth="9.140625" defaultRowHeight="12.75"/>
  <cols>
    <col min="3" max="3" width="9.8515625" style="7" bestFit="1" customWidth="1"/>
  </cols>
  <sheetData>
    <row r="1" spans="1:4" ht="12.75">
      <c r="A1" t="s">
        <v>0</v>
      </c>
      <c r="D1" t="s">
        <v>3</v>
      </c>
    </row>
    <row r="3" spans="1:3" ht="12.75">
      <c r="A3" t="s">
        <v>1</v>
      </c>
      <c r="C3" s="8">
        <v>1247.4</v>
      </c>
    </row>
    <row r="4" ht="12.75">
      <c r="A4" t="s">
        <v>3</v>
      </c>
    </row>
    <row r="5" spans="1:3" ht="12.75">
      <c r="A5" t="s">
        <v>2</v>
      </c>
      <c r="C5" s="8">
        <f>8.88+325.08</f>
        <v>333.96</v>
      </c>
    </row>
    <row r="7" spans="1:3" ht="12.75">
      <c r="A7" t="s">
        <v>4</v>
      </c>
      <c r="C7" s="8">
        <f>14018.4-49.86</f>
        <v>13968.539999999999</v>
      </c>
    </row>
    <row r="9" spans="1:3" ht="12.75">
      <c r="A9" t="s">
        <v>5</v>
      </c>
      <c r="C9" s="8">
        <v>3148.8</v>
      </c>
    </row>
    <row r="10" ht="12.75">
      <c r="C10" s="10"/>
    </row>
    <row r="11" spans="1:3" ht="12.75">
      <c r="A11" t="s">
        <v>27</v>
      </c>
      <c r="C11" s="8">
        <v>0</v>
      </c>
    </row>
    <row r="13" spans="1:3" ht="12.75">
      <c r="A13" t="s">
        <v>6</v>
      </c>
      <c r="C13" s="8">
        <v>8675.64</v>
      </c>
    </row>
    <row r="15" spans="1:3" ht="12.75">
      <c r="A15" t="s">
        <v>7</v>
      </c>
      <c r="C15" s="8">
        <v>861.76</v>
      </c>
    </row>
    <row r="16" ht="12.75">
      <c r="C16" s="10"/>
    </row>
    <row r="17" spans="1:3" ht="12.75">
      <c r="A17" t="s">
        <v>28</v>
      </c>
      <c r="C17" s="8">
        <f>695.8+198.8</f>
        <v>894.5999999999999</v>
      </c>
    </row>
    <row r="19" spans="1:3" ht="12.75">
      <c r="A19" t="s">
        <v>8</v>
      </c>
      <c r="C19" s="8">
        <f>33531.1-67.3</f>
        <v>33463.799999999996</v>
      </c>
    </row>
    <row r="21" spans="1:3" ht="12.75">
      <c r="A21" t="s">
        <v>9</v>
      </c>
      <c r="C21" s="8">
        <v>9287.4</v>
      </c>
    </row>
    <row r="23" spans="1:3" ht="12.75">
      <c r="A23" t="s">
        <v>33</v>
      </c>
      <c r="C23" s="8">
        <f>836.81+128.74</f>
        <v>965.55</v>
      </c>
    </row>
    <row r="25" spans="1:3" ht="12.75">
      <c r="A25" t="s">
        <v>10</v>
      </c>
      <c r="C25" s="8">
        <f>5891.45-376.05</f>
        <v>5515.4</v>
      </c>
    </row>
    <row r="27" spans="1:3" ht="12.75">
      <c r="A27" t="s">
        <v>11</v>
      </c>
      <c r="C27" s="8">
        <v>3133.75</v>
      </c>
    </row>
    <row r="29" spans="1:3" ht="12.75">
      <c r="A29" t="s">
        <v>12</v>
      </c>
      <c r="C29" s="8">
        <v>128</v>
      </c>
    </row>
    <row r="31" spans="1:3" ht="12.75">
      <c r="A31" t="s">
        <v>13</v>
      </c>
      <c r="C31" s="8">
        <v>387.42</v>
      </c>
    </row>
    <row r="33" spans="1:3" ht="12.75">
      <c r="A33" t="s">
        <v>14</v>
      </c>
      <c r="C33" s="8">
        <v>4935</v>
      </c>
    </row>
    <row r="35" spans="1:3" ht="12.75">
      <c r="A35" t="s">
        <v>15</v>
      </c>
      <c r="C35" s="9">
        <f>1464+630+675.48+168+2412+1258.2+346.21+2172.15</f>
        <v>9126.039999999999</v>
      </c>
    </row>
    <row r="36" ht="12.75">
      <c r="C36" s="7">
        <f>1464+630+675.48+168+2412+1258.2+346.21+2172.15</f>
        <v>9126.039999999999</v>
      </c>
    </row>
    <row r="37" spans="1:3" ht="12.75">
      <c r="A37" t="s">
        <v>16</v>
      </c>
      <c r="C37" s="9">
        <v>503.28</v>
      </c>
    </row>
    <row r="39" spans="1:4" ht="12.75">
      <c r="A39" t="s">
        <v>17</v>
      </c>
      <c r="C39" s="7">
        <f>SUM(C3:C37)</f>
        <v>105702.37999999998</v>
      </c>
      <c r="D39" t="s">
        <v>32</v>
      </c>
    </row>
  </sheetData>
  <sheetProtection/>
  <printOptions headings="1"/>
  <pageMargins left="0.75" right="0.75" top="1" bottom="1" header="0.5" footer="0.5"/>
  <pageSetup horizontalDpi="600" verticalDpi="600" orientation="portrait" r:id="rId1"/>
  <headerFooter alignWithMargins="0">
    <oddHeader>&amp;CMAY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8">
      <selection activeCell="C37" sqref="C37"/>
    </sheetView>
  </sheetViews>
  <sheetFormatPr defaultColWidth="9.140625" defaultRowHeight="12.75"/>
  <cols>
    <col min="3" max="3" width="9.8515625" style="7" bestFit="1" customWidth="1"/>
  </cols>
  <sheetData>
    <row r="1" ht="12.75">
      <c r="A1" t="s">
        <v>0</v>
      </c>
    </row>
    <row r="3" spans="1:3" ht="12.75">
      <c r="A3" t="s">
        <v>1</v>
      </c>
      <c r="C3" s="8">
        <v>1564.92</v>
      </c>
    </row>
    <row r="4" ht="12.75">
      <c r="A4" t="s">
        <v>3</v>
      </c>
    </row>
    <row r="5" spans="1:3" ht="12.75">
      <c r="A5" t="s">
        <v>2</v>
      </c>
      <c r="C5" s="8">
        <f>42.18+453.6</f>
        <v>495.78000000000003</v>
      </c>
    </row>
    <row r="7" spans="1:3" ht="12.75">
      <c r="A7" t="s">
        <v>4</v>
      </c>
      <c r="C7" s="8">
        <f>14195.4-38.4</f>
        <v>14157</v>
      </c>
    </row>
    <row r="9" spans="1:3" ht="12.75">
      <c r="A9" t="s">
        <v>5</v>
      </c>
      <c r="C9" s="8">
        <v>3225.6</v>
      </c>
    </row>
    <row r="10" ht="12.75">
      <c r="C10" s="10"/>
    </row>
    <row r="11" spans="1:3" ht="12.75">
      <c r="A11" t="s">
        <v>27</v>
      </c>
      <c r="C11" s="8">
        <v>0</v>
      </c>
    </row>
    <row r="12" ht="12.75">
      <c r="C12" s="10"/>
    </row>
    <row r="13" spans="1:3" ht="12.75">
      <c r="A13" t="s">
        <v>6</v>
      </c>
      <c r="C13" s="8">
        <f>9423.54-49</f>
        <v>9374.54</v>
      </c>
    </row>
    <row r="15" spans="1:3" ht="12.75">
      <c r="A15" t="s">
        <v>7</v>
      </c>
      <c r="C15" s="8">
        <v>1077.2</v>
      </c>
    </row>
    <row r="16" spans="1:3" ht="12.75">
      <c r="A16" t="s">
        <v>37</v>
      </c>
      <c r="C16" s="8">
        <v>198.8</v>
      </c>
    </row>
    <row r="17" spans="1:3" ht="12.75">
      <c r="A17" t="s">
        <v>28</v>
      </c>
      <c r="C17" s="8">
        <v>1093.4</v>
      </c>
    </row>
    <row r="19" spans="1:3" ht="12.75">
      <c r="A19" t="s">
        <v>8</v>
      </c>
      <c r="C19" s="8">
        <f>37147.8-61.3</f>
        <v>37086.5</v>
      </c>
    </row>
    <row r="21" spans="1:3" ht="12.75">
      <c r="A21" t="s">
        <v>9</v>
      </c>
      <c r="C21" s="8">
        <v>9152.8</v>
      </c>
    </row>
    <row r="23" spans="1:3" ht="12.75">
      <c r="A23" t="s">
        <v>33</v>
      </c>
      <c r="C23" s="8">
        <f>1866.73+193.11-128.74</f>
        <v>1931.1000000000001</v>
      </c>
    </row>
    <row r="25" spans="1:3" ht="12.75">
      <c r="A25" t="s">
        <v>10</v>
      </c>
      <c r="C25" s="8">
        <v>17172.95</v>
      </c>
    </row>
    <row r="27" spans="1:3" ht="12.75">
      <c r="A27" t="s">
        <v>11</v>
      </c>
      <c r="C27" s="8">
        <v>3259.1</v>
      </c>
    </row>
    <row r="29" spans="1:3" ht="12.75">
      <c r="A29" t="s">
        <v>12</v>
      </c>
      <c r="C29" s="8">
        <v>150.5</v>
      </c>
    </row>
    <row r="31" spans="1:3" ht="12.75">
      <c r="A31" t="s">
        <v>13</v>
      </c>
      <c r="C31" s="8">
        <v>471.96</v>
      </c>
    </row>
    <row r="33" spans="1:3" ht="12.75">
      <c r="A33" t="s">
        <v>14</v>
      </c>
      <c r="C33" s="8">
        <v>5005.5</v>
      </c>
    </row>
    <row r="35" spans="1:3" ht="12.75">
      <c r="A35" t="s">
        <v>15</v>
      </c>
      <c r="C35" s="9">
        <f>1464.27+620+670+180+2442.4+1320.67+413.4+2069.65</f>
        <v>9180.39</v>
      </c>
    </row>
    <row r="37" spans="1:3" ht="12.75">
      <c r="A37" t="s">
        <v>16</v>
      </c>
      <c r="C37" s="9">
        <v>374.02</v>
      </c>
    </row>
    <row r="39" spans="1:4" ht="12.75">
      <c r="A39" t="s">
        <v>17</v>
      </c>
      <c r="C39" s="7">
        <f>SUM(C3:C37)</f>
        <v>114972.06000000003</v>
      </c>
      <c r="D39" t="s">
        <v>32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&amp;CJUNE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C37" sqref="C37"/>
    </sheetView>
  </sheetViews>
  <sheetFormatPr defaultColWidth="9.140625" defaultRowHeight="12.75"/>
  <cols>
    <col min="3" max="3" width="10.28125" style="7" customWidth="1"/>
  </cols>
  <sheetData>
    <row r="1" spans="1:4" ht="12.75">
      <c r="A1" t="s">
        <v>0</v>
      </c>
      <c r="D1" t="s">
        <v>3</v>
      </c>
    </row>
    <row r="3" spans="1:3" ht="12.75">
      <c r="A3" t="s">
        <v>1</v>
      </c>
      <c r="C3" s="8">
        <v>1761.48</v>
      </c>
    </row>
    <row r="4" ht="12.75">
      <c r="A4" t="s">
        <v>3</v>
      </c>
    </row>
    <row r="5" spans="1:3" ht="12.75">
      <c r="A5" t="s">
        <v>2</v>
      </c>
      <c r="C5" s="8">
        <f>9.74+7.86+26.64+604.8</f>
        <v>649.04</v>
      </c>
    </row>
    <row r="7" spans="1:3" ht="12.75">
      <c r="A7" t="s">
        <v>4</v>
      </c>
      <c r="C7" s="8">
        <f>15788.4-35.4</f>
        <v>15753</v>
      </c>
    </row>
    <row r="9" spans="1:3" ht="12.75">
      <c r="A9" t="s">
        <v>5</v>
      </c>
      <c r="C9" s="8">
        <v>3264</v>
      </c>
    </row>
    <row r="10" ht="12.75">
      <c r="C10" s="10"/>
    </row>
    <row r="11" spans="1:3" ht="12.75">
      <c r="A11" t="s">
        <v>27</v>
      </c>
      <c r="C11" s="8">
        <v>0</v>
      </c>
    </row>
    <row r="13" spans="1:3" ht="12.75">
      <c r="A13" t="s">
        <v>6</v>
      </c>
      <c r="C13" s="8">
        <v>10420.74</v>
      </c>
    </row>
    <row r="15" spans="1:3" ht="12.75">
      <c r="A15" t="s">
        <v>7</v>
      </c>
      <c r="C15" s="8">
        <v>1023.34</v>
      </c>
    </row>
    <row r="16" spans="1:3" ht="12.75">
      <c r="A16" t="s">
        <v>35</v>
      </c>
      <c r="C16" s="10">
        <v>99.4</v>
      </c>
    </row>
    <row r="17" spans="1:3" ht="12.75">
      <c r="A17" t="s">
        <v>28</v>
      </c>
      <c r="C17" s="8">
        <v>994</v>
      </c>
    </row>
    <row r="19" spans="1:3" ht="12.75">
      <c r="A19" t="s">
        <v>8</v>
      </c>
      <c r="C19" s="8">
        <f>42297-245.2</f>
        <v>42051.8</v>
      </c>
    </row>
    <row r="21" spans="1:3" ht="12.75">
      <c r="A21" t="s">
        <v>9</v>
      </c>
      <c r="C21" s="8">
        <v>10162.3</v>
      </c>
    </row>
    <row r="23" spans="1:3" ht="12.75">
      <c r="A23" t="s">
        <v>33</v>
      </c>
      <c r="C23" s="8">
        <f>1029.92+128.74-157.71</f>
        <v>1000.95</v>
      </c>
    </row>
    <row r="25" spans="1:3" ht="12.75">
      <c r="A25" t="s">
        <v>10</v>
      </c>
      <c r="C25" s="8">
        <f>15418.05-250.7</f>
        <v>15167.349999999999</v>
      </c>
    </row>
    <row r="27" spans="1:3" ht="12.75">
      <c r="A27" t="s">
        <v>11</v>
      </c>
      <c r="C27" s="8">
        <v>4011.2</v>
      </c>
    </row>
    <row r="29" spans="1:3" ht="12.75">
      <c r="A29" t="s">
        <v>12</v>
      </c>
      <c r="C29" s="8">
        <v>155.5</v>
      </c>
    </row>
    <row r="31" spans="1:3" ht="12.75">
      <c r="A31" t="s">
        <v>13</v>
      </c>
      <c r="C31" s="8">
        <v>412.54</v>
      </c>
    </row>
    <row r="33" spans="1:3" ht="12.75">
      <c r="A33" t="s">
        <v>14</v>
      </c>
      <c r="C33" s="8">
        <v>6678</v>
      </c>
    </row>
    <row r="35" spans="1:3" ht="12.75">
      <c r="A35" t="s">
        <v>15</v>
      </c>
      <c r="C35" s="9">
        <f>1469.17+640+680+180+2524.26+1316.91+551.37+2123.43</f>
        <v>9485.14</v>
      </c>
    </row>
    <row r="37" spans="1:3" ht="12.75">
      <c r="A37" t="s">
        <v>16</v>
      </c>
      <c r="C37" s="9">
        <v>308.93</v>
      </c>
    </row>
    <row r="39" spans="1:4" ht="12.75">
      <c r="A39" t="s">
        <v>17</v>
      </c>
      <c r="C39" s="7">
        <f>SUM(C3:C37)</f>
        <v>123398.70999999998</v>
      </c>
      <c r="D39" t="s">
        <v>32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&amp;CJULY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8">
      <selection activeCell="B37" sqref="B37"/>
    </sheetView>
  </sheetViews>
  <sheetFormatPr defaultColWidth="9.140625" defaultRowHeight="12.75"/>
  <cols>
    <col min="3" max="3" width="11.140625" style="7" customWidth="1"/>
  </cols>
  <sheetData>
    <row r="1" spans="1:4" ht="12.75">
      <c r="A1" t="s">
        <v>0</v>
      </c>
      <c r="D1" t="s">
        <v>3</v>
      </c>
    </row>
    <row r="3" spans="1:3" ht="12.75">
      <c r="A3" t="s">
        <v>1</v>
      </c>
      <c r="C3" s="8">
        <v>1874.88</v>
      </c>
    </row>
    <row r="4" ht="12.75">
      <c r="A4" t="s">
        <v>3</v>
      </c>
    </row>
    <row r="5" spans="1:3" ht="12.75">
      <c r="A5" t="s">
        <v>2</v>
      </c>
      <c r="C5" s="8">
        <f>8.88+536.76</f>
        <v>545.64</v>
      </c>
    </row>
    <row r="7" spans="1:3" ht="12.75">
      <c r="A7" t="s">
        <v>4</v>
      </c>
      <c r="C7" s="8">
        <f>14832.6-35.4</f>
        <v>14797.2</v>
      </c>
    </row>
    <row r="9" spans="1:3" ht="12.75">
      <c r="A9" t="s">
        <v>5</v>
      </c>
      <c r="C9" s="8">
        <v>3686.4</v>
      </c>
    </row>
    <row r="10" ht="12.75">
      <c r="C10" s="10"/>
    </row>
    <row r="11" spans="1:3" ht="12.75">
      <c r="A11" t="s">
        <v>27</v>
      </c>
      <c r="C11" s="8">
        <v>0</v>
      </c>
    </row>
    <row r="13" spans="1:3" ht="12.75">
      <c r="A13" t="s">
        <v>6</v>
      </c>
      <c r="C13" s="8">
        <f>10670.04+180</f>
        <v>10850.04</v>
      </c>
    </row>
    <row r="15" spans="1:3" ht="12.75">
      <c r="A15" t="s">
        <v>7</v>
      </c>
      <c r="C15" s="8">
        <v>901.76</v>
      </c>
    </row>
    <row r="16" ht="12.75">
      <c r="C16" s="10"/>
    </row>
    <row r="17" spans="1:3" ht="12.75">
      <c r="A17" t="s">
        <v>28</v>
      </c>
      <c r="C17" s="8">
        <v>497</v>
      </c>
    </row>
    <row r="18" spans="1:3" ht="12.75">
      <c r="A18" t="s">
        <v>35</v>
      </c>
      <c r="C18" s="8">
        <v>0</v>
      </c>
    </row>
    <row r="19" spans="1:3" ht="12.75">
      <c r="A19" t="s">
        <v>8</v>
      </c>
      <c r="C19" s="8">
        <f>46833.2-67.3</f>
        <v>46765.899999999994</v>
      </c>
    </row>
    <row r="21" spans="1:3" ht="12.75">
      <c r="A21" t="s">
        <v>9</v>
      </c>
      <c r="C21" s="8">
        <v>10498.8</v>
      </c>
    </row>
    <row r="23" spans="1:3" ht="12.75">
      <c r="A23" t="s">
        <v>34</v>
      </c>
      <c r="C23" s="8">
        <f>321.85+64.37-193.11</f>
        <v>193.11</v>
      </c>
    </row>
    <row r="25" spans="1:3" ht="12.75">
      <c r="A25" t="s">
        <v>10</v>
      </c>
      <c r="C25" s="8">
        <v>12785.7</v>
      </c>
    </row>
    <row r="27" spans="1:3" ht="12.75">
      <c r="A27" t="s">
        <v>11</v>
      </c>
      <c r="C27" s="8">
        <v>1253.5</v>
      </c>
    </row>
    <row r="29" spans="1:3" ht="12.75">
      <c r="A29" t="s">
        <v>12</v>
      </c>
      <c r="C29" s="8">
        <v>185.5</v>
      </c>
    </row>
    <row r="31" spans="1:3" ht="12.75">
      <c r="A31" t="s">
        <v>13</v>
      </c>
      <c r="C31" s="8">
        <v>411.98</v>
      </c>
    </row>
    <row r="33" spans="1:3" ht="12.75">
      <c r="A33" t="s">
        <v>14</v>
      </c>
      <c r="C33" s="8">
        <v>9303</v>
      </c>
    </row>
    <row r="35" spans="1:3" ht="12.75">
      <c r="A35" t="s">
        <v>15</v>
      </c>
      <c r="C35" s="9">
        <f>1498.67+645.33+705.33+171.2+2740.8+1426.14+461.1+2138.55</f>
        <v>9787.12</v>
      </c>
    </row>
    <row r="37" spans="1:3" ht="12.75">
      <c r="A37" t="s">
        <v>16</v>
      </c>
      <c r="C37" s="9">
        <v>699.01</v>
      </c>
    </row>
    <row r="39" spans="1:4" ht="12.75">
      <c r="A39" t="s">
        <v>17</v>
      </c>
      <c r="C39" s="7">
        <f>SUM(C3:C37)</f>
        <v>125036.53999999998</v>
      </c>
      <c r="D39" t="s">
        <v>32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&amp;CAUGUST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B11" sqref="B11"/>
    </sheetView>
  </sheetViews>
  <sheetFormatPr defaultColWidth="9.140625" defaultRowHeight="12.75"/>
  <cols>
    <col min="3" max="3" width="11.57421875" style="7" customWidth="1"/>
  </cols>
  <sheetData>
    <row r="1" spans="1:4" ht="12.75">
      <c r="A1" t="s">
        <v>0</v>
      </c>
      <c r="D1" t="s">
        <v>3</v>
      </c>
    </row>
    <row r="3" spans="1:3" ht="12.75">
      <c r="A3" t="s">
        <v>1</v>
      </c>
      <c r="C3" s="8">
        <v>2562.84</v>
      </c>
    </row>
    <row r="4" ht="12.75">
      <c r="A4" t="s">
        <v>3</v>
      </c>
    </row>
    <row r="5" spans="1:3" ht="12.75">
      <c r="A5" t="s">
        <v>2</v>
      </c>
      <c r="C5" s="8">
        <f>33.3+1224.72</f>
        <v>1258.02</v>
      </c>
    </row>
    <row r="7" spans="1:3" ht="12.75">
      <c r="A7" t="s">
        <v>4</v>
      </c>
      <c r="C7" s="8">
        <f>16992</f>
        <v>16992</v>
      </c>
    </row>
    <row r="9" spans="1:3" ht="12.75">
      <c r="A9" t="s">
        <v>5</v>
      </c>
      <c r="C9" s="8">
        <v>4070.4</v>
      </c>
    </row>
    <row r="10" ht="12.75">
      <c r="C10" s="10"/>
    </row>
    <row r="11" spans="1:3" ht="12.75">
      <c r="A11" t="s">
        <v>27</v>
      </c>
      <c r="C11" s="8">
        <v>0</v>
      </c>
    </row>
    <row r="13" spans="1:3" ht="12.75">
      <c r="A13" t="s">
        <v>6</v>
      </c>
      <c r="C13" s="8">
        <f>13910.94-49.86</f>
        <v>13861.08</v>
      </c>
    </row>
    <row r="15" spans="1:3" ht="12.75">
      <c r="A15" t="s">
        <v>7</v>
      </c>
      <c r="C15" s="8">
        <v>1346.5</v>
      </c>
    </row>
    <row r="16" ht="12.75">
      <c r="C16" s="10"/>
    </row>
    <row r="17" spans="1:3" ht="12.75">
      <c r="A17" t="s">
        <v>28</v>
      </c>
      <c r="C17" s="8">
        <f>1093.4+99.4</f>
        <v>1192.8000000000002</v>
      </c>
    </row>
    <row r="19" spans="1:3" ht="12.75">
      <c r="A19" t="s">
        <v>8</v>
      </c>
      <c r="C19" s="8">
        <f>62832.5+201.9-471.1</f>
        <v>62563.3</v>
      </c>
    </row>
    <row r="21" spans="1:3" ht="12.75">
      <c r="A21" t="s">
        <v>9</v>
      </c>
      <c r="C21" s="8">
        <v>12248.6</v>
      </c>
    </row>
    <row r="23" spans="1:3" ht="12.75">
      <c r="A23" t="s">
        <v>33</v>
      </c>
      <c r="C23" s="8">
        <f>1029.92+193.11</f>
        <v>1223.0300000000002</v>
      </c>
    </row>
    <row r="25" spans="1:3" ht="12.75">
      <c r="A25" t="s">
        <v>10</v>
      </c>
      <c r="C25" s="8">
        <v>25822.1</v>
      </c>
    </row>
    <row r="27" spans="1:3" ht="12.75">
      <c r="A27" t="s">
        <v>11</v>
      </c>
      <c r="C27" s="8">
        <v>2130.95</v>
      </c>
    </row>
    <row r="29" spans="1:3" ht="12.75">
      <c r="A29" t="s">
        <v>12</v>
      </c>
      <c r="C29" s="8">
        <v>267</v>
      </c>
    </row>
    <row r="31" spans="1:3" ht="12.75">
      <c r="A31" t="s">
        <v>13</v>
      </c>
      <c r="C31" s="8">
        <v>521.9</v>
      </c>
    </row>
    <row r="33" spans="1:3" ht="12.75">
      <c r="A33" t="s">
        <v>14</v>
      </c>
      <c r="C33" s="8">
        <f>10185-84</f>
        <v>10101</v>
      </c>
    </row>
    <row r="35" spans="1:3" ht="12.75">
      <c r="A35" t="s">
        <v>15</v>
      </c>
      <c r="C35" s="9">
        <f>1504.78+634.84+700+192+2831.99+1486.71+397.5+2728.65+79.5</f>
        <v>10555.97</v>
      </c>
    </row>
    <row r="37" spans="1:3" ht="12.75">
      <c r="A37" t="s">
        <v>16</v>
      </c>
      <c r="C37" s="9">
        <v>1023.22</v>
      </c>
    </row>
    <row r="38" ht="12.75">
      <c r="C38" s="89"/>
    </row>
    <row r="39" spans="1:4" ht="12.75">
      <c r="A39" t="s">
        <v>17</v>
      </c>
      <c r="C39" s="7">
        <f>SUM(C3:C37)</f>
        <v>167740.71000000002</v>
      </c>
      <c r="D39" t="s">
        <v>32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&amp;CSEPTEMBER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10.421875" style="0" customWidth="1"/>
  </cols>
  <sheetData>
    <row r="1" ht="12.75">
      <c r="A1" t="s">
        <v>22</v>
      </c>
    </row>
    <row r="2" ht="12.75">
      <c r="A2" t="s">
        <v>83</v>
      </c>
    </row>
    <row r="4" spans="1:13" ht="12.75">
      <c r="A4" s="73" t="s">
        <v>82</v>
      </c>
      <c r="D4" s="73" t="s">
        <v>81</v>
      </c>
      <c r="G4" s="73" t="s">
        <v>80</v>
      </c>
      <c r="J4" s="73" t="s">
        <v>79</v>
      </c>
      <c r="M4" s="19" t="s">
        <v>84</v>
      </c>
    </row>
    <row r="5" spans="2:15" ht="12.75">
      <c r="B5" t="s">
        <v>77</v>
      </c>
      <c r="C5" t="s">
        <v>76</v>
      </c>
      <c r="E5" t="s">
        <v>77</v>
      </c>
      <c r="F5" t="s">
        <v>76</v>
      </c>
      <c r="H5" t="s">
        <v>77</v>
      </c>
      <c r="I5" t="s">
        <v>76</v>
      </c>
      <c r="K5" t="s">
        <v>77</v>
      </c>
      <c r="L5" t="s">
        <v>76</v>
      </c>
      <c r="N5" t="s">
        <v>77</v>
      </c>
      <c r="O5" t="s">
        <v>76</v>
      </c>
    </row>
    <row r="7" spans="1:15" ht="12.75">
      <c r="A7" t="s">
        <v>75</v>
      </c>
      <c r="B7" s="70">
        <v>18616.34</v>
      </c>
      <c r="C7" s="70">
        <v>3026.95</v>
      </c>
      <c r="D7" t="s">
        <v>75</v>
      </c>
      <c r="E7" s="70">
        <f>13221.67-64</f>
        <v>13157.67</v>
      </c>
      <c r="F7" s="70">
        <v>2374.79</v>
      </c>
      <c r="G7" t="s">
        <v>75</v>
      </c>
      <c r="H7" s="70">
        <f>2809.44-8.06</f>
        <v>2801.38</v>
      </c>
      <c r="I7" s="69"/>
      <c r="J7" t="s">
        <v>75</v>
      </c>
      <c r="K7" s="72">
        <v>0</v>
      </c>
      <c r="L7" s="69"/>
      <c r="M7" t="s">
        <v>75</v>
      </c>
      <c r="N7" s="70">
        <v>0</v>
      </c>
      <c r="O7" s="69"/>
    </row>
    <row r="9" spans="1:15" ht="12.75">
      <c r="A9" t="s">
        <v>74</v>
      </c>
      <c r="B9" s="70">
        <v>0</v>
      </c>
      <c r="C9" s="70">
        <v>0</v>
      </c>
      <c r="D9" t="s">
        <v>74</v>
      </c>
      <c r="E9" s="70">
        <v>0</v>
      </c>
      <c r="F9" s="70">
        <v>0</v>
      </c>
      <c r="G9" t="s">
        <v>74</v>
      </c>
      <c r="H9" s="70">
        <v>0</v>
      </c>
      <c r="I9" s="69"/>
      <c r="J9" t="s">
        <v>74</v>
      </c>
      <c r="K9" s="70">
        <v>0</v>
      </c>
      <c r="L9" s="69"/>
      <c r="M9" t="s">
        <v>74</v>
      </c>
      <c r="N9" s="70">
        <v>0</v>
      </c>
      <c r="O9" s="69"/>
    </row>
    <row r="10" ht="12.75">
      <c r="O10" s="71"/>
    </row>
    <row r="11" spans="1:15" ht="12.75">
      <c r="A11" t="s">
        <v>13</v>
      </c>
      <c r="B11" s="70">
        <v>103.92</v>
      </c>
      <c r="C11" s="70">
        <v>0</v>
      </c>
      <c r="D11" t="s">
        <v>13</v>
      </c>
      <c r="E11" s="70">
        <v>95.48</v>
      </c>
      <c r="F11" s="70">
        <v>0</v>
      </c>
      <c r="G11" t="s">
        <v>13</v>
      </c>
      <c r="H11" s="70">
        <v>2</v>
      </c>
      <c r="I11" s="69"/>
      <c r="J11" t="s">
        <v>13</v>
      </c>
      <c r="K11" s="70">
        <v>0</v>
      </c>
      <c r="L11" s="69"/>
      <c r="M11" t="s">
        <v>13</v>
      </c>
      <c r="N11" s="70">
        <v>0</v>
      </c>
      <c r="O11" s="69"/>
    </row>
    <row r="13" spans="1:3" ht="12.75">
      <c r="A13" t="s">
        <v>73</v>
      </c>
      <c r="C13" s="62">
        <v>363.72</v>
      </c>
    </row>
    <row r="14" spans="1:3" ht="12.75">
      <c r="A14" t="s">
        <v>72</v>
      </c>
      <c r="C14" s="62">
        <v>3868.62</v>
      </c>
    </row>
    <row r="15" spans="1:3" ht="12.75">
      <c r="A15" t="s">
        <v>2</v>
      </c>
      <c r="C15" s="62">
        <v>5478.42</v>
      </c>
    </row>
    <row r="17" spans="1:3" ht="12.75">
      <c r="A17" t="s">
        <v>71</v>
      </c>
      <c r="C17" s="62">
        <v>129</v>
      </c>
    </row>
    <row r="18" spans="1:3" ht="12.75">
      <c r="A18" t="s">
        <v>70</v>
      </c>
      <c r="C18" s="68">
        <v>-78.46</v>
      </c>
    </row>
    <row r="20" spans="1:2" ht="12.75">
      <c r="A20" t="s">
        <v>69</v>
      </c>
      <c r="B20" s="1">
        <f>SUM(B7:O11)+C13+C14+C15+C17+C18</f>
        <v>49939.83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2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6384" width="9.140625" style="7" customWidth="1"/>
  </cols>
  <sheetData>
    <row r="1" ht="12.75">
      <c r="A1" s="7" t="s">
        <v>22</v>
      </c>
    </row>
    <row r="2" ht="12.75">
      <c r="A2" s="7" t="s">
        <v>83</v>
      </c>
    </row>
    <row r="4" spans="1:13" ht="12.75">
      <c r="A4" s="77" t="s">
        <v>82</v>
      </c>
      <c r="D4" s="77" t="s">
        <v>81</v>
      </c>
      <c r="G4" s="77" t="s">
        <v>80</v>
      </c>
      <c r="J4" s="77" t="s">
        <v>79</v>
      </c>
      <c r="M4" s="77" t="s">
        <v>78</v>
      </c>
    </row>
    <row r="5" spans="2:15" ht="12.75">
      <c r="B5" s="7" t="s">
        <v>77</v>
      </c>
      <c r="C5" s="7" t="s">
        <v>76</v>
      </c>
      <c r="E5" s="7" t="s">
        <v>77</v>
      </c>
      <c r="F5" s="7" t="s">
        <v>76</v>
      </c>
      <c r="H5" s="7" t="s">
        <v>77</v>
      </c>
      <c r="I5" s="7" t="s">
        <v>76</v>
      </c>
      <c r="K5" s="7" t="s">
        <v>77</v>
      </c>
      <c r="L5" s="7" t="s">
        <v>76</v>
      </c>
      <c r="N5" s="7" t="s">
        <v>77</v>
      </c>
      <c r="O5" s="7" t="s">
        <v>76</v>
      </c>
    </row>
    <row r="7" spans="1:15" ht="12.75">
      <c r="A7" s="7" t="s">
        <v>75</v>
      </c>
      <c r="B7" s="8">
        <f>19111.39-8.66</f>
        <v>19102.73</v>
      </c>
      <c r="C7" s="8">
        <v>2522.13</v>
      </c>
      <c r="D7" s="7" t="s">
        <v>75</v>
      </c>
      <c r="E7" s="8">
        <f>12998.98-8.84</f>
        <v>12990.14</v>
      </c>
      <c r="F7" s="8">
        <v>2323.47</v>
      </c>
      <c r="G7" s="7" t="s">
        <v>75</v>
      </c>
      <c r="H7" s="8">
        <v>2962.44</v>
      </c>
      <c r="I7" s="76">
        <v>0</v>
      </c>
      <c r="J7" s="7" t="s">
        <v>75</v>
      </c>
      <c r="K7" s="75">
        <v>0</v>
      </c>
      <c r="L7" s="10"/>
      <c r="M7" s="7" t="s">
        <v>75</v>
      </c>
      <c r="N7" s="8">
        <v>0</v>
      </c>
      <c r="O7" s="10"/>
    </row>
    <row r="9" spans="1:15" ht="12.75">
      <c r="A9" s="7" t="s">
        <v>74</v>
      </c>
      <c r="B9" s="8">
        <v>0</v>
      </c>
      <c r="C9" s="8">
        <v>0</v>
      </c>
      <c r="D9" s="7" t="s">
        <v>74</v>
      </c>
      <c r="E9" s="8">
        <v>0</v>
      </c>
      <c r="F9" s="8">
        <v>0</v>
      </c>
      <c r="G9" s="7" t="s">
        <v>74</v>
      </c>
      <c r="H9" s="8">
        <v>0</v>
      </c>
      <c r="I9" s="10"/>
      <c r="J9" s="7" t="s">
        <v>74</v>
      </c>
      <c r="K9" s="8">
        <v>0</v>
      </c>
      <c r="L9" s="10"/>
      <c r="M9" s="7" t="s">
        <v>74</v>
      </c>
      <c r="N9" s="8">
        <v>0</v>
      </c>
      <c r="O9" s="10"/>
    </row>
    <row r="10" ht="12.75">
      <c r="O10" s="74"/>
    </row>
    <row r="11" spans="1:15" ht="12.75">
      <c r="A11" s="7" t="s">
        <v>13</v>
      </c>
      <c r="B11" s="8">
        <v>103.92</v>
      </c>
      <c r="C11" s="8">
        <v>0</v>
      </c>
      <c r="D11" s="7" t="s">
        <v>13</v>
      </c>
      <c r="E11" s="8">
        <v>108.5</v>
      </c>
      <c r="F11" s="8">
        <v>0</v>
      </c>
      <c r="G11" s="7" t="s">
        <v>13</v>
      </c>
      <c r="H11" s="8">
        <v>2</v>
      </c>
      <c r="I11" s="10"/>
      <c r="J11" s="7" t="s">
        <v>13</v>
      </c>
      <c r="K11" s="8">
        <v>0</v>
      </c>
      <c r="L11" s="10"/>
      <c r="M11" s="7" t="s">
        <v>13</v>
      </c>
      <c r="N11" s="8">
        <v>0</v>
      </c>
      <c r="O11" s="10"/>
    </row>
    <row r="13" spans="1:3" ht="12.75">
      <c r="A13" s="7" t="s">
        <v>85</v>
      </c>
      <c r="C13" s="7">
        <v>744.76</v>
      </c>
    </row>
    <row r="14" spans="1:3" ht="12.75">
      <c r="A14" s="7" t="s">
        <v>72</v>
      </c>
      <c r="C14" s="9">
        <f>4013.58-46.9</f>
        <v>3966.68</v>
      </c>
    </row>
    <row r="15" spans="1:3" ht="12.75">
      <c r="A15" s="7" t="s">
        <v>2</v>
      </c>
      <c r="C15" s="9">
        <v>6736.02</v>
      </c>
    </row>
    <row r="16" ht="12.75">
      <c r="C16" s="7" t="s">
        <v>3</v>
      </c>
    </row>
    <row r="17" spans="1:3" ht="12.75">
      <c r="A17" s="7" t="s">
        <v>71</v>
      </c>
      <c r="C17" s="9">
        <v>615.52</v>
      </c>
    </row>
    <row r="18" spans="1:3" ht="12.75">
      <c r="A18" s="7" t="s">
        <v>70</v>
      </c>
      <c r="C18" s="9">
        <v>-253.99</v>
      </c>
    </row>
    <row r="20" spans="1:2" ht="12.75">
      <c r="A20" s="7" t="s">
        <v>69</v>
      </c>
      <c r="B20" s="7">
        <f>SUM(B7:O11)+C14+C15+C17+C18</f>
        <v>51179.56</v>
      </c>
    </row>
  </sheetData>
  <sheetProtection/>
  <printOptions/>
  <pageMargins left="0.5" right="0.5" top="1" bottom="1" header="0.5" footer="0.5"/>
  <pageSetup fitToHeight="1" fitToWidth="1" horizontalDpi="600" verticalDpi="600" orientation="landscape" scale="97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4">
      <selection activeCell="D17" sqref="D17"/>
    </sheetView>
  </sheetViews>
  <sheetFormatPr defaultColWidth="9.140625" defaultRowHeight="12.75"/>
  <cols>
    <col min="1" max="1" width="9.140625" style="7" customWidth="1"/>
    <col min="2" max="2" width="9.421875" style="7" bestFit="1" customWidth="1"/>
    <col min="3" max="3" width="9.28125" style="7" bestFit="1" customWidth="1"/>
    <col min="4" max="4" width="9.140625" style="7" customWidth="1"/>
    <col min="5" max="6" width="9.28125" style="7" bestFit="1" customWidth="1"/>
    <col min="7" max="7" width="9.140625" style="7" customWidth="1"/>
    <col min="8" max="9" width="9.28125" style="7" bestFit="1" customWidth="1"/>
    <col min="10" max="10" width="9.140625" style="7" customWidth="1"/>
    <col min="11" max="12" width="9.28125" style="7" bestFit="1" customWidth="1"/>
    <col min="13" max="13" width="9.140625" style="7" customWidth="1"/>
    <col min="14" max="15" width="9.28125" style="7" bestFit="1" customWidth="1"/>
    <col min="16" max="16384" width="9.140625" style="7" customWidth="1"/>
  </cols>
  <sheetData>
    <row r="1" ht="12.75">
      <c r="A1" s="7" t="s">
        <v>22</v>
      </c>
    </row>
    <row r="2" ht="12.75">
      <c r="A2" s="7" t="s">
        <v>83</v>
      </c>
    </row>
    <row r="4" spans="1:13" ht="12.75">
      <c r="A4" s="77" t="s">
        <v>82</v>
      </c>
      <c r="D4" s="77" t="s">
        <v>81</v>
      </c>
      <c r="G4" s="77" t="s">
        <v>80</v>
      </c>
      <c r="J4" s="77" t="s">
        <v>79</v>
      </c>
      <c r="M4" s="77" t="s">
        <v>78</v>
      </c>
    </row>
    <row r="5" spans="2:15" ht="12.75">
      <c r="B5" s="7" t="s">
        <v>77</v>
      </c>
      <c r="C5" s="7" t="s">
        <v>76</v>
      </c>
      <c r="E5" s="7" t="s">
        <v>77</v>
      </c>
      <c r="F5" s="7" t="s">
        <v>76</v>
      </c>
      <c r="H5" s="7" t="s">
        <v>77</v>
      </c>
      <c r="I5" s="7" t="s">
        <v>76</v>
      </c>
      <c r="K5" s="7" t="s">
        <v>77</v>
      </c>
      <c r="L5" s="7" t="s">
        <v>76</v>
      </c>
      <c r="N5" s="7" t="s">
        <v>77</v>
      </c>
      <c r="O5" s="7" t="s">
        <v>76</v>
      </c>
    </row>
    <row r="7" spans="1:15" ht="12.75">
      <c r="A7" s="7" t="s">
        <v>75</v>
      </c>
      <c r="B7" s="8">
        <f>17500-194.93</f>
        <v>17305.07</v>
      </c>
      <c r="C7" s="8">
        <f>2414.89</f>
        <v>2414.89</v>
      </c>
      <c r="D7" s="7" t="s">
        <v>75</v>
      </c>
      <c r="E7" s="8">
        <f>12394.6-41.87</f>
        <v>12352.73</v>
      </c>
      <c r="F7" s="8">
        <f>2064.07</f>
        <v>2064.07</v>
      </c>
      <c r="G7" s="7" t="s">
        <v>75</v>
      </c>
      <c r="H7" s="8">
        <v>2893.93</v>
      </c>
      <c r="I7" s="8">
        <v>0</v>
      </c>
      <c r="J7" s="7" t="s">
        <v>75</v>
      </c>
      <c r="K7" s="75">
        <v>0</v>
      </c>
      <c r="L7" s="8">
        <v>0</v>
      </c>
      <c r="M7" s="7" t="s">
        <v>75</v>
      </c>
      <c r="N7" s="8">
        <v>0</v>
      </c>
      <c r="O7" s="8">
        <v>0</v>
      </c>
    </row>
    <row r="9" spans="1:15" ht="12.75">
      <c r="A9" s="7" t="s">
        <v>74</v>
      </c>
      <c r="B9" s="8">
        <v>0</v>
      </c>
      <c r="C9" s="8">
        <v>0</v>
      </c>
      <c r="D9" s="7" t="s">
        <v>74</v>
      </c>
      <c r="E9" s="8">
        <v>0</v>
      </c>
      <c r="F9" s="8">
        <v>0</v>
      </c>
      <c r="G9" s="7" t="s">
        <v>74</v>
      </c>
      <c r="H9" s="8">
        <v>0</v>
      </c>
      <c r="I9" s="8">
        <v>0</v>
      </c>
      <c r="J9" s="7" t="s">
        <v>74</v>
      </c>
      <c r="K9" s="8">
        <v>0</v>
      </c>
      <c r="L9" s="8">
        <v>0</v>
      </c>
      <c r="M9" s="7" t="s">
        <v>74</v>
      </c>
      <c r="N9" s="8">
        <v>0</v>
      </c>
      <c r="O9" s="8">
        <v>0</v>
      </c>
    </row>
    <row r="10" spans="14:15" ht="12.75">
      <c r="N10" s="7" t="s">
        <v>3</v>
      </c>
      <c r="O10" s="74"/>
    </row>
    <row r="11" spans="1:15" ht="12.75">
      <c r="A11" s="7" t="s">
        <v>13</v>
      </c>
      <c r="B11" s="8">
        <f>95.26</f>
        <v>95.26</v>
      </c>
      <c r="C11" s="8">
        <v>0</v>
      </c>
      <c r="D11" s="7" t="s">
        <v>13</v>
      </c>
      <c r="E11" s="8">
        <f>99.82</f>
        <v>99.82</v>
      </c>
      <c r="F11" s="8">
        <v>0</v>
      </c>
      <c r="G11" s="7" t="s">
        <v>13</v>
      </c>
      <c r="H11" s="8">
        <f>4.17</f>
        <v>4.17</v>
      </c>
      <c r="I11" s="8">
        <v>0</v>
      </c>
      <c r="J11" s="7" t="s">
        <v>13</v>
      </c>
      <c r="K11" s="8">
        <v>0</v>
      </c>
      <c r="L11" s="8">
        <v>0</v>
      </c>
      <c r="M11" s="7" t="s">
        <v>13</v>
      </c>
      <c r="N11" s="8">
        <v>0</v>
      </c>
      <c r="O11" s="8">
        <v>0</v>
      </c>
    </row>
    <row r="13" spans="1:3" ht="12.75">
      <c r="A13" s="7" t="s">
        <v>73</v>
      </c>
      <c r="C13" s="9">
        <v>484.96</v>
      </c>
    </row>
    <row r="14" spans="1:3" ht="12.75">
      <c r="A14" s="7" t="s">
        <v>72</v>
      </c>
      <c r="C14" s="9">
        <f>1657.98-58.62</f>
        <v>1599.3600000000001</v>
      </c>
    </row>
    <row r="15" spans="1:3" ht="12.75">
      <c r="A15" s="7" t="s">
        <v>2</v>
      </c>
      <c r="C15" s="9">
        <f>3898.56-172.92</f>
        <v>3725.64</v>
      </c>
    </row>
    <row r="17" spans="1:3" ht="12.75">
      <c r="A17" s="7" t="s">
        <v>71</v>
      </c>
      <c r="C17" s="9">
        <v>475.44</v>
      </c>
    </row>
    <row r="18" spans="1:3" ht="12.75">
      <c r="A18" s="7" t="s">
        <v>70</v>
      </c>
      <c r="C18" s="9">
        <v>-303.51</v>
      </c>
    </row>
    <row r="20" spans="1:2" ht="12.75">
      <c r="A20" s="7" t="s">
        <v>69</v>
      </c>
      <c r="B20" s="7">
        <f>SUM(B7:O11)+C13+C14+C15+C17+C18</f>
        <v>43211.83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9" r:id="rId1"/>
  <headerFooter alignWithMargins="0">
    <oddHeader>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6384" width="9.140625" style="7" customWidth="1"/>
  </cols>
  <sheetData>
    <row r="1" ht="12.75">
      <c r="A1" s="7" t="s">
        <v>22</v>
      </c>
    </row>
    <row r="2" ht="12.75">
      <c r="A2" s="7" t="s">
        <v>83</v>
      </c>
    </row>
    <row r="4" spans="1:13" ht="12.75">
      <c r="A4" s="77" t="s">
        <v>82</v>
      </c>
      <c r="D4" s="77" t="s">
        <v>81</v>
      </c>
      <c r="G4" s="77" t="s">
        <v>80</v>
      </c>
      <c r="J4" s="77" t="s">
        <v>79</v>
      </c>
      <c r="M4" s="77" t="s">
        <v>84</v>
      </c>
    </row>
    <row r="5" spans="2:15" ht="12.75">
      <c r="B5" s="7" t="s">
        <v>77</v>
      </c>
      <c r="C5" s="7" t="s">
        <v>76</v>
      </c>
      <c r="E5" s="7" t="s">
        <v>77</v>
      </c>
      <c r="F5" s="7" t="s">
        <v>76</v>
      </c>
      <c r="H5" s="7" t="s">
        <v>77</v>
      </c>
      <c r="I5" s="7" t="s">
        <v>76</v>
      </c>
      <c r="K5" s="7" t="s">
        <v>77</v>
      </c>
      <c r="L5" s="7" t="s">
        <v>76</v>
      </c>
      <c r="N5" s="7" t="s">
        <v>77</v>
      </c>
      <c r="O5" s="7" t="s">
        <v>76</v>
      </c>
    </row>
    <row r="7" spans="1:15" ht="12.75">
      <c r="A7" s="7" t="s">
        <v>75</v>
      </c>
      <c r="B7" s="8">
        <f>17120.5-31.97</f>
        <v>17088.53</v>
      </c>
      <c r="C7" s="8">
        <f>2021.4</f>
        <v>2021.4</v>
      </c>
      <c r="D7" s="7" t="s">
        <v>75</v>
      </c>
      <c r="E7" s="8">
        <f>12239.32-32.86</f>
        <v>12206.46</v>
      </c>
      <c r="F7" s="8">
        <f>2739.9</f>
        <v>2739.9</v>
      </c>
      <c r="G7" s="7" t="s">
        <v>75</v>
      </c>
      <c r="H7" s="8">
        <f>2837.12-8.44</f>
        <v>2828.68</v>
      </c>
      <c r="I7" s="78">
        <v>0</v>
      </c>
      <c r="J7" s="7" t="s">
        <v>75</v>
      </c>
      <c r="K7" s="75">
        <v>0</v>
      </c>
      <c r="L7" s="78">
        <v>0</v>
      </c>
      <c r="M7" s="7" t="s">
        <v>75</v>
      </c>
      <c r="N7" s="8">
        <v>0</v>
      </c>
      <c r="O7" s="10"/>
    </row>
    <row r="9" spans="1:15" ht="12.75">
      <c r="A9" s="7" t="s">
        <v>74</v>
      </c>
      <c r="B9" s="8">
        <v>0</v>
      </c>
      <c r="C9" s="8">
        <v>0</v>
      </c>
      <c r="D9" s="7" t="s">
        <v>74</v>
      </c>
      <c r="E9" s="8">
        <v>0</v>
      </c>
      <c r="F9" s="8">
        <v>0</v>
      </c>
      <c r="G9" s="7" t="s">
        <v>74</v>
      </c>
      <c r="H9" s="8">
        <v>0</v>
      </c>
      <c r="I9" s="78">
        <v>0</v>
      </c>
      <c r="J9" s="7" t="s">
        <v>74</v>
      </c>
      <c r="K9" s="8">
        <v>0</v>
      </c>
      <c r="L9" s="78">
        <v>0</v>
      </c>
      <c r="M9" s="7" t="s">
        <v>74</v>
      </c>
      <c r="N9" s="8">
        <v>0</v>
      </c>
      <c r="O9" s="10"/>
    </row>
    <row r="10" ht="12.75">
      <c r="O10" s="74"/>
    </row>
    <row r="11" spans="1:15" ht="12.75">
      <c r="A11" s="7" t="s">
        <v>13</v>
      </c>
      <c r="B11" s="8">
        <f>95.26</f>
        <v>95.26</v>
      </c>
      <c r="C11" s="8">
        <v>0</v>
      </c>
      <c r="D11" s="7" t="s">
        <v>13</v>
      </c>
      <c r="E11" s="8">
        <f>88.97</f>
        <v>88.97</v>
      </c>
      <c r="F11" s="8">
        <v>0</v>
      </c>
      <c r="G11" s="7" t="s">
        <v>13</v>
      </c>
      <c r="H11" s="8">
        <f>8.51</f>
        <v>8.51</v>
      </c>
      <c r="I11" s="78">
        <v>0</v>
      </c>
      <c r="J11" s="7" t="s">
        <v>13</v>
      </c>
      <c r="K11" s="8">
        <v>0</v>
      </c>
      <c r="L11" s="78">
        <v>0</v>
      </c>
      <c r="M11" s="7" t="s">
        <v>13</v>
      </c>
      <c r="N11" s="8">
        <v>0</v>
      </c>
      <c r="O11" s="10"/>
    </row>
    <row r="13" spans="1:3" ht="12.75">
      <c r="A13" s="7" t="s">
        <v>73</v>
      </c>
      <c r="C13" s="9">
        <v>692.8</v>
      </c>
    </row>
    <row r="14" spans="1:3" ht="12.75">
      <c r="A14" s="7" t="s">
        <v>72</v>
      </c>
      <c r="C14" s="9">
        <f>1422.42-26.78</f>
        <v>1395.64</v>
      </c>
    </row>
    <row r="15" spans="1:3" ht="12.75">
      <c r="A15" s="7" t="s">
        <v>2</v>
      </c>
      <c r="C15" s="9">
        <f>3647.04-47.16</f>
        <v>3599.88</v>
      </c>
    </row>
    <row r="17" spans="1:3" ht="12.75">
      <c r="A17" s="7" t="s">
        <v>71</v>
      </c>
      <c r="C17" s="9">
        <v>325.3</v>
      </c>
    </row>
    <row r="18" spans="1:3" ht="12.75">
      <c r="A18" s="7" t="s">
        <v>70</v>
      </c>
      <c r="C18" s="9">
        <v>-21.47</v>
      </c>
    </row>
    <row r="20" spans="1:2" ht="12.75">
      <c r="A20" s="7" t="s">
        <v>69</v>
      </c>
      <c r="B20" s="7">
        <f>SUM(B7:O11)+C13+C14+C15+C17+C18</f>
        <v>43069.86000000001</v>
      </c>
    </row>
  </sheetData>
  <sheetProtection/>
  <printOptions/>
  <pageMargins left="0.5" right="0.5" top="1" bottom="1" header="0.5" footer="0.5"/>
  <pageSetup fitToHeight="1" fitToWidth="1" horizontalDpi="600" verticalDpi="600" orientation="landscape" scale="95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0"/>
  <sheetViews>
    <sheetView zoomScale="65" zoomScaleNormal="65" zoomScalePageLayoutView="0" workbookViewId="0" topLeftCell="A43">
      <selection activeCell="L53" sqref="L53"/>
    </sheetView>
  </sheetViews>
  <sheetFormatPr defaultColWidth="9.140625" defaultRowHeight="12.75"/>
  <cols>
    <col min="3" max="3" width="14.421875" style="0" customWidth="1"/>
    <col min="5" max="5" width="9.57421875" style="0" bestFit="1" customWidth="1"/>
    <col min="7" max="7" width="14.8515625" style="0" customWidth="1"/>
    <col min="8" max="8" width="11.28125" style="0" customWidth="1"/>
    <col min="9" max="9" width="16.00390625" style="0" customWidth="1"/>
    <col min="10" max="11" width="20.00390625" style="0" customWidth="1"/>
    <col min="12" max="12" width="13.28125" style="0" customWidth="1"/>
    <col min="13" max="13" width="9.7109375" style="0" customWidth="1"/>
    <col min="14" max="14" width="17.7109375" style="0" customWidth="1"/>
    <col min="16" max="16" width="12.140625" style="0" customWidth="1"/>
  </cols>
  <sheetData>
    <row r="1" ht="12.75">
      <c r="A1" t="s">
        <v>22</v>
      </c>
    </row>
    <row r="2" ht="12.75">
      <c r="A2" t="s">
        <v>0</v>
      </c>
    </row>
    <row r="3" ht="12.75">
      <c r="A3" t="s">
        <v>118</v>
      </c>
    </row>
    <row r="4" ht="12.75">
      <c r="E4" t="s">
        <v>31</v>
      </c>
    </row>
    <row r="6" spans="1:5" ht="12.75">
      <c r="A6" t="s">
        <v>1</v>
      </c>
      <c r="C6" s="4">
        <f>'NOV 2018'!C3+'DEC 2018'!C3+'JAN 2019'!C3+'FEB 2019'!C3+'MAR 2019'!C3+'APR 2019'!C3+'MAY 2019'!C3+'JUNE 2019'!C3+'JULY 2019'!C3+'AUG 2018'!C3+'SEPT 2018'!C3+'OCT 2018'!C3</f>
        <v>18535.6</v>
      </c>
      <c r="E6" s="2">
        <v>2452</v>
      </c>
    </row>
    <row r="7" spans="1:5" ht="12.75">
      <c r="A7" t="s">
        <v>3</v>
      </c>
      <c r="C7" s="3"/>
      <c r="E7" s="2"/>
    </row>
    <row r="8" spans="1:5" ht="12.75">
      <c r="A8" t="s">
        <v>18</v>
      </c>
      <c r="C8" s="4">
        <f>'NOV 2018'!C5+'DEC 2018'!C5+'JAN 2019'!C5+'FEB 2019'!C5+'MAR 2019'!C5+'APR 2019'!C5+'MAY 2019'!C5+'JUNE 2019'!C5+'JULY 2019'!C5+'AUG 2018'!C5+'SEPT 2018'!C5+'OCT 2018'!C5</f>
        <v>7572.4</v>
      </c>
      <c r="E8" s="16">
        <v>1002</v>
      </c>
    </row>
    <row r="9" spans="3:5" ht="12.75">
      <c r="C9" s="3"/>
      <c r="E9" s="16"/>
    </row>
    <row r="10" spans="1:5" ht="12.75">
      <c r="A10" t="s">
        <v>4</v>
      </c>
      <c r="C10" s="4">
        <f>'NOV 2018'!C7+'DEC 2018'!C7+'JAN 2019'!C7+'FEB 2019'!C7+'MAR 2019'!C7+'APR 2019'!C7+'MAY 2019'!C7+'JUNE 2019'!C7+'JULY 2019'!C7+'AUG 2018'!C7+'SEPT 2018'!C7+'OCT 2018'!C7</f>
        <v>181189.14</v>
      </c>
      <c r="E10" s="16">
        <v>4813</v>
      </c>
    </row>
    <row r="11" spans="3:5" ht="12.75">
      <c r="C11" s="11"/>
      <c r="E11" s="16"/>
    </row>
    <row r="12" spans="1:5" ht="12.75">
      <c r="A12" t="s">
        <v>5</v>
      </c>
      <c r="C12" s="4">
        <f>'NOV 2018'!C9+'DEC 2018'!C9+'JAN 2019'!C9+'FEB 2019'!C9+'MAR 2019'!C9+'APR 2019'!C9+'MAY 2019'!C9+'JUNE 2019'!C9+'JULY 2019'!C9+'AUG 2018'!C9+'SEPT 2018'!C9+'OCT 2018'!C9</f>
        <v>40665.59999999999</v>
      </c>
      <c r="E12" s="16">
        <f>C12/E59</f>
        <v>1058.9999999999998</v>
      </c>
    </row>
    <row r="13" spans="3:5" ht="12.75">
      <c r="C13" s="5"/>
      <c r="E13" s="16"/>
    </row>
    <row r="14" spans="1:5" ht="12.75">
      <c r="A14" t="s">
        <v>29</v>
      </c>
      <c r="C14" s="4">
        <f>'NOV 2018'!C11+'DEC 2018'!C11+'JAN 2019'!C11+'FEB 2019'!C11+'MAR 2019'!C11+'APR 2019'!C11+'MAY 2019'!C11+'JUNE 2019'!C11+'JULY 2019'!C11+'AUG 2018'!C11+'SEPT 2018'!C11+'OCT 2018'!C11</f>
        <v>0</v>
      </c>
      <c r="E14" s="16">
        <v>0</v>
      </c>
    </row>
    <row r="15" spans="3:5" ht="12.75">
      <c r="C15" s="5"/>
      <c r="E15" s="16"/>
    </row>
    <row r="16" spans="1:5" ht="12.75">
      <c r="A16" t="s">
        <v>6</v>
      </c>
      <c r="C16" s="4">
        <f>'NOV 2018'!C13+'DEC 2018'!C13+'JAN 2019'!C13+'FEB 2019'!C13+'MAR 2019'!C13+'APR 2019'!C13+'MAY 2019'!C13+'JUNE 2019'!C13+'JULY 2019'!C13+'AUG 2018'!C13+'SEPT 2018'!C13+'OCT 2018'!C13</f>
        <v>124242.53999999998</v>
      </c>
      <c r="E16" s="16">
        <v>2492</v>
      </c>
    </row>
    <row r="17" spans="3:5" ht="12.75">
      <c r="C17" s="3"/>
      <c r="E17" s="16"/>
    </row>
    <row r="18" spans="1:5" ht="12.75">
      <c r="A18" t="s">
        <v>7</v>
      </c>
      <c r="C18" s="4">
        <f>'NOV 2018'!C15+'DEC 2018'!C15+'JAN 2019'!C15+'FEB 2019'!C15+'MAR 2019'!C15+'APR 2019'!C15+'MAY 2019'!C15+'JUNE 2019'!C15+'JULY 2019'!C15+'AUG 2018'!C15+'SEPT 2018'!C15+'OCT 2018'!C15</f>
        <v>11943.06</v>
      </c>
      <c r="E18" s="16">
        <v>222</v>
      </c>
    </row>
    <row r="19" spans="3:6" ht="12.75">
      <c r="C19" s="11"/>
      <c r="E19" s="16"/>
      <c r="F19">
        <v>10</v>
      </c>
    </row>
    <row r="20" spans="1:5" ht="12.75">
      <c r="A20" t="s">
        <v>28</v>
      </c>
      <c r="C20" s="4">
        <f>'NOV 2018'!C17+'DEC 2018'!C17+'JAN 2019'!C17+'FEB 2019'!C17+'MAR 2019'!C17+'APR 2019'!C17+'MAY 2019'!C17+'JUNE 2019'!C17+'JULY 2019'!C17+'AUG 2018'!C17+'SEPT 2018'!C17+'OCT 2018'!C17</f>
        <v>7753.200000000001</v>
      </c>
      <c r="E20" s="16">
        <v>78</v>
      </c>
    </row>
    <row r="21" spans="3:5" ht="12.75">
      <c r="C21" s="11"/>
      <c r="E21" s="16"/>
    </row>
    <row r="22" spans="1:5" ht="12.75">
      <c r="A22" t="s">
        <v>8</v>
      </c>
      <c r="C22" s="4">
        <f>'NOV 2018'!C19+'DEC 2018'!C19+'JAN 2019'!C19+'FEB 2019'!C19+'MAR 2019'!C19+'APR 2019'!C19+'MAY 2019'!C19+'JUNE 2019'!C19+'JULY 2019'!C19+'AUG 2018'!C19+'SEPT 2018'!C19+'OCT 2018'!C19</f>
        <v>512367.03999999986</v>
      </c>
      <c r="E22" s="16">
        <v>8358</v>
      </c>
    </row>
    <row r="23" spans="3:5" ht="12.75">
      <c r="C23" s="3"/>
      <c r="E23" s="16"/>
    </row>
    <row r="24" spans="1:5" ht="12.75">
      <c r="A24" t="s">
        <v>9</v>
      </c>
      <c r="C24" s="4">
        <f>C24/E69</f>
        <v>0</v>
      </c>
      <c r="E24" s="16">
        <v>1986</v>
      </c>
    </row>
    <row r="25" spans="3:5" ht="12.75">
      <c r="C25" s="3"/>
      <c r="E25" s="16"/>
    </row>
    <row r="26" spans="1:7" ht="12.75">
      <c r="A26" t="s">
        <v>33</v>
      </c>
      <c r="C26" s="4">
        <f>'NOV 2018'!C23+'DEC 2018'!C23+'JAN 2019'!C23+'FEB 2019'!C23+'MAR 2019'!C23+'APR 2019'!C23+'MAY 2019'!C23+'JUNE 2019'!C23+'JULY 2019'!C23+'AUG 2018'!C23+'SEPT 2018'!C23+'OCT 2018'!C23</f>
        <v>7824.170000000001</v>
      </c>
      <c r="E26" s="16">
        <f>C26/E71</f>
        <v>121.54994562684482</v>
      </c>
      <c r="G26" s="58"/>
    </row>
    <row r="27" spans="3:5" ht="12.75">
      <c r="C27" s="3"/>
      <c r="E27" s="16"/>
    </row>
    <row r="28" spans="1:5" ht="12.75">
      <c r="A28" t="s">
        <v>10</v>
      </c>
      <c r="C28" s="4">
        <f>'NOV 2018'!C25+'DEC 2018'!C25+'JAN 2019'!C25+'FEB 2019'!C25+'MAR 2019'!C25+'APR 2019'!C25+'MAY 2019'!C25+'JUNE 2019'!C25+'JULY 2019'!C25+'AUG 2018'!C27+'SEPT 2018'!C25+'OCT 2018'!C25</f>
        <v>114569.9</v>
      </c>
      <c r="E28" s="16">
        <f>C28/E73</f>
        <v>914</v>
      </c>
    </row>
    <row r="29" spans="3:5" ht="12.75">
      <c r="C29" s="3"/>
      <c r="E29" s="16"/>
    </row>
    <row r="30" spans="1:5" ht="12.75">
      <c r="A30" t="s">
        <v>11</v>
      </c>
      <c r="C30" s="4">
        <f>'NOV 2018'!C27+'DEC 2018'!C27+'JAN 2019'!C27+'FEB 2019'!C27+'MAR 2019'!C27+'APR 2019'!C27+'MAY 2019'!C27+'JUNE 2019'!C27+'JULY 2019'!C27+'AUG 2018'!C29+'SEPT 2018'!C27+'OCT 2018'!C27</f>
        <v>19930.650000000005</v>
      </c>
      <c r="E30" s="16">
        <f>C30/E75</f>
        <v>159.00000000000006</v>
      </c>
    </row>
    <row r="31" spans="3:5" ht="12.75">
      <c r="C31" s="3"/>
      <c r="E31" s="2"/>
    </row>
    <row r="32" spans="1:5" ht="12.75">
      <c r="A32" t="s">
        <v>12</v>
      </c>
      <c r="C32" s="4">
        <f>'NOV 2018'!C29+'DEC 2018'!C29+'JAN 2019'!C29+'FEB 2019'!C29+'MAR 2019'!C29+'APR 2019'!C29+'MAY 2019'!C29+'JUNE 2019'!C29+'JULY 2019'!C29+'AUG 2018'!C31+'SEPT 2018'!C29+'OCT 2018'!C29</f>
        <v>2006.5</v>
      </c>
      <c r="E32" s="2"/>
    </row>
    <row r="33" spans="3:5" ht="12.75">
      <c r="C33" s="3"/>
      <c r="E33" s="2"/>
    </row>
    <row r="34" spans="1:5" ht="12.75">
      <c r="A34" t="s">
        <v>13</v>
      </c>
      <c r="C34" s="4">
        <f>'NOV 2018'!C31+'DEC 2018'!C31+'JAN 2019'!C31+'FEB 2019'!C31+'MAR 2019'!C31+'APR 2019'!C31+'MAY 2019'!C31+'JUNE 2019'!C31+'JULY 2019'!C31+'AUG 2018'!C33+'SEPT 2018'!C31+'OCT 2018'!C31</f>
        <v>5191.16</v>
      </c>
      <c r="E34" s="2"/>
    </row>
    <row r="35" spans="3:5" ht="12.75">
      <c r="C35" s="3"/>
      <c r="E35" s="2"/>
    </row>
    <row r="36" spans="1:5" ht="12.75">
      <c r="A36" t="s">
        <v>14</v>
      </c>
      <c r="C36" s="4">
        <f>'NOV 2018'!C33+'DEC 2018'!C33+'JAN 2019'!C33+'FEB 2019'!C33+'MAR 2019'!C33+'APR 2019'!C33+'MAY 2019'!C33+'JUNE 2019'!C33+'JULY 2019'!C33+'AUG 2018'!C35+'SEPT 2018'!C33+'OCT 2018'!C33</f>
        <v>85038.5</v>
      </c>
      <c r="E36" s="2">
        <f>C36/84</f>
        <v>1012.3630952380952</v>
      </c>
    </row>
    <row r="37" ht="12.75">
      <c r="C37" s="3"/>
    </row>
    <row r="38" spans="1:3" ht="12.75">
      <c r="A38" t="s">
        <v>15</v>
      </c>
      <c r="C38" s="4">
        <f>'NOV 2018'!C35+'DEC 2018'!C35+'JAN 2019'!C35+'FEB 2019'!C35+'MAR 2019'!C35+'APR 2019'!C35+'MAY 2019'!C35+'JUNE 2019'!C35+'JULY 2019'!C35+'AUG 2018'!C37+'SEPT 2018'!C35+'OCT 2018'!C35</f>
        <v>114290.3</v>
      </c>
    </row>
    <row r="39" ht="12.75">
      <c r="C39" s="3"/>
    </row>
    <row r="40" spans="1:3" ht="12.75">
      <c r="A40" t="s">
        <v>16</v>
      </c>
      <c r="C40" s="4">
        <f>'NOV 2018'!C37+'DEC 2018'!C37+'JAN 2019'!C37+'FEB 2019'!C37+'MAR 2019'!C37+'APR 2019'!C37+'MAY 2019'!C37+'JUNE 2019'!C37+'JULY 2019'!C37+'AUG 2018'!C39+'SEPT 2018'!C37+'OCT 2018'!C37</f>
        <v>8398.34</v>
      </c>
    </row>
    <row r="41" ht="12.75">
      <c r="C41" s="3"/>
    </row>
    <row r="42" spans="1:3" ht="12.75">
      <c r="A42" t="s">
        <v>17</v>
      </c>
      <c r="C42" s="3">
        <f>SUM(C6:C40)</f>
        <v>1384375.9</v>
      </c>
    </row>
    <row r="43" ht="12.75">
      <c r="C43" s="3"/>
    </row>
    <row r="44" spans="1:3" ht="12.75">
      <c r="A44" t="s">
        <v>21</v>
      </c>
      <c r="C44" s="3">
        <v>1384633</v>
      </c>
    </row>
    <row r="46" ht="12.75">
      <c r="A46" t="s">
        <v>22</v>
      </c>
    </row>
    <row r="47" spans="1:9" ht="12.75">
      <c r="A47" t="s">
        <v>0</v>
      </c>
      <c r="H47" s="59" t="s">
        <v>67</v>
      </c>
      <c r="I47" s="59" t="s">
        <v>119</v>
      </c>
    </row>
    <row r="48" spans="1:9" ht="12.75">
      <c r="A48" t="s">
        <v>116</v>
      </c>
      <c r="H48" t="s">
        <v>38</v>
      </c>
      <c r="I48" t="s">
        <v>120</v>
      </c>
    </row>
    <row r="49" spans="3:14" ht="12.75">
      <c r="C49" s="13" t="s">
        <v>41</v>
      </c>
      <c r="E49" t="s">
        <v>42</v>
      </c>
      <c r="G49" s="13" t="s">
        <v>43</v>
      </c>
      <c r="H49" t="s">
        <v>39</v>
      </c>
      <c r="J49" t="s">
        <v>68</v>
      </c>
      <c r="K49" t="s">
        <v>40</v>
      </c>
      <c r="L49" t="s">
        <v>23</v>
      </c>
      <c r="N49" t="s">
        <v>26</v>
      </c>
    </row>
    <row r="51" spans="1:14" ht="12.75">
      <c r="A51" t="s">
        <v>1</v>
      </c>
      <c r="C51" s="2">
        <f>E6</f>
        <v>2452</v>
      </c>
      <c r="E51" s="6">
        <v>7.56</v>
      </c>
      <c r="F51" s="3"/>
      <c r="G51" s="3">
        <f>C51*E51</f>
        <v>18537.12</v>
      </c>
      <c r="H51" s="17">
        <v>29</v>
      </c>
      <c r="I51" s="17">
        <f>C51*H51</f>
        <v>71108</v>
      </c>
      <c r="J51" s="6">
        <f>H51*'Disposal Increase'!$D$40</f>
        <v>0.5138591122137368</v>
      </c>
      <c r="K51" s="6">
        <f>E51+J51</f>
        <v>8.073859112213736</v>
      </c>
      <c r="L51" s="6">
        <v>8.05</v>
      </c>
      <c r="M51" s="6"/>
      <c r="N51" s="6">
        <f>C51*L51</f>
        <v>19738.600000000002</v>
      </c>
    </row>
    <row r="52" spans="1:14" ht="12.75">
      <c r="A52" t="s">
        <v>3</v>
      </c>
      <c r="E52" s="6"/>
      <c r="F52" s="3"/>
      <c r="G52" s="3"/>
      <c r="H52" s="17"/>
      <c r="I52" s="17"/>
      <c r="L52" s="6"/>
      <c r="M52" s="6"/>
      <c r="N52" s="6"/>
    </row>
    <row r="53" spans="1:14" ht="12.75">
      <c r="A53" t="s">
        <v>18</v>
      </c>
      <c r="C53" s="2">
        <f>E8</f>
        <v>1002</v>
      </c>
      <c r="E53" s="6">
        <v>7.56</v>
      </c>
      <c r="F53" s="3"/>
      <c r="G53" s="3">
        <f>C53*E53</f>
        <v>7575.12</v>
      </c>
      <c r="H53" s="17">
        <v>29</v>
      </c>
      <c r="I53" s="17">
        <f>C53*H53</f>
        <v>29058</v>
      </c>
      <c r="J53" s="6">
        <f>H53*'Disposal Increase'!$D$40</f>
        <v>0.5138591122137368</v>
      </c>
      <c r="K53" s="6">
        <f>E53+J53</f>
        <v>8.073859112213736</v>
      </c>
      <c r="L53" s="6">
        <v>8.05</v>
      </c>
      <c r="M53" s="6"/>
      <c r="N53" s="6">
        <f>C53*L53</f>
        <v>8066.1</v>
      </c>
    </row>
    <row r="54" spans="5:14" ht="12.75">
      <c r="E54" s="6"/>
      <c r="F54" s="3"/>
      <c r="G54" s="3"/>
      <c r="H54" s="17"/>
      <c r="I54" s="17"/>
      <c r="J54" s="6" t="s">
        <v>3</v>
      </c>
      <c r="K54" s="6"/>
      <c r="L54" s="6"/>
      <c r="M54" s="6"/>
      <c r="N54" s="6"/>
    </row>
    <row r="55" spans="1:14" ht="12.75">
      <c r="A55" t="s">
        <v>4</v>
      </c>
      <c r="C55" s="2">
        <f>E10</f>
        <v>4813</v>
      </c>
      <c r="E55" s="6">
        <v>35.4</v>
      </c>
      <c r="F55" s="3"/>
      <c r="G55" s="3">
        <f>C55*E55</f>
        <v>170380.19999999998</v>
      </c>
      <c r="H55" s="17">
        <v>175</v>
      </c>
      <c r="I55" s="17">
        <f>C55*H55</f>
        <v>842275</v>
      </c>
      <c r="J55" s="6">
        <f>H55*'Disposal Increase'!$D$40</f>
        <v>3.100873953013929</v>
      </c>
      <c r="K55" s="6">
        <f>E55+J55</f>
        <v>38.50087395301393</v>
      </c>
      <c r="L55" s="6">
        <v>38.5</v>
      </c>
      <c r="M55" s="6"/>
      <c r="N55" s="6">
        <f>C55*L55</f>
        <v>185300.5</v>
      </c>
    </row>
    <row r="56" spans="3:14" ht="12.75">
      <c r="C56" s="2"/>
      <c r="E56" s="6"/>
      <c r="F56" s="3"/>
      <c r="G56" s="3"/>
      <c r="H56" s="17"/>
      <c r="I56" s="17"/>
      <c r="J56" s="6" t="s">
        <v>3</v>
      </c>
      <c r="K56" s="6"/>
      <c r="L56" s="6"/>
      <c r="M56" s="6"/>
      <c r="N56" s="6"/>
    </row>
    <row r="57" spans="1:14" ht="12.75">
      <c r="A57" t="s">
        <v>29</v>
      </c>
      <c r="C57" s="2">
        <v>0</v>
      </c>
      <c r="E57" s="6">
        <v>35.4</v>
      </c>
      <c r="F57" s="3"/>
      <c r="G57" s="3">
        <f>C57*E57</f>
        <v>0</v>
      </c>
      <c r="H57" s="17">
        <v>175</v>
      </c>
      <c r="I57" s="17">
        <f>C57*H57</f>
        <v>0</v>
      </c>
      <c r="J57" s="6">
        <f>H57*'Disposal Increase'!$D$40</f>
        <v>3.100873953013929</v>
      </c>
      <c r="K57" s="6">
        <f>E57+J57</f>
        <v>38.50087395301393</v>
      </c>
      <c r="L57" s="6">
        <v>38.5</v>
      </c>
      <c r="M57" s="6"/>
      <c r="N57" s="6">
        <f>C57*L57</f>
        <v>0</v>
      </c>
    </row>
    <row r="58" spans="3:14" ht="12.75">
      <c r="C58" s="2"/>
      <c r="E58" s="6"/>
      <c r="F58" s="3"/>
      <c r="G58" s="3"/>
      <c r="H58" s="17"/>
      <c r="I58" s="17"/>
      <c r="J58" s="6" t="s">
        <v>3</v>
      </c>
      <c r="K58" s="6"/>
      <c r="L58" s="6"/>
      <c r="M58" s="6"/>
      <c r="N58" s="6"/>
    </row>
    <row r="59" spans="1:14" ht="12.75">
      <c r="A59" t="s">
        <v>5</v>
      </c>
      <c r="C59" s="2">
        <f>E12</f>
        <v>1058.9999999999998</v>
      </c>
      <c r="E59" s="6">
        <v>38.4</v>
      </c>
      <c r="F59" s="3"/>
      <c r="G59" s="3">
        <f>C59*E59</f>
        <v>40665.59999999999</v>
      </c>
      <c r="H59" s="17">
        <v>175</v>
      </c>
      <c r="I59" s="17">
        <f>C59*H59</f>
        <v>185324.99999999997</v>
      </c>
      <c r="J59" s="6">
        <f>H59*'Disposal Increase'!$D$40</f>
        <v>3.100873953013929</v>
      </c>
      <c r="K59" s="6">
        <f>E59+J59</f>
        <v>41.50087395301393</v>
      </c>
      <c r="L59" s="6">
        <v>41.5</v>
      </c>
      <c r="M59" s="6"/>
      <c r="N59" s="6">
        <f>C59*L59</f>
        <v>43948.49999999999</v>
      </c>
    </row>
    <row r="60" spans="3:14" ht="12.75">
      <c r="C60" s="2"/>
      <c r="E60" s="6"/>
      <c r="F60" s="3"/>
      <c r="G60" s="3"/>
      <c r="H60" s="17"/>
      <c r="I60" s="17"/>
      <c r="J60" s="6" t="s">
        <v>3</v>
      </c>
      <c r="K60" s="6"/>
      <c r="L60" s="6"/>
      <c r="M60" s="6"/>
      <c r="N60" s="6"/>
    </row>
    <row r="61" spans="1:14" ht="12.75">
      <c r="A61" t="s">
        <v>30</v>
      </c>
      <c r="C61" s="2">
        <f>E20</f>
        <v>78</v>
      </c>
      <c r="E61" s="6">
        <v>99.4</v>
      </c>
      <c r="F61" s="3"/>
      <c r="G61" s="3">
        <f>C61*E61</f>
        <v>7753.200000000001</v>
      </c>
      <c r="H61" s="17">
        <v>350</v>
      </c>
      <c r="I61" s="17">
        <f>C61*H61</f>
        <v>27300</v>
      </c>
      <c r="J61" s="6">
        <f>H61*'Disposal Increase'!$D$40</f>
        <v>6.201747906027858</v>
      </c>
      <c r="K61" s="6">
        <f>E61+J61</f>
        <v>105.60174790602787</v>
      </c>
      <c r="L61" s="6">
        <v>105.6</v>
      </c>
      <c r="M61" s="6"/>
      <c r="N61" s="6">
        <f>C61*L61</f>
        <v>8236.8</v>
      </c>
    </row>
    <row r="62" spans="3:14" ht="12.75">
      <c r="C62" s="2"/>
      <c r="E62" s="6"/>
      <c r="F62" s="3"/>
      <c r="G62" s="3"/>
      <c r="H62" s="17"/>
      <c r="I62" s="17"/>
      <c r="J62" s="6" t="s">
        <v>3</v>
      </c>
      <c r="K62" s="6"/>
      <c r="L62" s="6"/>
      <c r="M62" s="6"/>
      <c r="N62" s="6"/>
    </row>
    <row r="63" spans="1:14" ht="12.75">
      <c r="A63" t="s">
        <v>6</v>
      </c>
      <c r="C63" s="2">
        <f>E16</f>
        <v>2492</v>
      </c>
      <c r="E63" s="6">
        <v>49.86</v>
      </c>
      <c r="F63" s="3"/>
      <c r="G63" s="3">
        <f>C63*E63</f>
        <v>124251.12</v>
      </c>
      <c r="H63" s="17">
        <v>250</v>
      </c>
      <c r="I63" s="17">
        <f>C63*H63</f>
        <v>623000</v>
      </c>
      <c r="J63" s="6">
        <f>H63*'Disposal Increase'!$D$40</f>
        <v>4.429819932877042</v>
      </c>
      <c r="K63" s="6">
        <f>E63+J63</f>
        <v>54.28981993287704</v>
      </c>
      <c r="L63" s="6">
        <v>54.3</v>
      </c>
      <c r="M63" s="6"/>
      <c r="N63" s="6">
        <f>C63*L63</f>
        <v>135315.6</v>
      </c>
    </row>
    <row r="64" spans="3:14" ht="12.75">
      <c r="C64" s="2"/>
      <c r="E64" s="6"/>
      <c r="F64" s="3"/>
      <c r="G64" s="3"/>
      <c r="H64" s="17"/>
      <c r="I64" s="17"/>
      <c r="J64" s="6" t="s">
        <v>3</v>
      </c>
      <c r="K64" s="6"/>
      <c r="L64" s="6"/>
      <c r="M64" s="6"/>
      <c r="N64" s="6"/>
    </row>
    <row r="65" spans="1:14" ht="12.75">
      <c r="A65" t="s">
        <v>7</v>
      </c>
      <c r="C65" s="2">
        <f>E18</f>
        <v>222</v>
      </c>
      <c r="E65" s="6">
        <v>53.86</v>
      </c>
      <c r="F65" s="3"/>
      <c r="G65" s="3">
        <f>C65*E65</f>
        <v>11956.92</v>
      </c>
      <c r="H65" s="17">
        <v>250</v>
      </c>
      <c r="I65" s="17">
        <f>C65*H65</f>
        <v>55500</v>
      </c>
      <c r="J65" s="6">
        <f>H65*'Disposal Increase'!$D$40</f>
        <v>4.429819932877042</v>
      </c>
      <c r="K65" s="6">
        <f>E65+J65</f>
        <v>58.28981993287704</v>
      </c>
      <c r="L65" s="6">
        <v>58.3</v>
      </c>
      <c r="M65" s="6"/>
      <c r="N65" s="6">
        <f>C65*L65</f>
        <v>12942.599999999999</v>
      </c>
    </row>
    <row r="66" spans="3:14" ht="12.75">
      <c r="C66" s="2"/>
      <c r="E66" s="6"/>
      <c r="F66" s="3"/>
      <c r="G66" s="3"/>
      <c r="H66" s="17"/>
      <c r="I66" s="17"/>
      <c r="J66" s="6" t="s">
        <v>3</v>
      </c>
      <c r="K66" s="6"/>
      <c r="L66" s="6"/>
      <c r="M66" s="6"/>
      <c r="N66" s="6"/>
    </row>
    <row r="67" spans="1:14" ht="12.75">
      <c r="A67" t="s">
        <v>8</v>
      </c>
      <c r="C67" s="2">
        <f>E22</f>
        <v>8358</v>
      </c>
      <c r="E67" s="6">
        <v>61.3</v>
      </c>
      <c r="F67" s="3"/>
      <c r="G67" s="3">
        <f>C67*E67</f>
        <v>512345.39999999997</v>
      </c>
      <c r="H67" s="17">
        <v>324</v>
      </c>
      <c r="I67" s="17">
        <f>C67*H67</f>
        <v>2707992</v>
      </c>
      <c r="J67" s="6">
        <f>H67*'Disposal Increase'!$D$40</f>
        <v>5.741046633008646</v>
      </c>
      <c r="K67" s="6">
        <f>E67+J67</f>
        <v>67.04104663300865</v>
      </c>
      <c r="L67" s="6">
        <v>67.05</v>
      </c>
      <c r="M67" s="6"/>
      <c r="N67" s="6">
        <f>C67*L67</f>
        <v>560403.9</v>
      </c>
    </row>
    <row r="68" spans="3:14" ht="12.75">
      <c r="C68" s="2"/>
      <c r="E68" s="6"/>
      <c r="F68" s="3"/>
      <c r="G68" s="3"/>
      <c r="H68" s="17"/>
      <c r="I68" s="17"/>
      <c r="J68" s="6" t="s">
        <v>3</v>
      </c>
      <c r="K68" s="6"/>
      <c r="L68" s="6"/>
      <c r="M68" s="6"/>
      <c r="N68" s="6"/>
    </row>
    <row r="69" spans="1:14" ht="12.75">
      <c r="A69" t="s">
        <v>9</v>
      </c>
      <c r="C69" s="2">
        <f>E24</f>
        <v>1986</v>
      </c>
      <c r="E69" s="6">
        <v>67.3</v>
      </c>
      <c r="F69" s="3"/>
      <c r="G69" s="3">
        <f>C69*E69</f>
        <v>133657.8</v>
      </c>
      <c r="H69" s="17">
        <v>324</v>
      </c>
      <c r="I69" s="17">
        <f>C69*H69</f>
        <v>643464</v>
      </c>
      <c r="J69" s="6">
        <f>H69*'Disposal Increase'!$D$40</f>
        <v>5.741046633008646</v>
      </c>
      <c r="K69" s="6">
        <f>E69+J69</f>
        <v>73.04104663300865</v>
      </c>
      <c r="L69" s="6">
        <v>73.05</v>
      </c>
      <c r="M69" s="6"/>
      <c r="N69" s="6">
        <f>C69*L69</f>
        <v>145077.3</v>
      </c>
    </row>
    <row r="70" spans="3:14" ht="12.75">
      <c r="C70" s="2"/>
      <c r="E70" s="6"/>
      <c r="F70" s="3"/>
      <c r="G70" s="3"/>
      <c r="H70" s="17"/>
      <c r="I70" s="17"/>
      <c r="J70" s="6" t="s">
        <v>3</v>
      </c>
      <c r="K70" s="6"/>
      <c r="L70" s="6"/>
      <c r="M70" s="6"/>
      <c r="N70" s="6"/>
    </row>
    <row r="71" spans="1:14" ht="12.75">
      <c r="A71" t="s">
        <v>33</v>
      </c>
      <c r="C71" s="2">
        <f>E26</f>
        <v>121.54994562684482</v>
      </c>
      <c r="E71" s="6">
        <v>64.37</v>
      </c>
      <c r="F71" s="3"/>
      <c r="G71" s="3">
        <f>C71*E71</f>
        <v>7824.170000000001</v>
      </c>
      <c r="H71" s="17">
        <v>300</v>
      </c>
      <c r="I71" s="17">
        <f>C71*H71</f>
        <v>36464.98368805344</v>
      </c>
      <c r="J71" s="6">
        <f>H71*'Disposal Increase'!$D$40</f>
        <v>5.31578391945245</v>
      </c>
      <c r="K71" s="6">
        <f>E71+J71</f>
        <v>69.68578391945246</v>
      </c>
      <c r="L71" s="6">
        <v>69.65</v>
      </c>
      <c r="M71" s="6"/>
      <c r="N71" s="6">
        <f>C71*L71</f>
        <v>8465.953712909743</v>
      </c>
    </row>
    <row r="72" spans="3:14" ht="12.75">
      <c r="C72" s="2"/>
      <c r="E72" s="6"/>
      <c r="F72" s="3"/>
      <c r="G72" s="3"/>
      <c r="H72" s="17"/>
      <c r="I72" s="17"/>
      <c r="J72" s="6" t="s">
        <v>3</v>
      </c>
      <c r="K72" s="6"/>
      <c r="L72" s="6"/>
      <c r="M72" s="6"/>
      <c r="N72" s="6"/>
    </row>
    <row r="73" spans="1:14" ht="12.75">
      <c r="A73" t="s">
        <v>10</v>
      </c>
      <c r="C73" s="2">
        <f>E28</f>
        <v>914</v>
      </c>
      <c r="E73" s="6">
        <v>125.35</v>
      </c>
      <c r="F73" s="3"/>
      <c r="G73" s="3">
        <f>C73*E73</f>
        <v>114569.9</v>
      </c>
      <c r="H73" s="17">
        <v>500</v>
      </c>
      <c r="I73" s="17">
        <f>C73*H73</f>
        <v>457000</v>
      </c>
      <c r="J73" s="6">
        <f>H73*'Disposal Increase'!$D$40</f>
        <v>8.859639865754083</v>
      </c>
      <c r="K73" s="6">
        <f>E73+J73</f>
        <v>134.20963986575407</v>
      </c>
      <c r="L73" s="6">
        <v>134.2</v>
      </c>
      <c r="M73" s="6"/>
      <c r="N73" s="6">
        <f>C73*L73</f>
        <v>122658.79999999999</v>
      </c>
    </row>
    <row r="74" spans="3:14" ht="12.75">
      <c r="C74" s="2"/>
      <c r="E74" s="6"/>
      <c r="F74" s="3"/>
      <c r="G74" s="3"/>
      <c r="H74" s="17"/>
      <c r="I74" s="17"/>
      <c r="J74" s="6" t="s">
        <v>3</v>
      </c>
      <c r="K74" s="6"/>
      <c r="L74" s="6"/>
      <c r="M74" s="6"/>
      <c r="N74" s="6"/>
    </row>
    <row r="75" spans="1:14" ht="12.75">
      <c r="A75" t="s">
        <v>11</v>
      </c>
      <c r="C75" s="2">
        <f>E30</f>
        <v>159.00000000000006</v>
      </c>
      <c r="E75" s="6">
        <v>125.35</v>
      </c>
      <c r="F75" s="3"/>
      <c r="G75" s="3">
        <f>C75*E75</f>
        <v>19930.650000000005</v>
      </c>
      <c r="H75" s="17">
        <v>500</v>
      </c>
      <c r="I75" s="17">
        <f>C75*H75</f>
        <v>79500.00000000003</v>
      </c>
      <c r="J75" s="6">
        <f>H75*'Disposal Increase'!$D$40</f>
        <v>8.859639865754083</v>
      </c>
      <c r="K75" s="6">
        <f>E75+J75</f>
        <v>134.20963986575407</v>
      </c>
      <c r="L75" s="6">
        <v>134.2</v>
      </c>
      <c r="M75" s="6"/>
      <c r="N75" s="6">
        <f>C75*L75</f>
        <v>21337.800000000007</v>
      </c>
    </row>
    <row r="76" spans="3:14" ht="12.75">
      <c r="C76" s="2"/>
      <c r="E76" s="6"/>
      <c r="F76" s="3"/>
      <c r="G76" s="3"/>
      <c r="H76" s="3"/>
      <c r="I76" s="3"/>
      <c r="L76" s="6"/>
      <c r="M76" s="6"/>
      <c r="N76" s="6"/>
    </row>
    <row r="77" spans="1:14" ht="12.75">
      <c r="A77" t="s">
        <v>14</v>
      </c>
      <c r="C77" s="2">
        <f>E36</f>
        <v>1012.3630952380952</v>
      </c>
      <c r="E77" s="6">
        <v>84</v>
      </c>
      <c r="F77" s="3"/>
      <c r="G77" s="3">
        <f>C77*E77</f>
        <v>85038.5</v>
      </c>
      <c r="H77" s="3"/>
      <c r="I77" s="3"/>
      <c r="L77" s="6">
        <v>84</v>
      </c>
      <c r="M77" s="6"/>
      <c r="N77" s="6">
        <f>C77*L77</f>
        <v>85038.5</v>
      </c>
    </row>
    <row r="78" spans="8:9" ht="12.75">
      <c r="H78" s="18"/>
      <c r="I78" s="18"/>
    </row>
    <row r="79" spans="6:14" ht="12.75">
      <c r="F79" t="s">
        <v>19</v>
      </c>
      <c r="G79" s="3">
        <f>C38</f>
        <v>114290.3</v>
      </c>
      <c r="H79" s="3"/>
      <c r="I79" s="3"/>
      <c r="M79" t="s">
        <v>19</v>
      </c>
      <c r="N79" s="3">
        <f>G79</f>
        <v>114290.3</v>
      </c>
    </row>
    <row r="80" spans="7:9" ht="12.75">
      <c r="G80" s="3"/>
      <c r="H80" s="3"/>
      <c r="I80" s="3"/>
    </row>
    <row r="81" spans="6:14" ht="12.75">
      <c r="F81" t="s">
        <v>24</v>
      </c>
      <c r="G81" s="3">
        <f>C32</f>
        <v>2006.5</v>
      </c>
      <c r="H81" s="3"/>
      <c r="I81" s="3"/>
      <c r="M81" t="s">
        <v>24</v>
      </c>
      <c r="N81" s="3">
        <f>G81</f>
        <v>2006.5</v>
      </c>
    </row>
    <row r="82" spans="6:14" ht="12.75">
      <c r="F82" t="s">
        <v>25</v>
      </c>
      <c r="G82" s="3">
        <f>C34</f>
        <v>5191.16</v>
      </c>
      <c r="H82" s="3"/>
      <c r="I82" s="3"/>
      <c r="M82" t="s">
        <v>25</v>
      </c>
      <c r="N82" s="3">
        <f>G82</f>
        <v>5191.16</v>
      </c>
    </row>
    <row r="83" spans="5:14" ht="12.75">
      <c r="E83" t="s">
        <v>16</v>
      </c>
      <c r="G83" s="6">
        <f>C40</f>
        <v>8398.34</v>
      </c>
      <c r="H83" s="6"/>
      <c r="I83" s="6"/>
      <c r="L83" t="s">
        <v>16</v>
      </c>
      <c r="N83" s="3">
        <f>G83</f>
        <v>8398.34</v>
      </c>
    </row>
    <row r="85" spans="3:14" ht="12.75">
      <c r="C85" s="1"/>
      <c r="E85" t="s">
        <v>69</v>
      </c>
      <c r="G85" s="3">
        <f>SUM(G51:G83)</f>
        <v>1384372</v>
      </c>
      <c r="H85" s="3"/>
      <c r="I85" s="95">
        <f>SUM(I51:I84)</f>
        <v>5757986.983688054</v>
      </c>
      <c r="L85" t="s">
        <v>20</v>
      </c>
      <c r="N85" s="3">
        <f>SUM(N51:N83)</f>
        <v>1486417.2537129098</v>
      </c>
    </row>
    <row r="87" spans="12:14" ht="12.75">
      <c r="L87" s="19" t="s">
        <v>66</v>
      </c>
      <c r="N87" s="20">
        <f>N85-G85</f>
        <v>102045.25371290976</v>
      </c>
    </row>
    <row r="90" spans="3:14" ht="12.7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3:14" ht="12.7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3" spans="5:16" ht="12.75">
      <c r="E93" s="3"/>
      <c r="F93" s="3"/>
      <c r="G93" s="3"/>
      <c r="H93" s="3"/>
      <c r="I93" s="3"/>
      <c r="J93" s="12"/>
      <c r="K93" s="12"/>
      <c r="L93" s="12"/>
      <c r="M93" s="14"/>
      <c r="N93" s="6"/>
      <c r="O93" s="6"/>
      <c r="P93" s="6"/>
    </row>
    <row r="94" spans="5:16" ht="12.75">
      <c r="E94" s="3"/>
      <c r="F94" s="3"/>
      <c r="G94" s="3"/>
      <c r="H94" s="3"/>
      <c r="I94" s="3"/>
      <c r="J94" s="12"/>
      <c r="K94" s="12"/>
      <c r="L94" s="12"/>
      <c r="M94" s="12"/>
      <c r="N94" s="6"/>
      <c r="O94" s="6"/>
      <c r="P94" s="6"/>
    </row>
    <row r="95" spans="5:16" ht="12.75">
      <c r="E95" s="3"/>
      <c r="F95" s="3"/>
      <c r="G95" s="3"/>
      <c r="H95" s="3"/>
      <c r="I95" s="3"/>
      <c r="J95" s="12"/>
      <c r="K95" s="12"/>
      <c r="L95" s="12"/>
      <c r="M95" s="14"/>
      <c r="N95" s="6"/>
      <c r="O95" s="6"/>
      <c r="P95" s="6"/>
    </row>
    <row r="96" spans="5:16" ht="12.75">
      <c r="E96" s="3"/>
      <c r="F96" s="3"/>
      <c r="G96" s="3"/>
      <c r="H96" s="3"/>
      <c r="I96" s="3"/>
      <c r="J96" s="12"/>
      <c r="K96" s="12"/>
      <c r="L96" s="12"/>
      <c r="M96" s="12"/>
      <c r="N96" s="6"/>
      <c r="O96" s="6"/>
      <c r="P96" s="6"/>
    </row>
    <row r="97" spans="3:16" ht="12.75">
      <c r="C97" s="2"/>
      <c r="E97" s="3"/>
      <c r="F97" s="3"/>
      <c r="G97" s="3"/>
      <c r="H97" s="3"/>
      <c r="I97" s="3"/>
      <c r="J97" s="12"/>
      <c r="K97" s="12"/>
      <c r="L97" s="12"/>
      <c r="M97" s="14"/>
      <c r="N97" s="6"/>
      <c r="O97" s="6"/>
      <c r="P97" s="6"/>
    </row>
    <row r="98" spans="3:16" ht="12.75">
      <c r="C98" s="2"/>
      <c r="E98" s="3"/>
      <c r="F98" s="3"/>
      <c r="G98" s="3"/>
      <c r="H98" s="3"/>
      <c r="I98" s="3"/>
      <c r="J98" s="12"/>
      <c r="K98" s="12"/>
      <c r="L98" s="12"/>
      <c r="M98" s="12"/>
      <c r="N98" s="6"/>
      <c r="O98" s="6"/>
      <c r="P98" s="6"/>
    </row>
    <row r="99" spans="3:16" ht="12.75">
      <c r="C99" s="2"/>
      <c r="E99" s="3"/>
      <c r="F99" s="3"/>
      <c r="G99" s="3"/>
      <c r="H99" s="3"/>
      <c r="I99" s="3"/>
      <c r="J99" s="12"/>
      <c r="K99" s="12"/>
      <c r="L99" s="12"/>
      <c r="M99" s="14"/>
      <c r="N99" s="6"/>
      <c r="O99" s="6"/>
      <c r="P99" s="6"/>
    </row>
    <row r="100" spans="3:16" ht="12.75">
      <c r="C100" s="2"/>
      <c r="E100" s="3"/>
      <c r="F100" s="3"/>
      <c r="G100" s="3"/>
      <c r="H100" s="3"/>
      <c r="I100" s="3"/>
      <c r="J100" s="12"/>
      <c r="K100" s="12"/>
      <c r="L100" s="12"/>
      <c r="M100" s="14"/>
      <c r="N100" s="6"/>
      <c r="O100" s="6"/>
      <c r="P100" s="6"/>
    </row>
    <row r="101" spans="3:16" ht="12.75">
      <c r="C101" s="2"/>
      <c r="E101" s="3"/>
      <c r="F101" s="3"/>
      <c r="G101" s="3"/>
      <c r="H101" s="3"/>
      <c r="I101" s="3"/>
      <c r="J101" s="12"/>
      <c r="K101" s="12"/>
      <c r="L101" s="12"/>
      <c r="M101" s="12"/>
      <c r="N101" s="6"/>
      <c r="O101" s="6"/>
      <c r="P101" s="6"/>
    </row>
    <row r="102" spans="3:16" ht="12.75">
      <c r="C102" s="2"/>
      <c r="E102" s="3"/>
      <c r="F102" s="3"/>
      <c r="G102" s="3"/>
      <c r="H102" s="3"/>
      <c r="I102" s="3"/>
      <c r="J102" s="12"/>
      <c r="K102" s="12"/>
      <c r="L102" s="12"/>
      <c r="M102" s="12"/>
      <c r="N102" s="6"/>
      <c r="O102" s="6"/>
      <c r="P102" s="6"/>
    </row>
    <row r="103" spans="3:16" ht="12.75">
      <c r="C103" s="2"/>
      <c r="E103" s="3"/>
      <c r="F103" s="3"/>
      <c r="G103" s="3"/>
      <c r="H103" s="3"/>
      <c r="I103" s="3"/>
      <c r="J103" s="12"/>
      <c r="K103" s="12"/>
      <c r="L103" s="12"/>
      <c r="M103" s="14"/>
      <c r="N103" s="6"/>
      <c r="O103" s="6"/>
      <c r="P103" s="6"/>
    </row>
    <row r="104" spans="3:16" ht="12.75">
      <c r="C104" s="2"/>
      <c r="E104" s="3"/>
      <c r="F104" s="3"/>
      <c r="G104" s="3"/>
      <c r="H104" s="3"/>
      <c r="I104" s="3"/>
      <c r="J104" s="12"/>
      <c r="K104" s="12"/>
      <c r="L104" s="12"/>
      <c r="M104" s="12"/>
      <c r="N104" s="6"/>
      <c r="O104" s="6"/>
      <c r="P104" s="6"/>
    </row>
    <row r="105" spans="3:16" ht="12.75">
      <c r="C105" s="2"/>
      <c r="E105" s="3"/>
      <c r="F105" s="3"/>
      <c r="G105" s="3"/>
      <c r="H105" s="3"/>
      <c r="I105" s="3"/>
      <c r="J105" s="12"/>
      <c r="K105" s="12"/>
      <c r="L105" s="12"/>
      <c r="M105" s="14"/>
      <c r="N105" s="6"/>
      <c r="O105" s="6"/>
      <c r="P105" s="6"/>
    </row>
    <row r="106" spans="3:16" ht="12.75">
      <c r="C106" s="2"/>
      <c r="E106" s="3"/>
      <c r="F106" s="3"/>
      <c r="G106" s="3"/>
      <c r="H106" s="3"/>
      <c r="I106" s="3"/>
      <c r="J106" s="12"/>
      <c r="K106" s="12"/>
      <c r="L106" s="12"/>
      <c r="M106" s="14"/>
      <c r="N106" s="6"/>
      <c r="O106" s="6"/>
      <c r="P106" s="6"/>
    </row>
    <row r="107" spans="3:16" ht="12.75">
      <c r="C107" s="2"/>
      <c r="E107" s="3"/>
      <c r="F107" s="3"/>
      <c r="G107" s="3"/>
      <c r="H107" s="3"/>
      <c r="I107" s="3"/>
      <c r="J107" s="12"/>
      <c r="K107" s="12"/>
      <c r="L107" s="12"/>
      <c r="M107" s="14"/>
      <c r="N107" s="6"/>
      <c r="O107" s="6"/>
      <c r="P107" s="6"/>
    </row>
    <row r="108" spans="3:16" ht="12.75">
      <c r="C108" s="2"/>
      <c r="E108" s="3"/>
      <c r="F108" s="3"/>
      <c r="G108" s="3"/>
      <c r="H108" s="3"/>
      <c r="I108" s="3"/>
      <c r="J108" s="12"/>
      <c r="K108" s="12"/>
      <c r="L108" s="12"/>
      <c r="M108" s="14"/>
      <c r="N108" s="6"/>
      <c r="O108" s="6"/>
      <c r="P108" s="6"/>
    </row>
    <row r="109" spans="3:16" ht="12.75">
      <c r="C109" s="2"/>
      <c r="E109" s="3"/>
      <c r="F109" s="3"/>
      <c r="G109" s="3"/>
      <c r="H109" s="3"/>
      <c r="I109" s="3"/>
      <c r="J109" s="12"/>
      <c r="K109" s="12"/>
      <c r="L109" s="12"/>
      <c r="M109" s="14"/>
      <c r="N109" s="6"/>
      <c r="O109" s="6"/>
      <c r="P109" s="6"/>
    </row>
    <row r="110" spans="3:16" ht="12.75">
      <c r="C110" s="2"/>
      <c r="E110" s="3"/>
      <c r="F110" s="3"/>
      <c r="G110" s="3"/>
      <c r="H110" s="3"/>
      <c r="I110" s="3"/>
      <c r="J110" s="12"/>
      <c r="K110" s="12"/>
      <c r="L110" s="12"/>
      <c r="M110" s="12"/>
      <c r="N110" s="6"/>
      <c r="O110" s="6"/>
      <c r="P110" s="6"/>
    </row>
    <row r="111" spans="3:16" ht="12.75">
      <c r="C111" s="2"/>
      <c r="E111" s="3"/>
      <c r="F111" s="3"/>
      <c r="G111" s="3"/>
      <c r="H111" s="3"/>
      <c r="I111" s="3"/>
      <c r="J111" s="12"/>
      <c r="K111" s="12"/>
      <c r="L111" s="12"/>
      <c r="M111" s="14"/>
      <c r="N111" s="6"/>
      <c r="O111" s="6"/>
      <c r="P111" s="6"/>
    </row>
    <row r="112" spans="3:16" ht="12.75">
      <c r="C112" s="2"/>
      <c r="E112" s="3"/>
      <c r="F112" s="3"/>
      <c r="G112" s="3"/>
      <c r="H112" s="3"/>
      <c r="I112" s="3"/>
      <c r="J112" s="12"/>
      <c r="K112" s="12"/>
      <c r="L112" s="12"/>
      <c r="M112" s="12"/>
      <c r="N112" s="6"/>
      <c r="O112" s="6"/>
      <c r="P112" s="6"/>
    </row>
    <row r="113" spans="3:16" ht="12.75">
      <c r="C113" s="2"/>
      <c r="E113" s="3"/>
      <c r="F113" s="3"/>
      <c r="G113" s="3"/>
      <c r="H113" s="3"/>
      <c r="I113" s="3"/>
      <c r="J113" s="12"/>
      <c r="K113" s="12"/>
      <c r="L113" s="12"/>
      <c r="M113" s="14"/>
      <c r="N113" s="6"/>
      <c r="O113" s="6"/>
      <c r="P113" s="6"/>
    </row>
    <row r="114" spans="3:16" ht="12.75">
      <c r="C114" s="2"/>
      <c r="E114" s="3"/>
      <c r="F114" s="3"/>
      <c r="G114" s="3"/>
      <c r="H114" s="3"/>
      <c r="I114" s="3"/>
      <c r="J114" s="12"/>
      <c r="K114" s="12"/>
      <c r="L114" s="12"/>
      <c r="M114" s="12"/>
      <c r="N114" s="6"/>
      <c r="O114" s="6"/>
      <c r="P114" s="6"/>
    </row>
    <row r="115" spans="3:16" ht="12.75">
      <c r="C115" s="2"/>
      <c r="E115" s="3"/>
      <c r="F115" s="3"/>
      <c r="G115" s="3"/>
      <c r="H115" s="3"/>
      <c r="I115" s="3"/>
      <c r="J115" s="12"/>
      <c r="K115" s="12"/>
      <c r="L115" s="12"/>
      <c r="M115" s="14"/>
      <c r="N115" s="6"/>
      <c r="O115" s="6"/>
      <c r="P115" s="6"/>
    </row>
    <row r="116" spans="3:16" ht="12.75">
      <c r="C116" s="2"/>
      <c r="E116" s="3"/>
      <c r="F116" s="3"/>
      <c r="G116" s="3"/>
      <c r="H116" s="3"/>
      <c r="I116" s="3"/>
      <c r="N116" s="6"/>
      <c r="O116" s="6"/>
      <c r="P116" s="6"/>
    </row>
    <row r="117" spans="5:16" ht="12.75">
      <c r="E117" s="15"/>
      <c r="G117" s="3"/>
      <c r="H117" s="3"/>
      <c r="I117" s="3"/>
      <c r="J117" s="1"/>
      <c r="K117" s="1"/>
      <c r="L117" s="12"/>
      <c r="M117" s="14"/>
      <c r="N117" s="15"/>
      <c r="P117" s="6"/>
    </row>
    <row r="119" spans="5:16" ht="12.75">
      <c r="E119" s="6"/>
      <c r="G119" s="3"/>
      <c r="H119" s="3"/>
      <c r="I119" s="3"/>
      <c r="P119" s="3"/>
    </row>
    <row r="121" spans="7:16" ht="12.75">
      <c r="G121" s="3"/>
      <c r="H121" s="3"/>
      <c r="I121" s="3"/>
      <c r="P121" s="3"/>
    </row>
    <row r="122" spans="7:16" ht="12.75">
      <c r="G122" s="3"/>
      <c r="H122" s="3"/>
      <c r="I122" s="3"/>
      <c r="P122" s="3"/>
    </row>
    <row r="123" spans="7:16" ht="12.75">
      <c r="G123" s="3"/>
      <c r="H123" s="3"/>
      <c r="I123" s="3"/>
      <c r="P123" s="3"/>
    </row>
    <row r="124" spans="7:16" ht="12.75">
      <c r="G124" s="15"/>
      <c r="H124" s="15"/>
      <c r="I124" s="15"/>
      <c r="P124" s="15"/>
    </row>
    <row r="125" spans="7:16" ht="12.75">
      <c r="G125" s="6"/>
      <c r="H125" s="6"/>
      <c r="I125" s="6"/>
      <c r="P125" s="6"/>
    </row>
    <row r="127" spans="3:16" ht="12.75">
      <c r="C127" s="1"/>
      <c r="G127" s="3"/>
      <c r="H127" s="3"/>
      <c r="I127" s="3"/>
      <c r="P127" s="3"/>
    </row>
    <row r="130" ht="12.75">
      <c r="P130" s="3"/>
    </row>
  </sheetData>
  <sheetProtection/>
  <printOptions headings="1"/>
  <pageMargins left="0.33" right="0.45" top="0.49" bottom="0.56" header="0.5" footer="0.5"/>
  <pageSetup fitToHeight="1" fitToWidth="1" horizontalDpi="600" verticalDpi="600" orientation="landscape" paperSize="13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22</v>
      </c>
    </row>
    <row r="2" ht="12.75">
      <c r="A2" s="1" t="s">
        <v>83</v>
      </c>
    </row>
    <row r="4" spans="1:13" ht="12.75">
      <c r="A4" s="67" t="s">
        <v>82</v>
      </c>
      <c r="D4" s="67" t="s">
        <v>81</v>
      </c>
      <c r="G4" s="67" t="s">
        <v>80</v>
      </c>
      <c r="J4" s="67" t="s">
        <v>79</v>
      </c>
      <c r="M4" s="79" t="s">
        <v>84</v>
      </c>
    </row>
    <row r="5" spans="2:15" ht="12.75">
      <c r="B5" s="1" t="s">
        <v>77</v>
      </c>
      <c r="C5" s="1" t="s">
        <v>76</v>
      </c>
      <c r="E5" s="1" t="s">
        <v>77</v>
      </c>
      <c r="F5" s="1" t="s">
        <v>76</v>
      </c>
      <c r="H5" s="1" t="s">
        <v>77</v>
      </c>
      <c r="I5" s="1" t="s">
        <v>76</v>
      </c>
      <c r="K5" s="1" t="s">
        <v>77</v>
      </c>
      <c r="L5" s="1" t="s">
        <v>76</v>
      </c>
      <c r="N5" s="1" t="s">
        <v>77</v>
      </c>
      <c r="O5" s="1" t="s">
        <v>76</v>
      </c>
    </row>
    <row r="7" spans="1:15" ht="12.75">
      <c r="A7" s="1" t="s">
        <v>75</v>
      </c>
      <c r="B7" s="64">
        <f>16486.17</f>
        <v>16486.17</v>
      </c>
      <c r="C7" s="64">
        <f>2698.07</f>
        <v>2698.07</v>
      </c>
      <c r="D7" s="1" t="s">
        <v>75</v>
      </c>
      <c r="E7" s="64">
        <f>12602.52-16.43</f>
        <v>12586.09</v>
      </c>
      <c r="F7" s="64">
        <f>2723.9</f>
        <v>2723.9</v>
      </c>
      <c r="G7" s="1" t="s">
        <v>75</v>
      </c>
      <c r="H7" s="64">
        <f>2724.54-8.8</f>
        <v>2715.74</v>
      </c>
      <c r="I7" s="63"/>
      <c r="J7" s="1" t="s">
        <v>75</v>
      </c>
      <c r="K7" s="66">
        <v>0</v>
      </c>
      <c r="L7" s="63"/>
      <c r="M7" s="1" t="s">
        <v>75</v>
      </c>
      <c r="N7" s="64">
        <v>0</v>
      </c>
      <c r="O7" s="63"/>
    </row>
    <row r="9" spans="1:15" ht="12.75">
      <c r="A9" s="1" t="s">
        <v>74</v>
      </c>
      <c r="B9" s="64">
        <v>0</v>
      </c>
      <c r="C9" s="64">
        <v>0</v>
      </c>
      <c r="D9" s="1" t="s">
        <v>74</v>
      </c>
      <c r="E9" s="64">
        <v>0</v>
      </c>
      <c r="F9" s="64">
        <v>0</v>
      </c>
      <c r="G9" s="1" t="s">
        <v>74</v>
      </c>
      <c r="H9" s="64">
        <v>0</v>
      </c>
      <c r="I9" s="63"/>
      <c r="J9" s="1" t="s">
        <v>74</v>
      </c>
      <c r="K9" s="64">
        <v>0</v>
      </c>
      <c r="L9" s="63"/>
      <c r="M9" s="1" t="s">
        <v>74</v>
      </c>
      <c r="N9" s="64">
        <v>0</v>
      </c>
      <c r="O9" s="63"/>
    </row>
    <row r="10" ht="12.75">
      <c r="O10" s="65"/>
    </row>
    <row r="11" spans="1:15" ht="12.75">
      <c r="A11" s="1" t="s">
        <v>13</v>
      </c>
      <c r="B11" s="64">
        <f>103.92</f>
        <v>103.92</v>
      </c>
      <c r="C11" s="64">
        <v>0</v>
      </c>
      <c r="D11" s="1" t="s">
        <v>13</v>
      </c>
      <c r="E11" s="64">
        <f>93.24</f>
        <v>93.24</v>
      </c>
      <c r="F11" s="64">
        <v>0</v>
      </c>
      <c r="G11" s="1" t="s">
        <v>13</v>
      </c>
      <c r="H11" s="64">
        <f>6.34</f>
        <v>6.34</v>
      </c>
      <c r="I11" s="63"/>
      <c r="J11" s="1" t="s">
        <v>13</v>
      </c>
      <c r="K11" s="64">
        <v>0</v>
      </c>
      <c r="L11" s="63"/>
      <c r="M11" s="1" t="s">
        <v>13</v>
      </c>
      <c r="N11" s="64">
        <v>0</v>
      </c>
      <c r="O11" s="63"/>
    </row>
    <row r="13" spans="1:3" ht="12.75">
      <c r="A13" s="1" t="s">
        <v>73</v>
      </c>
      <c r="C13" s="62">
        <f>164.54</f>
        <v>164.54</v>
      </c>
    </row>
    <row r="14" spans="1:3" ht="12.75">
      <c r="A14" s="1" t="s">
        <v>72</v>
      </c>
      <c r="C14" s="62">
        <f>1095.46-7.86</f>
        <v>1087.6000000000001</v>
      </c>
    </row>
    <row r="15" spans="1:3" ht="12.75">
      <c r="A15" s="1" t="s">
        <v>2</v>
      </c>
      <c r="C15" s="62">
        <f>3230.46-55.02</f>
        <v>3175.44</v>
      </c>
    </row>
    <row r="17" spans="1:3" ht="12.75">
      <c r="A17" s="1" t="s">
        <v>71</v>
      </c>
      <c r="C17" s="62">
        <v>334.28</v>
      </c>
    </row>
    <row r="18" spans="1:3" ht="12.75">
      <c r="A18" s="1" t="s">
        <v>70</v>
      </c>
      <c r="C18" s="62">
        <v>-58.97</v>
      </c>
    </row>
    <row r="20" spans="1:2" ht="12.75">
      <c r="A20" s="1" t="s">
        <v>69</v>
      </c>
      <c r="B20" s="1">
        <f>SUM(B7:O11)+C13+C14+C15+C17+C18</f>
        <v>42116.359999999986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0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C16" sqref="C16"/>
    </sheetView>
  </sheetViews>
  <sheetFormatPr defaultColWidth="9.140625" defaultRowHeight="12.75"/>
  <sheetData>
    <row r="1" ht="12.75">
      <c r="A1" t="s">
        <v>22</v>
      </c>
    </row>
    <row r="2" ht="12.75">
      <c r="A2" t="s">
        <v>83</v>
      </c>
    </row>
    <row r="4" spans="1:13" ht="12.75">
      <c r="A4" s="73" t="s">
        <v>82</v>
      </c>
      <c r="D4" s="73" t="s">
        <v>81</v>
      </c>
      <c r="G4" s="73" t="s">
        <v>80</v>
      </c>
      <c r="J4" s="73" t="s">
        <v>79</v>
      </c>
      <c r="M4" s="73" t="s">
        <v>86</v>
      </c>
    </row>
    <row r="5" spans="2:15" ht="12.75">
      <c r="B5" t="s">
        <v>77</v>
      </c>
      <c r="C5" t="s">
        <v>76</v>
      </c>
      <c r="E5" t="s">
        <v>77</v>
      </c>
      <c r="F5" t="s">
        <v>76</v>
      </c>
      <c r="H5" t="s">
        <v>77</v>
      </c>
      <c r="I5" t="s">
        <v>76</v>
      </c>
      <c r="K5" t="s">
        <v>77</v>
      </c>
      <c r="L5" t="s">
        <v>76</v>
      </c>
      <c r="N5" t="s">
        <v>77</v>
      </c>
      <c r="O5" t="s">
        <v>76</v>
      </c>
    </row>
    <row r="7" spans="1:15" ht="12.75">
      <c r="A7" t="s">
        <v>75</v>
      </c>
      <c r="B7" s="70">
        <f>18014.17-15.99</f>
        <v>17998.179999999997</v>
      </c>
      <c r="C7" s="70">
        <f>3158.7</f>
        <v>3158.7</v>
      </c>
      <c r="D7" t="s">
        <v>75</v>
      </c>
      <c r="E7" s="64">
        <f>13463.86-90.46</f>
        <v>13373.400000000001</v>
      </c>
      <c r="F7" s="64">
        <f>3758.71</f>
        <v>3758.71</v>
      </c>
      <c r="G7" t="s">
        <v>75</v>
      </c>
      <c r="H7" s="64">
        <v>2829.74</v>
      </c>
      <c r="I7" s="64">
        <v>0</v>
      </c>
      <c r="J7" t="s">
        <v>75</v>
      </c>
      <c r="K7" s="66">
        <v>0</v>
      </c>
      <c r="L7" s="64">
        <v>0</v>
      </c>
      <c r="M7" t="s">
        <v>75</v>
      </c>
      <c r="N7" s="64">
        <v>0</v>
      </c>
      <c r="O7" s="64">
        <v>0</v>
      </c>
    </row>
    <row r="8" spans="5:15" ht="12.75">
      <c r="E8" s="1"/>
      <c r="F8" s="1"/>
      <c r="H8" s="1"/>
      <c r="I8" s="1"/>
      <c r="K8" s="1"/>
      <c r="L8" s="1"/>
      <c r="N8" s="1"/>
      <c r="O8" s="1"/>
    </row>
    <row r="9" spans="1:15" ht="12.75">
      <c r="A9" t="s">
        <v>74</v>
      </c>
      <c r="B9" s="70">
        <v>0</v>
      </c>
      <c r="C9" s="70">
        <v>0</v>
      </c>
      <c r="D9" t="s">
        <v>74</v>
      </c>
      <c r="E9" s="64">
        <v>0</v>
      </c>
      <c r="F9" s="64">
        <v>0</v>
      </c>
      <c r="G9" t="s">
        <v>74</v>
      </c>
      <c r="H9" s="64"/>
      <c r="I9" s="64">
        <v>0</v>
      </c>
      <c r="J9" t="s">
        <v>74</v>
      </c>
      <c r="K9" s="64">
        <v>0</v>
      </c>
      <c r="L9" s="64">
        <v>0</v>
      </c>
      <c r="M9" t="s">
        <v>74</v>
      </c>
      <c r="N9" s="64">
        <v>0</v>
      </c>
      <c r="O9" s="64">
        <v>0</v>
      </c>
    </row>
    <row r="10" spans="5:15" ht="12.75">
      <c r="E10" s="1"/>
      <c r="F10" s="1"/>
      <c r="H10" s="1"/>
      <c r="I10" s="1"/>
      <c r="K10" s="1"/>
      <c r="L10" s="1"/>
      <c r="N10" s="1"/>
      <c r="O10" s="65"/>
    </row>
    <row r="11" spans="1:15" ht="12.75">
      <c r="A11" t="s">
        <v>13</v>
      </c>
      <c r="B11" s="70">
        <f>103.92</f>
        <v>103.92</v>
      </c>
      <c r="C11" s="70">
        <v>0</v>
      </c>
      <c r="D11" t="s">
        <v>13</v>
      </c>
      <c r="E11" s="64">
        <f>99.82</f>
        <v>99.82</v>
      </c>
      <c r="F11" s="64">
        <v>0</v>
      </c>
      <c r="G11" t="s">
        <v>13</v>
      </c>
      <c r="H11" s="64">
        <f>6.34</f>
        <v>6.34</v>
      </c>
      <c r="I11" s="64">
        <v>0</v>
      </c>
      <c r="J11" t="s">
        <v>13</v>
      </c>
      <c r="K11" s="64">
        <v>0</v>
      </c>
      <c r="L11" s="64">
        <v>0</v>
      </c>
      <c r="M11" t="s">
        <v>13</v>
      </c>
      <c r="N11" s="64">
        <v>0</v>
      </c>
      <c r="O11" s="64">
        <v>0</v>
      </c>
    </row>
    <row r="13" spans="1:3" ht="12.75">
      <c r="A13" t="s">
        <v>73</v>
      </c>
      <c r="C13" s="68">
        <f>311.76</f>
        <v>311.76</v>
      </c>
    </row>
    <row r="14" spans="1:3" ht="12.75">
      <c r="A14" t="s">
        <v>72</v>
      </c>
      <c r="C14" s="68">
        <f>2319.36-107.72</f>
        <v>2211.6400000000003</v>
      </c>
    </row>
    <row r="15" spans="1:3" ht="12.75">
      <c r="A15" t="s">
        <v>2</v>
      </c>
      <c r="C15" s="68">
        <f>5407.68-173.02</f>
        <v>5234.66</v>
      </c>
    </row>
    <row r="17" spans="1:3" ht="12.75">
      <c r="A17" t="s">
        <v>71</v>
      </c>
      <c r="C17" s="68">
        <v>578.9</v>
      </c>
    </row>
    <row r="18" spans="1:3" ht="12.75">
      <c r="A18" t="s">
        <v>70</v>
      </c>
      <c r="C18" s="68">
        <v>-357.74</v>
      </c>
    </row>
    <row r="20" spans="1:2" ht="12.75">
      <c r="A20" t="s">
        <v>69</v>
      </c>
      <c r="B20">
        <f>SUM(B7:O11)+C13+C14+C15+C17+C18</f>
        <v>49308.03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2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PageLayoutView="0" workbookViewId="0" topLeftCell="A21">
      <selection activeCell="D51" sqref="D51"/>
    </sheetView>
  </sheetViews>
  <sheetFormatPr defaultColWidth="9.140625" defaultRowHeight="12.75"/>
  <cols>
    <col min="1" max="1" width="11.8515625" style="0" customWidth="1"/>
    <col min="2" max="2" width="11.140625" style="0" customWidth="1"/>
    <col min="3" max="3" width="11.140625" style="0" bestFit="1" customWidth="1"/>
    <col min="4" max="4" width="7.57421875" style="0" customWidth="1"/>
    <col min="5" max="5" width="13.140625" style="0" customWidth="1"/>
    <col min="6" max="6" width="11.140625" style="0" customWidth="1"/>
    <col min="7" max="7" width="11.140625" style="0" bestFit="1" customWidth="1"/>
    <col min="8" max="8" width="10.28125" style="0" customWidth="1"/>
    <col min="9" max="9" width="11.140625" style="0" bestFit="1" customWidth="1"/>
    <col min="10" max="10" width="5.7109375" style="0" customWidth="1"/>
    <col min="11" max="11" width="9.28125" style="0" bestFit="1" customWidth="1"/>
    <col min="12" max="12" width="9.28125" style="0" customWidth="1"/>
    <col min="13" max="13" width="12.140625" style="0" customWidth="1"/>
    <col min="14" max="14" width="11.140625" style="0" bestFit="1" customWidth="1"/>
    <col min="15" max="15" width="8.7109375" style="0" customWidth="1"/>
    <col min="16" max="16" width="10.421875" style="0" customWidth="1"/>
    <col min="17" max="17" width="5.00390625" style="0" customWidth="1"/>
    <col min="18" max="18" width="14.28125" style="0" customWidth="1"/>
    <col min="19" max="19" width="5.140625" style="0" customWidth="1"/>
    <col min="20" max="20" width="14.421875" style="0" customWidth="1"/>
  </cols>
  <sheetData>
    <row r="1" ht="12.75">
      <c r="A1" t="s">
        <v>109</v>
      </c>
    </row>
    <row r="2" ht="12.75">
      <c r="A2" t="s">
        <v>108</v>
      </c>
    </row>
    <row r="3" ht="12.75">
      <c r="A3" s="59" t="s">
        <v>118</v>
      </c>
    </row>
    <row r="5" spans="1:14" ht="12.75">
      <c r="A5" s="73" t="s">
        <v>82</v>
      </c>
      <c r="D5" s="73" t="s">
        <v>81</v>
      </c>
      <c r="G5" s="73" t="s">
        <v>80</v>
      </c>
      <c r="J5" s="73" t="s">
        <v>79</v>
      </c>
      <c r="N5" s="73" t="s">
        <v>113</v>
      </c>
    </row>
    <row r="6" spans="2:16" ht="12.75">
      <c r="B6" t="s">
        <v>77</v>
      </c>
      <c r="C6" t="s">
        <v>76</v>
      </c>
      <c r="E6" t="s">
        <v>77</v>
      </c>
      <c r="F6" t="s">
        <v>76</v>
      </c>
      <c r="H6" t="s">
        <v>77</v>
      </c>
      <c r="I6" t="s">
        <v>76</v>
      </c>
      <c r="K6" t="s">
        <v>77</v>
      </c>
      <c r="M6" t="s">
        <v>76</v>
      </c>
      <c r="O6" t="s">
        <v>77</v>
      </c>
      <c r="P6" t="s">
        <v>76</v>
      </c>
    </row>
    <row r="8" spans="1:18" ht="12.75">
      <c r="A8" t="s">
        <v>75</v>
      </c>
      <c r="B8" s="4">
        <f>'OCT-NOV 2018 RES.'!B7+'DEC 2018-JAN 2019 RES.'!B7+'FEB-MAR 2019 RES.'!B7+'APR-MAY 2019 RES.'!B7+'AUG-SEPT 2018 RES. '!B7+'JUNE-JULY 2019 RES.'!B7</f>
        <v>106597.01999999999</v>
      </c>
      <c r="C8" s="4">
        <f>'OCT-NOV 2018 RES.'!C7+'DEC 2018-JAN 2019 RES.'!C7+'FEB-MAR 2019 RES.'!C7+'APR-MAY 2019 RES.'!C7+'AUG-SEPT 2018 RES. '!C7+'JUNE-JULY 2019 RES.'!C7</f>
        <v>15842.14</v>
      </c>
      <c r="D8" s="3" t="s">
        <v>75</v>
      </c>
      <c r="E8" s="4">
        <f>'OCT-NOV 2018 RES.'!E7+'DEC 2018-JAN 2019 RES.'!E7+'FEB-MAR 2019 RES.'!E7+'APR-MAY 2019 RES.'!E7+'AUG-SEPT 2018 RES. '!E7+'JUNE-JULY 2019 RES.'!E7</f>
        <v>76666.48999999999</v>
      </c>
      <c r="F8" s="4">
        <f>'OCT-NOV 2018 RES.'!F7+'DEC 2018-JAN 2019 RES.'!F7+'FEB-MAR 2019 RES.'!F7+'APR-MAY 2019 RES.'!F7+'AUG-SEPT 2018 RES. '!F7+'JUNE-JULY 2019 RES.'!F7</f>
        <v>15984.84</v>
      </c>
      <c r="G8" s="3" t="s">
        <v>75</v>
      </c>
      <c r="H8" s="4">
        <f>'OCT-NOV 2018 RES.'!H7+'DEC 2018-JAN 2019 RES.'!H7+'FEB-MAR 2019 RES.'!H7+'APR-MAY 2019 RES.'!H7+'AUG-SEPT 2018 RES. '!H7+'JUNE-JULY 2019 RES.'!H7</f>
        <v>17031.909999999996</v>
      </c>
      <c r="I8" s="5"/>
      <c r="J8" s="3" t="s">
        <v>75</v>
      </c>
      <c r="K8" s="4">
        <f>'OCT-NOV 2018 RES.'!K7+'DEC 2018-JAN 2019 RES.'!K7+'FEB-MAR 2019 RES.'!K7+'APR-MAY 2019 RES.'!K7+'AUG-SEPT 2018 RES. '!K7+'JUNE-JULY 2019 RES.'!K7</f>
        <v>0</v>
      </c>
      <c r="L8" s="83"/>
      <c r="M8" s="5"/>
      <c r="N8" s="3" t="s">
        <v>75</v>
      </c>
      <c r="O8" s="4">
        <f>'OCT-NOV 2018 RES.'!O7+'DEC 2018-JAN 2019 RES.'!O7+'FEB-MAR 2019 RES.'!O7+'APR-MAY 2019 RES.'!O7+'AUG-SEPT 2018 RES. '!O7+'JUNE-JULY 2019 RES.'!O7</f>
        <v>0</v>
      </c>
      <c r="P8" s="69"/>
      <c r="R8" s="3">
        <f>SUM(B8:Q8)</f>
        <v>232122.39999999997</v>
      </c>
    </row>
    <row r="9" spans="1:17" ht="12.75">
      <c r="A9" t="s">
        <v>112</v>
      </c>
      <c r="B9" s="85">
        <v>3334.28</v>
      </c>
      <c r="C9" s="85">
        <v>306.42</v>
      </c>
      <c r="D9" s="85"/>
      <c r="E9" s="85">
        <v>4666.25</v>
      </c>
      <c r="F9" s="85">
        <v>542.78</v>
      </c>
      <c r="G9" s="85"/>
      <c r="H9" s="85">
        <v>2113.14</v>
      </c>
      <c r="I9" s="85"/>
      <c r="J9" s="85"/>
      <c r="K9" s="85">
        <v>0</v>
      </c>
      <c r="L9" s="85"/>
      <c r="M9" s="85"/>
      <c r="N9" s="85"/>
      <c r="O9" s="85">
        <f>O8/7.7</f>
        <v>0</v>
      </c>
      <c r="Q9" s="84" t="s">
        <v>3</v>
      </c>
    </row>
    <row r="11" spans="1:18" ht="12.75">
      <c r="A11" t="s">
        <v>74</v>
      </c>
      <c r="B11" s="4">
        <f>'OCT-NOV 2018 RES.'!B9+'DEC 2018-JAN 2019 RES.'!B9+'FEB-MAR 2019 RES.'!B9+'APR-MAY 2019 RES.'!B9+'AUG-SEPT 2018 RES. '!B9+'JUNE-JULY 2019 RES.'!B9</f>
        <v>0</v>
      </c>
      <c r="C11" s="4">
        <f>'OCT-NOV 2018 RES.'!C9+'DEC 2018-JAN 2019 RES.'!C9+'FEB-MAR 2019 RES.'!C9+'APR-MAY 2019 RES.'!C9+'AUG-SEPT 2018 RES. '!C9+'JUNE-JULY 2019 RES.'!C9</f>
        <v>0</v>
      </c>
      <c r="D11" s="3" t="s">
        <v>74</v>
      </c>
      <c r="E11" s="4">
        <f>'OCT-NOV 2018 RES.'!E9+'DEC 2018-JAN 2019 RES.'!E9+'FEB-MAR 2019 RES.'!E9+'APR-MAY 2019 RES.'!E9+'AUG-SEPT 2018 RES. '!E9+'JUNE-JULY 2019 RES.'!E9</f>
        <v>0</v>
      </c>
      <c r="F11" s="4">
        <f>'OCT-NOV 2018 RES.'!F9+'DEC 2018-JAN 2019 RES.'!F9+'FEB-MAR 2019 RES.'!F9+'APR-MAY 2019 RES.'!F9+'AUG-SEPT 2018 RES. '!F9+'JUNE-JULY 2019 RES.'!F9</f>
        <v>0</v>
      </c>
      <c r="G11" s="3" t="s">
        <v>74</v>
      </c>
      <c r="H11" s="4">
        <f>'OCT-NOV 2018 RES.'!H9+'DEC 2018-JAN 2019 RES.'!H9+'FEB-MAR 2019 RES.'!H9+'APR-MAY 2019 RES.'!H9+'AUG-SEPT 2018 RES. '!H9+'JUNE-JULY 2019 RES.'!H9</f>
        <v>0</v>
      </c>
      <c r="I11" s="5"/>
      <c r="J11" s="3" t="s">
        <v>74</v>
      </c>
      <c r="K11" s="4">
        <f>'OCT-NOV 2018 RES.'!K9+'DEC 2018-JAN 2019 RES.'!K9+'FEB-MAR 2019 RES.'!K9+'APR-MAY 2019 RES.'!K9+'AUG-SEPT 2018 RES. '!K9+'JUNE-JULY 2019 RES.'!K9</f>
        <v>0</v>
      </c>
      <c r="L11" s="83"/>
      <c r="M11" s="5"/>
      <c r="N11" s="3" t="s">
        <v>74</v>
      </c>
      <c r="O11" s="4">
        <f>'OCT-NOV 2018 RES.'!O9+'DEC 2018-JAN 2019 RES.'!O9+'FEB-MAR 2019 RES.'!O9+'APR-MAY 2019 RES.'!O9+'AUG-SEPT 2018 RES. '!O9+'JUNE-JULY 2019 RES.'!O9</f>
        <v>0</v>
      </c>
      <c r="P11" s="69"/>
      <c r="R11" s="3">
        <f>SUM(B11:Q11)</f>
        <v>0</v>
      </c>
    </row>
    <row r="12" ht="12.75">
      <c r="P12" s="71"/>
    </row>
    <row r="13" spans="1:18" ht="12.75">
      <c r="A13" t="s">
        <v>13</v>
      </c>
      <c r="B13" s="4">
        <f>'OCT-NOV 2018 RES.'!B11+'DEC 2018-JAN 2019 RES.'!B11+'FEB-MAR 2019 RES.'!B11+'APR-MAY 2019 RES.'!B11+'AUG-SEPT 2018 RES. '!B11+'JUNE-JULY 2019 RES.'!B11</f>
        <v>606.2</v>
      </c>
      <c r="C13" s="4">
        <f>'OCT-NOV 2018 RES.'!C11+'DEC 2018-JAN 2019 RES.'!C11+'FEB-MAR 2019 RES.'!C11+'APR-MAY 2019 RES.'!C11+'AUG-SEPT 2018 RES. '!C11+'JUNE-JULY 2019 RES.'!C11</f>
        <v>0</v>
      </c>
      <c r="D13" s="3" t="s">
        <v>13</v>
      </c>
      <c r="E13" s="4">
        <f>'OCT-NOV 2018 RES.'!E11+'DEC 2018-JAN 2019 RES.'!E11+'FEB-MAR 2019 RES.'!E11+'APR-MAY 2019 RES.'!E11+'AUG-SEPT 2018 RES. '!E11+'JUNE-JULY 2019 RES.'!E11</f>
        <v>585.8299999999999</v>
      </c>
      <c r="F13" s="4">
        <f>'OCT-NOV 2018 RES.'!F11+'DEC 2018-JAN 2019 RES.'!F11+'FEB-MAR 2019 RES.'!F11+'APR-MAY 2019 RES.'!F11+'AUG-SEPT 2018 RES. '!F11+'JUNE-JULY 2019 RES.'!F11</f>
        <v>0</v>
      </c>
      <c r="G13" s="3" t="s">
        <v>13</v>
      </c>
      <c r="H13" s="4">
        <f>'OCT-NOV 2018 RES.'!H11+'DEC 2018-JAN 2019 RES.'!H11+'FEB-MAR 2019 RES.'!H11+'APR-MAY 2019 RES.'!H11+'AUG-SEPT 2018 RES. '!H11+'JUNE-JULY 2019 RES.'!H11</f>
        <v>29.36</v>
      </c>
      <c r="I13" s="5"/>
      <c r="J13" s="3" t="s">
        <v>13</v>
      </c>
      <c r="K13" s="4">
        <f>'OCT-NOV 2018 RES.'!K11+'DEC 2018-JAN 2019 RES.'!K11+'FEB-MAR 2019 RES.'!K11+'APR-MAY 2019 RES.'!K11+'AUG-SEPT 2018 RES. '!K11+'JUNE-JULY 2019 RES.'!K11</f>
        <v>0</v>
      </c>
      <c r="L13" s="83"/>
      <c r="M13" s="5"/>
      <c r="N13" s="3" t="s">
        <v>13</v>
      </c>
      <c r="O13" s="4">
        <f>'OCT-NOV 2018 RES.'!O11+'DEC 2018-JAN 2019 RES.'!O11+'FEB-MAR 2019 RES.'!O11+'APR-MAY 2019 RES.'!O11+'AUG-SEPT 2018 RES. '!O11+'JUNE-JULY 2019 RES.'!O11</f>
        <v>0</v>
      </c>
      <c r="P13" s="69"/>
      <c r="R13" s="3">
        <f>SUM(B13:Q13)</f>
        <v>1221.3899999999999</v>
      </c>
    </row>
    <row r="15" ht="12.75">
      <c r="D15" t="s">
        <v>111</v>
      </c>
    </row>
    <row r="16" spans="1:4" ht="12.75">
      <c r="A16" t="s">
        <v>73</v>
      </c>
      <c r="C16" s="81">
        <f>'OCT-NOV 2018 RES.'!C13+'DEC 2018-JAN 2019 RES.'!C13+'FEB-MAR 2019 RES.'!C13+'APR-MAY 2019 RES.'!C13+'AUG-SEPT 2018 RES. '!C13+'JUNE-JULY 2019 RES.'!C13</f>
        <v>2762.54</v>
      </c>
      <c r="D16" s="82">
        <v>319</v>
      </c>
    </row>
    <row r="17" spans="1:4" ht="12.75">
      <c r="A17" t="s">
        <v>72</v>
      </c>
      <c r="C17" s="81">
        <f>'OCT-NOV 2018 RES.'!C14+'DEC 2018-JAN 2019 RES.'!C14+'FEB-MAR 2019 RES.'!C14+'APR-MAY 2019 RES.'!C14+'AUG-SEPT 2018 RES. '!C14+'JUNE-JULY 2019 RES.'!C14</f>
        <v>14129.54</v>
      </c>
      <c r="D17" s="82">
        <v>1560</v>
      </c>
    </row>
    <row r="18" spans="1:4" ht="12.75">
      <c r="A18" t="s">
        <v>2</v>
      </c>
      <c r="C18" s="81">
        <f>'OCT-NOV 2018 RES.'!C15+'DEC 2018-JAN 2019 RES.'!C15+'FEB-MAR 2019 RES.'!C15+'APR-MAY 2019 RES.'!C15+'AUG-SEPT 2018 RES. '!C15+'JUNE-JULY 2019 RES.'!C15</f>
        <v>27950.06</v>
      </c>
      <c r="D18" s="82">
        <v>3556</v>
      </c>
    </row>
    <row r="19" ht="12.75">
      <c r="C19" s="3"/>
    </row>
    <row r="20" spans="1:3" ht="12.75">
      <c r="A20" t="s">
        <v>71</v>
      </c>
      <c r="C20" s="81">
        <f>'OCT-NOV 2018 RES.'!C17+'DEC 2018-JAN 2019 RES.'!C17+'FEB-MAR 2019 RES.'!C17+'APR-MAY 2019 RES.'!C17+'AUG-SEPT 2018 RES. '!C17+'JUNE-JULY 2019 RES.'!C17</f>
        <v>2458.44</v>
      </c>
    </row>
    <row r="21" spans="1:3" ht="12.75">
      <c r="A21" t="s">
        <v>70</v>
      </c>
      <c r="C21" s="81">
        <f>'OCT-NOV 2018 RES.'!C18+'DEC 2018-JAN 2019 RES.'!C18+'FEB-MAR 2019 RES.'!C18+'APR-MAY 2019 RES.'!C18+'AUG-SEPT 2018 RES. '!C18+'JUNE-JULY 2019 RES.'!C18</f>
        <v>-1074.14</v>
      </c>
    </row>
    <row r="22" ht="12.75">
      <c r="C22" s="3"/>
    </row>
    <row r="23" ht="12.75">
      <c r="C23" s="3"/>
    </row>
    <row r="24" spans="1:3" ht="12.75">
      <c r="A24" t="s">
        <v>110</v>
      </c>
      <c r="C24" s="3">
        <f>SUM(B8:O21)-SUM(B9:P9)-D16-D17-D18</f>
        <v>279570.23</v>
      </c>
    </row>
    <row r="26" spans="1:3" ht="12.75">
      <c r="A26" t="s">
        <v>21</v>
      </c>
      <c r="C26" s="3">
        <v>279443.3</v>
      </c>
    </row>
    <row r="28" ht="12.75">
      <c r="A28" t="s">
        <v>109</v>
      </c>
    </row>
    <row r="29" ht="12.75">
      <c r="A29" t="s">
        <v>108</v>
      </c>
    </row>
    <row r="30" ht="12.75">
      <c r="A30" s="59" t="s">
        <v>116</v>
      </c>
    </row>
    <row r="32" spans="1:20" ht="12.75">
      <c r="A32" t="s">
        <v>107</v>
      </c>
      <c r="C32" t="s">
        <v>106</v>
      </c>
      <c r="E32" t="s">
        <v>105</v>
      </c>
      <c r="G32" t="s">
        <v>104</v>
      </c>
      <c r="I32" t="s">
        <v>43</v>
      </c>
      <c r="K32" t="s">
        <v>103</v>
      </c>
      <c r="M32" t="s">
        <v>121</v>
      </c>
      <c r="N32" t="s">
        <v>68</v>
      </c>
      <c r="P32" t="s">
        <v>102</v>
      </c>
      <c r="R32" t="s">
        <v>101</v>
      </c>
      <c r="T32" s="13" t="s">
        <v>43</v>
      </c>
    </row>
    <row r="33" spans="11:13" ht="12.75">
      <c r="K33" t="s">
        <v>88</v>
      </c>
      <c r="M33" t="s">
        <v>122</v>
      </c>
    </row>
    <row r="34" spans="1:20" ht="12.75">
      <c r="A34" t="s">
        <v>100</v>
      </c>
      <c r="C34">
        <v>3334.28</v>
      </c>
      <c r="E34" s="1">
        <f aca="true" t="shared" si="0" ref="E34:E43">C34</f>
        <v>3334.28</v>
      </c>
      <c r="G34" s="3">
        <v>31.97</v>
      </c>
      <c r="H34" s="3"/>
      <c r="I34" s="3">
        <f aca="true" t="shared" si="1" ref="I34:I43">E34*G34</f>
        <v>106596.9316</v>
      </c>
      <c r="K34">
        <f>34*4.33</f>
        <v>147.22</v>
      </c>
      <c r="M34" s="95">
        <f>C34*K34</f>
        <v>490872.70160000003</v>
      </c>
      <c r="N34" s="1">
        <f>K34*'Disposal Increase'!$D$40</f>
        <v>2.6086323620726324</v>
      </c>
      <c r="P34" s="3">
        <f aca="true" t="shared" si="2" ref="P34:P43">G34+N34</f>
        <v>34.57863236207263</v>
      </c>
      <c r="R34" s="6">
        <v>34.58</v>
      </c>
      <c r="T34" s="6">
        <f aca="true" t="shared" si="3" ref="T34:T43">E34*R34</f>
        <v>115299.4024</v>
      </c>
    </row>
    <row r="35" spans="1:20" ht="12.75">
      <c r="A35" t="s">
        <v>99</v>
      </c>
      <c r="C35">
        <v>306.42</v>
      </c>
      <c r="E35" s="1">
        <f t="shared" si="0"/>
        <v>306.42</v>
      </c>
      <c r="G35" s="3">
        <v>51.7</v>
      </c>
      <c r="H35" s="3"/>
      <c r="I35" s="3">
        <f t="shared" si="1"/>
        <v>15841.914000000002</v>
      </c>
      <c r="K35">
        <f>51*4.33</f>
        <v>220.83</v>
      </c>
      <c r="M35" s="95">
        <f>C35*K35</f>
        <v>67666.7286</v>
      </c>
      <c r="N35" s="1">
        <f>K35*'Disposal Increase'!$D$40</f>
        <v>3.912948543108949</v>
      </c>
      <c r="P35" s="3">
        <f t="shared" si="2"/>
        <v>55.61294854310895</v>
      </c>
      <c r="R35" s="6">
        <v>55.61</v>
      </c>
      <c r="T35" s="6">
        <f t="shared" si="3"/>
        <v>17040.016200000002</v>
      </c>
    </row>
    <row r="36" spans="1:20" ht="12.75">
      <c r="A36" t="s">
        <v>98</v>
      </c>
      <c r="C36">
        <v>4666.25</v>
      </c>
      <c r="E36" s="1">
        <f t="shared" si="0"/>
        <v>4666.25</v>
      </c>
      <c r="G36" s="3">
        <v>16.43</v>
      </c>
      <c r="H36" s="3"/>
      <c r="I36" s="3">
        <f t="shared" si="1"/>
        <v>76666.4875</v>
      </c>
      <c r="K36">
        <v>73.78</v>
      </c>
      <c r="M36" s="95">
        <f>C36*K36</f>
        <v>344275.925</v>
      </c>
      <c r="N36" s="1">
        <f>K36*'Disposal Increase'!$D$40</f>
        <v>1.3073284585906726</v>
      </c>
      <c r="P36" s="3">
        <f t="shared" si="2"/>
        <v>17.73732845859067</v>
      </c>
      <c r="R36" s="6">
        <v>17.74</v>
      </c>
      <c r="T36" s="6">
        <f t="shared" si="3"/>
        <v>82779.275</v>
      </c>
    </row>
    <row r="37" spans="1:20" ht="12.75">
      <c r="A37" t="s">
        <v>97</v>
      </c>
      <c r="C37">
        <v>542.78</v>
      </c>
      <c r="E37" s="1">
        <f t="shared" si="0"/>
        <v>542.78</v>
      </c>
      <c r="G37" s="3">
        <v>29.45</v>
      </c>
      <c r="H37" s="3"/>
      <c r="I37" s="3">
        <f t="shared" si="1"/>
        <v>15984.871</v>
      </c>
      <c r="K37">
        <v>110.67</v>
      </c>
      <c r="M37" s="95">
        <f>C37*K37</f>
        <v>60069.4626</v>
      </c>
      <c r="N37" s="1">
        <f>K37*'Disposal Increase'!$D$40</f>
        <v>1.960992687886009</v>
      </c>
      <c r="P37" s="3">
        <f t="shared" si="2"/>
        <v>31.410992687886008</v>
      </c>
      <c r="R37" s="6">
        <v>31.41</v>
      </c>
      <c r="T37" s="6">
        <f t="shared" si="3"/>
        <v>17048.7198</v>
      </c>
    </row>
    <row r="38" spans="1:20" ht="12.75">
      <c r="A38" t="s">
        <v>80</v>
      </c>
      <c r="C38">
        <v>2113.14</v>
      </c>
      <c r="E38" s="1">
        <f t="shared" si="0"/>
        <v>2113.14</v>
      </c>
      <c r="G38" s="3">
        <v>8.06</v>
      </c>
      <c r="H38" s="3"/>
      <c r="I38" s="3">
        <f t="shared" si="1"/>
        <v>17031.9084</v>
      </c>
      <c r="K38">
        <v>34</v>
      </c>
      <c r="M38" s="95">
        <f>C38*K38</f>
        <v>71846.76</v>
      </c>
      <c r="N38" s="1">
        <f>K38*'Disposal Increase'!$D$40</f>
        <v>0.6024555108712777</v>
      </c>
      <c r="P38" s="3">
        <f t="shared" si="2"/>
        <v>8.662455510871279</v>
      </c>
      <c r="R38" s="6">
        <v>8.66</v>
      </c>
      <c r="T38" s="6">
        <f t="shared" si="3"/>
        <v>18299.7924</v>
      </c>
    </row>
    <row r="39" spans="1:20" ht="12.75">
      <c r="A39" t="s">
        <v>79</v>
      </c>
      <c r="C39">
        <v>0</v>
      </c>
      <c r="E39" s="1">
        <f t="shared" si="0"/>
        <v>0</v>
      </c>
      <c r="G39" s="3">
        <v>23.79</v>
      </c>
      <c r="H39" s="3"/>
      <c r="I39" s="3">
        <f t="shared" si="1"/>
        <v>0</v>
      </c>
      <c r="K39">
        <f>20*4.33</f>
        <v>86.6</v>
      </c>
      <c r="M39" s="95">
        <f>C39*K39</f>
        <v>0</v>
      </c>
      <c r="N39" s="1">
        <f>K39*'Disposal Increase'!$D$40</f>
        <v>1.5344896247486073</v>
      </c>
      <c r="P39" s="3">
        <f t="shared" si="2"/>
        <v>25.324489624748608</v>
      </c>
      <c r="R39" s="6">
        <v>25.32</v>
      </c>
      <c r="T39" s="6">
        <f t="shared" si="3"/>
        <v>0</v>
      </c>
    </row>
    <row r="40" spans="1:20" ht="12.75">
      <c r="A40" t="s">
        <v>78</v>
      </c>
      <c r="C40">
        <v>0</v>
      </c>
      <c r="E40" s="1">
        <f t="shared" si="0"/>
        <v>0</v>
      </c>
      <c r="G40" s="3">
        <v>7.4</v>
      </c>
      <c r="H40" s="3"/>
      <c r="I40" s="3">
        <f t="shared" si="1"/>
        <v>0</v>
      </c>
      <c r="K40">
        <v>20</v>
      </c>
      <c r="M40" s="95">
        <f>C40*K40</f>
        <v>0</v>
      </c>
      <c r="N40" s="1">
        <f>K40*'Disposal Increase'!$D$40</f>
        <v>0.35438559463016334</v>
      </c>
      <c r="P40" s="3">
        <f t="shared" si="2"/>
        <v>7.754385594630164</v>
      </c>
      <c r="R40" s="6">
        <v>7.75</v>
      </c>
      <c r="T40" s="6">
        <f t="shared" si="3"/>
        <v>0</v>
      </c>
    </row>
    <row r="41" spans="1:20" ht="12.75">
      <c r="A41" t="s">
        <v>96</v>
      </c>
      <c r="C41">
        <v>319</v>
      </c>
      <c r="E41" s="1">
        <f t="shared" si="0"/>
        <v>319</v>
      </c>
      <c r="G41" s="3">
        <v>8.66</v>
      </c>
      <c r="H41" s="3"/>
      <c r="I41" s="3">
        <f t="shared" si="1"/>
        <v>2762.54</v>
      </c>
      <c r="K41">
        <v>34</v>
      </c>
      <c r="M41" s="95">
        <f>C41*K41</f>
        <v>10846</v>
      </c>
      <c r="N41" s="1">
        <f>K41*'Disposal Increase'!$D$40</f>
        <v>0.6024555108712777</v>
      </c>
      <c r="P41" s="3">
        <f t="shared" si="2"/>
        <v>9.262455510871277</v>
      </c>
      <c r="R41" s="6">
        <v>9.25</v>
      </c>
      <c r="T41" s="6">
        <f t="shared" si="3"/>
        <v>2950.75</v>
      </c>
    </row>
    <row r="42" spans="1:20" ht="12.75">
      <c r="A42" t="s">
        <v>72</v>
      </c>
      <c r="C42">
        <v>1560</v>
      </c>
      <c r="E42" s="1">
        <f t="shared" si="0"/>
        <v>1560</v>
      </c>
      <c r="G42" s="3">
        <v>9.06</v>
      </c>
      <c r="H42" s="3"/>
      <c r="I42" s="3">
        <f t="shared" si="1"/>
        <v>14133.6</v>
      </c>
      <c r="K42">
        <v>34</v>
      </c>
      <c r="M42" s="95">
        <f>C42*K42</f>
        <v>53040</v>
      </c>
      <c r="N42" s="1">
        <f>K42*'Disposal Increase'!$D$40</f>
        <v>0.6024555108712777</v>
      </c>
      <c r="P42" s="3">
        <f t="shared" si="2"/>
        <v>9.662455510871279</v>
      </c>
      <c r="R42" s="6">
        <v>9.65</v>
      </c>
      <c r="T42" s="6">
        <f t="shared" si="3"/>
        <v>15054</v>
      </c>
    </row>
    <row r="43" spans="1:20" ht="12.75">
      <c r="A43" t="s">
        <v>2</v>
      </c>
      <c r="C43">
        <v>3556</v>
      </c>
      <c r="E43" s="1">
        <f t="shared" si="0"/>
        <v>3556</v>
      </c>
      <c r="G43" s="3">
        <v>7.86</v>
      </c>
      <c r="H43" s="3"/>
      <c r="I43" s="3">
        <f t="shared" si="1"/>
        <v>27950.16</v>
      </c>
      <c r="K43">
        <v>34</v>
      </c>
      <c r="M43" s="95">
        <f>C43*K43</f>
        <v>120904</v>
      </c>
      <c r="N43" s="1">
        <f>K43*'Disposal Increase'!$D$40</f>
        <v>0.6024555108712777</v>
      </c>
      <c r="P43" s="3">
        <f t="shared" si="2"/>
        <v>8.462455510871278</v>
      </c>
      <c r="R43" s="6">
        <v>8.45</v>
      </c>
      <c r="T43" s="6">
        <f t="shared" si="3"/>
        <v>30048.199999999997</v>
      </c>
    </row>
    <row r="44" spans="5:20" ht="12.75">
      <c r="E44" s="3"/>
      <c r="F44" s="3"/>
      <c r="G44" s="3"/>
      <c r="M44" s="95"/>
      <c r="Q44" t="s">
        <v>95</v>
      </c>
      <c r="T44" s="6"/>
    </row>
    <row r="45" spans="3:20" ht="12.75">
      <c r="C45" s="19">
        <f>SUM(C34:C40)</f>
        <v>10962.87</v>
      </c>
      <c r="D45" s="19"/>
      <c r="G45" s="3" t="s">
        <v>94</v>
      </c>
      <c r="H45" s="3"/>
      <c r="I45" s="3">
        <f>SUM(B11:O11)</f>
        <v>0</v>
      </c>
      <c r="M45" s="95"/>
      <c r="T45" s="6">
        <f>I45</f>
        <v>0</v>
      </c>
    </row>
    <row r="46" spans="1:20" ht="12.75">
      <c r="A46" s="19" t="s">
        <v>93</v>
      </c>
      <c r="C46" s="19">
        <f>C41+C42</f>
        <v>1879</v>
      </c>
      <c r="D46" s="19"/>
      <c r="G46" t="s">
        <v>92</v>
      </c>
      <c r="I46" s="3">
        <f>SUM(B13:O13)</f>
        <v>1221.3899999999999</v>
      </c>
      <c r="M46" s="95"/>
      <c r="T46" s="6">
        <f>I46</f>
        <v>1221.3899999999999</v>
      </c>
    </row>
    <row r="47" spans="3:20" ht="12.75">
      <c r="C47" s="19"/>
      <c r="D47" s="19"/>
      <c r="G47" t="s">
        <v>91</v>
      </c>
      <c r="I47" s="3">
        <f>C20</f>
        <v>2458.44</v>
      </c>
      <c r="M47" s="95"/>
      <c r="T47" s="6">
        <f>I47</f>
        <v>2458.44</v>
      </c>
    </row>
    <row r="48" spans="1:20" ht="12.75">
      <c r="A48" s="19" t="s">
        <v>90</v>
      </c>
      <c r="C48" s="80">
        <f>C45+C46</f>
        <v>12841.87</v>
      </c>
      <c r="D48" s="19"/>
      <c r="G48" t="s">
        <v>89</v>
      </c>
      <c r="I48" s="3">
        <f>C21</f>
        <v>-1074.14</v>
      </c>
      <c r="M48" s="95"/>
      <c r="T48" s="6">
        <f>I48</f>
        <v>-1074.14</v>
      </c>
    </row>
    <row r="49" spans="3:13" ht="12.75">
      <c r="C49" s="19" t="s">
        <v>88</v>
      </c>
      <c r="D49" s="80">
        <f>C48/12</f>
        <v>1070.1558333333335</v>
      </c>
      <c r="M49" s="95"/>
    </row>
    <row r="50" spans="4:20" ht="12.75">
      <c r="D50" s="59" t="s">
        <v>123</v>
      </c>
      <c r="I50" s="3">
        <f>SUM(I34:I48)</f>
        <v>279574.1025</v>
      </c>
      <c r="M50" s="95">
        <f>SUM(M34:M49)</f>
        <v>1219521.5778</v>
      </c>
      <c r="T50" s="3">
        <f>SUM(T34:T48)</f>
        <v>301125.8458</v>
      </c>
    </row>
    <row r="52" spans="11:20" ht="12.75">
      <c r="K52" t="s">
        <v>65</v>
      </c>
      <c r="M52">
        <f>'Disposal Increase'!D40</f>
        <v>0.017719279731508168</v>
      </c>
      <c r="R52" t="s">
        <v>87</v>
      </c>
      <c r="T52" s="3">
        <f>T50-I50</f>
        <v>21551.74330000003</v>
      </c>
    </row>
    <row r="53" ht="12.75">
      <c r="S53" s="3" t="s">
        <v>3</v>
      </c>
    </row>
  </sheetData>
  <sheetProtection/>
  <printOptions/>
  <pageMargins left="0.26" right="0.42" top="1" bottom="1" header="0.5" footer="0.5"/>
  <pageSetup fitToHeight="1" fitToWidth="1" horizontalDpi="600" verticalDpi="600" orientation="landscape" paperSize="13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C39" sqref="C39"/>
    </sheetView>
  </sheetViews>
  <sheetFormatPr defaultColWidth="9.140625" defaultRowHeight="12.75"/>
  <cols>
    <col min="3" max="3" width="12.7109375" style="7" customWidth="1"/>
  </cols>
  <sheetData>
    <row r="1" ht="12.75">
      <c r="A1" t="s">
        <v>0</v>
      </c>
    </row>
    <row r="3" spans="1:3" ht="12.75">
      <c r="A3" t="s">
        <v>1</v>
      </c>
      <c r="C3" s="8">
        <v>2850.12</v>
      </c>
    </row>
    <row r="4" ht="12.75">
      <c r="A4" t="s">
        <v>3</v>
      </c>
    </row>
    <row r="5" spans="1:3" ht="12.75">
      <c r="A5" t="s">
        <v>2</v>
      </c>
      <c r="C5" s="8">
        <v>1620.48</v>
      </c>
    </row>
    <row r="7" spans="1:3" ht="12.75">
      <c r="A7" t="s">
        <v>4</v>
      </c>
      <c r="C7" s="8">
        <v>17983.2</v>
      </c>
    </row>
    <row r="9" spans="1:3" ht="12.75">
      <c r="A9" t="s">
        <v>5</v>
      </c>
      <c r="C9" s="8">
        <v>4032</v>
      </c>
    </row>
    <row r="10" ht="12.75">
      <c r="C10" s="10"/>
    </row>
    <row r="11" spans="1:3" ht="12.75">
      <c r="A11" t="s">
        <v>27</v>
      </c>
      <c r="C11" s="8">
        <v>0</v>
      </c>
    </row>
    <row r="13" spans="1:3" ht="12.75">
      <c r="A13" t="s">
        <v>6</v>
      </c>
      <c r="C13" s="8">
        <v>14319.82</v>
      </c>
    </row>
    <row r="15" spans="1:3" ht="12.75">
      <c r="A15" t="s">
        <v>7</v>
      </c>
      <c r="C15" s="8">
        <v>969.48</v>
      </c>
    </row>
    <row r="16" ht="12.75">
      <c r="C16" s="10"/>
    </row>
    <row r="17" spans="1:3" ht="12.75">
      <c r="A17" t="s">
        <v>28</v>
      </c>
      <c r="C17" s="8">
        <v>795.2</v>
      </c>
    </row>
    <row r="19" spans="1:3" ht="12.75">
      <c r="A19" t="s">
        <v>8</v>
      </c>
      <c r="C19" s="8">
        <f>66173.35-67.3</f>
        <v>66106.05</v>
      </c>
    </row>
    <row r="21" spans="1:3" ht="12.75">
      <c r="A21" t="s">
        <v>9</v>
      </c>
      <c r="C21" s="8">
        <v>15209.8</v>
      </c>
    </row>
    <row r="23" spans="1:3" ht="12.75">
      <c r="A23" t="s">
        <v>33</v>
      </c>
      <c r="C23" s="8">
        <v>965.55</v>
      </c>
    </row>
    <row r="24" ht="12.75">
      <c r="C24" s="87"/>
    </row>
    <row r="25" spans="1:3" ht="12.75">
      <c r="A25" t="s">
        <v>28</v>
      </c>
      <c r="C25" s="8">
        <v>795.2</v>
      </c>
    </row>
    <row r="27" spans="1:3" ht="12.75">
      <c r="A27" t="s">
        <v>10</v>
      </c>
      <c r="C27" s="8">
        <v>13161.75</v>
      </c>
    </row>
    <row r="29" spans="1:3" ht="12.75">
      <c r="A29" t="s">
        <v>11</v>
      </c>
      <c r="C29" s="8">
        <v>1754.9</v>
      </c>
    </row>
    <row r="31" spans="1:3" ht="12.75">
      <c r="A31" t="s">
        <v>12</v>
      </c>
      <c r="C31" s="8">
        <v>265</v>
      </c>
    </row>
    <row r="33" spans="1:3" ht="12.75">
      <c r="A33" t="s">
        <v>13</v>
      </c>
      <c r="C33" s="8">
        <v>442.58</v>
      </c>
    </row>
    <row r="35" spans="1:3" ht="12.75">
      <c r="A35" t="s">
        <v>14</v>
      </c>
      <c r="C35" s="8">
        <f>11131.5+987</f>
        <v>12118.5</v>
      </c>
    </row>
    <row r="37" spans="1:3" ht="12.75">
      <c r="A37" t="s">
        <v>15</v>
      </c>
      <c r="C37" s="9">
        <v>10682.28</v>
      </c>
    </row>
    <row r="39" spans="1:3" ht="12.75">
      <c r="A39" t="s">
        <v>16</v>
      </c>
      <c r="C39" s="9">
        <v>1731.28</v>
      </c>
    </row>
    <row r="41" spans="1:4" ht="12.75">
      <c r="A41" t="s">
        <v>17</v>
      </c>
      <c r="C41" s="7">
        <f>SUM(C3:C39)</f>
        <v>165803.19</v>
      </c>
      <c r="D41" t="s">
        <v>32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&amp;COCTOBER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4">
      <selection activeCell="D37" sqref="D37"/>
    </sheetView>
  </sheetViews>
  <sheetFormatPr defaultColWidth="9.140625" defaultRowHeight="12.75"/>
  <cols>
    <col min="3" max="3" width="10.140625" style="7" bestFit="1" customWidth="1"/>
  </cols>
  <sheetData>
    <row r="1" spans="1:4" ht="12.75">
      <c r="A1" t="s">
        <v>0</v>
      </c>
      <c r="D1" t="s">
        <v>3</v>
      </c>
    </row>
    <row r="3" spans="1:3" ht="12.75">
      <c r="A3" t="s">
        <v>1</v>
      </c>
      <c r="C3" s="8">
        <f>211-8.4</f>
        <v>202.6</v>
      </c>
    </row>
    <row r="4" ht="12.75">
      <c r="A4" t="s">
        <v>3</v>
      </c>
    </row>
    <row r="5" spans="1:3" ht="12.75">
      <c r="A5" t="s">
        <v>2</v>
      </c>
      <c r="C5" s="8">
        <f>7.86+8.88+778.68-2.22</f>
        <v>793.1999999999999</v>
      </c>
    </row>
    <row r="7" spans="1:3" ht="12.75">
      <c r="A7" t="s">
        <v>4</v>
      </c>
      <c r="C7" s="8">
        <f>14903.4</f>
        <v>14903.4</v>
      </c>
    </row>
    <row r="9" spans="1:3" ht="12.75">
      <c r="A9" t="s">
        <v>5</v>
      </c>
      <c r="C9" s="8">
        <f>3379.2</f>
        <v>3379.2</v>
      </c>
    </row>
    <row r="10" ht="12.75">
      <c r="C10" s="10"/>
    </row>
    <row r="11" spans="1:3" ht="12.75">
      <c r="A11" t="s">
        <v>27</v>
      </c>
      <c r="C11" s="8">
        <v>0</v>
      </c>
    </row>
    <row r="13" spans="1:3" ht="12.75">
      <c r="A13" t="s">
        <v>6</v>
      </c>
      <c r="C13" s="8">
        <f>10071.72-698.04</f>
        <v>9373.68</v>
      </c>
    </row>
    <row r="15" spans="1:3" ht="12.75">
      <c r="A15" t="s">
        <v>7</v>
      </c>
      <c r="C15" s="8">
        <v>1023.34</v>
      </c>
    </row>
    <row r="16" ht="12.75">
      <c r="C16" s="10"/>
    </row>
    <row r="17" spans="1:3" ht="12.75">
      <c r="A17" t="s">
        <v>28</v>
      </c>
      <c r="C17" s="8">
        <f>795.2+99.4</f>
        <v>894.6</v>
      </c>
    </row>
    <row r="19" spans="1:3" ht="12.75">
      <c r="A19" t="s">
        <v>8</v>
      </c>
      <c r="C19" s="8">
        <f>45484.6</f>
        <v>45484.6</v>
      </c>
    </row>
    <row r="21" spans="1:3" ht="12.75">
      <c r="A21" t="s">
        <v>9</v>
      </c>
      <c r="C21" s="8">
        <f>12046.7</f>
        <v>12046.7</v>
      </c>
    </row>
    <row r="23" spans="1:3" ht="12.75">
      <c r="A23" t="s">
        <v>33</v>
      </c>
      <c r="C23" s="8">
        <f>579.33+64.37-64.37</f>
        <v>579.33</v>
      </c>
    </row>
    <row r="25" spans="1:3" ht="12.75">
      <c r="A25" t="s">
        <v>10</v>
      </c>
      <c r="C25" s="8">
        <f>9902.65</f>
        <v>9902.65</v>
      </c>
    </row>
    <row r="27" spans="1:3" ht="12.75">
      <c r="A27" t="s">
        <v>11</v>
      </c>
      <c r="C27" s="8">
        <f>1504.2</f>
        <v>1504.2</v>
      </c>
    </row>
    <row r="29" spans="1:3" ht="12.75">
      <c r="A29" t="s">
        <v>12</v>
      </c>
      <c r="C29" s="8">
        <f>190</f>
        <v>190</v>
      </c>
    </row>
    <row r="31" spans="1:3" ht="12.75">
      <c r="A31" t="s">
        <v>13</v>
      </c>
      <c r="C31" s="8">
        <f>488.36</f>
        <v>488.36</v>
      </c>
    </row>
    <row r="33" spans="1:3" ht="12.75">
      <c r="A33" t="s">
        <v>14</v>
      </c>
      <c r="C33" s="8">
        <f>9051</f>
        <v>9051</v>
      </c>
    </row>
    <row r="35" spans="1:3" ht="12.75">
      <c r="A35" t="s">
        <v>15</v>
      </c>
      <c r="C35" s="9">
        <f>1572+640.33+730+168+2472+1663.21+397.5+2116.04</f>
        <v>9759.08</v>
      </c>
    </row>
    <row r="37" spans="1:3" ht="12.75">
      <c r="A37" t="s">
        <v>16</v>
      </c>
      <c r="C37" s="9">
        <v>554.11</v>
      </c>
    </row>
    <row r="39" spans="1:4" ht="12.75">
      <c r="A39" t="s">
        <v>17</v>
      </c>
      <c r="C39" s="7">
        <f>SUM(C3:C37)</f>
        <v>120130.04999999999</v>
      </c>
      <c r="D39" t="s">
        <v>32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&amp;CNOVEMBER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4">
      <selection activeCell="A37" sqref="A37"/>
    </sheetView>
  </sheetViews>
  <sheetFormatPr defaultColWidth="9.140625" defaultRowHeight="12.75"/>
  <cols>
    <col min="3" max="3" width="11.00390625" style="7" customWidth="1"/>
  </cols>
  <sheetData>
    <row r="1" spans="1:4" ht="12.75">
      <c r="A1" t="s">
        <v>0</v>
      </c>
      <c r="D1" t="s">
        <v>3</v>
      </c>
    </row>
    <row r="3" spans="1:3" ht="12.75">
      <c r="A3" t="s">
        <v>1</v>
      </c>
      <c r="C3" s="8">
        <f>1496.88</f>
        <v>1496.88</v>
      </c>
    </row>
    <row r="4" ht="12.75">
      <c r="A4" t="s">
        <v>3</v>
      </c>
    </row>
    <row r="5" spans="1:3" ht="12.75">
      <c r="A5" t="s">
        <v>2</v>
      </c>
      <c r="C5" s="8">
        <f>11.1+876.96-7</f>
        <v>881.0600000000001</v>
      </c>
    </row>
    <row r="7" spans="1:3" ht="12.75">
      <c r="A7" t="s">
        <v>4</v>
      </c>
      <c r="C7" s="8">
        <f>16992-70.8</f>
        <v>16921.2</v>
      </c>
    </row>
    <row r="9" spans="1:3" ht="12.75">
      <c r="A9" t="s">
        <v>5</v>
      </c>
      <c r="C9" s="8">
        <f>3379.2</f>
        <v>3379.2</v>
      </c>
    </row>
    <row r="10" ht="12.75">
      <c r="C10" s="10"/>
    </row>
    <row r="11" spans="1:3" ht="12.75">
      <c r="A11" t="s">
        <v>27</v>
      </c>
      <c r="C11" s="8">
        <v>0</v>
      </c>
    </row>
    <row r="13" spans="1:3" ht="12.75">
      <c r="A13" t="s">
        <v>6</v>
      </c>
      <c r="C13" s="8">
        <f>11019.06</f>
        <v>11019.06</v>
      </c>
    </row>
    <row r="15" spans="1:3" ht="12.75">
      <c r="A15" t="s">
        <v>7</v>
      </c>
      <c r="C15" s="8">
        <f>1131.06</f>
        <v>1131.06</v>
      </c>
    </row>
    <row r="16" ht="12.75">
      <c r="C16" s="10"/>
    </row>
    <row r="17" spans="1:3" ht="12.75">
      <c r="A17" t="s">
        <v>28</v>
      </c>
      <c r="C17" s="8">
        <v>0</v>
      </c>
    </row>
    <row r="19" spans="1:3" ht="12.75">
      <c r="A19" t="s">
        <v>8</v>
      </c>
      <c r="C19" s="8">
        <f>45178.1-67.3</f>
        <v>45110.799999999996</v>
      </c>
    </row>
    <row r="21" spans="1:3" ht="12.75">
      <c r="A21" t="s">
        <v>9</v>
      </c>
      <c r="C21" s="8">
        <f>12854.3</f>
        <v>12854.3</v>
      </c>
    </row>
    <row r="23" spans="1:3" ht="12.75">
      <c r="A23" t="s">
        <v>33</v>
      </c>
      <c r="C23" s="8">
        <f>450.59</f>
        <v>450.59</v>
      </c>
    </row>
    <row r="25" spans="1:3" ht="12.75">
      <c r="A25" t="s">
        <v>10</v>
      </c>
      <c r="C25" s="8">
        <f>5640.75</f>
        <v>5640.75</v>
      </c>
    </row>
    <row r="27" spans="1:3" ht="12.75">
      <c r="A27" t="s">
        <v>11</v>
      </c>
      <c r="C27" s="8">
        <f>877.45</f>
        <v>877.45</v>
      </c>
    </row>
    <row r="29" spans="1:3" ht="12.75">
      <c r="A29" t="s">
        <v>12</v>
      </c>
      <c r="C29" s="8">
        <v>165.5</v>
      </c>
    </row>
    <row r="31" spans="1:3" ht="12.75">
      <c r="A31" t="s">
        <v>13</v>
      </c>
      <c r="C31" s="8">
        <f>437.46</f>
        <v>437.46</v>
      </c>
    </row>
    <row r="33" spans="1:3" ht="12.75">
      <c r="A33" t="s">
        <v>14</v>
      </c>
      <c r="C33" s="8">
        <v>6300</v>
      </c>
    </row>
    <row r="35" spans="1:3" ht="12.75">
      <c r="A35" t="s">
        <v>15</v>
      </c>
      <c r="C35" s="9">
        <f>1539.87+640+724.84+168+2432.9+1558.06+405.19+1927.37</f>
        <v>9396.23</v>
      </c>
    </row>
    <row r="37" spans="1:3" ht="12.75">
      <c r="A37" t="s">
        <v>16</v>
      </c>
      <c r="C37" s="9">
        <v>309.7</v>
      </c>
    </row>
    <row r="39" spans="1:4" ht="12.75">
      <c r="A39" t="s">
        <v>17</v>
      </c>
      <c r="C39" s="7">
        <f>SUM(C3:C37)</f>
        <v>116371.23999999999</v>
      </c>
      <c r="D39" t="s">
        <v>32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&amp;CDECEMBER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D37" sqref="D37"/>
    </sheetView>
  </sheetViews>
  <sheetFormatPr defaultColWidth="9.140625" defaultRowHeight="12.75"/>
  <cols>
    <col min="3" max="3" width="11.140625" style="7" bestFit="1" customWidth="1"/>
  </cols>
  <sheetData>
    <row r="1" spans="1:4" ht="12.75">
      <c r="A1" t="s">
        <v>0</v>
      </c>
      <c r="D1" t="s">
        <v>3</v>
      </c>
    </row>
    <row r="3" spans="1:3" ht="12.75">
      <c r="A3" t="s">
        <v>1</v>
      </c>
      <c r="C3" s="8">
        <f>1368.36</f>
        <v>1368.36</v>
      </c>
    </row>
    <row r="4" ht="12.75">
      <c r="A4" t="s">
        <v>3</v>
      </c>
    </row>
    <row r="5" spans="1:3" ht="12.75">
      <c r="A5" t="s">
        <v>2</v>
      </c>
      <c r="C5" s="8">
        <f>2.22+2.22+204.12</f>
        <v>208.56</v>
      </c>
    </row>
    <row r="7" spans="1:3" ht="12.75">
      <c r="A7" t="s">
        <v>4</v>
      </c>
      <c r="C7" s="8">
        <f>15611.4-141.6</f>
        <v>15469.8</v>
      </c>
    </row>
    <row r="9" spans="1:3" ht="12.75">
      <c r="A9" t="s">
        <v>5</v>
      </c>
      <c r="C9" s="8">
        <v>3264</v>
      </c>
    </row>
    <row r="10" ht="12.75">
      <c r="C10" s="10"/>
    </row>
    <row r="11" spans="1:3" ht="12.75">
      <c r="A11" t="s">
        <v>27</v>
      </c>
      <c r="C11" s="8">
        <v>0</v>
      </c>
    </row>
    <row r="13" spans="1:3" ht="12.75">
      <c r="A13" t="s">
        <v>6</v>
      </c>
      <c r="C13" s="8">
        <f>9722.7-49.86</f>
        <v>9672.84</v>
      </c>
    </row>
    <row r="15" spans="1:3" ht="12.75">
      <c r="A15" t="s">
        <v>7</v>
      </c>
      <c r="C15" s="8">
        <f>861.76</f>
        <v>861.76</v>
      </c>
    </row>
    <row r="16" ht="12.75">
      <c r="C16" s="10"/>
    </row>
    <row r="17" spans="1:3" ht="12.75">
      <c r="A17" t="s">
        <v>28</v>
      </c>
      <c r="C17" s="8">
        <f>198.8+198.8</f>
        <v>397.6</v>
      </c>
    </row>
    <row r="19" spans="1:3" ht="12.75">
      <c r="A19" t="s">
        <v>8</v>
      </c>
      <c r="C19" s="8">
        <f>35492.7-67.3</f>
        <v>35425.399999999994</v>
      </c>
    </row>
    <row r="21" spans="1:3" ht="12.75">
      <c r="A21" t="s">
        <v>9</v>
      </c>
      <c r="C21" s="8">
        <v>11777.5</v>
      </c>
    </row>
    <row r="23" spans="1:3" ht="12.75">
      <c r="A23" t="s">
        <v>33</v>
      </c>
      <c r="C23" s="8">
        <f>128.74+321.85</f>
        <v>450.59000000000003</v>
      </c>
    </row>
    <row r="25" spans="1:3" ht="12.75">
      <c r="A25" t="s">
        <v>10</v>
      </c>
      <c r="C25" s="8">
        <v>4011.2</v>
      </c>
    </row>
    <row r="27" spans="1:3" ht="12.75">
      <c r="A27" t="s">
        <v>11</v>
      </c>
      <c r="C27" s="8">
        <v>501.4</v>
      </c>
    </row>
    <row r="29" spans="1:3" ht="12.75">
      <c r="A29" t="s">
        <v>12</v>
      </c>
      <c r="C29" s="8">
        <v>140.5</v>
      </c>
    </row>
    <row r="31" spans="1:3" ht="12.75">
      <c r="A31" t="s">
        <v>13</v>
      </c>
      <c r="C31" s="8">
        <v>420.04</v>
      </c>
    </row>
    <row r="33" spans="1:3" ht="12.75">
      <c r="A33" t="s">
        <v>14</v>
      </c>
      <c r="C33" s="8">
        <v>4389.5</v>
      </c>
    </row>
    <row r="35" spans="1:3" ht="12.75">
      <c r="A35" t="s">
        <v>15</v>
      </c>
      <c r="C35" s="9">
        <f>1496+630+710+161.81+2364+1404.04+515.47+1910.56</f>
        <v>9191.88</v>
      </c>
    </row>
    <row r="37" spans="1:3" ht="12.75">
      <c r="A37" t="s">
        <v>16</v>
      </c>
      <c r="C37" s="9">
        <v>594.61</v>
      </c>
    </row>
    <row r="39" spans="1:4" ht="12.75">
      <c r="A39" t="s">
        <v>17</v>
      </c>
      <c r="C39" s="7">
        <f>SUM(C3:C38)</f>
        <v>98145.53999999998</v>
      </c>
      <c r="D39" t="s">
        <v>32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&amp;CJANUARY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9"/>
  <sheetViews>
    <sheetView zoomScale="110" zoomScaleNormal="110" zoomScalePageLayoutView="0" workbookViewId="0" topLeftCell="A7">
      <selection activeCell="D37" sqref="D37"/>
    </sheetView>
  </sheetViews>
  <sheetFormatPr defaultColWidth="9.140625" defaultRowHeight="12.75"/>
  <cols>
    <col min="3" max="3" width="9.8515625" style="7" bestFit="1" customWidth="1"/>
  </cols>
  <sheetData>
    <row r="1" spans="1:4" ht="12.75">
      <c r="A1" t="s">
        <v>0</v>
      </c>
      <c r="D1" t="s">
        <v>3</v>
      </c>
    </row>
    <row r="3" spans="1:3" ht="12.75">
      <c r="A3" t="s">
        <v>1</v>
      </c>
      <c r="C3" s="8">
        <v>1217.16</v>
      </c>
    </row>
    <row r="4" ht="12.75">
      <c r="A4" t="s">
        <v>3</v>
      </c>
    </row>
    <row r="5" spans="1:4" ht="12.75">
      <c r="A5" t="s">
        <v>2</v>
      </c>
      <c r="C5" s="8">
        <f>36+166.32</f>
        <v>202.32</v>
      </c>
      <c r="D5" t="s">
        <v>36</v>
      </c>
    </row>
    <row r="7" spans="1:3" ht="12.75">
      <c r="A7" t="s">
        <v>4</v>
      </c>
      <c r="C7" s="8">
        <f>14124.6-62.29</f>
        <v>14062.31</v>
      </c>
    </row>
    <row r="9" spans="1:3" ht="12.75">
      <c r="A9" t="s">
        <v>5</v>
      </c>
      <c r="C9" s="8">
        <v>3033.6</v>
      </c>
    </row>
    <row r="10" ht="12.75">
      <c r="C10" s="10"/>
    </row>
    <row r="11" spans="1:3" ht="12.75">
      <c r="A11" t="s">
        <v>27</v>
      </c>
      <c r="C11" s="8">
        <v>0</v>
      </c>
    </row>
    <row r="13" spans="1:3" ht="12.75">
      <c r="A13" t="s">
        <v>6</v>
      </c>
      <c r="C13" s="88">
        <v>8924.94</v>
      </c>
    </row>
    <row r="15" spans="1:3" ht="12.75">
      <c r="A15" t="s">
        <v>7</v>
      </c>
      <c r="C15" s="8">
        <v>1077.2</v>
      </c>
    </row>
    <row r="16" ht="12.75">
      <c r="C16" s="10"/>
    </row>
    <row r="17" spans="1:3" ht="12.75">
      <c r="A17" t="s">
        <v>28</v>
      </c>
      <c r="C17" s="8">
        <f>198.8+198.8</f>
        <v>397.6</v>
      </c>
    </row>
    <row r="19" spans="1:3" ht="12.75">
      <c r="A19" t="s">
        <v>8</v>
      </c>
      <c r="C19" s="8">
        <v>35124.9</v>
      </c>
    </row>
    <row r="21" spans="1:3" ht="12.75">
      <c r="A21" t="s">
        <v>9</v>
      </c>
      <c r="C21" s="8">
        <v>11373.7</v>
      </c>
    </row>
    <row r="23" spans="1:3" ht="12.75">
      <c r="A23" t="s">
        <v>33</v>
      </c>
      <c r="C23" s="8">
        <f>128.74+64.37-321.85</f>
        <v>-128.74</v>
      </c>
    </row>
    <row r="25" spans="1:3" ht="12.75">
      <c r="A25" t="s">
        <v>10</v>
      </c>
      <c r="C25" s="8">
        <v>1629.55</v>
      </c>
    </row>
    <row r="27" spans="1:3" ht="12.75">
      <c r="A27" t="s">
        <v>11</v>
      </c>
      <c r="C27" s="8">
        <v>1002.8</v>
      </c>
    </row>
    <row r="29" spans="1:3" ht="12.75">
      <c r="A29" t="s">
        <v>12</v>
      </c>
      <c r="C29" s="8">
        <v>118</v>
      </c>
    </row>
    <row r="31" spans="1:3" ht="12.75">
      <c r="A31" t="s">
        <v>13</v>
      </c>
      <c r="C31" s="8">
        <v>430.44</v>
      </c>
    </row>
    <row r="33" spans="1:3" ht="12.75">
      <c r="A33" t="s">
        <v>14</v>
      </c>
      <c r="C33" s="8">
        <v>4494</v>
      </c>
    </row>
    <row r="35" spans="1:3" ht="12.75">
      <c r="A35" t="s">
        <v>15</v>
      </c>
      <c r="C35" s="9">
        <f>1528+630.33+725+168+2352+1519.95+477+1866.74</f>
        <v>9267.02</v>
      </c>
    </row>
    <row r="37" spans="1:3" ht="12.75">
      <c r="A37" t="s">
        <v>16</v>
      </c>
      <c r="C37" s="9">
        <v>285.72</v>
      </c>
    </row>
    <row r="39" spans="1:4" ht="12.75">
      <c r="A39" t="s">
        <v>17</v>
      </c>
      <c r="C39" s="7">
        <f>SUM(C3:C37)</f>
        <v>92512.52</v>
      </c>
      <c r="D39" t="s">
        <v>32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&amp;CFEBRUARY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2">
      <selection activeCell="E37" sqref="E37"/>
    </sheetView>
  </sheetViews>
  <sheetFormatPr defaultColWidth="9.140625" defaultRowHeight="12.75"/>
  <cols>
    <col min="2" max="2" width="9.7109375" style="0" customWidth="1"/>
    <col min="3" max="3" width="9.8515625" style="7" bestFit="1" customWidth="1"/>
  </cols>
  <sheetData>
    <row r="1" spans="1:4" ht="12.75">
      <c r="A1" t="s">
        <v>0</v>
      </c>
      <c r="D1" t="s">
        <v>3</v>
      </c>
    </row>
    <row r="3" spans="1:3" ht="12.75">
      <c r="A3" t="s">
        <v>1</v>
      </c>
      <c r="C3" s="8">
        <v>1345.68</v>
      </c>
    </row>
    <row r="4" ht="12.75">
      <c r="A4" t="s">
        <v>3</v>
      </c>
    </row>
    <row r="5" spans="1:3" ht="12.75">
      <c r="A5" t="s">
        <v>2</v>
      </c>
      <c r="C5" s="8">
        <v>189</v>
      </c>
    </row>
    <row r="7" spans="1:3" ht="12.75">
      <c r="A7" t="s">
        <v>4</v>
      </c>
      <c r="C7" s="8">
        <f>14301.6-120.71</f>
        <v>14180.890000000001</v>
      </c>
    </row>
    <row r="9" spans="1:3" ht="12.75">
      <c r="A9" t="s">
        <v>5</v>
      </c>
      <c r="C9" s="8">
        <v>3264</v>
      </c>
    </row>
    <row r="10" ht="12.75">
      <c r="C10" s="10"/>
    </row>
    <row r="11" spans="1:3" ht="12.75">
      <c r="A11" t="s">
        <v>27</v>
      </c>
      <c r="C11" s="8">
        <v>0</v>
      </c>
    </row>
    <row r="13" spans="1:3" ht="12.75">
      <c r="A13" t="s">
        <v>6</v>
      </c>
      <c r="C13" s="8">
        <v>9972</v>
      </c>
    </row>
    <row r="15" spans="1:3" ht="12.75">
      <c r="A15" t="s">
        <v>7</v>
      </c>
      <c r="C15" s="8">
        <v>807.9</v>
      </c>
    </row>
    <row r="16" ht="12.75">
      <c r="C16" s="10"/>
    </row>
    <row r="17" spans="1:3" ht="12.75">
      <c r="A17" t="s">
        <v>28</v>
      </c>
      <c r="C17" s="8">
        <f>99.4+198.8</f>
        <v>298.20000000000005</v>
      </c>
    </row>
    <row r="19" spans="1:3" ht="12.75">
      <c r="A19" t="s">
        <v>8</v>
      </c>
      <c r="C19" s="8">
        <f>34879.7-65.31+55</f>
        <v>34869.39</v>
      </c>
    </row>
    <row r="21" spans="1:3" ht="12.75">
      <c r="A21" t="s">
        <v>9</v>
      </c>
      <c r="C21" s="8">
        <v>10633.4</v>
      </c>
    </row>
    <row r="23" spans="1:3" ht="12.75">
      <c r="A23" t="s">
        <v>33</v>
      </c>
      <c r="C23" s="8">
        <f>64.37+64.37</f>
        <v>128.74</v>
      </c>
    </row>
    <row r="25" spans="1:3" ht="12.75">
      <c r="A25" t="s">
        <v>10</v>
      </c>
      <c r="C25" s="8">
        <v>2130.95</v>
      </c>
    </row>
    <row r="27" spans="1:3" ht="12.75">
      <c r="A27" t="s">
        <v>11</v>
      </c>
      <c r="C27" s="8">
        <v>250.7</v>
      </c>
    </row>
    <row r="29" spans="1:3" ht="12.75">
      <c r="A29" t="s">
        <v>12</v>
      </c>
      <c r="C29" s="8">
        <v>133</v>
      </c>
    </row>
    <row r="31" spans="1:3" ht="12.75">
      <c r="A31" t="s">
        <v>13</v>
      </c>
      <c r="C31" s="8">
        <v>406.04</v>
      </c>
    </row>
    <row r="33" spans="1:3" ht="12.75">
      <c r="A33" t="s">
        <v>14</v>
      </c>
      <c r="C33" s="8">
        <v>6594</v>
      </c>
    </row>
    <row r="35" spans="1:3" ht="12.75">
      <c r="A35" t="s">
        <v>15</v>
      </c>
      <c r="C35" s="9">
        <f>1472+620+700+156+2381.42+1315.55+456.49+1964.42</f>
        <v>9065.880000000001</v>
      </c>
    </row>
    <row r="37" spans="1:3" ht="12.75">
      <c r="A37" t="s">
        <v>16</v>
      </c>
      <c r="C37" s="9">
        <v>787.81</v>
      </c>
    </row>
    <row r="39" spans="1:4" ht="12.75">
      <c r="A39" t="s">
        <v>17</v>
      </c>
      <c r="C39" s="7">
        <f>SUM(C3:C37)</f>
        <v>95057.57999999999</v>
      </c>
      <c r="D39" t="s">
        <v>32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&amp;CMARCH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Nooksack Valley Disposal</dc:creator>
  <cp:keywords/>
  <dc:description/>
  <cp:lastModifiedBy>Calvin</cp:lastModifiedBy>
  <cp:lastPrinted>2019-10-14T17:42:06Z</cp:lastPrinted>
  <dcterms:created xsi:type="dcterms:W3CDTF">2003-03-31T18:01:39Z</dcterms:created>
  <dcterms:modified xsi:type="dcterms:W3CDTF">2019-10-14T23:05:33Z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fidentiali">
    <vt:lpwstr>None</vt:lpwstr>
  </property>
  <property fmtid="{D5CDD505-2E9C-101B-9397-08002B2CF9AE}" pid="4" name="DocumentDescripti">
    <vt:lpwstr>Work papers</vt:lpwstr>
  </property>
  <property fmtid="{D5CDD505-2E9C-101B-9397-08002B2CF9AE}" pid="5" name="EFiling">
    <vt:lpwstr>15692.0000000000</vt:lpwstr>
  </property>
  <property fmtid="{D5CDD505-2E9C-101B-9397-08002B2CF9AE}" pid="6" name="DocumentSetTy">
    <vt:lpwstr>Workpapers</vt:lpwstr>
  </property>
  <property fmtid="{D5CDD505-2E9C-101B-9397-08002B2CF9AE}" pid="7" name="IsDocumentOrd">
    <vt:lpwstr>0</vt:lpwstr>
  </property>
  <property fmtid="{D5CDD505-2E9C-101B-9397-08002B2CF9AE}" pid="8" name="IsHighlyConfidenti">
    <vt:lpwstr>0</vt:lpwstr>
  </property>
  <property fmtid="{D5CDD505-2E9C-101B-9397-08002B2CF9AE}" pid="9" name="CaseCompanyNam">
    <vt:lpwstr>SAN JUAN SANITATION CO.</vt:lpwstr>
  </property>
  <property fmtid="{D5CDD505-2E9C-101B-9397-08002B2CF9AE}" pid="10" name="IsConfidenti">
    <vt:lpwstr>0</vt:lpwstr>
  </property>
  <property fmtid="{D5CDD505-2E9C-101B-9397-08002B2CF9AE}" pid="11" name="IsEFS">
    <vt:lpwstr>0</vt:lpwstr>
  </property>
  <property fmtid="{D5CDD505-2E9C-101B-9397-08002B2CF9AE}" pid="12" name="DocketNumb">
    <vt:lpwstr>190872</vt:lpwstr>
  </property>
  <property fmtid="{D5CDD505-2E9C-101B-9397-08002B2CF9AE}" pid="13" name="Dat">
    <vt:lpwstr>2019-10-15T00:00:00Z</vt:lpwstr>
  </property>
  <property fmtid="{D5CDD505-2E9C-101B-9397-08002B2CF9AE}" pid="14" name="Nickna">
    <vt:lpwstr/>
  </property>
  <property fmtid="{D5CDD505-2E9C-101B-9397-08002B2CF9AE}" pid="15" name="CaseTy">
    <vt:lpwstr>Tariff Revision</vt:lpwstr>
  </property>
  <property fmtid="{D5CDD505-2E9C-101B-9397-08002B2CF9AE}" pid="16" name="OpenedDa">
    <vt:lpwstr>2019-10-15T00:00:00Z</vt:lpwstr>
  </property>
  <property fmtid="{D5CDD505-2E9C-101B-9397-08002B2CF9AE}" pid="17" name="Pref">
    <vt:lpwstr>TG</vt:lpwstr>
  </property>
  <property fmtid="{D5CDD505-2E9C-101B-9397-08002B2CF9AE}" pid="18" name="IndustryCo">
    <vt:lpwstr>227</vt:lpwstr>
  </property>
  <property fmtid="{D5CDD505-2E9C-101B-9397-08002B2CF9AE}" pid="19" name="CaseStat">
    <vt:lpwstr>Closed</vt:lpwstr>
  </property>
  <property fmtid="{D5CDD505-2E9C-101B-9397-08002B2CF9AE}" pid="20" name="_docset_NoMedatataSyncRequir">
    <vt:lpwstr>False</vt:lpwstr>
  </property>
</Properties>
</file>