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cificorp.us\DFS\PDXCO\PSB1\SHARED\FILINGS\WA\2019\19-05 Sch 97\Working docs\PDFs\Workpapers\"/>
    </mc:Choice>
  </mc:AlternateContent>
  <bookViews>
    <workbookView xWindow="0" yWindow="0" windowWidth="28800" windowHeight="11685"/>
  </bookViews>
  <sheets>
    <sheet name="Table A" sheetId="5" r:id="rId1"/>
    <sheet name="Residential Bill Impacts" sheetId="6" r:id="rId2"/>
    <sheet name="Total WA PCAM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1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1" hidden="1">[3]Inputs!#REF!</definedName>
    <definedName name="__123Graph_A" localSheetId="0" hidden="1">[4]Inputs!#REF!</definedName>
    <definedName name="__123Graph_A" localSheetId="2" hidden="1">#REF!</definedName>
    <definedName name="__123Graph_A" hidden="1">[5]Inputs!#REF!</definedName>
    <definedName name="__123Graph_B" localSheetId="1" hidden="1">[3]Inputs!#REF!</definedName>
    <definedName name="__123Graph_B" localSheetId="0" hidden="1">[4]Inputs!#REF!</definedName>
    <definedName name="__123Graph_B" localSheetId="2" hidden="1">#REF!</definedName>
    <definedName name="__123Graph_B" hidden="1">[5]Inputs!#REF!</definedName>
    <definedName name="__123Graph_D" localSheetId="1" hidden="1">[3]Inputs!#REF!</definedName>
    <definedName name="__123Graph_D" localSheetId="0" hidden="1">[4]Inputs!#REF!</definedName>
    <definedName name="__123Graph_D" localSheetId="2" hidden="1">#REF!</definedName>
    <definedName name="__123Graph_D" hidden="1">[5]Inputs!#REF!</definedName>
    <definedName name="__123Graph_E" hidden="1">[6]Input!$E$22:$E$37</definedName>
    <definedName name="__123Graph_F" hidden="1">[6]Input!$D$22:$D$37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5Price_Ta">#REF!</definedName>
    <definedName name="_B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MEN2">[1]Jan!#REF!</definedName>
    <definedName name="_MEN3">[1]Jan!#REF!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P">#REF!</definedName>
    <definedName name="_Sort" localSheetId="1" hidden="1">#REF!</definedName>
    <definedName name="_Sort" localSheetId="0" hidden="1">#REF!</definedName>
    <definedName name="_Sort" hidden="1">#REF!</definedName>
    <definedName name="_TOP1">[1]Jan!#REF!</definedName>
    <definedName name="a" localSheetId="1" hidden="1">#REF!</definedName>
    <definedName name="a" localSheetId="0" hidden="1">#REF!</definedName>
    <definedName name="a" localSheetId="2" hidden="1">#REF!</definedName>
    <definedName name="a" hidden="1">'[5]DSM Output'!$J$21:$J$23</definedName>
    <definedName name="A_36">#REF!</definedName>
    <definedName name="Access_Button1" hidden="1">"Headcount_Workbook_Schedules_List"</definedName>
    <definedName name="AccessDatabase" hidden="1">"P:\HR\SharonPlummer\Headcount Workbook.mdb"</definedName>
    <definedName name="AcctTable">[7]Variables!$AK$42:$AK$396</definedName>
    <definedName name="actualror">[8]WorkArea!$F$86</definedName>
    <definedName name="Adjs2avg">[9]Inputs!$L$255:'[9]Inputs'!$T$505</definedName>
    <definedName name="ALL">#REF!</definedName>
    <definedName name="all_months">#REF!</definedName>
    <definedName name="APR">#REF!</definedName>
    <definedName name="APRT">#REF!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T_48">#REF!</definedName>
    <definedName name="AUG">#REF!</definedName>
    <definedName name="AUGT">#REF!</definedName>
    <definedName name="AvgFactors">[7]Factors!$B$3:$P$99</definedName>
    <definedName name="BACK1">#REF!</definedName>
    <definedName name="BACK2">#REF!</definedName>
    <definedName name="BACK3">#REF!</definedName>
    <definedName name="BACKUP1">#REF!</definedName>
    <definedName name="Baseline">#REF!</definedName>
    <definedName name="BLOCK">#REF!</definedName>
    <definedName name="BLOCKTOP">#REF!</definedName>
    <definedName name="BOOKADJ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">[10]Readings!$B$2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ADJ">#REF!</definedName>
    <definedName name="combined1" hidden="1">{"YTD-Total",#N/A,TRUE,"Provision";"YTD-Utility",#N/A,TRUE,"Prov Utility";"YTD-NonUtility",#N/A,TRUE,"Prov NonUtility"}</definedName>
    <definedName name="COMP">#REF!</definedName>
    <definedName name="COMPACTUAL">#REF!</definedName>
    <definedName name="COMPT">#REF!</definedName>
    <definedName name="COMPWEATHER">#REF!</definedName>
    <definedName name="_xlnm.Database">[11]Invoice!#REF!</definedName>
    <definedName name="DATE">[12]Jan!#REF!</definedName>
    <definedName name="DEC">#REF!</definedName>
    <definedName name="DECT">#REF!</definedName>
    <definedName name="Dist_factor">#REF!</definedName>
    <definedName name="DUDE" localSheetId="1" hidden="1">#REF!</definedName>
    <definedName name="DUDE" localSheetId="0" hidden="1">#REF!</definedName>
    <definedName name="DUDE" hidden="1">#REF!</definedName>
    <definedName name="energy">[10]Readings!$B$3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>#REF!</definedName>
    <definedName name="f104top">#REF!</definedName>
    <definedName name="f138top">#REF!</definedName>
    <definedName name="f140top">#REF!</definedName>
    <definedName name="FactorType">[7]Variables!$AK$2:$AL$12</definedName>
    <definedName name="FACTP">#REF!</definedName>
    <definedName name="FEB">#REF!</definedName>
    <definedName name="FEBT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[9]Variables!$D$26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GREATER10MW">#REF!</definedName>
    <definedName name="GTD_Percents">#REF!</definedName>
    <definedName name="HEIGHT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D_0303_RVN_data">#REF!</definedName>
    <definedName name="IDcontractsRVN">#REF!</definedName>
    <definedName name="INDADJ">#REF!</definedName>
    <definedName name="INPUT">[13]Summary!#REF!</definedName>
    <definedName name="Instructions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RR">#REF!</definedName>
    <definedName name="JAN">#REF!</definedName>
    <definedName name="JANT">#REF!</definedName>
    <definedName name="JUL">#REF!</definedName>
    <definedName name="JULT">#REF!</definedName>
    <definedName name="JUN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>#REF!</definedName>
    <definedName name="Jurisdiction">[7]Variables!$AK$15</definedName>
    <definedName name="JurisNumber">[7]Variables!$AL$15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>#REF!</definedName>
    <definedName name="LABORROLL">#REF!</definedName>
    <definedName name="limcount" hidden="1">1</definedName>
    <definedName name="Line_Ext_Credit">#REF!</definedName>
    <definedName name="ListOffset" hidden="1">1</definedName>
    <definedName name="LOG">[14]Backup!#REF!</definedName>
    <definedName name="LOSS">[14]Backup!#REF!</definedName>
    <definedName name="MACTIT">#REF!</definedName>
    <definedName name="MAR">#REF!</definedName>
    <definedName name="MART">#REF!</definedName>
    <definedName name="Master" hidden="1">{#N/A,#N/A,FALSE,"Actual";#N/A,#N/A,FALSE,"Normalized";#N/A,#N/A,FALSE,"Electric Actual";#N/A,#N/A,FALSE,"Electric Normalized"}</definedName>
    <definedName name="MAY">#REF!</definedName>
    <definedName name="MAYT">#REF!</definedName>
    <definedName name="MCtoREV">#REF!</definedName>
    <definedName name="MEN">[1]Jan!#REF!</definedName>
    <definedName name="Menu_Large">[15]MacroBuilder!#REF!</definedName>
    <definedName name="Menu_Small">[15]MacroBuilder!#REF!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[14]Backup!#REF!</definedName>
    <definedName name="monthlist">[16]Table!$R$2:$S$13</definedName>
    <definedName name="monthtotals">'[16]WA SBC'!$D$40:$O$40</definedName>
    <definedName name="MSPAverageInput">[17]Inputs!#REF!</definedName>
    <definedName name="MSPYearEndInput">[17]Inputs!#REF!</definedName>
    <definedName name="MTKWH">#REF!</definedName>
    <definedName name="MTREV">#REF!</definedName>
    <definedName name="MULT">#REF!</definedName>
    <definedName name="NetToGross">[9]Variables!$D$23</definedName>
    <definedName name="NEWMO1">[1]Jan!#REF!</definedName>
    <definedName name="NEWMO2">[1]Jan!#REF!</definedName>
    <definedName name="NEWMONTH">[1]Jan!#REF!</definedName>
    <definedName name="NONRES">#REF!</definedName>
    <definedName name="NORMALIZE">#REF!</definedName>
    <definedName name="NOV">#REF!</definedName>
    <definedName name="NOVT">#REF!</definedName>
    <definedName name="NUM">#REF!</definedName>
    <definedName name="OCT">#REF!</definedName>
    <definedName name="OCTT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[1]Jan!#REF!</definedName>
    <definedName name="option">'[8]Dist Misc'!$F$120</definedName>
    <definedName name="OR_305_12mo_endg_200203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">[13]Summary!#REF!</definedName>
    <definedName name="Page2">'[18]Summary Table - Earned'!#REF!</definedName>
    <definedName name="PAGE3">#REF!</definedName>
    <definedName name="Page62">[15]TransInvest!#REF!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MAC">[14]Backup!#REF!</definedName>
    <definedName name="PRESENT">#REF!</definedName>
    <definedName name="PRICCHNG">#REF!</definedName>
    <definedName name="PricingInfo" localSheetId="0" hidden="1">[19]Inputs!#REF!</definedName>
    <definedName name="PricingInfo" hidden="1">[19]Inputs!#REF!</definedName>
    <definedName name="_xlnm.Print_Area" localSheetId="0">'Table A'!$A$1:$S$48</definedName>
    <definedName name="_xlnm.Print_Area" localSheetId="2">'Total WA PCAM'!$A$1:$Z$32</definedName>
    <definedName name="_xlnm.Print_Area">#REF!</definedName>
    <definedName name="PROPOSED">#REF!</definedName>
    <definedName name="ProRate1">#REF!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uery1">#REF!</definedName>
    <definedName name="RateCd">#REF!</definedName>
    <definedName name="Rates">#REF!</definedName>
    <definedName name="RC_ADJ">#REF!</definedName>
    <definedName name="RESADJ">#REF!</definedName>
    <definedName name="RESIDENTIAL">#REF!</definedName>
    <definedName name="ResourceSupplier">[9]Variables!$D$28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">#REF!</definedName>
    <definedName name="RevClass">#REF!</definedName>
    <definedName name="Revenue_by_month_take_2">#REF!</definedName>
    <definedName name="revenue3">#REF!</definedName>
    <definedName name="RevenueCheck">#REF!</definedName>
    <definedName name="Revenues">#REF!</definedName>
    <definedName name="RevReqSettle">#REF!</definedName>
    <definedName name="REVVSTRS">#REF!</definedName>
    <definedName name="RISFORM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CH33CUSTS">#REF!</definedName>
    <definedName name="SCH48ADJ">#REF!</definedName>
    <definedName name="SCH98NOR">#REF!</definedName>
    <definedName name="SCHED47">#REF!</definedName>
    <definedName name="se">#REF!</definedName>
    <definedName name="SECOND">[1]Jan!#REF!</definedName>
    <definedName name="SEP">#REF!</definedName>
    <definedName name="SEPT">#REF!</definedName>
    <definedName name="September_2001_305_Detail">#REF!</definedName>
    <definedName name="SERVICES_3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START">[1]Jan!#REF!</definedName>
    <definedName name="SUM_TAB1">#REF!</definedName>
    <definedName name="SUM_TAB2">#REF!</definedName>
    <definedName name="SUM_TAB3">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B">#REF!</definedName>
    <definedName name="TABLEC">#REF!</definedName>
    <definedName name="TABLEONE">#REF!</definedName>
    <definedName name="Targetror">[8]Variables!$I$38</definedName>
    <definedName name="TDMOD">#REF!</definedName>
    <definedName name="TDROLL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RANSM_2">[20]Transm2!$A$1:$M$461:'[20]10 Yr FC'!$M$47</definedName>
    <definedName name="UNBILREV">#REF!</definedName>
    <definedName name="UncollectibleAccounts">[9]Variables!$D$25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>#REF!</definedName>
    <definedName name="UT_305A_FY_2002">#REF!</definedName>
    <definedName name="UT_RVN_0302">#REF!</definedName>
    <definedName name="UtGrossReceipts">[9]Variables!$D$29</definedName>
    <definedName name="ValidAccount">[7]Variables!$AK$43:$AK$369</definedName>
    <definedName name="VAR">[14]Backup!#REF!</definedName>
    <definedName name="VARIABLE">[13]Summary!#REF!</definedName>
    <definedName name="VOUCHER">#REF!</definedName>
    <definedName name="w" localSheetId="0" hidden="1">[21]Inputs!#REF!</definedName>
    <definedName name="w" hidden="1">[21]Inputs!#REF!</definedName>
    <definedName name="WaRevenueTax">[9]Variables!$D$27</definedName>
    <definedName name="weather">[22]Weather!#REF!</definedName>
    <definedName name="WEATHRNORM">#REF!</definedName>
    <definedName name="WIDTH">#REF!</definedName>
    <definedName name="WinterPeak">'[23]Load Data'!$D$9:$H$12,'[23]Load Data'!$D$20:$H$22</definedName>
    <definedName name="WORK1">#REF!</definedName>
    <definedName name="WORK2">#REF!</definedName>
    <definedName name="WORK3">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'[24]Weather Present'!$K$7</definedName>
    <definedName name="y" localSheetId="1" hidden="1">#REF!</definedName>
    <definedName name="y" localSheetId="0" hidden="1">#REF!</definedName>
    <definedName name="y" localSheetId="2" hidden="1">#REF!</definedName>
    <definedName name="y" hidden="1">'[5]DSM Output'!$B$21:$B$23</definedName>
    <definedName name="Year">#REF!</definedName>
    <definedName name="YEFactors">[7]Factors!$S$3:$AG$99</definedName>
    <definedName name="z" localSheetId="1" hidden="1">#REF!</definedName>
    <definedName name="z" localSheetId="0" hidden="1">#REF!</definedName>
    <definedName name="z" localSheetId="2" hidden="1">#REF!</definedName>
    <definedName name="z" hidden="1">'[5]DSM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>'[25] annual balance '!#REF!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4" l="1"/>
  <c r="N10" i="6" l="1"/>
  <c r="N9" i="6"/>
  <c r="P10" i="6" l="1"/>
  <c r="P9" i="6"/>
  <c r="D33" i="6" l="1"/>
  <c r="D32" i="6"/>
  <c r="D31" i="6"/>
  <c r="D29" i="6"/>
  <c r="D28" i="6"/>
  <c r="D27" i="6"/>
  <c r="D26" i="6"/>
  <c r="D25" i="6"/>
  <c r="D23" i="6"/>
  <c r="D22" i="6"/>
  <c r="D21" i="6"/>
  <c r="D20" i="6"/>
  <c r="D19" i="6"/>
  <c r="P23" i="6"/>
  <c r="D17" i="6"/>
  <c r="D16" i="6"/>
  <c r="D15" i="6"/>
  <c r="D14" i="6"/>
  <c r="D12" i="6"/>
  <c r="D11" i="6"/>
  <c r="D10" i="6"/>
  <c r="N41" i="5"/>
  <c r="L41" i="5"/>
  <c r="K41" i="5"/>
  <c r="I41" i="5"/>
  <c r="H41" i="5"/>
  <c r="N31" i="5"/>
  <c r="L31" i="5"/>
  <c r="K31" i="5"/>
  <c r="I31" i="5"/>
  <c r="I43" i="5" s="1"/>
  <c r="I47" i="5" s="1"/>
  <c r="H31" i="5"/>
  <c r="N19" i="5"/>
  <c r="L19" i="5"/>
  <c r="K19" i="5"/>
  <c r="I19" i="5"/>
  <c r="H19" i="5"/>
  <c r="B19" i="5"/>
  <c r="B22" i="5" s="1"/>
  <c r="N43" i="5" l="1"/>
  <c r="N47" i="5" s="1"/>
  <c r="B23" i="5"/>
  <c r="B24" i="5" s="1"/>
  <c r="H43" i="5"/>
  <c r="H47" i="5" s="1"/>
  <c r="K43" i="5"/>
  <c r="K47" i="5" s="1"/>
  <c r="L43" i="5"/>
  <c r="L47" i="5" s="1"/>
  <c r="B25" i="5" l="1"/>
  <c r="B26" i="5" l="1"/>
  <c r="B27" i="5" l="1"/>
  <c r="B28" i="5" s="1"/>
  <c r="B31" i="5" l="1"/>
  <c r="B34" i="5" l="1"/>
  <c r="B35" i="5" s="1"/>
  <c r="B36" i="5" s="1"/>
  <c r="B37" i="5" s="1"/>
  <c r="B38" i="5" s="1"/>
  <c r="B41" i="5" s="1"/>
  <c r="B43" i="5" s="1"/>
  <c r="X7" i="4" l="1"/>
  <c r="Z7" i="4" s="1"/>
  <c r="X8" i="4"/>
  <c r="Z8" i="4" s="1"/>
  <c r="X9" i="4"/>
  <c r="Z9" i="4" s="1"/>
  <c r="X10" i="4"/>
  <c r="Z10" i="4" s="1"/>
  <c r="X11" i="4"/>
  <c r="Z11" i="4" s="1"/>
  <c r="X12" i="4"/>
  <c r="Z12" i="4" s="1"/>
  <c r="X13" i="4"/>
  <c r="Z13" i="4" s="1"/>
  <c r="X14" i="4"/>
  <c r="Z14" i="4" s="1"/>
  <c r="X15" i="4"/>
  <c r="Z15" i="4" s="1"/>
  <c r="X16" i="4"/>
  <c r="Z16" i="4" s="1"/>
  <c r="X17" i="4"/>
  <c r="Z17" i="4" s="1"/>
  <c r="X18" i="4"/>
  <c r="Z18" i="4" s="1"/>
  <c r="X19" i="4"/>
  <c r="Z19" i="4" s="1"/>
  <c r="X20" i="4"/>
  <c r="Z20" i="4" s="1"/>
  <c r="X21" i="4"/>
  <c r="Z21" i="4" s="1"/>
  <c r="X22" i="4"/>
  <c r="Z22" i="4" s="1"/>
  <c r="X23" i="4"/>
  <c r="Z23" i="4" s="1"/>
  <c r="X24" i="4"/>
  <c r="Z24" i="4" s="1"/>
  <c r="X25" i="4"/>
  <c r="Z25" i="4" s="1"/>
  <c r="X26" i="4"/>
  <c r="Z26" i="4" s="1"/>
  <c r="X6" i="4"/>
  <c r="Z6" i="4" s="1"/>
  <c r="W28" i="4"/>
  <c r="V28" i="4" l="1"/>
  <c r="U28" i="4"/>
  <c r="T28" i="4"/>
  <c r="S28" i="4"/>
  <c r="R28" i="4"/>
  <c r="Q28" i="4"/>
  <c r="P28" i="4"/>
  <c r="K28" i="4" l="1"/>
  <c r="M28" i="4"/>
  <c r="E28" i="4"/>
  <c r="L28" i="4"/>
  <c r="H28" i="4" l="1"/>
  <c r="O28" i="4"/>
  <c r="N28" i="4"/>
  <c r="F28" i="4"/>
  <c r="D28" i="4"/>
  <c r="G28" i="4"/>
  <c r="J28" i="4"/>
  <c r="I28" i="4"/>
  <c r="X28" i="4" l="1"/>
  <c r="P26" i="5" l="1"/>
  <c r="P28" i="5"/>
  <c r="R28" i="5" s="1"/>
  <c r="P36" i="5" l="1"/>
  <c r="R36" i="5" s="1"/>
  <c r="P38" i="5"/>
  <c r="R38" i="5" s="1"/>
  <c r="P34" i="5"/>
  <c r="P35" i="5"/>
  <c r="R35" i="5" s="1"/>
  <c r="R34" i="5" l="1"/>
  <c r="P25" i="5"/>
  <c r="P27" i="5" l="1"/>
  <c r="P22" i="5"/>
  <c r="P37" i="5" l="1"/>
  <c r="R37" i="5" s="1"/>
  <c r="P24" i="5"/>
  <c r="P41" i="5" l="1"/>
  <c r="R41" i="5" s="1"/>
  <c r="Z28" i="4" l="1"/>
  <c r="P16" i="5" l="1"/>
  <c r="R16" i="5" l="1"/>
  <c r="P19" i="5"/>
  <c r="R19" i="5" s="1"/>
  <c r="R10" i="6" l="1"/>
  <c r="F22" i="6" l="1"/>
  <c r="F28" i="6"/>
  <c r="F19" i="6"/>
  <c r="F16" i="6"/>
  <c r="F32" i="6"/>
  <c r="F26" i="6"/>
  <c r="F12" i="6"/>
  <c r="F20" i="6"/>
  <c r="F14" i="6"/>
  <c r="F29" i="6"/>
  <c r="R9" i="6"/>
  <c r="F11" i="6"/>
  <c r="F17" i="6"/>
  <c r="F23" i="6"/>
  <c r="F33" i="6"/>
  <c r="F15" i="6"/>
  <c r="F21" i="6"/>
  <c r="F27" i="6"/>
  <c r="F31" i="6"/>
  <c r="F10" i="6"/>
  <c r="F25" i="6"/>
  <c r="H20" i="6" l="1"/>
  <c r="J20" i="6"/>
  <c r="J23" i="6"/>
  <c r="H23" i="6"/>
  <c r="H17" i="6"/>
  <c r="J17" i="6"/>
  <c r="H32" i="6"/>
  <c r="J32" i="6"/>
  <c r="H10" i="6"/>
  <c r="J10" i="6"/>
  <c r="J11" i="6"/>
  <c r="H11" i="6"/>
  <c r="H16" i="6"/>
  <c r="J16" i="6"/>
  <c r="J31" i="6"/>
  <c r="H31" i="6"/>
  <c r="H19" i="6"/>
  <c r="J19" i="6"/>
  <c r="J15" i="6"/>
  <c r="H15" i="6"/>
  <c r="H12" i="6"/>
  <c r="J12" i="6"/>
  <c r="H25" i="6"/>
  <c r="J25" i="6"/>
  <c r="H27" i="6"/>
  <c r="J27" i="6"/>
  <c r="J28" i="6"/>
  <c r="H28" i="6"/>
  <c r="J33" i="6"/>
  <c r="H33" i="6"/>
  <c r="H26" i="6"/>
  <c r="J26" i="6"/>
  <c r="H29" i="6"/>
  <c r="J29" i="6"/>
  <c r="H21" i="6"/>
  <c r="J21" i="6"/>
  <c r="H14" i="6"/>
  <c r="J14" i="6"/>
  <c r="J22" i="6"/>
  <c r="H22" i="6"/>
  <c r="R22" i="5"/>
  <c r="R24" i="5"/>
  <c r="R23" i="5" s="1"/>
  <c r="R25" i="5" l="1"/>
  <c r="R26" i="5"/>
  <c r="P31" i="5"/>
  <c r="R31" i="5" l="1"/>
  <c r="P43" i="5"/>
  <c r="R27" i="5"/>
  <c r="P47" i="5" l="1"/>
  <c r="R47" i="5" s="1"/>
  <c r="R43" i="5"/>
</calcChain>
</file>

<file path=xl/sharedStrings.xml><?xml version="1.0" encoding="utf-8"?>
<sst xmlns="http://schemas.openxmlformats.org/spreadsheetml/2006/main" count="149" uniqueCount="99">
  <si>
    <t>Residential</t>
  </si>
  <si>
    <t xml:space="preserve"> </t>
  </si>
  <si>
    <t>PacifiCorp - State of Washington</t>
  </si>
  <si>
    <t>Summary of Schedule 97 Power Cost Adjustment Mechanism Adjustment</t>
  </si>
  <si>
    <t>Class</t>
  </si>
  <si>
    <t>Schedule</t>
  </si>
  <si>
    <t>TOTAL</t>
  </si>
  <si>
    <t>RES</t>
  </si>
  <si>
    <t>COM</t>
  </si>
  <si>
    <t>48T</t>
  </si>
  <si>
    <t>IND</t>
  </si>
  <si>
    <t>IRG</t>
  </si>
  <si>
    <t>PSH</t>
  </si>
  <si>
    <t>Total</t>
  </si>
  <si>
    <t>Actuals</t>
  </si>
  <si>
    <t>Forecast</t>
  </si>
  <si>
    <t>TABLE A. PRESENT AND PROPOSED RATES</t>
  </si>
  <si>
    <t>PACIFIC POWER &amp; LIGHT COMPANY</t>
  </si>
  <si>
    <t>ON REVENUES FROM ELECTRIC SALES TO ULTIMATE CONSUMERS</t>
  </si>
  <si>
    <t>IN WASHINGTON</t>
  </si>
  <si>
    <t>12 MONTHS ENDED JUNE 2015</t>
  </si>
  <si>
    <t>Present</t>
  </si>
  <si>
    <t>Curr.</t>
  </si>
  <si>
    <t>Avg.</t>
  </si>
  <si>
    <t>Base</t>
  </si>
  <si>
    <t>Line</t>
  </si>
  <si>
    <t>Sch.</t>
  </si>
  <si>
    <t>Cust.</t>
  </si>
  <si>
    <t>MWH</t>
  </si>
  <si>
    <t>Revenues</t>
  </si>
  <si>
    <t>Revenue</t>
  </si>
  <si>
    <t>No.</t>
  </si>
  <si>
    <t>Description</t>
  </si>
  <si>
    <t>Actual</t>
  </si>
  <si>
    <t>($000)</t>
  </si>
  <si>
    <t>%</t>
  </si>
  <si>
    <t>(1)</t>
  </si>
  <si>
    <t>(2)</t>
  </si>
  <si>
    <t>(3)</t>
  </si>
  <si>
    <t>(4)</t>
  </si>
  <si>
    <t>(5)</t>
  </si>
  <si>
    <t>(7)</t>
  </si>
  <si>
    <t>(8)</t>
  </si>
  <si>
    <t>(7)/(5)</t>
  </si>
  <si>
    <t>Residential Service</t>
  </si>
  <si>
    <t>16/18</t>
  </si>
  <si>
    <t>Unbilled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</si>
  <si>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</si>
  <si>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</si>
  <si>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</si>
  <si>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</si>
  <si>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</si>
  <si>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</si>
  <si>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</si>
  <si>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</si>
  <si>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</si>
  <si>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</si>
  <si>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</si>
  <si>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</si>
  <si>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</si>
  <si>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</si>
  <si>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</si>
  <si>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</si>
  <si>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</si>
  <si>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</si>
  <si>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</si>
  <si>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</si>
  <si>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</si>
  <si>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Pacific Power &amp; Light Company</t>
  </si>
  <si>
    <t>Monthly Billing Comparison</t>
  </si>
  <si>
    <t>Schedule 16 - Residential Service</t>
  </si>
  <si>
    <r>
      <t xml:space="preserve">Monthly Charge </t>
    </r>
    <r>
      <rPr>
        <vertAlign val="superscript"/>
        <sz val="11"/>
        <rFont val="Times New Roman"/>
        <family val="1"/>
      </rPr>
      <t>1</t>
    </r>
  </si>
  <si>
    <t>Change</t>
  </si>
  <si>
    <t>Present Price</t>
  </si>
  <si>
    <t>Proposed Price</t>
  </si>
  <si>
    <t>kWh</t>
  </si>
  <si>
    <t>Proposed</t>
  </si>
  <si>
    <t>$</t>
  </si>
  <si>
    <t>Basic</t>
  </si>
  <si>
    <t>Energy - 1st 600</t>
  </si>
  <si>
    <t>Energy</t>
  </si>
  <si>
    <t>SBC</t>
  </si>
  <si>
    <t>BPA Credit</t>
  </si>
  <si>
    <t>Low Income-Current</t>
  </si>
  <si>
    <t>Low Income-Proposed</t>
  </si>
  <si>
    <t>*</t>
  </si>
  <si>
    <t>Notes:</t>
  </si>
  <si>
    <t>* Average Washington Customer</t>
  </si>
  <si>
    <t xml:space="preserve">          and PCAM Adjustment.</t>
  </si>
  <si>
    <t>Proposed PCAM Change</t>
  </si>
  <si>
    <t>ESTIMATED EFFECT OF PROPOSED RATE INCREASE FOR SCHEDULE 97</t>
  </si>
  <si>
    <t>PCAM Adjust-Current</t>
  </si>
  <si>
    <t>PCAM Adjust-Proposed</t>
  </si>
  <si>
    <t>Renewable Adj</t>
  </si>
  <si>
    <t xml:space="preserve">FTAA 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</si>
  <si>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Deferral Surcharge, BPA Credit, FTAA, REC Adj  </t>
    </r>
  </si>
  <si>
    <t>201909/201910</t>
  </si>
  <si>
    <t>12-Month Estimated</t>
  </si>
  <si>
    <t>Filed: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</si>
</sst>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  <numFmt numFmtId="167" formatCode="0.00000000000000%"/>
    <numFmt numFmtId="168" formatCode="_(* #,##0.000_);_(* \(#,##0.000\);_(* &quot;-&quot;??_);_(@_)"/>
    <numFmt numFmtId="169" formatCode="0.00_)"/>
  </numFmts>
  <fonts count="24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2" fillId="0" borderId="0"/>
    <xf numFmtId="0" fontId="4" fillId="0" borderId="0"/>
    <xf numFmtId="43" fontId="3" fillId="0" borderId="0" applyFont="0" applyFill="0" applyBorder="0" applyAlignment="0" applyProtection="0"/>
    <xf numFmtId="0" fontId="9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4" fillId="0" borderId="0"/>
  </cellStyleXfs>
  <cellXfs count="153">
    <xf numFmtId="0" fontId="0" fillId="0" borderId="0" xfId="0"/>
    <xf numFmtId="0" fontId="5" fillId="0" borderId="0" xfId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6" fillId="0" borderId="0" xfId="2" applyFont="1"/>
    <xf numFmtId="0" fontId="7" fillId="0" borderId="0" xfId="2" applyFont="1" applyAlignment="1">
      <alignment horizontal="center"/>
    </xf>
    <xf numFmtId="1" fontId="7" fillId="0" borderId="0" xfId="2" applyNumberFormat="1" applyFont="1" applyAlignment="1">
      <alignment horizontal="center"/>
    </xf>
    <xf numFmtId="6" fontId="6" fillId="0" borderId="0" xfId="2" applyNumberFormat="1" applyFont="1"/>
    <xf numFmtId="0" fontId="6" fillId="0" borderId="0" xfId="2" applyFont="1" applyAlignment="1">
      <alignment horizontal="right"/>
    </xf>
    <xf numFmtId="8" fontId="6" fillId="0" borderId="0" xfId="2" applyNumberFormat="1" applyFont="1"/>
    <xf numFmtId="0" fontId="7" fillId="0" borderId="0" xfId="2" applyFont="1" applyAlignment="1">
      <alignment horizontal="right"/>
    </xf>
    <xf numFmtId="6" fontId="7" fillId="0" borderId="0" xfId="2" applyNumberFormat="1" applyFont="1"/>
    <xf numFmtId="6" fontId="7" fillId="0" borderId="0" xfId="2" applyNumberFormat="1" applyFont="1" applyAlignment="1">
      <alignment horizontal="center"/>
    </xf>
    <xf numFmtId="0" fontId="6" fillId="0" borderId="2" xfId="2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9" fillId="0" borderId="0" xfId="5" applyFill="1"/>
    <xf numFmtId="0" fontId="10" fillId="0" borderId="0" xfId="5" applyFont="1" applyFill="1"/>
    <xf numFmtId="0" fontId="9" fillId="0" borderId="0" xfId="5" applyFont="1" applyFill="1"/>
    <xf numFmtId="0" fontId="11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9" fillId="0" borderId="0" xfId="5" applyFill="1" applyBorder="1"/>
    <xf numFmtId="0" fontId="9" fillId="0" borderId="0" xfId="5" applyFont="1" applyFill="1" applyAlignment="1">
      <alignment horizontal="center"/>
    </xf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0" fontId="10" fillId="0" borderId="0" xfId="5" applyFont="1" applyFill="1" applyAlignment="1">
      <alignment horizontal="center"/>
    </xf>
    <xf numFmtId="0" fontId="9" fillId="0" borderId="0" xfId="5" quotePrefix="1" applyFont="1" applyFill="1" applyBorder="1" applyAlignment="1">
      <alignment horizontal="center"/>
    </xf>
    <xf numFmtId="0" fontId="9" fillId="0" borderId="3" xfId="5" applyFont="1" applyFill="1" applyBorder="1" applyAlignment="1">
      <alignment horizontal="centerContinuous"/>
    </xf>
    <xf numFmtId="0" fontId="9" fillId="0" borderId="0" xfId="5" applyFill="1" applyAlignment="1">
      <alignment horizontal="center"/>
    </xf>
    <xf numFmtId="0" fontId="9" fillId="0" borderId="4" xfId="5" applyFill="1" applyBorder="1" applyAlignment="1">
      <alignment horizontal="center"/>
    </xf>
    <xf numFmtId="0" fontId="10" fillId="0" borderId="4" xfId="5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/>
    </xf>
    <xf numFmtId="0" fontId="9" fillId="0" borderId="4" xfId="5" applyFont="1" applyFill="1" applyBorder="1" applyAlignment="1">
      <alignment horizontal="center"/>
    </xf>
    <xf numFmtId="0" fontId="9" fillId="0" borderId="3" xfId="5" applyFont="1" applyFill="1" applyBorder="1" applyAlignment="1">
      <alignment horizontal="center"/>
    </xf>
    <xf numFmtId="6" fontId="9" fillId="0" borderId="0" xfId="5" quotePrefix="1" applyNumberFormat="1" applyFont="1" applyFill="1" applyBorder="1" applyAlignment="1">
      <alignment horizontal="center"/>
    </xf>
    <xf numFmtId="6" fontId="9" fillId="0" borderId="4" xfId="5" quotePrefix="1" applyNumberFormat="1" applyFont="1" applyFill="1" applyBorder="1" applyAlignment="1">
      <alignment horizontal="center"/>
    </xf>
    <xf numFmtId="0" fontId="9" fillId="0" borderId="0" xfId="5" quotePrefix="1" applyFont="1" applyFill="1"/>
    <xf numFmtId="0" fontId="9" fillId="0" borderId="0" xfId="5" quotePrefix="1" applyFont="1" applyFill="1" applyAlignment="1">
      <alignment horizontal="center"/>
    </xf>
    <xf numFmtId="0" fontId="9" fillId="0" borderId="0" xfId="5" quotePrefix="1" applyFill="1" applyAlignment="1">
      <alignment horizontal="center"/>
    </xf>
    <xf numFmtId="0" fontId="13" fillId="0" borderId="0" xfId="5" applyFont="1" applyFill="1"/>
    <xf numFmtId="0" fontId="10" fillId="0" borderId="0" xfId="5" quotePrefix="1" applyFont="1" applyFill="1" applyAlignment="1">
      <alignment horizontal="center"/>
    </xf>
    <xf numFmtId="37" fontId="9" fillId="0" borderId="0" xfId="5" applyNumberFormat="1" applyFont="1" applyFill="1" applyProtection="1"/>
    <xf numFmtId="5" fontId="10" fillId="0" borderId="0" xfId="5" applyNumberFormat="1" applyFont="1" applyFill="1" applyProtection="1">
      <protection locked="0"/>
    </xf>
    <xf numFmtId="10" fontId="10" fillId="0" borderId="0" xfId="7" applyNumberFormat="1" applyFont="1" applyFill="1" applyProtection="1">
      <protection locked="0"/>
    </xf>
    <xf numFmtId="165" fontId="10" fillId="0" borderId="0" xfId="8" applyNumberFormat="1" applyFont="1" applyFill="1" applyProtection="1">
      <protection locked="0"/>
    </xf>
    <xf numFmtId="5" fontId="10" fillId="0" borderId="0" xfId="7" applyNumberFormat="1" applyFont="1" applyFill="1" applyProtection="1">
      <protection locked="0"/>
    </xf>
    <xf numFmtId="5" fontId="10" fillId="0" borderId="0" xfId="5" applyNumberFormat="1" applyFont="1" applyProtection="1">
      <protection locked="0"/>
    </xf>
    <xf numFmtId="0" fontId="9" fillId="0" borderId="4" xfId="5" applyFill="1" applyBorder="1"/>
    <xf numFmtId="0" fontId="9" fillId="0" borderId="3" xfId="5" applyFill="1" applyBorder="1"/>
    <xf numFmtId="0" fontId="14" fillId="0" borderId="0" xfId="9" applyFont="1" applyFill="1" applyAlignment="1">
      <alignment horizontal="center"/>
    </xf>
    <xf numFmtId="37" fontId="9" fillId="0" borderId="0" xfId="5" applyNumberFormat="1" applyFill="1" applyProtection="1"/>
    <xf numFmtId="5" fontId="9" fillId="0" borderId="0" xfId="5" applyNumberFormat="1" applyFill="1" applyProtection="1"/>
    <xf numFmtId="37" fontId="9" fillId="0" borderId="0" xfId="5" applyNumberFormat="1" applyFill="1"/>
    <xf numFmtId="0" fontId="14" fillId="0" borderId="0" xfId="9" applyFont="1" applyFill="1"/>
    <xf numFmtId="37" fontId="9" fillId="0" borderId="4" xfId="5" applyNumberFormat="1" applyFill="1" applyBorder="1" applyProtection="1"/>
    <xf numFmtId="5" fontId="9" fillId="0" borderId="4" xfId="5" applyNumberFormat="1" applyFill="1" applyBorder="1" applyProtection="1"/>
    <xf numFmtId="10" fontId="10" fillId="0" borderId="0" xfId="7" applyNumberFormat="1" applyFont="1" applyFill="1" applyBorder="1" applyProtection="1">
      <protection locked="0"/>
    </xf>
    <xf numFmtId="165" fontId="10" fillId="0" borderId="3" xfId="8" applyNumberFormat="1" applyFont="1" applyFill="1" applyBorder="1" applyProtection="1">
      <protection locked="0"/>
    </xf>
    <xf numFmtId="5" fontId="9" fillId="0" borderId="0" xfId="5" applyNumberFormat="1" applyFill="1" applyBorder="1" applyProtection="1"/>
    <xf numFmtId="37" fontId="9" fillId="0" borderId="0" xfId="5" applyNumberFormat="1" applyFill="1" applyBorder="1" applyProtection="1"/>
    <xf numFmtId="0" fontId="15" fillId="0" borderId="0" xfId="5" applyFont="1" applyFill="1"/>
    <xf numFmtId="37" fontId="9" fillId="0" borderId="5" xfId="5" applyNumberFormat="1" applyFill="1" applyBorder="1"/>
    <xf numFmtId="5" fontId="9" fillId="0" borderId="5" xfId="5" applyNumberFormat="1" applyFill="1" applyBorder="1"/>
    <xf numFmtId="5" fontId="9" fillId="0" borderId="0" xfId="5" applyNumberFormat="1" applyFill="1" applyBorder="1"/>
    <xf numFmtId="165" fontId="10" fillId="0" borderId="5" xfId="8" applyNumberFormat="1" applyFont="1" applyFill="1" applyBorder="1" applyProtection="1">
      <protection locked="0"/>
    </xf>
    <xf numFmtId="37" fontId="9" fillId="0" borderId="0" xfId="5" applyNumberFormat="1" applyFill="1" applyBorder="1"/>
    <xf numFmtId="10" fontId="10" fillId="0" borderId="0" xfId="7" quotePrefix="1" applyNumberFormat="1" applyFont="1" applyFill="1" applyBorder="1" applyProtection="1">
      <protection locked="0"/>
    </xf>
    <xf numFmtId="0" fontId="16" fillId="0" borderId="0" xfId="9" applyFont="1" applyFill="1"/>
    <xf numFmtId="37" fontId="9" fillId="0" borderId="5" xfId="5" applyNumberFormat="1" applyFont="1" applyFill="1" applyBorder="1" applyProtection="1"/>
    <xf numFmtId="5" fontId="10" fillId="0" borderId="5" xfId="7" applyNumberFormat="1" applyFont="1" applyFill="1" applyBorder="1" applyProtection="1">
      <protection locked="0"/>
    </xf>
    <xf numFmtId="5" fontId="10" fillId="0" borderId="0" xfId="7" applyNumberFormat="1" applyFont="1" applyFill="1" applyBorder="1" applyProtection="1">
      <protection locked="0"/>
    </xf>
    <xf numFmtId="5" fontId="9" fillId="0" borderId="0" xfId="5" applyNumberFormat="1" applyFill="1"/>
    <xf numFmtId="0" fontId="9" fillId="0" borderId="0" xfId="5" applyFont="1" applyFill="1" applyAlignment="1">
      <alignment horizontal="right"/>
    </xf>
    <xf numFmtId="7" fontId="9" fillId="0" borderId="0" xfId="5" applyNumberFormat="1" applyFill="1"/>
    <xf numFmtId="167" fontId="9" fillId="0" borderId="0" xfId="5" applyNumberFormat="1" applyFill="1"/>
    <xf numFmtId="0" fontId="14" fillId="0" borderId="0" xfId="10" applyFont="1" applyFill="1"/>
    <xf numFmtId="0" fontId="17" fillId="0" borderId="0" xfId="10" applyFont="1" applyFill="1" applyAlignment="1"/>
    <xf numFmtId="0" fontId="14" fillId="0" borderId="0" xfId="10" applyFont="1" applyFill="1" applyAlignment="1">
      <alignment horizontal="centerContinuous"/>
    </xf>
    <xf numFmtId="0" fontId="17" fillId="0" borderId="0" xfId="10" applyFont="1" applyFill="1" applyAlignment="1">
      <alignment horizontal="centerContinuous"/>
    </xf>
    <xf numFmtId="0" fontId="14" fillId="0" borderId="0" xfId="10" applyFont="1" applyFill="1" applyBorder="1" applyAlignment="1">
      <alignment horizontal="center"/>
    </xf>
    <xf numFmtId="0" fontId="14" fillId="0" borderId="0" xfId="10" applyFill="1"/>
    <xf numFmtId="0" fontId="14" fillId="0" borderId="0" xfId="10" applyFont="1" applyFill="1" applyBorder="1" applyAlignment="1">
      <alignment horizontal="centerContinuous"/>
    </xf>
    <xf numFmtId="0" fontId="19" fillId="0" borderId="6" xfId="10" applyFont="1" applyFill="1" applyBorder="1"/>
    <xf numFmtId="0" fontId="19" fillId="0" borderId="7" xfId="10" applyFont="1" applyFill="1" applyBorder="1"/>
    <xf numFmtId="0" fontId="14" fillId="0" borderId="3" xfId="10" applyFont="1" applyFill="1" applyBorder="1" applyAlignment="1">
      <alignment horizontal="center"/>
    </xf>
    <xf numFmtId="0" fontId="14" fillId="0" borderId="4" xfId="10" applyFont="1" applyFill="1" applyBorder="1" applyAlignment="1">
      <alignment horizontal="centerContinuous"/>
    </xf>
    <xf numFmtId="0" fontId="18" fillId="0" borderId="0" xfId="10" applyFont="1" applyFill="1"/>
    <xf numFmtId="0" fontId="14" fillId="0" borderId="4" xfId="10" applyFont="1" applyFill="1" applyBorder="1" applyAlignment="1">
      <alignment horizontal="center"/>
    </xf>
    <xf numFmtId="0" fontId="19" fillId="0" borderId="8" xfId="10" applyFont="1" applyFill="1" applyBorder="1"/>
    <xf numFmtId="7" fontId="20" fillId="0" borderId="9" xfId="10" applyNumberFormat="1" applyFont="1" applyFill="1" applyBorder="1"/>
    <xf numFmtId="0" fontId="21" fillId="0" borderId="0" xfId="10" applyFont="1" applyFill="1"/>
    <xf numFmtId="166" fontId="20" fillId="0" borderId="9" xfId="10" applyNumberFormat="1" applyFont="1" applyFill="1" applyBorder="1"/>
    <xf numFmtId="168" fontId="20" fillId="0" borderId="9" xfId="4" applyNumberFormat="1" applyFont="1" applyFill="1" applyBorder="1" applyAlignment="1">
      <alignment horizontal="right"/>
    </xf>
    <xf numFmtId="43" fontId="14" fillId="0" borderId="0" xfId="10" applyNumberFormat="1" applyFont="1" applyFill="1"/>
    <xf numFmtId="165" fontId="14" fillId="0" borderId="0" xfId="7" applyNumberFormat="1" applyFont="1" applyFill="1"/>
    <xf numFmtId="37" fontId="14" fillId="0" borderId="0" xfId="10" applyNumberFormat="1" applyFont="1" applyFill="1" applyProtection="1"/>
    <xf numFmtId="7" fontId="14" fillId="0" borderId="0" xfId="10" applyNumberFormat="1" applyFill="1"/>
    <xf numFmtId="7" fontId="14" fillId="0" borderId="0" xfId="10" applyNumberFormat="1" applyFont="1" applyFill="1"/>
    <xf numFmtId="10" fontId="14" fillId="0" borderId="0" xfId="10" applyNumberFormat="1" applyFont="1" applyFill="1" applyProtection="1"/>
    <xf numFmtId="0" fontId="19" fillId="0" borderId="10" xfId="10" applyFont="1" applyFill="1" applyBorder="1"/>
    <xf numFmtId="166" fontId="20" fillId="0" borderId="11" xfId="10" applyNumberFormat="1" applyFont="1" applyFill="1" applyBorder="1"/>
    <xf numFmtId="0" fontId="19" fillId="0" borderId="0" xfId="10" applyFont="1" applyFill="1"/>
    <xf numFmtId="166" fontId="19" fillId="0" borderId="0" xfId="10" applyNumberFormat="1" applyFont="1" applyFill="1"/>
    <xf numFmtId="0" fontId="14" fillId="0" borderId="0" xfId="10" applyFont="1" applyFill="1" applyBorder="1"/>
    <xf numFmtId="7" fontId="14" fillId="0" borderId="0" xfId="10" applyNumberFormat="1" applyFont="1" applyFill="1" applyProtection="1"/>
    <xf numFmtId="166" fontId="14" fillId="0" borderId="0" xfId="10" applyNumberFormat="1" applyFont="1" applyFill="1"/>
    <xf numFmtId="0" fontId="14" fillId="0" borderId="0" xfId="10" applyFont="1" applyFill="1" applyAlignment="1">
      <alignment horizontal="right"/>
    </xf>
    <xf numFmtId="10" fontId="14" fillId="0" borderId="0" xfId="7" applyNumberFormat="1" applyFont="1" applyFill="1" applyAlignment="1">
      <alignment horizontal="right"/>
    </xf>
    <xf numFmtId="5" fontId="14" fillId="0" borderId="0" xfId="10" applyNumberFormat="1" applyFont="1" applyFill="1"/>
    <xf numFmtId="169" fontId="14" fillId="0" borderId="0" xfId="10" applyNumberFormat="1" applyFont="1" applyFill="1" applyProtection="1"/>
    <xf numFmtId="37" fontId="14" fillId="0" borderId="3" xfId="10" applyNumberFormat="1" applyFont="1" applyFill="1" applyBorder="1" applyProtection="1"/>
    <xf numFmtId="0" fontId="14" fillId="0" borderId="3" xfId="10" applyFont="1" applyFill="1" applyBorder="1"/>
    <xf numFmtId="7" fontId="14" fillId="0" borderId="3" xfId="10" applyNumberFormat="1" applyFont="1" applyFill="1" applyBorder="1" applyProtection="1"/>
    <xf numFmtId="169" fontId="14" fillId="0" borderId="3" xfId="10" applyNumberFormat="1" applyFont="1" applyFill="1" applyBorder="1" applyProtection="1"/>
    <xf numFmtId="0" fontId="22" fillId="0" borderId="0" xfId="10" applyFont="1" applyFill="1"/>
    <xf numFmtId="0" fontId="22" fillId="0" borderId="0" xfId="10" quotePrefix="1" applyFont="1" applyFill="1" applyBorder="1" applyAlignment="1">
      <alignment horizontal="left"/>
    </xf>
    <xf numFmtId="0" fontId="9" fillId="0" borderId="0" xfId="5" applyFont="1" applyFill="1" applyBorder="1" applyAlignment="1">
      <alignment horizontal="centerContinuous"/>
    </xf>
    <xf numFmtId="0" fontId="6" fillId="0" borderId="1" xfId="2" applyFont="1" applyBorder="1" applyAlignment="1">
      <alignment horizontal="centerContinuous"/>
    </xf>
    <xf numFmtId="0" fontId="7" fillId="0" borderId="12" xfId="2" applyFont="1" applyBorder="1" applyAlignment="1">
      <alignment horizontal="center"/>
    </xf>
    <xf numFmtId="6" fontId="7" fillId="0" borderId="13" xfId="2" applyNumberFormat="1" applyFont="1" applyBorder="1" applyAlignment="1">
      <alignment horizontal="right"/>
    </xf>
    <xf numFmtId="1" fontId="7" fillId="0" borderId="15" xfId="2" applyNumberFormat="1" applyFont="1" applyBorder="1" applyAlignment="1">
      <alignment horizontal="center"/>
    </xf>
    <xf numFmtId="6" fontId="6" fillId="0" borderId="16" xfId="2" applyNumberFormat="1" applyFont="1" applyBorder="1"/>
    <xf numFmtId="8" fontId="6" fillId="0" borderId="16" xfId="2" applyNumberFormat="1" applyFont="1" applyBorder="1"/>
    <xf numFmtId="1" fontId="7" fillId="0" borderId="17" xfId="2" applyNumberFormat="1" applyFont="1" applyBorder="1" applyAlignment="1">
      <alignment horizontal="center"/>
    </xf>
    <xf numFmtId="1" fontId="7" fillId="0" borderId="18" xfId="2" applyNumberFormat="1" applyFont="1" applyBorder="1" applyAlignment="1">
      <alignment horizontal="center"/>
    </xf>
    <xf numFmtId="6" fontId="6" fillId="0" borderId="19" xfId="2" applyNumberFormat="1" applyFont="1" applyBorder="1"/>
    <xf numFmtId="6" fontId="6" fillId="0" borderId="0" xfId="2" applyNumberFormat="1" applyFont="1" applyBorder="1"/>
    <xf numFmtId="8" fontId="6" fillId="0" borderId="19" xfId="2" applyNumberFormat="1" applyFont="1" applyBorder="1"/>
    <xf numFmtId="8" fontId="6" fillId="0" borderId="0" xfId="2" applyNumberFormat="1" applyFont="1" applyBorder="1"/>
    <xf numFmtId="6" fontId="7" fillId="0" borderId="20" xfId="2" applyNumberFormat="1" applyFont="1" applyBorder="1"/>
    <xf numFmtId="6" fontId="7" fillId="0" borderId="3" xfId="2" applyNumberFormat="1" applyFont="1" applyBorder="1"/>
    <xf numFmtId="6" fontId="7" fillId="0" borderId="21" xfId="2" applyNumberFormat="1" applyFont="1" applyBorder="1" applyAlignment="1">
      <alignment horizontal="right"/>
    </xf>
    <xf numFmtId="0" fontId="6" fillId="0" borderId="17" xfId="2" applyFont="1" applyBorder="1" applyAlignment="1">
      <alignment horizontal="right"/>
    </xf>
    <xf numFmtId="0" fontId="6" fillId="0" borderId="12" xfId="2" applyFont="1" applyBorder="1"/>
    <xf numFmtId="0" fontId="7" fillId="0" borderId="19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5" fontId="8" fillId="0" borderId="19" xfId="3" applyNumberFormat="1" applyFont="1" applyFill="1" applyBorder="1" applyAlignment="1" applyProtection="1">
      <alignment horizontal="center"/>
    </xf>
    <xf numFmtId="0" fontId="8" fillId="0" borderId="13" xfId="3" applyNumberFormat="1" applyFont="1" applyFill="1" applyBorder="1" applyAlignment="1">
      <alignment horizontal="center"/>
    </xf>
    <xf numFmtId="0" fontId="8" fillId="0" borderId="13" xfId="3" applyFont="1" applyFill="1" applyBorder="1" applyAlignment="1">
      <alignment horizontal="center"/>
    </xf>
    <xf numFmtId="164" fontId="8" fillId="0" borderId="13" xfId="4" applyNumberFormat="1" applyFont="1" applyFill="1" applyBorder="1" applyAlignment="1">
      <alignment horizontal="center"/>
    </xf>
    <xf numFmtId="0" fontId="8" fillId="0" borderId="19" xfId="3" applyFont="1" applyFill="1" applyBorder="1" applyAlignment="1">
      <alignment horizontal="center"/>
    </xf>
    <xf numFmtId="0" fontId="6" fillId="0" borderId="19" xfId="2" applyFont="1" applyBorder="1" applyAlignment="1">
      <alignment horizontal="right"/>
    </xf>
    <xf numFmtId="0" fontId="6" fillId="0" borderId="13" xfId="2" applyFont="1" applyBorder="1"/>
    <xf numFmtId="0" fontId="6" fillId="0" borderId="20" xfId="2" applyFont="1" applyBorder="1" applyAlignment="1">
      <alignment horizontal="right"/>
    </xf>
    <xf numFmtId="0" fontId="7" fillId="0" borderId="21" xfId="2" applyFont="1" applyBorder="1" applyAlignment="1">
      <alignment horizontal="right"/>
    </xf>
    <xf numFmtId="1" fontId="7" fillId="0" borderId="14" xfId="2" quotePrefix="1" applyNumberFormat="1" applyFont="1" applyBorder="1" applyAlignment="1">
      <alignment horizontal="center"/>
    </xf>
    <xf numFmtId="6" fontId="7" fillId="0" borderId="22" xfId="2" applyNumberFormat="1" applyFont="1" applyBorder="1"/>
    <xf numFmtId="0" fontId="7" fillId="0" borderId="14" xfId="2" applyFont="1" applyBorder="1" applyAlignment="1">
      <alignment horizontal="center"/>
    </xf>
    <xf numFmtId="0" fontId="9" fillId="0" borderId="0" xfId="5" applyFont="1" applyFill="1" applyAlignment="1">
      <alignment horizontal="left"/>
    </xf>
    <xf numFmtId="0" fontId="9" fillId="0" borderId="0" xfId="5" quotePrefix="1" applyFont="1" applyFill="1" applyAlignment="1">
      <alignment horizontal="left"/>
    </xf>
    <xf numFmtId="0" fontId="11" fillId="0" borderId="0" xfId="5" quotePrefix="1" applyFont="1" applyFill="1" applyAlignment="1">
      <alignment horizontal="center"/>
    </xf>
    <xf numFmtId="0" fontId="11" fillId="0" borderId="0" xfId="5" applyFont="1" applyFill="1" applyAlignment="1">
      <alignment horizontal="center"/>
    </xf>
    <xf numFmtId="0" fontId="17" fillId="0" borderId="0" xfId="10" applyFont="1" applyFill="1" applyAlignment="1">
      <alignment horizontal="center"/>
    </xf>
    <xf numFmtId="0" fontId="14" fillId="0" borderId="3" xfId="10" applyFont="1" applyFill="1" applyBorder="1" applyAlignment="1">
      <alignment horizontal="center"/>
    </xf>
  </cellXfs>
  <cellStyles count="11">
    <cellStyle name="Comma 2 2" xfId="4"/>
    <cellStyle name="Normal" xfId="0" builtinId="0"/>
    <cellStyle name="Normal 2" xfId="1"/>
    <cellStyle name="Normal 3" xfId="2"/>
    <cellStyle name="Normal 4" xfId="6"/>
    <cellStyle name="Normal_OR Blocking 04" xfId="9"/>
    <cellStyle name="Normal_OR Blocking 98 No Forecast" xfId="10"/>
    <cellStyle name="Normal_RECOV01" xfId="3"/>
    <cellStyle name="Normal_WA98" xfId="5"/>
    <cellStyle name="Percent 2" xfId="7"/>
    <cellStyle name="Percent 3" xfId="8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customXml" Target="../customXml/item4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CA\PwrStat\Penny\LARGEQUALIFIED\Qf99\Hdiv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rge%20Qf's\Qf03\FALLS\Falls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1382\Local%20Settings\Temporary%20Internet%20Files\OLK1DE\JAM%20CY06%20OR%20PARTIAL%20SETTLEMENT-Upda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1\Integration%20plans\Rate%20design%20options\Wyo%202001%20COS%20Summary%20-%201st%20Draf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160\Local%20Settings\Temporary%20Internet%20Files\OLK2A\Wyoming%20Sept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Unadj Data for RAM"/>
      <sheetName val="CWC"/>
      <sheetName val="Inputs"/>
      <sheetName val="Adjustments"/>
      <sheetName val="Adj Summary"/>
      <sheetName val="UIEC Summary"/>
      <sheetName val="UAE Summary"/>
      <sheetName val="AARP Summary"/>
      <sheetName val="Revised(2) DPU Summary"/>
      <sheetName val="Revised DPU Summary"/>
      <sheetName val="DPU Summary"/>
      <sheetName val="Revised Inputs"/>
      <sheetName val="Variables"/>
      <sheetName val="Factors"/>
      <sheetName val="Embedded Cost"/>
      <sheetName val="Check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 East"/>
      <sheetName val="Table 1 - Rev (East)"/>
      <sheetName val="Table 1 - MWh (East)"/>
      <sheetName val="Table 2 - kWh  (East)"/>
      <sheetName val="Table 3 - Rev (East)"/>
      <sheetName val="Table 4 - Contracts (East)"/>
      <sheetName val="RVN West"/>
      <sheetName val="Table 1 - Rev (West)"/>
      <sheetName val="Table 1 - MWh (West)"/>
      <sheetName val="Table 2 - kWh (West)"/>
      <sheetName val="Table 3 - Rev (West)"/>
      <sheetName val="Weather"/>
      <sheetName val="OCI Rev (tariff)"/>
      <sheetName val="OCI kWh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>
        <row r="86">
          <cell r="F86">
            <v>5.9243639404432336E-2</v>
          </cell>
        </row>
      </sheetData>
      <sheetData sheetId="42"/>
      <sheetData sheetId="43"/>
      <sheetData sheetId="4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S58"/>
  <sheetViews>
    <sheetView tabSelected="1" view="pageBreakPreview" topLeftCell="B1" zoomScale="80" zoomScaleNormal="55" zoomScaleSheetLayoutView="80" workbookViewId="0">
      <selection activeCell="U16" sqref="U16"/>
    </sheetView>
  </sheetViews>
  <sheetFormatPr defaultColWidth="11.7109375" defaultRowHeight="15.75"/>
  <cols>
    <col min="1" max="1" width="0" style="15" hidden="1" customWidth="1"/>
    <col min="2" max="2" width="5.28515625" style="15" customWidth="1"/>
    <col min="3" max="3" width="2.42578125" style="15" customWidth="1"/>
    <col min="4" max="4" width="41" style="16" customWidth="1"/>
    <col min="5" max="5" width="2.42578125" style="16" customWidth="1"/>
    <col min="6" max="6" width="6.42578125" style="16" bestFit="1" customWidth="1"/>
    <col min="7" max="7" width="2.42578125" style="16" customWidth="1"/>
    <col min="8" max="8" width="10.5703125" style="15" hidden="1" customWidth="1"/>
    <col min="9" max="9" width="11.140625" style="15" bestFit="1" customWidth="1"/>
    <col min="10" max="10" width="2.28515625" style="15" customWidth="1"/>
    <col min="11" max="11" width="12.5703125" style="15" hidden="1" customWidth="1"/>
    <col min="12" max="12" width="13.7109375" style="15" bestFit="1" customWidth="1"/>
    <col min="13" max="13" width="3.42578125" style="15" customWidth="1"/>
    <col min="14" max="14" width="13" style="15" bestFit="1" customWidth="1"/>
    <col min="15" max="15" width="3.140625" style="15" customWidth="1"/>
    <col min="16" max="16" width="11.28515625" style="15" customWidth="1"/>
    <col min="17" max="17" width="3.42578125" style="15" customWidth="1"/>
    <col min="18" max="18" width="12.7109375" style="15" bestFit="1" customWidth="1"/>
    <col min="19" max="19" width="2.5703125" style="15" customWidth="1"/>
    <col min="20" max="16384" width="11.7109375" style="15"/>
  </cols>
  <sheetData>
    <row r="1" spans="2:19">
      <c r="P1" s="17" t="s">
        <v>1</v>
      </c>
    </row>
    <row r="2" spans="2:19">
      <c r="B2" s="149" t="s">
        <v>16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spans="2:19">
      <c r="B3" s="150" t="s">
        <v>17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2:19">
      <c r="B4" s="150" t="s">
        <v>90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2:19">
      <c r="B5" s="150" t="s">
        <v>18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</row>
    <row r="6" spans="2:19">
      <c r="B6" s="150" t="s">
        <v>19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</row>
    <row r="7" spans="2:19">
      <c r="B7" s="149" t="s">
        <v>20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</row>
    <row r="8" spans="2:19">
      <c r="M8" s="18"/>
      <c r="N8" s="18"/>
      <c r="O8" s="19"/>
      <c r="P8" s="19"/>
      <c r="Q8" s="18"/>
      <c r="R8" s="18"/>
      <c r="S8" s="18"/>
    </row>
    <row r="9" spans="2:19">
      <c r="M9" s="21"/>
      <c r="N9" s="22" t="s">
        <v>21</v>
      </c>
      <c r="O9" s="23"/>
      <c r="Q9" s="23"/>
      <c r="R9" s="23"/>
      <c r="S9" s="23"/>
    </row>
    <row r="10" spans="2:19">
      <c r="F10" s="24" t="s">
        <v>22</v>
      </c>
      <c r="G10" s="24"/>
      <c r="H10" s="21" t="s">
        <v>23</v>
      </c>
      <c r="M10" s="22"/>
      <c r="N10" s="22" t="s">
        <v>24</v>
      </c>
      <c r="O10" s="25"/>
      <c r="P10" s="26" t="s">
        <v>89</v>
      </c>
      <c r="Q10" s="26"/>
      <c r="R10" s="26"/>
      <c r="S10" s="115"/>
    </row>
    <row r="11" spans="2:19">
      <c r="B11" s="27" t="s">
        <v>25</v>
      </c>
      <c r="F11" s="24" t="s">
        <v>26</v>
      </c>
      <c r="G11" s="24"/>
      <c r="H11" s="21" t="s">
        <v>27</v>
      </c>
      <c r="I11" s="21" t="s">
        <v>23</v>
      </c>
      <c r="K11" s="21" t="s">
        <v>28</v>
      </c>
      <c r="M11" s="21"/>
      <c r="N11" s="21" t="s">
        <v>29</v>
      </c>
      <c r="O11" s="27"/>
      <c r="P11" s="27" t="s">
        <v>30</v>
      </c>
      <c r="Q11" s="22"/>
      <c r="R11" s="22"/>
      <c r="S11" s="21"/>
    </row>
    <row r="12" spans="2:19">
      <c r="B12" s="28" t="s">
        <v>31</v>
      </c>
      <c r="D12" s="29" t="s">
        <v>32</v>
      </c>
      <c r="F12" s="29" t="s">
        <v>31</v>
      </c>
      <c r="G12" s="30"/>
      <c r="H12" s="31" t="s">
        <v>33</v>
      </c>
      <c r="I12" s="32" t="s">
        <v>27</v>
      </c>
      <c r="K12" s="31" t="s">
        <v>33</v>
      </c>
      <c r="L12" s="32" t="s">
        <v>28</v>
      </c>
      <c r="M12" s="33"/>
      <c r="N12" s="34" t="s">
        <v>34</v>
      </c>
      <c r="O12" s="22"/>
      <c r="P12" s="34" t="s">
        <v>34</v>
      </c>
      <c r="Q12" s="33"/>
      <c r="R12" s="34" t="s">
        <v>35</v>
      </c>
      <c r="S12" s="33"/>
    </row>
    <row r="13" spans="2:19">
      <c r="B13" s="35"/>
      <c r="D13" s="36" t="s">
        <v>36</v>
      </c>
      <c r="F13" s="36" t="s">
        <v>37</v>
      </c>
      <c r="G13" s="24"/>
      <c r="H13" s="36"/>
      <c r="I13" s="36" t="s">
        <v>38</v>
      </c>
      <c r="K13" s="36"/>
      <c r="L13" s="36" t="s">
        <v>39</v>
      </c>
      <c r="M13" s="36"/>
      <c r="N13" s="36" t="s">
        <v>40</v>
      </c>
      <c r="O13" s="36"/>
      <c r="P13" s="36" t="s">
        <v>41</v>
      </c>
      <c r="Q13" s="36"/>
      <c r="R13" s="36" t="s">
        <v>42</v>
      </c>
      <c r="S13" s="36"/>
    </row>
    <row r="14" spans="2:19">
      <c r="O14" s="36"/>
      <c r="P14" s="21" t="s">
        <v>1</v>
      </c>
      <c r="R14" s="37" t="s">
        <v>43</v>
      </c>
    </row>
    <row r="15" spans="2:19">
      <c r="D15" s="38" t="s">
        <v>0</v>
      </c>
    </row>
    <row r="16" spans="2:19">
      <c r="B16" s="27">
        <v>1</v>
      </c>
      <c r="D16" s="16" t="s">
        <v>44</v>
      </c>
      <c r="F16" s="39" t="s">
        <v>45</v>
      </c>
      <c r="G16" s="39"/>
      <c r="H16" s="40">
        <v>101336.91666666667</v>
      </c>
      <c r="I16" s="40">
        <v>105258.64978493931</v>
      </c>
      <c r="J16" s="17"/>
      <c r="K16" s="40">
        <v>1569938.6044392167</v>
      </c>
      <c r="L16" s="40">
        <v>1569786.6374891768</v>
      </c>
      <c r="M16" s="41"/>
      <c r="N16" s="41">
        <v>148768.01803273332</v>
      </c>
      <c r="O16" s="42"/>
      <c r="P16" s="45">
        <f>-('Total WA PCAM'!Z7+'Total WA PCAM'!Z8+'Total WA PCAM'!Z9)/1000</f>
        <v>7840.9422411062715</v>
      </c>
      <c r="Q16" s="44"/>
      <c r="R16" s="43">
        <f>P16/N16</f>
        <v>5.270583250884632E-2</v>
      </c>
      <c r="S16" s="41"/>
    </row>
    <row r="17" spans="2:19">
      <c r="D17" s="16" t="s">
        <v>46</v>
      </c>
      <c r="H17" s="46"/>
      <c r="I17" s="46"/>
      <c r="K17" s="46"/>
      <c r="L17" s="46"/>
      <c r="M17" s="33"/>
      <c r="N17" s="46"/>
      <c r="O17" s="20"/>
      <c r="P17" s="47"/>
      <c r="Q17" s="20"/>
      <c r="R17" s="47"/>
      <c r="S17" s="20"/>
    </row>
    <row r="19" spans="2:19">
      <c r="B19" s="48">
        <f>MAX(B$13:B18)+1</f>
        <v>2</v>
      </c>
      <c r="D19" s="38" t="s">
        <v>47</v>
      </c>
      <c r="H19" s="49">
        <f>SUM(H16:H16)</f>
        <v>101336.91666666667</v>
      </c>
      <c r="I19" s="49">
        <f>SUM(I16:I18)</f>
        <v>105258.64978493931</v>
      </c>
      <c r="K19" s="49">
        <f>SUM(K16:K16)</f>
        <v>1569938.6044392167</v>
      </c>
      <c r="L19" s="49">
        <f>SUM(L16:L18)</f>
        <v>1569786.6374891768</v>
      </c>
      <c r="M19" s="50"/>
      <c r="N19" s="50">
        <f>SUM(N16:N18)</f>
        <v>148768.01803273332</v>
      </c>
      <c r="O19" s="42"/>
      <c r="P19" s="50">
        <f>SUM(P16:P16)</f>
        <v>7840.9422411062715</v>
      </c>
      <c r="Q19" s="50"/>
      <c r="R19" s="43">
        <f>P19/N19</f>
        <v>5.270583250884632E-2</v>
      </c>
      <c r="S19" s="50"/>
    </row>
    <row r="20" spans="2:19">
      <c r="L20" s="17" t="s">
        <v>1</v>
      </c>
    </row>
    <row r="21" spans="2:19">
      <c r="D21" s="38" t="s">
        <v>48</v>
      </c>
      <c r="H21" s="51"/>
      <c r="I21" s="51"/>
    </row>
    <row r="22" spans="2:19">
      <c r="B22" s="48">
        <f>MAX(B$13:B21)+1</f>
        <v>3</v>
      </c>
      <c r="D22" s="16" t="s">
        <v>49</v>
      </c>
      <c r="F22" s="24">
        <v>24</v>
      </c>
      <c r="G22" s="24"/>
      <c r="H22" s="40">
        <v>17306.416666666664</v>
      </c>
      <c r="I22" s="40">
        <v>19046.041792326934</v>
      </c>
      <c r="K22" s="40">
        <v>513041.74113523914</v>
      </c>
      <c r="L22" s="40">
        <v>536266.600352215</v>
      </c>
      <c r="M22" s="50"/>
      <c r="N22" s="41">
        <v>50590.494891159164</v>
      </c>
      <c r="O22" s="42"/>
      <c r="P22" s="45">
        <f>-('Total WA PCAM'!Z10+'Total WA PCAM'!Z13+'Total WA PCAM'!Z18)/1000</f>
        <v>2434.5069490811366</v>
      </c>
      <c r="Q22" s="44"/>
      <c r="R22" s="43">
        <f>P22/N22</f>
        <v>4.8121825143611588E-2</v>
      </c>
      <c r="S22" s="41"/>
    </row>
    <row r="23" spans="2:19">
      <c r="B23" s="48">
        <f>MAX(B$13:B22)+1</f>
        <v>4</v>
      </c>
      <c r="D23" s="52" t="s">
        <v>50</v>
      </c>
      <c r="E23" s="52"/>
      <c r="F23" s="48">
        <v>33</v>
      </c>
      <c r="G23" s="24"/>
      <c r="H23" s="40">
        <v>0</v>
      </c>
      <c r="I23" s="40">
        <v>0</v>
      </c>
      <c r="K23" s="40">
        <v>0</v>
      </c>
      <c r="L23" s="40">
        <v>0</v>
      </c>
      <c r="M23" s="41"/>
      <c r="N23" s="41">
        <v>0</v>
      </c>
      <c r="O23" s="42"/>
      <c r="P23" s="45">
        <v>0</v>
      </c>
      <c r="Q23" s="44"/>
      <c r="R23" s="43">
        <f>R24</f>
        <v>5.1305645730306167E-2</v>
      </c>
      <c r="S23" s="41"/>
    </row>
    <row r="24" spans="2:19">
      <c r="B24" s="48">
        <f>MAX(B$13:B23)+1</f>
        <v>5</v>
      </c>
      <c r="D24" s="16" t="s">
        <v>51</v>
      </c>
      <c r="F24" s="24">
        <v>36</v>
      </c>
      <c r="G24" s="24"/>
      <c r="H24" s="40">
        <v>1058.6666666666667</v>
      </c>
      <c r="I24" s="40">
        <v>1085.852777777774</v>
      </c>
      <c r="K24" s="40">
        <v>901191.51506367233</v>
      </c>
      <c r="L24" s="40">
        <v>928614.07790582778</v>
      </c>
      <c r="M24" s="50"/>
      <c r="N24" s="41">
        <v>75033.954390272833</v>
      </c>
      <c r="O24" s="42"/>
      <c r="P24" s="45">
        <f>-('Total WA PCAM'!Z11+'Total WA PCAM'!Z14+'Total WA PCAM'!Z19)/1000</f>
        <v>3849.6654816912892</v>
      </c>
      <c r="Q24" s="44"/>
      <c r="R24" s="43">
        <f>P24/N24</f>
        <v>5.1305645730306167E-2</v>
      </c>
      <c r="S24" s="41"/>
    </row>
    <row r="25" spans="2:19">
      <c r="B25" s="48">
        <f>MAX(B$13:B24)+1</f>
        <v>6</v>
      </c>
      <c r="D25" s="16" t="s">
        <v>52</v>
      </c>
      <c r="F25" s="24" t="s">
        <v>53</v>
      </c>
      <c r="G25" s="24"/>
      <c r="H25" s="40">
        <v>5259</v>
      </c>
      <c r="I25" s="40">
        <v>5224.9278642093977</v>
      </c>
      <c r="K25" s="40">
        <v>168033.04399999999</v>
      </c>
      <c r="L25" s="40">
        <v>160874.871894949</v>
      </c>
      <c r="M25" s="50"/>
      <c r="N25" s="41">
        <v>14342.200999999999</v>
      </c>
      <c r="O25" s="42"/>
      <c r="P25" s="45">
        <f>-('Total WA PCAM'!Z22)/1000</f>
        <v>546.20776391276866</v>
      </c>
      <c r="Q25" s="44"/>
      <c r="R25" s="43">
        <f>P25/N25</f>
        <v>3.808395684266095E-2</v>
      </c>
      <c r="S25" s="41"/>
    </row>
    <row r="26" spans="2:19">
      <c r="B26" s="48">
        <f>MAX(B$13:B25)+1</f>
        <v>7</v>
      </c>
      <c r="D26" s="16" t="s">
        <v>54</v>
      </c>
      <c r="F26" s="24">
        <v>47</v>
      </c>
      <c r="G26" s="24"/>
      <c r="H26" s="40">
        <v>1.0833333333333333</v>
      </c>
      <c r="I26" s="40">
        <v>1</v>
      </c>
      <c r="K26" s="40">
        <v>1616.6904507017675</v>
      </c>
      <c r="L26" s="40">
        <v>2252.8077291342674</v>
      </c>
      <c r="M26" s="50"/>
      <c r="N26" s="41">
        <v>333.5599054190115</v>
      </c>
      <c r="O26" s="42"/>
      <c r="P26" s="45">
        <f>-('Total WA PCAM'!Z20)/1000</f>
        <v>9.690785</v>
      </c>
      <c r="Q26" s="44"/>
      <c r="R26" s="43">
        <f>P26/N26</f>
        <v>2.9052607470393132E-2</v>
      </c>
      <c r="S26" s="41"/>
    </row>
    <row r="27" spans="2:19">
      <c r="B27" s="48">
        <f>MAX(B$13:B26)+1</f>
        <v>8</v>
      </c>
      <c r="D27" s="16" t="s">
        <v>55</v>
      </c>
      <c r="F27" s="24">
        <v>48</v>
      </c>
      <c r="G27" s="24"/>
      <c r="H27" s="40">
        <v>63.666666666666671</v>
      </c>
      <c r="I27" s="40">
        <v>66.156818181818238</v>
      </c>
      <c r="K27" s="40">
        <v>1712994.197548511</v>
      </c>
      <c r="L27" s="40">
        <v>873194.31983116991</v>
      </c>
      <c r="M27" s="50"/>
      <c r="N27" s="41">
        <v>57765.381444099854</v>
      </c>
      <c r="O27" s="42"/>
      <c r="P27" s="45">
        <f>-('Total WA PCAM'!Z15+'Total WA PCAM'!Z21)/1000</f>
        <v>3097.8136949833938</v>
      </c>
      <c r="Q27" s="44"/>
      <c r="R27" s="43">
        <f>P27/N27</f>
        <v>5.3627512145508455E-2</v>
      </c>
      <c r="S27" s="41"/>
    </row>
    <row r="28" spans="2:19">
      <c r="B28" s="48">
        <f>MAX(B$13:B27)+1</f>
        <v>9</v>
      </c>
      <c r="D28" s="16" t="s">
        <v>56</v>
      </c>
      <c r="F28" s="24" t="s">
        <v>57</v>
      </c>
      <c r="G28" s="24"/>
      <c r="H28" s="40">
        <v>28</v>
      </c>
      <c r="I28" s="40">
        <v>29.122222222222252</v>
      </c>
      <c r="K28" s="40">
        <v>233.86177246899351</v>
      </c>
      <c r="L28" s="40">
        <v>269.62791580171842</v>
      </c>
      <c r="M28" s="50"/>
      <c r="N28" s="41">
        <v>25.091272947769362</v>
      </c>
      <c r="O28" s="42"/>
      <c r="P28" s="45">
        <f>-('Total WA PCAM'!Z16)/1000</f>
        <v>0.84006031000000003</v>
      </c>
      <c r="Q28" s="44"/>
      <c r="R28" s="43">
        <f>P28/N28</f>
        <v>3.348017901477901E-2</v>
      </c>
      <c r="S28" s="41"/>
    </row>
    <row r="29" spans="2:19">
      <c r="B29" s="27"/>
      <c r="D29" s="16" t="s">
        <v>46</v>
      </c>
      <c r="F29" s="24"/>
      <c r="G29" s="24"/>
      <c r="H29" s="46"/>
      <c r="I29" s="46"/>
      <c r="K29" s="46"/>
      <c r="L29" s="46"/>
      <c r="M29" s="33"/>
      <c r="N29" s="46"/>
      <c r="O29" s="20"/>
      <c r="P29" s="47"/>
      <c r="Q29" s="20"/>
      <c r="R29" s="47"/>
      <c r="S29" s="20"/>
    </row>
    <row r="30" spans="2:19">
      <c r="B30" s="27"/>
    </row>
    <row r="31" spans="2:19">
      <c r="B31" s="48">
        <f>MAX(B$13:B30)+1</f>
        <v>10</v>
      </c>
      <c r="D31" s="38" t="s">
        <v>58</v>
      </c>
      <c r="H31" s="49">
        <f>SUM(H22:H28)</f>
        <v>23716.833333333332</v>
      </c>
      <c r="I31" s="49">
        <f>SUM(I22:I30)</f>
        <v>25453.101474718143</v>
      </c>
      <c r="K31" s="49">
        <f>SUM(K22:K28)</f>
        <v>3297111.0499705928</v>
      </c>
      <c r="L31" s="49">
        <f>SUM(L22:L30)</f>
        <v>2501472.3056290983</v>
      </c>
      <c r="M31" s="41"/>
      <c r="N31" s="41">
        <f>SUM(N22:N30)</f>
        <v>198090.68290389862</v>
      </c>
      <c r="O31" s="42"/>
      <c r="P31" s="44">
        <f>SUM(P22:P28)</f>
        <v>9938.7247349785866</v>
      </c>
      <c r="Q31" s="44"/>
      <c r="R31" s="43">
        <f>P31/N31</f>
        <v>5.0172600696218726E-2</v>
      </c>
      <c r="S31" s="50"/>
    </row>
    <row r="32" spans="2:19">
      <c r="B32" s="27"/>
    </row>
    <row r="33" spans="2:19">
      <c r="B33" s="27"/>
      <c r="D33" s="38" t="s">
        <v>59</v>
      </c>
    </row>
    <row r="34" spans="2:19">
      <c r="B34" s="48">
        <f>MAX(B$13:B33)+1</f>
        <v>11</v>
      </c>
      <c r="D34" s="16" t="s">
        <v>60</v>
      </c>
      <c r="F34" s="24" t="s">
        <v>61</v>
      </c>
      <c r="G34" s="24"/>
      <c r="H34" s="40">
        <v>2828</v>
      </c>
      <c r="I34" s="40">
        <v>2460.6166666666663</v>
      </c>
      <c r="K34" s="40">
        <v>3735.0893644456642</v>
      </c>
      <c r="L34" s="40">
        <v>3285.7464134232382</v>
      </c>
      <c r="M34" s="50"/>
      <c r="N34" s="41">
        <v>488.55641257909394</v>
      </c>
      <c r="O34" s="42"/>
      <c r="P34" s="45">
        <f>-('Total WA PCAM'!Z6)/1000</f>
        <v>2.8264067000000002</v>
      </c>
      <c r="Q34" s="44"/>
      <c r="R34" s="43">
        <f>P34/N34</f>
        <v>5.7852207590099415E-3</v>
      </c>
      <c r="S34" s="41"/>
    </row>
    <row r="35" spans="2:19">
      <c r="B35" s="48">
        <f>MAX(B$13:B34)+1</f>
        <v>12</v>
      </c>
      <c r="D35" s="16" t="s">
        <v>62</v>
      </c>
      <c r="F35" s="24" t="s">
        <v>63</v>
      </c>
      <c r="G35" s="24"/>
      <c r="H35" s="40">
        <v>178</v>
      </c>
      <c r="I35" s="40">
        <v>177</v>
      </c>
      <c r="K35" s="40">
        <v>2902.2385934150548</v>
      </c>
      <c r="L35" s="40">
        <v>3932.5577854698172</v>
      </c>
      <c r="M35" s="50"/>
      <c r="N35" s="41">
        <v>800.33920538016253</v>
      </c>
      <c r="O35" s="42"/>
      <c r="P35" s="45">
        <f>-('Total WA PCAM'!Z23)/1000</f>
        <v>9.9047393599999989</v>
      </c>
      <c r="Q35" s="44"/>
      <c r="R35" s="43">
        <f>P35/N35</f>
        <v>1.2375676829795224E-2</v>
      </c>
      <c r="S35" s="41"/>
    </row>
    <row r="36" spans="2:19">
      <c r="B36" s="48">
        <f>MAX(B$13:B35)+1</f>
        <v>13</v>
      </c>
      <c r="D36" s="16" t="s">
        <v>62</v>
      </c>
      <c r="F36" s="24">
        <v>52</v>
      </c>
      <c r="G36" s="24"/>
      <c r="H36" s="40">
        <v>30</v>
      </c>
      <c r="I36" s="40">
        <v>1.1666666666666667</v>
      </c>
      <c r="K36" s="40">
        <v>466.2387672357238</v>
      </c>
      <c r="L36" s="40">
        <v>212.19525038227087</v>
      </c>
      <c r="M36" s="50"/>
      <c r="N36" s="41">
        <v>37.99214195369148</v>
      </c>
      <c r="O36" s="42"/>
      <c r="P36" s="45">
        <f>-('Total WA PCAM'!Z24)/1000</f>
        <v>0.3908933</v>
      </c>
      <c r="Q36" s="44"/>
      <c r="R36" s="43">
        <f>P36/N36</f>
        <v>1.0288793416187452E-2</v>
      </c>
      <c r="S36" s="41"/>
    </row>
    <row r="37" spans="2:19">
      <c r="B37" s="48">
        <f>MAX(B$13:B36)+1</f>
        <v>14</v>
      </c>
      <c r="D37" s="16" t="s">
        <v>62</v>
      </c>
      <c r="F37" s="24">
        <v>53</v>
      </c>
      <c r="G37" s="24"/>
      <c r="H37" s="40">
        <v>272.33333333333337</v>
      </c>
      <c r="I37" s="40">
        <v>6.7847222222222223</v>
      </c>
      <c r="K37" s="40">
        <v>4499.9316487570059</v>
      </c>
      <c r="L37" s="40">
        <v>4656.9131691638522</v>
      </c>
      <c r="M37" s="40"/>
      <c r="N37" s="41">
        <v>339.07660882721854</v>
      </c>
      <c r="O37" s="42"/>
      <c r="P37" s="45">
        <f>-('Total WA PCAM'!Z25)/1000</f>
        <v>10.750291049087165</v>
      </c>
      <c r="Q37" s="44"/>
      <c r="R37" s="43">
        <f>P37/N37</f>
        <v>3.1704608248471468E-2</v>
      </c>
      <c r="S37" s="41"/>
    </row>
    <row r="38" spans="2:19">
      <c r="B38" s="48">
        <f>MAX(B$13:B37)+1</f>
        <v>15</v>
      </c>
      <c r="D38" s="16" t="s">
        <v>62</v>
      </c>
      <c r="F38" s="24">
        <v>57</v>
      </c>
      <c r="G38" s="24"/>
      <c r="H38" s="40">
        <v>50.666666666666664</v>
      </c>
      <c r="I38" s="40">
        <v>34.833333333333336</v>
      </c>
      <c r="K38" s="40">
        <v>2174.0459905922153</v>
      </c>
      <c r="L38" s="40">
        <v>1753.793178375513</v>
      </c>
      <c r="M38" s="40"/>
      <c r="N38" s="41">
        <v>228.62746192102367</v>
      </c>
      <c r="O38" s="42"/>
      <c r="P38" s="45">
        <f>-('Total WA PCAM'!Z26)/1000</f>
        <v>3.9978704</v>
      </c>
      <c r="Q38" s="44"/>
      <c r="R38" s="43">
        <f>P38/N38</f>
        <v>1.7486396281567486E-2</v>
      </c>
      <c r="S38" s="41"/>
    </row>
    <row r="39" spans="2:19">
      <c r="B39" s="27"/>
      <c r="D39" s="16" t="s">
        <v>46</v>
      </c>
      <c r="H39" s="46"/>
      <c r="I39" s="46"/>
      <c r="K39" s="46"/>
      <c r="L39" s="46"/>
      <c r="M39" s="33"/>
      <c r="N39" s="46"/>
      <c r="O39" s="20"/>
      <c r="P39" s="47"/>
      <c r="Q39" s="20"/>
      <c r="R39" s="47"/>
      <c r="S39" s="20"/>
    </row>
    <row r="40" spans="2:19">
      <c r="B40" s="27"/>
    </row>
    <row r="41" spans="2:19">
      <c r="B41" s="48">
        <f>MAX(B$13:B40)+1</f>
        <v>16</v>
      </c>
      <c r="D41" s="38" t="s">
        <v>64</v>
      </c>
      <c r="H41" s="53">
        <f>SUM(H34:H38)</f>
        <v>3359</v>
      </c>
      <c r="I41" s="53">
        <f>SUM(I34:I40)</f>
        <v>2680.4013888888885</v>
      </c>
      <c r="K41" s="53">
        <f>SUM(K34:K38)</f>
        <v>13777.544364445665</v>
      </c>
      <c r="L41" s="53">
        <f>SUM(L34:L40)</f>
        <v>13841.205796814691</v>
      </c>
      <c r="M41" s="33"/>
      <c r="N41" s="54">
        <f>SUM(N34:N40)</f>
        <v>1894.5918306611902</v>
      </c>
      <c r="O41" s="55"/>
      <c r="P41" s="54">
        <f>SUM(P34:P38)</f>
        <v>27.870200809087162</v>
      </c>
      <c r="Q41" s="57"/>
      <c r="R41" s="56">
        <f>P41/N41</f>
        <v>1.4710398492197019E-2</v>
      </c>
      <c r="S41" s="57"/>
    </row>
    <row r="42" spans="2:19">
      <c r="B42" s="27"/>
      <c r="D42" s="38"/>
      <c r="H42" s="58"/>
      <c r="I42" s="58"/>
      <c r="K42" s="58"/>
      <c r="L42" s="58"/>
      <c r="M42" s="57"/>
      <c r="N42" s="57"/>
      <c r="O42" s="57"/>
      <c r="P42" s="57"/>
      <c r="Q42" s="57"/>
      <c r="R42" s="57"/>
      <c r="S42" s="57"/>
    </row>
    <row r="43" spans="2:19" ht="16.5" thickBot="1">
      <c r="B43" s="48">
        <f>MAX(B$13:B42)+1</f>
        <v>17</v>
      </c>
      <c r="D43" s="59" t="s">
        <v>65</v>
      </c>
      <c r="H43" s="60">
        <f>H41+H31+H19</f>
        <v>128412.75</v>
      </c>
      <c r="I43" s="60">
        <f>I41+I31+I19</f>
        <v>133392.15264854633</v>
      </c>
      <c r="K43" s="60">
        <f>K41+K31+K19</f>
        <v>4880827.1987742558</v>
      </c>
      <c r="L43" s="60">
        <f>L41+L31+L19</f>
        <v>4085100.1489150897</v>
      </c>
      <c r="M43" s="33"/>
      <c r="N43" s="61">
        <f>N19+N31+N41</f>
        <v>348753.29276729311</v>
      </c>
      <c r="O43" s="55"/>
      <c r="P43" s="61">
        <f>P41+P31+P19</f>
        <v>17807.537176893944</v>
      </c>
      <c r="Q43" s="62"/>
      <c r="R43" s="63">
        <f>P43/N43</f>
        <v>5.1060556405344355E-2</v>
      </c>
      <c r="S43" s="62"/>
    </row>
    <row r="44" spans="2:19" ht="16.5" thickTop="1">
      <c r="B44" s="147" t="s">
        <v>1</v>
      </c>
      <c r="C44" s="148"/>
      <c r="D44" s="148"/>
      <c r="H44" s="64"/>
      <c r="I44" s="64"/>
      <c r="K44" s="64"/>
      <c r="L44" s="64"/>
      <c r="M44" s="62"/>
      <c r="N44" s="62"/>
      <c r="O44" s="55"/>
      <c r="P44" s="62"/>
      <c r="Q44" s="62"/>
      <c r="R44" s="62"/>
      <c r="S44" s="62"/>
    </row>
    <row r="45" spans="2:19">
      <c r="B45" s="48">
        <v>18</v>
      </c>
      <c r="D45" s="16" t="s">
        <v>66</v>
      </c>
      <c r="H45" s="64"/>
      <c r="I45" s="64"/>
      <c r="K45" s="64"/>
      <c r="L45" s="64"/>
      <c r="M45" s="62"/>
      <c r="N45" s="44">
        <v>594.93922999999995</v>
      </c>
      <c r="O45" s="65"/>
      <c r="P45" s="44" t="s">
        <v>1</v>
      </c>
      <c r="Q45" s="44"/>
      <c r="R45" s="44" t="s">
        <v>1</v>
      </c>
      <c r="S45" s="62"/>
    </row>
    <row r="46" spans="2:19">
      <c r="B46" s="48"/>
      <c r="H46" s="64"/>
      <c r="I46" s="64"/>
      <c r="K46" s="64"/>
      <c r="L46" s="64"/>
      <c r="M46" s="62"/>
      <c r="N46" s="62"/>
      <c r="O46" s="65"/>
      <c r="P46" s="44"/>
      <c r="Q46" s="44"/>
      <c r="R46" s="44"/>
      <c r="S46" s="62"/>
    </row>
    <row r="47" spans="2:19" ht="16.5" thickBot="1">
      <c r="B47" s="48">
        <v>19</v>
      </c>
      <c r="D47" s="66" t="s">
        <v>67</v>
      </c>
      <c r="H47" s="67">
        <f>SUM(H43:H45)</f>
        <v>128412.75</v>
      </c>
      <c r="I47" s="67">
        <f>SUM(I43:I45)</f>
        <v>133392.15264854633</v>
      </c>
      <c r="K47" s="67">
        <f>SUM(K43:K45)</f>
        <v>4880827.1987742558</v>
      </c>
      <c r="L47" s="67">
        <f>SUM(L43:L45)</f>
        <v>4085100.1489150897</v>
      </c>
      <c r="M47" s="33"/>
      <c r="N47" s="61">
        <f>N43+N45</f>
        <v>349348.23199729313</v>
      </c>
      <c r="P47" s="68">
        <f>SUM(P43:P45)</f>
        <v>17807.537176893944</v>
      </c>
      <c r="Q47" s="69"/>
      <c r="R47" s="63">
        <f>P47/N47</f>
        <v>5.0973600396042429E-2</v>
      </c>
      <c r="S47" s="62"/>
    </row>
    <row r="48" spans="2:19" ht="18.75" customHeight="1" thickTop="1"/>
    <row r="49" spans="13:18" ht="18.75" customHeight="1">
      <c r="P49" s="70"/>
    </row>
    <row r="50" spans="13:18">
      <c r="M50" s="71"/>
      <c r="N50" s="71"/>
      <c r="O50" s="20"/>
      <c r="P50" s="70"/>
      <c r="Q50" s="70"/>
      <c r="R50" s="70"/>
    </row>
    <row r="51" spans="13:18">
      <c r="O51" s="20"/>
      <c r="R51" s="15" t="s">
        <v>1</v>
      </c>
    </row>
    <row r="52" spans="13:18">
      <c r="P52" s="72"/>
    </row>
    <row r="53" spans="13:18">
      <c r="P53" s="20"/>
    </row>
    <row r="54" spans="13:18">
      <c r="P54" s="35"/>
    </row>
    <row r="55" spans="13:18">
      <c r="P55" s="73"/>
    </row>
    <row r="56" spans="13:18">
      <c r="P56" s="17"/>
    </row>
    <row r="58" spans="13:18">
      <c r="P58" s="35"/>
    </row>
  </sheetData>
  <mergeCells count="7">
    <mergeCell ref="B44:D44"/>
    <mergeCell ref="B2:S2"/>
    <mergeCell ref="B3:S3"/>
    <mergeCell ref="B4:S4"/>
    <mergeCell ref="B5:S5"/>
    <mergeCell ref="B6:S6"/>
    <mergeCell ref="B7:S7"/>
  </mergeCells>
  <printOptions horizontalCentered="1"/>
  <pageMargins left="0.25" right="0.25" top="0.5" bottom="0.5" header="0.5" footer="0.2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view="pageBreakPreview" zoomScale="90" zoomScaleNormal="100" zoomScaleSheetLayoutView="90" workbookViewId="0">
      <selection activeCell="U16" sqref="U16"/>
    </sheetView>
  </sheetViews>
  <sheetFormatPr defaultColWidth="9.7109375" defaultRowHeight="15"/>
  <cols>
    <col min="1" max="1" width="5.28515625" style="74" customWidth="1"/>
    <col min="2" max="2" width="9.7109375" style="74"/>
    <col min="3" max="3" width="3.140625" style="74" customWidth="1"/>
    <col min="4" max="4" width="14" style="74" customWidth="1"/>
    <col min="5" max="5" width="3" style="74" customWidth="1"/>
    <col min="6" max="6" width="14" style="74" customWidth="1"/>
    <col min="7" max="7" width="3" style="74" customWidth="1"/>
    <col min="8" max="8" width="14" style="74" customWidth="1"/>
    <col min="9" max="9" width="3.28515625" style="74" customWidth="1"/>
    <col min="10" max="10" width="8.85546875" style="74" bestFit="1" customWidth="1"/>
    <col min="11" max="11" width="3.28515625" style="74" customWidth="1"/>
    <col min="12" max="12" width="2.5703125" style="74" customWidth="1"/>
    <col min="13" max="13" width="17.28515625" style="74" customWidth="1"/>
    <col min="14" max="14" width="17.42578125" style="74" customWidth="1"/>
    <col min="15" max="15" width="10.42578125" style="74" customWidth="1"/>
    <col min="16" max="16" width="9.42578125" style="74" customWidth="1"/>
    <col min="17" max="17" width="1.85546875" style="74" customWidth="1"/>
    <col min="18" max="16384" width="9.7109375" style="74"/>
  </cols>
  <sheetData>
    <row r="1" spans="1:20" ht="18.75">
      <c r="B1" s="151" t="s">
        <v>68</v>
      </c>
      <c r="C1" s="151"/>
      <c r="D1" s="151"/>
      <c r="E1" s="151"/>
      <c r="F1" s="151"/>
      <c r="G1" s="151"/>
      <c r="H1" s="151"/>
      <c r="I1" s="151"/>
      <c r="J1" s="151"/>
      <c r="K1" s="75"/>
    </row>
    <row r="2" spans="1:20" ht="18.75">
      <c r="A2" s="76"/>
      <c r="B2" s="151" t="s">
        <v>69</v>
      </c>
      <c r="C2" s="151"/>
      <c r="D2" s="151"/>
      <c r="E2" s="151"/>
      <c r="F2" s="151"/>
      <c r="G2" s="151"/>
      <c r="H2" s="151"/>
      <c r="I2" s="151"/>
      <c r="J2" s="151"/>
      <c r="K2" s="75"/>
    </row>
    <row r="3" spans="1:20" ht="18.75">
      <c r="A3" s="76"/>
      <c r="B3" s="151" t="s">
        <v>70</v>
      </c>
      <c r="C3" s="151"/>
      <c r="D3" s="151"/>
      <c r="E3" s="151"/>
      <c r="F3" s="151"/>
      <c r="G3" s="151"/>
      <c r="H3" s="151"/>
      <c r="I3" s="151"/>
      <c r="J3" s="151"/>
      <c r="K3" s="75"/>
    </row>
    <row r="4" spans="1:20" ht="18.75">
      <c r="B4" s="77" t="s">
        <v>1</v>
      </c>
      <c r="C4" s="77"/>
      <c r="D4" s="77"/>
      <c r="E4" s="77"/>
      <c r="F4" s="77"/>
      <c r="G4" s="77"/>
      <c r="H4" s="77"/>
      <c r="I4" s="77"/>
      <c r="J4" s="77"/>
      <c r="K4" s="77"/>
    </row>
    <row r="6" spans="1:20" ht="18.75" thickBot="1">
      <c r="D6" s="152" t="s">
        <v>71</v>
      </c>
      <c r="E6" s="152"/>
      <c r="F6" s="152"/>
      <c r="G6" s="152"/>
      <c r="H6" s="152"/>
      <c r="I6" s="152"/>
      <c r="J6" s="152"/>
      <c r="K6" s="78"/>
      <c r="L6" s="76"/>
      <c r="M6" s="79"/>
    </row>
    <row r="7" spans="1:20">
      <c r="D7" s="78" t="s">
        <v>1</v>
      </c>
      <c r="E7" s="80"/>
      <c r="F7" s="80" t="s">
        <v>1</v>
      </c>
      <c r="H7" s="152" t="s">
        <v>72</v>
      </c>
      <c r="I7" s="152"/>
      <c r="J7" s="152"/>
      <c r="K7" s="78"/>
      <c r="L7" s="80"/>
      <c r="M7" s="81" t="s">
        <v>73</v>
      </c>
      <c r="N7" s="82"/>
      <c r="O7" s="81" t="s">
        <v>74</v>
      </c>
      <c r="P7" s="82"/>
    </row>
    <row r="8" spans="1:20" ht="18">
      <c r="B8" s="83" t="s">
        <v>75</v>
      </c>
      <c r="D8" s="84" t="s">
        <v>21</v>
      </c>
      <c r="E8" s="85" t="s">
        <v>1</v>
      </c>
      <c r="F8" s="84" t="s">
        <v>76</v>
      </c>
      <c r="G8" s="85" t="s">
        <v>1</v>
      </c>
      <c r="H8" s="83" t="s">
        <v>77</v>
      </c>
      <c r="J8" s="86" t="s">
        <v>35</v>
      </c>
      <c r="K8" s="80"/>
      <c r="M8" s="87" t="s">
        <v>78</v>
      </c>
      <c r="N8" s="88">
        <v>7.75</v>
      </c>
      <c r="O8" s="87"/>
      <c r="P8" s="88">
        <v>7.75</v>
      </c>
    </row>
    <row r="9" spans="1:20">
      <c r="B9" s="89"/>
      <c r="D9" s="89"/>
      <c r="E9" s="89"/>
      <c r="F9" s="89"/>
      <c r="M9" s="87" t="s">
        <v>79</v>
      </c>
      <c r="N9" s="90">
        <f>6.717+P15+P16+P11+P12</f>
        <v>6.2829999999999995</v>
      </c>
      <c r="O9" s="87"/>
      <c r="P9" s="91">
        <f>N9-P12+P13</f>
        <v>6.7729999999999997</v>
      </c>
      <c r="Q9" s="92"/>
      <c r="R9" s="93">
        <f>(P9-N9)/N9</f>
        <v>7.7988222186853459E-2</v>
      </c>
    </row>
    <row r="10" spans="1:20" ht="15.75" thickBot="1">
      <c r="B10" s="94">
        <v>50</v>
      </c>
      <c r="D10" s="95">
        <f>ROUND((($B10*N$9/100))+((B10*$P$20)/100),2)+P22+N8</f>
        <v>11.219999999999999</v>
      </c>
      <c r="F10" s="95">
        <f>ROUND((($B10*P$9/100))+((B10*$P$21)/100),2)+P23+P8</f>
        <v>11.469999999999999</v>
      </c>
      <c r="H10" s="96">
        <f>F10-D10</f>
        <v>0.25</v>
      </c>
      <c r="J10" s="97">
        <f>(F10-D10)/D10</f>
        <v>2.2281639928698756E-2</v>
      </c>
      <c r="K10" s="97"/>
      <c r="M10" s="98" t="s">
        <v>80</v>
      </c>
      <c r="N10" s="99">
        <f>10.613+P15+P16+P11+P12</f>
        <v>10.178999999999998</v>
      </c>
      <c r="O10" s="98"/>
      <c r="P10" s="99">
        <f>N10-P12+P13</f>
        <v>10.668999999999999</v>
      </c>
      <c r="R10" s="93">
        <f>(P10-N10)/N10</f>
        <v>4.8138324000392994E-2</v>
      </c>
    </row>
    <row r="11" spans="1:20">
      <c r="B11" s="94">
        <v>100</v>
      </c>
      <c r="D11" s="95">
        <f>ROUND((($B11*N$9/100))+((B11*$P$20)/100),2)+P22+N8</f>
        <v>13.96</v>
      </c>
      <c r="F11" s="95">
        <f>ROUND((($B11*P$9/100))+((B11*$P$21)/100),2)+P23+P8</f>
        <v>14.45</v>
      </c>
      <c r="H11" s="96">
        <f>F11-D11</f>
        <v>0.48999999999999844</v>
      </c>
      <c r="J11" s="97">
        <f>(F11-D11)/D11</f>
        <v>3.5100286532951178E-2</v>
      </c>
      <c r="K11" s="97"/>
      <c r="M11" s="100"/>
      <c r="N11" s="100" t="s">
        <v>81</v>
      </c>
      <c r="O11" s="100"/>
      <c r="P11" s="101">
        <v>0.29299999999999998</v>
      </c>
      <c r="T11" s="96"/>
    </row>
    <row r="12" spans="1:20">
      <c r="B12" s="94">
        <v>150</v>
      </c>
      <c r="D12" s="95">
        <f>ROUND((($B12*N$9/100))+((B12*$P$20)/100),2)+P22+N8</f>
        <v>16.689999999999998</v>
      </c>
      <c r="F12" s="95">
        <f>ROUND((($B12*P$9/100))+((B12*$P$21)/100),2)+P23+P8</f>
        <v>17.43</v>
      </c>
      <c r="H12" s="96">
        <f>F12-D12</f>
        <v>0.74000000000000199</v>
      </c>
      <c r="J12" s="97">
        <f>(F12-D12)/D12</f>
        <v>4.4337926902336851E-2</v>
      </c>
      <c r="K12" s="97"/>
      <c r="M12" s="100"/>
      <c r="N12" s="100" t="s">
        <v>91</v>
      </c>
      <c r="O12" s="100"/>
      <c r="P12" s="101">
        <v>-0.49</v>
      </c>
      <c r="Q12" s="102"/>
      <c r="T12" s="96"/>
    </row>
    <row r="13" spans="1:20">
      <c r="D13" s="103"/>
      <c r="F13" s="103"/>
      <c r="M13" s="100"/>
      <c r="N13" s="100" t="s">
        <v>92</v>
      </c>
      <c r="O13" s="100"/>
      <c r="P13" s="101">
        <v>0</v>
      </c>
      <c r="T13" s="96"/>
    </row>
    <row r="14" spans="1:20">
      <c r="B14" s="94">
        <v>200</v>
      </c>
      <c r="D14" s="95">
        <f>ROUND((($B14*N$9/100))+((B14*$P$20)/100),2)+P22+N8</f>
        <v>19.43</v>
      </c>
      <c r="F14" s="95">
        <f>ROUND((($B14*P$9/100))+((B14*$P$21)/100),2)+P23+P8</f>
        <v>20.41</v>
      </c>
      <c r="H14" s="96">
        <f>F14-D14</f>
        <v>0.98000000000000043</v>
      </c>
      <c r="J14" s="97">
        <f>(F14-D14)/D14</f>
        <v>5.0437467833247575E-2</v>
      </c>
      <c r="K14" s="97"/>
      <c r="M14" s="100"/>
      <c r="R14" s="74" t="s">
        <v>1</v>
      </c>
      <c r="T14" s="96"/>
    </row>
    <row r="15" spans="1:20">
      <c r="B15" s="94">
        <v>300</v>
      </c>
      <c r="D15" s="95">
        <f>ROUND((($B15*N$9/100))+((B15*$P$20)/100),2)+P22+N8</f>
        <v>24.889999999999997</v>
      </c>
      <c r="F15" s="95">
        <f>ROUND((($B15*P$9/100))+((B15*$P$21)/100),2)+P23+P8</f>
        <v>26.36</v>
      </c>
      <c r="H15" s="96">
        <f>F15-D15</f>
        <v>1.4700000000000024</v>
      </c>
      <c r="J15" s="97">
        <f>(F15-D15)/D15</f>
        <v>5.9059863398955505E-2</v>
      </c>
      <c r="K15" s="97"/>
      <c r="N15" s="74" t="s">
        <v>93</v>
      </c>
      <c r="P15" s="74">
        <v>4.0000000000000001E-3</v>
      </c>
      <c r="T15" s="96"/>
    </row>
    <row r="16" spans="1:20">
      <c r="B16" s="94">
        <v>400</v>
      </c>
      <c r="D16" s="95">
        <f>ROUND((($B16*N$9/100))+((B16*$P$20)/100),2)+P22+N8</f>
        <v>30.36</v>
      </c>
      <c r="F16" s="95">
        <f>ROUND((($B16*P$9/100))+((B16*$P$21)/100),2)+P23+P8</f>
        <v>32.319999999999993</v>
      </c>
      <c r="H16" s="96">
        <f>F16-D16</f>
        <v>1.9599999999999937</v>
      </c>
      <c r="J16" s="97">
        <f>(F16-D16)/D16</f>
        <v>6.4558629776020879E-2</v>
      </c>
      <c r="K16" s="97"/>
      <c r="N16" s="74" t="s">
        <v>94</v>
      </c>
      <c r="P16" s="74">
        <v>-0.24099999999999999</v>
      </c>
      <c r="Q16" s="74" t="s">
        <v>1</v>
      </c>
      <c r="T16" s="96"/>
    </row>
    <row r="17" spans="2:20">
      <c r="B17" s="94">
        <v>500</v>
      </c>
      <c r="D17" s="95">
        <f>ROUND((($B17*N$9/100))+((B17*$P$20)/100),2)+P22+N8</f>
        <v>35.83</v>
      </c>
      <c r="F17" s="95">
        <f>ROUND((($B17*P$9/100))+((B17*$P$21)/100),2)+P23+P8</f>
        <v>38.28</v>
      </c>
      <c r="H17" s="96">
        <f>F17-D17</f>
        <v>2.4500000000000028</v>
      </c>
      <c r="J17" s="97">
        <f>(F17-D17)/D17</f>
        <v>6.8378453809656792E-2</v>
      </c>
      <c r="K17" s="97"/>
      <c r="T17" s="96"/>
    </row>
    <row r="18" spans="2:20">
      <c r="D18" s="103"/>
      <c r="F18" s="103"/>
      <c r="T18" s="96"/>
    </row>
    <row r="19" spans="2:20">
      <c r="B19" s="94">
        <v>600</v>
      </c>
      <c r="D19" s="95">
        <f>ROUND((($B19*N$9/100))+((B19*$P$20)/100),2)+P22+N8</f>
        <v>41.300000000000004</v>
      </c>
      <c r="F19" s="95">
        <f>ROUND((($B19*P$9/100))+((B19*$P$21)/100),2)+P23+P8</f>
        <v>44.24</v>
      </c>
      <c r="H19" s="96">
        <f>F19-D19</f>
        <v>2.9399999999999977</v>
      </c>
      <c r="J19" s="97">
        <f>(F19-D19)/D19</f>
        <v>7.1186440677966034E-2</v>
      </c>
      <c r="K19" s="97"/>
      <c r="T19" s="96"/>
    </row>
    <row r="20" spans="2:20">
      <c r="B20" s="94">
        <v>700</v>
      </c>
      <c r="D20" s="95">
        <f>ROUND((((600*N$9/100)+(($B20-600)*N$10/100)))+((B20*$P$20)/100),2)+P22+N8</f>
        <v>50.660000000000004</v>
      </c>
      <c r="F20" s="95">
        <f>ROUND((((600*P$9/100)+(($B20-600)*P$10/100)))+((B20*$P$21)/100),2)+P23+P8</f>
        <v>54.09</v>
      </c>
      <c r="H20" s="96">
        <f>F20-D20</f>
        <v>3.4299999999999997</v>
      </c>
      <c r="J20" s="97">
        <f>(F20-D20)/D20</f>
        <v>6.7706277141729165E-2</v>
      </c>
      <c r="K20" s="97"/>
      <c r="M20" s="100"/>
      <c r="N20" s="100" t="s">
        <v>82</v>
      </c>
      <c r="O20" s="100"/>
      <c r="P20" s="101">
        <v>-0.81499999999999995</v>
      </c>
      <c r="T20" s="96"/>
    </row>
    <row r="21" spans="2:20">
      <c r="B21" s="94">
        <v>800</v>
      </c>
      <c r="D21" s="95">
        <f>ROUND((((600*N$9/100)+(($B21-600)*N$10/100)))+((B21*$P$20)/100),2)+P22+N8</f>
        <v>60.03</v>
      </c>
      <c r="F21" s="95">
        <f>ROUND((((600*P$9/100)+(($B21-600)*P$10/100)))+((B21*$P$21)/100),2)+P23+P8</f>
        <v>63.95</v>
      </c>
      <c r="H21" s="96">
        <f>F21-D21</f>
        <v>3.9200000000000017</v>
      </c>
      <c r="J21" s="97">
        <f>(F21-D21)/D21</f>
        <v>6.5300682991837444E-2</v>
      </c>
      <c r="K21" s="97"/>
      <c r="N21" s="74" t="s">
        <v>1</v>
      </c>
      <c r="O21" s="74" t="s">
        <v>1</v>
      </c>
      <c r="P21" s="101">
        <v>-0.81499999999999995</v>
      </c>
      <c r="T21" s="96"/>
    </row>
    <row r="22" spans="2:20">
      <c r="B22" s="94">
        <v>900</v>
      </c>
      <c r="D22" s="95">
        <f>ROUND((((600*N$9/100)+(($B22-600)*N$10/100)))+((B22*$P$20)/100),2)+P22+N8</f>
        <v>69.39</v>
      </c>
      <c r="F22" s="95">
        <f>ROUND((((600*P$9/100)+(($B22-600)*P$10/100)))+((B22*$P$21)/100),2)+P23+P8</f>
        <v>73.8</v>
      </c>
      <c r="H22" s="96">
        <f>F22-D22</f>
        <v>4.4099999999999966</v>
      </c>
      <c r="J22" s="97">
        <f>(F22-D22)/D22</f>
        <v>6.3553826199740551E-2</v>
      </c>
      <c r="K22" s="97"/>
      <c r="N22" s="74" t="s">
        <v>83</v>
      </c>
      <c r="P22" s="96">
        <v>0.74</v>
      </c>
      <c r="T22" s="96"/>
    </row>
    <row r="23" spans="2:20">
      <c r="B23" s="94">
        <v>1000</v>
      </c>
      <c r="D23" s="95">
        <f>ROUND((((600*N$9/100)+(($B23-600)*N$10/100)))+((B23*$P$20)/100),2)+P22+N8</f>
        <v>78.75</v>
      </c>
      <c r="F23" s="95">
        <f>ROUND((((600*P$9/100)+(($B23-600)*P$10/100)))+((B23*$P$21)/100),2)+P23+P8</f>
        <v>83.649999999999991</v>
      </c>
      <c r="H23" s="96">
        <f>F23-D23</f>
        <v>4.8999999999999915</v>
      </c>
      <c r="J23" s="97">
        <f>(F23-D23)/D23</f>
        <v>6.2222222222222116E-2</v>
      </c>
      <c r="K23" s="97"/>
      <c r="N23" s="74" t="s">
        <v>84</v>
      </c>
      <c r="P23" s="96">
        <f>P22</f>
        <v>0.74</v>
      </c>
      <c r="T23" s="96"/>
    </row>
    <row r="24" spans="2:20">
      <c r="D24" s="103"/>
      <c r="F24" s="103"/>
      <c r="J24" s="108"/>
      <c r="K24" s="108"/>
      <c r="N24" s="74" t="s">
        <v>1</v>
      </c>
      <c r="P24" s="104" t="s">
        <v>1</v>
      </c>
      <c r="T24" s="96"/>
    </row>
    <row r="25" spans="2:20">
      <c r="B25" s="94">
        <v>1100</v>
      </c>
      <c r="D25" s="95">
        <f>ROUND((((600*N$9/100)+(($B25-600)*N$10/100)))+((B25*$P$20)/100),2)+P22+N8</f>
        <v>88.11999999999999</v>
      </c>
      <c r="F25" s="95">
        <f>ROUND((((600*P$9/100)+(($B25-600)*P$10/100)))+((B25*$P$21)/100),2)+P23+P8</f>
        <v>93.509999999999991</v>
      </c>
      <c r="H25" s="96">
        <f>F25-D25</f>
        <v>5.3900000000000006</v>
      </c>
      <c r="J25" s="97">
        <f>(F25-D25)/D25</f>
        <v>6.1166591012256029E-2</v>
      </c>
      <c r="K25" s="97"/>
      <c r="T25" s="96"/>
    </row>
    <row r="26" spans="2:20">
      <c r="B26" s="94">
        <v>1200</v>
      </c>
      <c r="C26" s="74" t="s">
        <v>85</v>
      </c>
      <c r="D26" s="95">
        <f>ROUND((((600*N$9/100)+(($B26-600)*N$10/100)))+((B26*$P$20)/100),2)+P22+N8</f>
        <v>97.47999999999999</v>
      </c>
      <c r="F26" s="95">
        <f>ROUND((((600*P$9/100)+(($B26-600)*P$10/100)))+((B26*$P$21)/100),2)+P23+P8</f>
        <v>103.36</v>
      </c>
      <c r="H26" s="96">
        <f>F26-D26</f>
        <v>5.8800000000000097</v>
      </c>
      <c r="J26" s="97">
        <f>(F26-D26)/D26</f>
        <v>6.0320065654493334E-2</v>
      </c>
      <c r="K26" s="97"/>
      <c r="T26" s="96"/>
    </row>
    <row r="27" spans="2:20">
      <c r="B27" s="94">
        <v>1300</v>
      </c>
      <c r="D27" s="95">
        <f>ROUND((((600*N$9/100)+(($B27-600)*N$10/100)))+((B27*$P$20)/100),2)+P22+N8</f>
        <v>106.85</v>
      </c>
      <c r="F27" s="95">
        <f>ROUND((((600*P$9/100)+(($B27-600)*P$10/100)))+((B27*$P$21)/100),2)+P23+P8</f>
        <v>113.22</v>
      </c>
      <c r="H27" s="96">
        <f>F27-D27</f>
        <v>6.3700000000000045</v>
      </c>
      <c r="J27" s="97">
        <f>(F27-D27)/D27</f>
        <v>5.9616284510996771E-2</v>
      </c>
      <c r="K27" s="97"/>
      <c r="M27" s="105"/>
      <c r="N27" s="106"/>
      <c r="T27" s="96"/>
    </row>
    <row r="28" spans="2:20">
      <c r="B28" s="94">
        <v>1400</v>
      </c>
      <c r="D28" s="95">
        <f>ROUND((((600*N$9/100)+(($B28-600)*N$10/100)))+((B28*$P$20)/100),2)+P22+N8</f>
        <v>116.21</v>
      </c>
      <c r="F28" s="95">
        <f>ROUND((((600*P$9/100)+(($B28-600)*P$10/100)))+((B28*$P$21)/100),2)+P23+P8</f>
        <v>123.07</v>
      </c>
      <c r="H28" s="96">
        <f>F28-D28</f>
        <v>6.8599999999999994</v>
      </c>
      <c r="J28" s="97">
        <f>(F28-D28)/D28</f>
        <v>5.9031064452284655E-2</v>
      </c>
      <c r="K28" s="97"/>
      <c r="T28" s="96"/>
    </row>
    <row r="29" spans="2:20">
      <c r="B29" s="94">
        <v>1500</v>
      </c>
      <c r="D29" s="95">
        <f>ROUND((((600*N$9/100)+(($B29-600)*N$10/100)))+((B29*$P$20)/100),2)+P22+N8</f>
        <v>125.57</v>
      </c>
      <c r="F29" s="95">
        <f>ROUND((((600*P$9/100)+(($B29-600)*P$10/100)))+((B29*$P$21)/100),2)+P23+P8</f>
        <v>132.92000000000002</v>
      </c>
      <c r="H29" s="96">
        <f>F29-D29</f>
        <v>7.3500000000000227</v>
      </c>
      <c r="J29" s="97">
        <f>(F29-D29)/D29</f>
        <v>5.8533089113641974E-2</v>
      </c>
      <c r="K29" s="97"/>
      <c r="T29" s="96"/>
    </row>
    <row r="30" spans="2:20">
      <c r="D30" s="103"/>
      <c r="F30" s="103"/>
      <c r="T30" s="96"/>
    </row>
    <row r="31" spans="2:20">
      <c r="B31" s="94">
        <v>1600</v>
      </c>
      <c r="D31" s="95">
        <f>ROUND((((600*N$9/100)+(($B31-600)*N$10/100)))+((B31*$P$20)/100),2)+P22+N8</f>
        <v>134.94</v>
      </c>
      <c r="F31" s="95">
        <f>ROUND((((600*P$9/100)+(($B31-600)*P$10/100)))+((B31*$P$21)/100),2)+P23+P8</f>
        <v>142.78</v>
      </c>
      <c r="H31" s="96">
        <f>F31-D31</f>
        <v>7.8400000000000034</v>
      </c>
      <c r="J31" s="97">
        <f>(F31-D31)/D31</f>
        <v>5.8099896250185294E-2</v>
      </c>
      <c r="K31" s="97"/>
      <c r="T31" s="96"/>
    </row>
    <row r="32" spans="2:20">
      <c r="B32" s="94">
        <v>2000</v>
      </c>
      <c r="D32" s="95">
        <f>ROUND((((600*N$9/100)+(($B32-600)*N$10/100)))+((B32*$P$20)/100),2)+P22+N8</f>
        <v>172.39000000000001</v>
      </c>
      <c r="F32" s="95">
        <f>ROUND((((600*P$9/100)+(($B32-600)*P$10/100)))+((B32*$P$21)/100),2)+P23+P8</f>
        <v>182.19</v>
      </c>
      <c r="H32" s="96">
        <f>F32-D32</f>
        <v>9.7999999999999829</v>
      </c>
      <c r="J32" s="97">
        <f>(F32-D32)/D32</f>
        <v>5.6847845002610253E-2</v>
      </c>
      <c r="K32" s="97"/>
      <c r="T32" s="96"/>
    </row>
    <row r="33" spans="2:20">
      <c r="B33" s="94">
        <v>2600</v>
      </c>
      <c r="D33" s="95">
        <f>ROUND((((600*N$9/100)+(($B33-600)*N$10/100)))+((B33*$P$20)/100),2)+P22+N8</f>
        <v>228.58</v>
      </c>
      <c r="F33" s="95">
        <f>ROUND((((600*P$9/100)+(($B33-600)*P$10/100)))+((B33*$P$21)/100),2)+P23+P8</f>
        <v>241.32000000000002</v>
      </c>
      <c r="H33" s="96">
        <f>F33-D33</f>
        <v>12.740000000000009</v>
      </c>
      <c r="J33" s="97">
        <f>(F33-D33)/D33</f>
        <v>5.5735409922127957E-2</v>
      </c>
      <c r="K33" s="97"/>
      <c r="T33" s="96"/>
    </row>
    <row r="34" spans="2:20">
      <c r="B34" s="109"/>
      <c r="C34" s="110"/>
      <c r="D34" s="111"/>
      <c r="E34" s="110"/>
      <c r="F34" s="111"/>
      <c r="G34" s="110"/>
      <c r="H34" s="110"/>
      <c r="I34" s="110"/>
      <c r="J34" s="112"/>
      <c r="K34" s="112"/>
      <c r="T34" s="96"/>
    </row>
    <row r="35" spans="2:20">
      <c r="B35" s="113"/>
    </row>
    <row r="36" spans="2:20">
      <c r="B36" s="74" t="s">
        <v>86</v>
      </c>
    </row>
    <row r="37" spans="2:20">
      <c r="B37" s="74" t="s">
        <v>87</v>
      </c>
    </row>
    <row r="38" spans="2:20" ht="16.5">
      <c r="B38" s="114" t="s">
        <v>95</v>
      </c>
    </row>
    <row r="39" spans="2:20">
      <c r="B39" s="114" t="s">
        <v>88</v>
      </c>
    </row>
    <row r="47" spans="2:20">
      <c r="P47" s="107"/>
    </row>
  </sheetData>
  <mergeCells count="5">
    <mergeCell ref="B1:J1"/>
    <mergeCell ref="B2:J2"/>
    <mergeCell ref="B3:J3"/>
    <mergeCell ref="D6:J6"/>
    <mergeCell ref="H7:J7"/>
  </mergeCells>
  <printOptions horizontalCentered="1"/>
  <pageMargins left="0.75" right="0.75" top="1" bottom="1" header="0.5" footer="0.5"/>
  <pageSetup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0"/>
  <sheetViews>
    <sheetView tabSelected="1" view="pageBreakPreview" zoomScaleNormal="70" zoomScaleSheetLayoutView="100" workbookViewId="0">
      <selection activeCell="U16" sqref="U16"/>
    </sheetView>
  </sheetViews>
  <sheetFormatPr defaultRowHeight="15.75"/>
  <cols>
    <col min="1" max="1" width="4.7109375" style="4" customWidth="1"/>
    <col min="2" max="2" width="18.28515625" style="8" customWidth="1"/>
    <col min="3" max="3" width="18.28515625" style="4" customWidth="1"/>
    <col min="4" max="13" width="20.7109375" style="4" hidden="1" customWidth="1"/>
    <col min="14" max="14" width="11" style="4" bestFit="1" customWidth="1"/>
    <col min="15" max="23" width="12.7109375" style="4" bestFit="1" customWidth="1"/>
    <col min="24" max="24" width="14" style="5" bestFit="1" customWidth="1"/>
    <col min="25" max="25" width="15.85546875" style="4" bestFit="1" customWidth="1"/>
    <col min="26" max="26" width="21.42578125" style="4" bestFit="1" customWidth="1"/>
    <col min="27" max="27" width="4.7109375" style="4" customWidth="1"/>
    <col min="28" max="16384" width="9.140625" style="4"/>
  </cols>
  <sheetData>
    <row r="1" spans="2:30">
      <c r="B1" s="1" t="s">
        <v>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2"/>
    </row>
    <row r="2" spans="2:30">
      <c r="B2" s="1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2"/>
    </row>
    <row r="3" spans="2:30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2"/>
    </row>
    <row r="4" spans="2:30">
      <c r="B4" s="131"/>
      <c r="C4" s="132"/>
      <c r="N4" s="116"/>
      <c r="O4" s="14" t="s">
        <v>14</v>
      </c>
      <c r="P4" s="13"/>
      <c r="Q4" s="13"/>
      <c r="R4" s="13"/>
      <c r="S4" s="13"/>
      <c r="T4" s="13"/>
      <c r="U4" s="13"/>
      <c r="V4" s="13"/>
      <c r="W4" s="13"/>
      <c r="X4" s="14"/>
      <c r="Y4" s="119" t="s">
        <v>15</v>
      </c>
      <c r="Z4" s="119" t="s">
        <v>97</v>
      </c>
    </row>
    <row r="5" spans="2:30">
      <c r="B5" s="133" t="s">
        <v>4</v>
      </c>
      <c r="C5" s="134" t="s">
        <v>5</v>
      </c>
      <c r="D5" s="6">
        <v>201801</v>
      </c>
      <c r="E5" s="6">
        <v>201802</v>
      </c>
      <c r="F5" s="6">
        <v>201803</v>
      </c>
      <c r="G5" s="6">
        <v>201804</v>
      </c>
      <c r="H5" s="6">
        <v>201805</v>
      </c>
      <c r="I5" s="6">
        <v>201806</v>
      </c>
      <c r="J5" s="6">
        <v>201807</v>
      </c>
      <c r="K5" s="6">
        <v>201808</v>
      </c>
      <c r="L5" s="6">
        <v>201809</v>
      </c>
      <c r="M5" s="6">
        <v>201810</v>
      </c>
      <c r="N5" s="122">
        <v>201811</v>
      </c>
      <c r="O5" s="123">
        <v>201812</v>
      </c>
      <c r="P5" s="123">
        <v>201901</v>
      </c>
      <c r="Q5" s="123">
        <v>201902</v>
      </c>
      <c r="R5" s="123">
        <v>201903</v>
      </c>
      <c r="S5" s="123">
        <v>201904</v>
      </c>
      <c r="T5" s="123">
        <v>201905</v>
      </c>
      <c r="U5" s="123">
        <v>201906</v>
      </c>
      <c r="V5" s="123">
        <v>201907</v>
      </c>
      <c r="W5" s="123">
        <v>201908</v>
      </c>
      <c r="X5" s="117" t="s">
        <v>6</v>
      </c>
      <c r="Y5" s="144" t="s">
        <v>96</v>
      </c>
      <c r="Z5" s="146" t="s">
        <v>13</v>
      </c>
    </row>
    <row r="6" spans="2:30">
      <c r="B6" s="135" t="s">
        <v>7</v>
      </c>
      <c r="C6" s="136">
        <v>15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124">
        <v>-106.23</v>
      </c>
      <c r="O6" s="125">
        <v>-237.08</v>
      </c>
      <c r="P6" s="125">
        <v>-237.49</v>
      </c>
      <c r="Q6" s="125">
        <v>-235.92</v>
      </c>
      <c r="R6" s="125">
        <v>-235.26</v>
      </c>
      <c r="S6" s="125">
        <v>-233.93</v>
      </c>
      <c r="T6" s="125">
        <v>-237.20000000000002</v>
      </c>
      <c r="U6" s="125">
        <v>-232.78</v>
      </c>
      <c r="V6" s="125">
        <v>-234.19</v>
      </c>
      <c r="W6" s="125">
        <v>-233.13</v>
      </c>
      <c r="X6" s="118">
        <f>SUM(N6:W6)</f>
        <v>-2223.21</v>
      </c>
      <c r="Y6" s="120">
        <v>-603.19669999999996</v>
      </c>
      <c r="Z6" s="120">
        <f t="shared" ref="Z6:Z26" si="0">X6+Y6</f>
        <v>-2826.4067</v>
      </c>
    </row>
    <row r="7" spans="2:30">
      <c r="B7" s="135" t="s">
        <v>7</v>
      </c>
      <c r="C7" s="137">
        <v>16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124">
        <v>-265917.63</v>
      </c>
      <c r="O7" s="125">
        <v>-843382.37</v>
      </c>
      <c r="P7" s="125">
        <v>-851885.77</v>
      </c>
      <c r="Q7" s="125">
        <v>-878174.41</v>
      </c>
      <c r="R7" s="125">
        <v>-896841.35999999987</v>
      </c>
      <c r="S7" s="125">
        <v>-521935.27</v>
      </c>
      <c r="T7" s="125">
        <v>-411603</v>
      </c>
      <c r="U7" s="125">
        <v>-446638.79</v>
      </c>
      <c r="V7" s="125">
        <v>-495034.85000000003</v>
      </c>
      <c r="W7" s="125">
        <v>-559101.04999999993</v>
      </c>
      <c r="X7" s="118">
        <f t="shared" ref="X7:X26" si="1">SUM(N7:W7)</f>
        <v>-6170514.5</v>
      </c>
      <c r="Y7" s="120">
        <v>-1262654.1974274279</v>
      </c>
      <c r="Z7" s="120">
        <f t="shared" si="0"/>
        <v>-7433168.6974274274</v>
      </c>
    </row>
    <row r="8" spans="2:30">
      <c r="B8" s="135" t="s">
        <v>7</v>
      </c>
      <c r="C8" s="137">
        <v>17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124">
        <v>-14074.83</v>
      </c>
      <c r="O8" s="125">
        <v>-48112.91</v>
      </c>
      <c r="P8" s="125">
        <v>-51373.760000000002</v>
      </c>
      <c r="Q8" s="125">
        <v>-56725.200000000004</v>
      </c>
      <c r="R8" s="125">
        <v>-52280.47</v>
      </c>
      <c r="S8" s="125">
        <v>-28873.86</v>
      </c>
      <c r="T8" s="125">
        <v>-20714.310000000001</v>
      </c>
      <c r="U8" s="125">
        <v>-20480.940000000002</v>
      </c>
      <c r="V8" s="125">
        <v>-21937.829999999998</v>
      </c>
      <c r="W8" s="125">
        <v>-23603.440000000002</v>
      </c>
      <c r="X8" s="118">
        <f t="shared" si="1"/>
        <v>-338177.55000000005</v>
      </c>
      <c r="Y8" s="120">
        <v>-57866.834199999998</v>
      </c>
      <c r="Z8" s="120">
        <f t="shared" si="0"/>
        <v>-396044.38420000003</v>
      </c>
    </row>
    <row r="9" spans="2:30">
      <c r="B9" s="135" t="s">
        <v>7</v>
      </c>
      <c r="C9" s="137">
        <v>18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124">
        <v>-298.81</v>
      </c>
      <c r="O9" s="125">
        <v>-1203.3799999999999</v>
      </c>
      <c r="P9" s="125">
        <v>-1169.42</v>
      </c>
      <c r="Q9" s="125">
        <v>-1274.17</v>
      </c>
      <c r="R9" s="125">
        <v>-1233.6499999999999</v>
      </c>
      <c r="S9" s="125">
        <v>-879</v>
      </c>
      <c r="T9" s="125">
        <v>-717.37</v>
      </c>
      <c r="U9" s="125">
        <v>-822.61</v>
      </c>
      <c r="V9" s="125">
        <v>-934.18000000000006</v>
      </c>
      <c r="W9" s="125">
        <v>-1018.46</v>
      </c>
      <c r="X9" s="118">
        <f t="shared" si="1"/>
        <v>-9551.0499999999993</v>
      </c>
      <c r="Y9" s="120">
        <v>-2178.1094788445193</v>
      </c>
      <c r="Z9" s="120">
        <f t="shared" si="0"/>
        <v>-11729.159478844518</v>
      </c>
    </row>
    <row r="10" spans="2:30">
      <c r="B10" s="135" t="s">
        <v>7</v>
      </c>
      <c r="C10" s="137">
        <v>24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124">
        <v>-2335.9499999999998</v>
      </c>
      <c r="O10" s="125">
        <v>-9085.93</v>
      </c>
      <c r="P10" s="125">
        <v>-9460.36</v>
      </c>
      <c r="Q10" s="125">
        <v>-9699.7000000000007</v>
      </c>
      <c r="R10" s="125">
        <v>-10438.61</v>
      </c>
      <c r="S10" s="125">
        <v>-6488.12</v>
      </c>
      <c r="T10" s="125">
        <v>-5791.27</v>
      </c>
      <c r="U10" s="125">
        <v>-6845.4500000000007</v>
      </c>
      <c r="V10" s="125">
        <v>-7805.4400000000005</v>
      </c>
      <c r="W10" s="125">
        <v>-8005.2</v>
      </c>
      <c r="X10" s="118">
        <f t="shared" si="1"/>
        <v>-75956.03</v>
      </c>
      <c r="Y10" s="120">
        <v>-18310.859839999997</v>
      </c>
      <c r="Z10" s="120">
        <f t="shared" si="0"/>
        <v>-94266.889839999989</v>
      </c>
    </row>
    <row r="11" spans="2:30">
      <c r="B11" s="135" t="s">
        <v>7</v>
      </c>
      <c r="C11" s="137">
        <v>36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124">
        <v>-243.96</v>
      </c>
      <c r="O11" s="125">
        <v>-711.52</v>
      </c>
      <c r="P11" s="125">
        <v>-772.47</v>
      </c>
      <c r="Q11" s="125">
        <v>-767.85</v>
      </c>
      <c r="R11" s="125">
        <v>-816.83</v>
      </c>
      <c r="S11" s="125">
        <v>-482.47</v>
      </c>
      <c r="T11" s="125">
        <v>-391.52</v>
      </c>
      <c r="U11" s="125">
        <v>-432.17</v>
      </c>
      <c r="V11" s="125">
        <v>-485.44</v>
      </c>
      <c r="W11" s="125">
        <v>-525.34</v>
      </c>
      <c r="X11" s="118">
        <f t="shared" si="1"/>
        <v>-5629.5700000000006</v>
      </c>
      <c r="Y11" s="120">
        <v>-1004.0029999999999</v>
      </c>
      <c r="Z11" s="120">
        <f t="shared" si="0"/>
        <v>-6633.5730000000003</v>
      </c>
    </row>
    <row r="12" spans="2:30">
      <c r="B12" s="135" t="s">
        <v>8</v>
      </c>
      <c r="C12" s="137">
        <v>15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124">
        <v>-212.68</v>
      </c>
      <c r="O12" s="125">
        <v>-484.66999999999996</v>
      </c>
      <c r="P12" s="125">
        <v>-488.19</v>
      </c>
      <c r="Q12" s="125">
        <v>-482.14</v>
      </c>
      <c r="R12" s="125">
        <v>-478.22</v>
      </c>
      <c r="S12" s="125">
        <v>-484.21000000000004</v>
      </c>
      <c r="T12" s="125">
        <v>-472.44999999999993</v>
      </c>
      <c r="U12" s="125">
        <v>-481.62</v>
      </c>
      <c r="V12" s="125">
        <v>-481.33000000000004</v>
      </c>
      <c r="W12" s="125">
        <v>-476.51000000000005</v>
      </c>
      <c r="X12" s="118">
        <f t="shared" si="1"/>
        <v>-4542.0199999999995</v>
      </c>
      <c r="Y12" s="120">
        <v>-1216.2715594425681</v>
      </c>
      <c r="Z12" s="120">
        <f t="shared" si="0"/>
        <v>-5758.2915594425676</v>
      </c>
      <c r="AD12" s="4" t="s">
        <v>1</v>
      </c>
    </row>
    <row r="13" spans="2:30">
      <c r="B13" s="135" t="s">
        <v>8</v>
      </c>
      <c r="C13" s="137">
        <v>24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124">
        <v>-63826.77</v>
      </c>
      <c r="O13" s="125">
        <v>-212225.54</v>
      </c>
      <c r="P13" s="125">
        <v>-205052.52999999997</v>
      </c>
      <c r="Q13" s="125">
        <v>-203272.78999999998</v>
      </c>
      <c r="R13" s="125">
        <v>-207892.86000000002</v>
      </c>
      <c r="S13" s="125">
        <v>-167967</v>
      </c>
      <c r="T13" s="125">
        <v>-160743.76999999999</v>
      </c>
      <c r="U13" s="125">
        <v>-179763.63</v>
      </c>
      <c r="V13" s="125">
        <v>-194510.71</v>
      </c>
      <c r="W13" s="125">
        <v>-209798.8</v>
      </c>
      <c r="X13" s="118">
        <f t="shared" si="1"/>
        <v>-1805054.3999999997</v>
      </c>
      <c r="Y13" s="120">
        <v>-463674.77998781425</v>
      </c>
      <c r="Z13" s="120">
        <f t="shared" si="0"/>
        <v>-2268729.1799878138</v>
      </c>
    </row>
    <row r="14" spans="2:30">
      <c r="B14" s="135" t="s">
        <v>8</v>
      </c>
      <c r="C14" s="136">
        <v>36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24">
        <v>-114034.48999999999</v>
      </c>
      <c r="O14" s="125">
        <v>-320104.52999999997</v>
      </c>
      <c r="P14" s="125">
        <v>-288848.68</v>
      </c>
      <c r="Q14" s="125">
        <v>-283817.85000000003</v>
      </c>
      <c r="R14" s="125">
        <v>-265918.77</v>
      </c>
      <c r="S14" s="125">
        <v>-259160.6</v>
      </c>
      <c r="T14" s="125">
        <v>-245162.28999999998</v>
      </c>
      <c r="U14" s="125">
        <v>-263258.45</v>
      </c>
      <c r="V14" s="125">
        <v>-292887.96000000002</v>
      </c>
      <c r="W14" s="125">
        <v>-283357.84000000003</v>
      </c>
      <c r="X14" s="118">
        <f t="shared" si="1"/>
        <v>-2616551.46</v>
      </c>
      <c r="Y14" s="120">
        <v>-807165.69076371659</v>
      </c>
      <c r="Z14" s="120">
        <f t="shared" si="0"/>
        <v>-3423717.1507637165</v>
      </c>
    </row>
    <row r="15" spans="2:30">
      <c r="B15" s="135" t="s">
        <v>8</v>
      </c>
      <c r="C15" s="137" t="s">
        <v>9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124">
        <v>-24098.52</v>
      </c>
      <c r="O15" s="125">
        <v>-63571.43</v>
      </c>
      <c r="P15" s="125">
        <v>-56605.189999999995</v>
      </c>
      <c r="Q15" s="125">
        <v>-53531.75</v>
      </c>
      <c r="R15" s="125">
        <v>-52427.19</v>
      </c>
      <c r="S15" s="125">
        <v>-52898.04</v>
      </c>
      <c r="T15" s="125">
        <v>-40418.749999999993</v>
      </c>
      <c r="U15" s="125">
        <v>-57695.71</v>
      </c>
      <c r="V15" s="125">
        <v>-63334.64</v>
      </c>
      <c r="W15" s="125">
        <v>-64308.31</v>
      </c>
      <c r="X15" s="118">
        <f t="shared" si="1"/>
        <v>-528889.53</v>
      </c>
      <c r="Y15" s="120">
        <v>-175076.28164</v>
      </c>
      <c r="Z15" s="120">
        <f t="shared" si="0"/>
        <v>-703965.81163999997</v>
      </c>
    </row>
    <row r="16" spans="2:30">
      <c r="B16" s="135" t="s">
        <v>8</v>
      </c>
      <c r="C16" s="137">
        <v>54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24">
        <v>-27.05</v>
      </c>
      <c r="O16" s="125">
        <v>-68.33</v>
      </c>
      <c r="P16" s="125">
        <v>-58.97</v>
      </c>
      <c r="Q16" s="125">
        <v>-85.69</v>
      </c>
      <c r="R16" s="125">
        <v>-75.850000000000009</v>
      </c>
      <c r="S16" s="125">
        <v>-71.38</v>
      </c>
      <c r="T16" s="125">
        <v>-59.72</v>
      </c>
      <c r="U16" s="125">
        <v>-49.32</v>
      </c>
      <c r="V16" s="125">
        <v>-85.73</v>
      </c>
      <c r="W16" s="125">
        <v>-66.08</v>
      </c>
      <c r="X16" s="118">
        <f t="shared" si="1"/>
        <v>-648.12</v>
      </c>
      <c r="Y16" s="120">
        <v>-191.94031000000001</v>
      </c>
      <c r="Z16" s="120">
        <f t="shared" si="0"/>
        <v>-840.06031000000007</v>
      </c>
    </row>
    <row r="17" spans="2:29">
      <c r="B17" s="135" t="s">
        <v>10</v>
      </c>
      <c r="C17" s="137">
        <v>15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124">
        <v>-10.41</v>
      </c>
      <c r="O17" s="125">
        <v>-30.03</v>
      </c>
      <c r="P17" s="125">
        <v>-30.91</v>
      </c>
      <c r="Q17" s="125">
        <v>-30.86</v>
      </c>
      <c r="R17" s="125">
        <v>-30.18</v>
      </c>
      <c r="S17" s="125">
        <v>-30.85</v>
      </c>
      <c r="T17" s="125">
        <v>-30.86</v>
      </c>
      <c r="U17" s="125">
        <v>-29.95</v>
      </c>
      <c r="V17" s="125">
        <v>-34.03</v>
      </c>
      <c r="W17" s="125">
        <v>-27.91</v>
      </c>
      <c r="X17" s="118">
        <f t="shared" si="1"/>
        <v>-285.98999999999995</v>
      </c>
      <c r="Y17" s="120">
        <v>-76.316310000000001</v>
      </c>
      <c r="Z17" s="120">
        <f t="shared" si="0"/>
        <v>-362.30630999999994</v>
      </c>
    </row>
    <row r="18" spans="2:29">
      <c r="B18" s="135" t="s">
        <v>10</v>
      </c>
      <c r="C18" s="137">
        <v>24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124">
        <v>-2219.0700000000002</v>
      </c>
      <c r="O18" s="125">
        <v>-6616.5700000000006</v>
      </c>
      <c r="P18" s="125">
        <v>-6692.61</v>
      </c>
      <c r="Q18" s="125">
        <v>-6560.5300000000007</v>
      </c>
      <c r="R18" s="125">
        <v>-6401.99</v>
      </c>
      <c r="S18" s="125">
        <v>-5623.76</v>
      </c>
      <c r="T18" s="125">
        <v>-4627.42</v>
      </c>
      <c r="U18" s="125">
        <v>-4977.1900000000005</v>
      </c>
      <c r="V18" s="125">
        <v>-6056.77</v>
      </c>
      <c r="W18" s="125">
        <v>-6078.18</v>
      </c>
      <c r="X18" s="118">
        <f t="shared" si="1"/>
        <v>-55854.090000000004</v>
      </c>
      <c r="Y18" s="120">
        <v>-15656.789253322817</v>
      </c>
      <c r="Z18" s="120">
        <f t="shared" si="0"/>
        <v>-71510.879253322826</v>
      </c>
    </row>
    <row r="19" spans="2:29">
      <c r="B19" s="135" t="s">
        <v>10</v>
      </c>
      <c r="C19" s="136">
        <v>36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124">
        <v>-17145.68</v>
      </c>
      <c r="O19" s="125">
        <v>-35023.96</v>
      </c>
      <c r="P19" s="125">
        <v>-28530.41</v>
      </c>
      <c r="Q19" s="125">
        <v>-37686.29</v>
      </c>
      <c r="R19" s="125">
        <v>-29141.3</v>
      </c>
      <c r="S19" s="125">
        <v>-34107.29</v>
      </c>
      <c r="T19" s="125">
        <v>-32575.559999999998</v>
      </c>
      <c r="U19" s="125">
        <v>-30888.71</v>
      </c>
      <c r="V19" s="125">
        <v>-35965.64</v>
      </c>
      <c r="W19" s="125">
        <v>-32906.17</v>
      </c>
      <c r="X19" s="118">
        <f t="shared" si="1"/>
        <v>-313971.00999999995</v>
      </c>
      <c r="Y19" s="120">
        <v>-105343.74792757281</v>
      </c>
      <c r="Z19" s="120">
        <f t="shared" si="0"/>
        <v>-419314.75792757276</v>
      </c>
    </row>
    <row r="20" spans="2:29">
      <c r="B20" s="135" t="s">
        <v>10</v>
      </c>
      <c r="C20" s="137">
        <v>47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124">
        <v>0</v>
      </c>
      <c r="O20" s="125">
        <v>-2258.23</v>
      </c>
      <c r="P20" s="125">
        <v>0</v>
      </c>
      <c r="Q20" s="125">
        <v>-1353.43</v>
      </c>
      <c r="R20" s="125">
        <v>-806.78</v>
      </c>
      <c r="S20" s="125">
        <v>-1285.57</v>
      </c>
      <c r="T20" s="125">
        <v>-256.36</v>
      </c>
      <c r="U20" s="125">
        <v>-448.63</v>
      </c>
      <c r="V20" s="125">
        <v>-361.92</v>
      </c>
      <c r="W20" s="125">
        <v>-426.01</v>
      </c>
      <c r="X20" s="118">
        <f t="shared" si="1"/>
        <v>-7196.9299999999994</v>
      </c>
      <c r="Y20" s="120">
        <v>-2493.855</v>
      </c>
      <c r="Z20" s="120">
        <f t="shared" si="0"/>
        <v>-9690.7849999999999</v>
      </c>
    </row>
    <row r="21" spans="2:29">
      <c r="B21" s="135" t="s">
        <v>10</v>
      </c>
      <c r="C21" s="138" t="s">
        <v>9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124">
        <v>-49928.82</v>
      </c>
      <c r="O21" s="125">
        <v>-146073.89000000001</v>
      </c>
      <c r="P21" s="125">
        <v>-180565.28</v>
      </c>
      <c r="Q21" s="125">
        <v>-220793.47</v>
      </c>
      <c r="R21" s="125">
        <v>-183274.96</v>
      </c>
      <c r="S21" s="125">
        <v>-204690.84</v>
      </c>
      <c r="T21" s="125">
        <v>-198436.23</v>
      </c>
      <c r="U21" s="125">
        <v>-213449.28</v>
      </c>
      <c r="V21" s="125">
        <v>-225432.43</v>
      </c>
      <c r="W21" s="125">
        <v>-214447.96</v>
      </c>
      <c r="X21" s="118">
        <f t="shared" si="1"/>
        <v>-1837093.16</v>
      </c>
      <c r="Y21" s="120">
        <v>-556754.72334339377</v>
      </c>
      <c r="Z21" s="120">
        <f t="shared" si="0"/>
        <v>-2393847.8833433939</v>
      </c>
    </row>
    <row r="22" spans="2:29">
      <c r="B22" s="135" t="s">
        <v>11</v>
      </c>
      <c r="C22" s="137">
        <v>40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24">
        <v>-4523.3900000000003</v>
      </c>
      <c r="O22" s="125">
        <v>-5941.92</v>
      </c>
      <c r="P22" s="125">
        <v>-2025.61</v>
      </c>
      <c r="Q22" s="125">
        <v>-1757.95</v>
      </c>
      <c r="R22" s="125">
        <v>-2683.0899999999997</v>
      </c>
      <c r="S22" s="125">
        <v>-8924.3000000000011</v>
      </c>
      <c r="T22" s="125">
        <v>-46483.750000000007</v>
      </c>
      <c r="U22" s="125">
        <v>-76378.800000000017</v>
      </c>
      <c r="V22" s="125">
        <v>-132217.60999999999</v>
      </c>
      <c r="W22" s="125">
        <v>-133308.61000000002</v>
      </c>
      <c r="X22" s="118">
        <f t="shared" si="1"/>
        <v>-414245.03</v>
      </c>
      <c r="Y22" s="120">
        <v>-131962.73391276866</v>
      </c>
      <c r="Z22" s="120">
        <f t="shared" si="0"/>
        <v>-546207.76391276869</v>
      </c>
    </row>
    <row r="23" spans="2:29">
      <c r="B23" s="139" t="s">
        <v>12</v>
      </c>
      <c r="C23" s="136">
        <v>51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124">
        <v>-349.87</v>
      </c>
      <c r="O23" s="125">
        <v>-965.61</v>
      </c>
      <c r="P23" s="125">
        <v>-809.97</v>
      </c>
      <c r="Q23" s="125">
        <v>-846.73</v>
      </c>
      <c r="R23" s="125">
        <v>-842.94</v>
      </c>
      <c r="S23" s="125">
        <v>-846.34</v>
      </c>
      <c r="T23" s="125">
        <v>-837.5</v>
      </c>
      <c r="U23" s="125">
        <v>-851.26</v>
      </c>
      <c r="V23" s="125">
        <v>-851.54</v>
      </c>
      <c r="W23" s="125">
        <v>-812.67</v>
      </c>
      <c r="X23" s="118">
        <f t="shared" si="1"/>
        <v>-8014.43</v>
      </c>
      <c r="Y23" s="120">
        <v>-1890.30936</v>
      </c>
      <c r="Z23" s="120">
        <f t="shared" si="0"/>
        <v>-9904.7393599999996</v>
      </c>
    </row>
    <row r="24" spans="2:29">
      <c r="B24" s="139" t="s">
        <v>12</v>
      </c>
      <c r="C24" s="136">
        <v>52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124">
        <v>-12.31</v>
      </c>
      <c r="O24" s="125">
        <v>-34.770000000000003</v>
      </c>
      <c r="P24" s="125">
        <v>-34.660000000000004</v>
      </c>
      <c r="Q24" s="125">
        <v>-34.660000000000004</v>
      </c>
      <c r="R24" s="125">
        <v>-34.660000000000004</v>
      </c>
      <c r="S24" s="125">
        <v>-34.660000000000004</v>
      </c>
      <c r="T24" s="125">
        <v>-34.53</v>
      </c>
      <c r="U24" s="125">
        <v>-35.71</v>
      </c>
      <c r="V24" s="125">
        <v>-30.28</v>
      </c>
      <c r="W24" s="125">
        <v>-17.98</v>
      </c>
      <c r="X24" s="118">
        <f t="shared" si="1"/>
        <v>-304.22000000000003</v>
      </c>
      <c r="Y24" s="120">
        <v>-86.673299999999998</v>
      </c>
      <c r="Z24" s="120">
        <f t="shared" si="0"/>
        <v>-390.89330000000001</v>
      </c>
    </row>
    <row r="25" spans="2:29">
      <c r="B25" s="139" t="s">
        <v>12</v>
      </c>
      <c r="C25" s="136">
        <v>53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124">
        <v>-690.38</v>
      </c>
      <c r="O25" s="125">
        <v>-998.43</v>
      </c>
      <c r="P25" s="125">
        <v>-979.43000000000006</v>
      </c>
      <c r="Q25" s="125">
        <v>-956.25</v>
      </c>
      <c r="R25" s="125">
        <v>-930.54000000000008</v>
      </c>
      <c r="S25" s="125">
        <v>-898.35</v>
      </c>
      <c r="T25" s="125">
        <v>-882.06</v>
      </c>
      <c r="U25" s="125">
        <v>-864.53</v>
      </c>
      <c r="V25" s="125">
        <v>-864.68</v>
      </c>
      <c r="W25" s="125">
        <v>-880.64</v>
      </c>
      <c r="X25" s="118">
        <f t="shared" si="1"/>
        <v>-8945.2900000000009</v>
      </c>
      <c r="Y25" s="120">
        <v>-1805.0010490871648</v>
      </c>
      <c r="Z25" s="120">
        <f t="shared" si="0"/>
        <v>-10750.291049087165</v>
      </c>
    </row>
    <row r="26" spans="2:29">
      <c r="B26" s="139" t="s">
        <v>12</v>
      </c>
      <c r="C26" s="137">
        <v>57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124">
        <v>-158.25</v>
      </c>
      <c r="O26" s="125">
        <v>-388.78</v>
      </c>
      <c r="P26" s="125">
        <v>-350.9</v>
      </c>
      <c r="Q26" s="125">
        <v>-332.53</v>
      </c>
      <c r="R26" s="125">
        <v>-331.82</v>
      </c>
      <c r="S26" s="125">
        <v>-331.72</v>
      </c>
      <c r="T26" s="125">
        <v>-302.34000000000003</v>
      </c>
      <c r="U26" s="125">
        <v>-329.4</v>
      </c>
      <c r="V26" s="125">
        <v>-356.28</v>
      </c>
      <c r="W26" s="125">
        <v>-284.49</v>
      </c>
      <c r="X26" s="118">
        <f t="shared" si="1"/>
        <v>-3166.51</v>
      </c>
      <c r="Y26" s="120">
        <v>-831.36039999999991</v>
      </c>
      <c r="Z26" s="120">
        <f t="shared" si="0"/>
        <v>-3997.8704000000002</v>
      </c>
    </row>
    <row r="27" spans="2:29">
      <c r="B27" s="140"/>
      <c r="C27" s="141"/>
      <c r="D27" s="9"/>
      <c r="E27" s="9"/>
      <c r="F27" s="9"/>
      <c r="G27" s="9"/>
      <c r="H27" s="9"/>
      <c r="I27" s="9"/>
      <c r="J27" s="9"/>
      <c r="K27" s="9"/>
      <c r="L27" s="9"/>
      <c r="M27" s="9"/>
      <c r="N27" s="126"/>
      <c r="O27" s="127"/>
      <c r="P27" s="127"/>
      <c r="Q27" s="127"/>
      <c r="R27" s="127"/>
      <c r="S27" s="127"/>
      <c r="T27" s="127"/>
      <c r="U27" s="127"/>
      <c r="V27" s="127"/>
      <c r="W27" s="127"/>
      <c r="X27" s="118"/>
      <c r="Y27" s="121"/>
      <c r="Z27" s="120"/>
    </row>
    <row r="28" spans="2:29">
      <c r="B28" s="142"/>
      <c r="C28" s="143" t="s">
        <v>6</v>
      </c>
      <c r="D28" s="11">
        <f t="shared" ref="D28:X28" si="2">SUM(D6:D26)</f>
        <v>0</v>
      </c>
      <c r="E28" s="11">
        <f t="shared" si="2"/>
        <v>0</v>
      </c>
      <c r="F28" s="11">
        <f t="shared" si="2"/>
        <v>0</v>
      </c>
      <c r="G28" s="11">
        <f t="shared" si="2"/>
        <v>0</v>
      </c>
      <c r="H28" s="11">
        <f t="shared" si="2"/>
        <v>0</v>
      </c>
      <c r="I28" s="11">
        <f t="shared" si="2"/>
        <v>0</v>
      </c>
      <c r="J28" s="11">
        <f t="shared" si="2"/>
        <v>0</v>
      </c>
      <c r="K28" s="11">
        <f t="shared" si="2"/>
        <v>0</v>
      </c>
      <c r="L28" s="11">
        <f t="shared" si="2"/>
        <v>0</v>
      </c>
      <c r="M28" s="11">
        <f t="shared" si="2"/>
        <v>0</v>
      </c>
      <c r="N28" s="128">
        <f t="shared" si="2"/>
        <v>-560215.10000000009</v>
      </c>
      <c r="O28" s="129">
        <f t="shared" si="2"/>
        <v>-1697519.8800000001</v>
      </c>
      <c r="P28" s="129">
        <f t="shared" ref="P28:V28" si="3">SUM(P6:P26)</f>
        <v>-1685972.6099999996</v>
      </c>
      <c r="Q28" s="129">
        <f t="shared" si="3"/>
        <v>-1758420.17</v>
      </c>
      <c r="R28" s="129">
        <f t="shared" si="3"/>
        <v>-1713117.3299999998</v>
      </c>
      <c r="S28" s="129">
        <f t="shared" si="3"/>
        <v>-1296247.5600000003</v>
      </c>
      <c r="T28" s="129">
        <f t="shared" si="3"/>
        <v>-1170778.2600000002</v>
      </c>
      <c r="U28" s="129">
        <f t="shared" si="3"/>
        <v>-1304954.9299999997</v>
      </c>
      <c r="V28" s="129">
        <f t="shared" si="3"/>
        <v>-1479903.4799999997</v>
      </c>
      <c r="W28" s="129">
        <f t="shared" ref="W28" si="4">SUM(W6:W26)</f>
        <v>-1539684.7799999996</v>
      </c>
      <c r="X28" s="130">
        <f t="shared" si="2"/>
        <v>-14206814.099999996</v>
      </c>
      <c r="Y28" s="145">
        <f>SUM(Y6:Y26)</f>
        <v>-3606843.6747633913</v>
      </c>
      <c r="Z28" s="145">
        <f>SUM(Z6:Z26)</f>
        <v>-17813657.77476339</v>
      </c>
    </row>
    <row r="29" spans="2:29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12"/>
      <c r="Y29" s="7"/>
      <c r="AC29" s="4" t="s">
        <v>1</v>
      </c>
    </row>
    <row r="30" spans="2:29">
      <c r="Y30" s="10" t="s">
        <v>98</v>
      </c>
      <c r="Z30" s="11">
        <v>-17899494</v>
      </c>
    </row>
  </sheetData>
  <conditionalFormatting sqref="C21">
    <cfRule type="cellIs" dxfId="1" priority="2" operator="lessThan">
      <formula>0</formula>
    </cfRule>
  </conditionalFormatting>
  <conditionalFormatting sqref="C21">
    <cfRule type="cellIs" dxfId="0" priority="1" operator="lessThan">
      <formula>0</formula>
    </cfRule>
  </conditionalFormatting>
  <pageMargins left="0.7" right="0.7" top="0.75" bottom="0.75" header="0.3" footer="0.3"/>
  <pageSetup scale="56" orientation="landscape" r:id="rId1"/>
  <colBreaks count="1" manualBreakCount="1">
    <brk id="2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45E26D7DF52244AE5C03D8470EF438" ma:contentTypeVersion="56" ma:contentTypeDescription="" ma:contentTypeScope="" ma:versionID="fa754fe60efa14c20ada13b43f9cd8f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2019-09-17T07:00:00+00:00</OpenedDate>
    <SignificantOrder xmlns="dc463f71-b30c-4ab2-9473-d307f9d35888">false</SignificantOrder>
    <Date1 xmlns="dc463f71-b30c-4ab2-9473-d307f9d35888">2019-09-17T07:00:00+00:00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190778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B4C0F40-D554-4056-92F8-B35A32C73C4A}"/>
</file>

<file path=customXml/itemProps2.xml><?xml version="1.0" encoding="utf-8"?>
<ds:datastoreItem xmlns:ds="http://schemas.openxmlformats.org/officeDocument/2006/customXml" ds:itemID="{CBCF1E21-E497-42A8-B03A-8B46F9D4EF5B}"/>
</file>

<file path=customXml/itemProps3.xml><?xml version="1.0" encoding="utf-8"?>
<ds:datastoreItem xmlns:ds="http://schemas.openxmlformats.org/officeDocument/2006/customXml" ds:itemID="{4E514203-8D7F-4358-B224-F7D321E81E45}"/>
</file>

<file path=customXml/itemProps4.xml><?xml version="1.0" encoding="utf-8"?>
<ds:datastoreItem xmlns:ds="http://schemas.openxmlformats.org/officeDocument/2006/customXml" ds:itemID="{B490F8E3-1CB2-4C7B-A9F7-7EDE13A8AD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A</vt:lpstr>
      <vt:lpstr>Residential Bill Impacts</vt:lpstr>
      <vt:lpstr>Total WA PCAM</vt:lpstr>
      <vt:lpstr>'Table A'!Print_Area</vt:lpstr>
      <vt:lpstr>'Total WA PCAM'!Print_Area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Penfield, Mary</cp:lastModifiedBy>
  <cp:lastPrinted>2019-09-17T20:29:16Z</cp:lastPrinted>
  <dcterms:created xsi:type="dcterms:W3CDTF">2019-08-15T14:17:03Z</dcterms:created>
  <dcterms:modified xsi:type="dcterms:W3CDTF">2019-09-17T20:30:37Z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0x0101006E56B4D1795A2E4DB2F0B01679ED314A00B845E26D7DF52244AE5C03D8470EF438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