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ustomProperty8.bin" ContentType="application/vnd.openxmlformats-officedocument.spreadsheetml.customProperty"/>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ustomProperty9.bin" ContentType="application/vnd.openxmlformats-officedocument.spreadsheetml.customProperty"/>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4560" windowWidth="12060" windowHeight="1176" tabRatio="797" firstSheet="10" activeTab="10"/>
  </bookViews>
  <sheets>
    <sheet name="Output - 5yr Baseload" sheetId="42" r:id="rId1"/>
    <sheet name="Output - 10yr Baseload" sheetId="39" r:id="rId2"/>
    <sheet name="Output - 15yr Baseload" sheetId="13" r:id="rId3"/>
    <sheet name="Output - 10yr Wind" sheetId="40" r:id="rId4"/>
    <sheet name="Output - 15yr Wind" sheetId="26" r:id="rId5"/>
    <sheet name="Output - 10yr Solar" sheetId="41" r:id="rId6"/>
    <sheet name="Output - 15yr Solar" sheetId="27" r:id="rId7"/>
    <sheet name="Electric EES CE Std Energy" sheetId="5" r:id="rId8"/>
    <sheet name="FlatLoadShapeEnergy_perMWh" sheetId="9" r:id="rId9"/>
    <sheet name="Electric EES CE Std Capacity" sheetId="6" r:id="rId10"/>
    <sheet name="Firm Avoided Capacity Calcs" sheetId="7" r:id="rId11"/>
    <sheet name="Wind Avoided Capacity Calcs" sheetId="24" r:id="rId12"/>
    <sheet name="Solar Avoided Capacity Calcs" sheetId="25" r:id="rId13"/>
    <sheet name="Inputs-----&gt;" sheetId="38" r:id="rId14"/>
    <sheet name="Energy Prices" sheetId="22" r:id="rId15"/>
    <sheet name="Capacity Delivered" sheetId="23" r:id="rId16"/>
    <sheet name="Cost of Capital" sheetId="37" r:id="rId17"/>
  </sheets>
  <externalReferences>
    <externalReference r:id="rId18"/>
    <externalReference r:id="rId19"/>
  </externalReferences>
  <definedNames>
    <definedName name="_ftn1" localSheetId="10">'Firm Avoided Capacity Calcs'!#REF!</definedName>
    <definedName name="_ftn1" localSheetId="12">'Solar Avoided Capacity Calcs'!#REF!</definedName>
    <definedName name="_ftn1" localSheetId="11">'Wind Avoided Capacity Calcs'!#REF!</definedName>
    <definedName name="_ftnref1" localSheetId="10">'Firm Avoided Capacity Calcs'!#REF!</definedName>
    <definedName name="_ftnref1" localSheetId="12">'Solar Avoided Capacity Calcs'!#REF!</definedName>
    <definedName name="_ftnref1" localSheetId="11">'Wind Avoided Capacity Calcs'!#REF!</definedName>
    <definedName name="CaseDescription">[1]Assumptions!$A$2</definedName>
    <definedName name="MeasureList" localSheetId="1">'Electric EES CE Std Capacity'!#REF!</definedName>
    <definedName name="MeasureList" localSheetId="5">'Electric EES CE Std Capacity'!#REF!</definedName>
    <definedName name="MeasureList" localSheetId="3">'Electric EES CE Std Capacity'!#REF!</definedName>
    <definedName name="MeasureList" localSheetId="6">'Electric EES CE Std Capacity'!#REF!</definedName>
    <definedName name="MeasureList" localSheetId="4">'Electric EES CE Std Capacity'!#REF!</definedName>
    <definedName name="MeasureList" localSheetId="0">'Electric EES CE Std Capacity'!#REF!</definedName>
    <definedName name="MeasureList" localSheetId="12">'Electric EES CE Std Capacity'!#REF!</definedName>
    <definedName name="MeasureList" localSheetId="11">'Electric EES CE Std Capacity'!#REF!</definedName>
    <definedName name="MeasureList">'Electric EES CE Std Capacity'!#REF!</definedName>
    <definedName name="PreTaxWACC">[2]Assumptions!$O$24</definedName>
    <definedName name="_xlnm.Print_Area" localSheetId="9">'Electric EES CE Std Capacity'!$B$2:$H$30</definedName>
    <definedName name="_xlnm.Print_Area" localSheetId="7">'Electric EES CE Std Energy'!$B$2:$F$29</definedName>
    <definedName name="_xlnm.Print_Area" localSheetId="10">'Firm Avoided Capacity Calcs'!$B$4:$M$30</definedName>
    <definedName name="_xlnm.Print_Area" localSheetId="8">FlatLoadShapeEnergy_perMWh!$B$4:$P$33</definedName>
    <definedName name="_xlnm.Print_Area" localSheetId="1">'Output - 10yr Baseload'!$B$2:$AC$35</definedName>
    <definedName name="_xlnm.Print_Area" localSheetId="5">'Output - 10yr Solar'!$B$2:$AC$35</definedName>
    <definedName name="_xlnm.Print_Area" localSheetId="3">'Output - 10yr Wind'!$B$2:$AC$35</definedName>
    <definedName name="_xlnm.Print_Area" localSheetId="2">'Output - 15yr Baseload'!$B$2:$AD$35</definedName>
    <definedName name="_xlnm.Print_Area" localSheetId="6">'Output - 15yr Solar'!$B$2:$AD$35</definedName>
    <definedName name="_xlnm.Print_Area" localSheetId="4">'Output - 15yr Wind'!$B$2:$AD$35</definedName>
    <definedName name="_xlnm.Print_Area" localSheetId="0">'Output - 5yr Baseload'!$B$2:$AC$35</definedName>
    <definedName name="_xlnm.Print_Area" localSheetId="12">'Solar Avoided Capacity Calcs'!$B$4:$M$30</definedName>
    <definedName name="_xlnm.Print_Area" localSheetId="11">'Wind Avoided Capacity Calcs'!$B$4:$M$30</definedName>
    <definedName name="Rate_of_Return">'Cost of Capital'!$F$16</definedName>
    <definedName name="solver_typ" localSheetId="9" hidden="1">2</definedName>
    <definedName name="solver_typ" localSheetId="7" hidden="1">2</definedName>
    <definedName name="solver_typ" localSheetId="3" hidden="1">2</definedName>
    <definedName name="solver_typ" localSheetId="4" hidden="1">2</definedName>
    <definedName name="solver_ver" localSheetId="9" hidden="1">10</definedName>
    <definedName name="solver_ver" localSheetId="7" hidden="1">10</definedName>
    <definedName name="solver_ver" localSheetId="3" hidden="1">17</definedName>
    <definedName name="solver_ver" localSheetId="4" hidden="1">17</definedName>
    <definedName name="Title">[1]Assumptions!$A$1</definedName>
    <definedName name="wrn.Customer._.Counts._.Electric." localSheetId="13"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3" hidden="1">{#N/A,#N/A,FALSE,"Pg 6b CustCount_Gas";#N/A,#N/A,FALSE,"QA";#N/A,#N/A,FALSE,"Report";#N/A,#N/A,FALSE,"forecast"}</definedName>
    <definedName name="wrn.Customer._.Counts._.Gas." hidden="1">{#N/A,#N/A,FALSE,"Pg 6b CustCount_Gas";#N/A,#N/A,FALSE,"QA";#N/A,#N/A,FALSE,"Report";#N/A,#N/A,FALSE,"forecast"}</definedName>
    <definedName name="wrn.Incentive._.Overhead." localSheetId="13" hidden="1">{#N/A,#N/A,FALSE,"Coversheet";#N/A,#N/A,FALSE,"QA"}</definedName>
    <definedName name="wrn.Incentive._.Overhead." hidden="1">{#N/A,#N/A,FALSE,"Coversheet";#N/A,#N/A,FALSE,"QA"}</definedName>
    <definedName name="wrn.MARGIN_WO_QTR." localSheetId="13" hidden="1">{#N/A,#N/A,FALSE,"Month ";#N/A,#N/A,FALSE,"YTD";#N/A,#N/A,FALSE,"12 mo ended"}</definedName>
    <definedName name="wrn.MARGIN_WO_QTR." hidden="1">{#N/A,#N/A,FALSE,"Month ";#N/A,#N/A,FALSE,"YTD";#N/A,#N/A,FALSE,"12 mo ended"}</definedName>
    <definedName name="wrn.Municipal._.Reports."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3" hidden="1">{#N/A,#N/A,FALSE,"2002 Small Tool OH";#N/A,#N/A,FALSE,"QA"}</definedName>
    <definedName name="wrn.Small._.Tools._.Overhead." hidden="1">{#N/A,#N/A,FALSE,"2002 Small Tool OH";#N/A,#N/A,FALSE,"QA"}</definedName>
  </definedNames>
  <calcPr calcId="145621"/>
</workbook>
</file>

<file path=xl/calcChain.xml><?xml version="1.0" encoding="utf-8"?>
<calcChain xmlns="http://schemas.openxmlformats.org/spreadsheetml/2006/main">
  <c r="D13" i="7" l="1"/>
  <c r="Q7" i="22"/>
  <c r="P7" i="9" l="1"/>
  <c r="N7" i="9"/>
  <c r="K12" i="42" l="1"/>
  <c r="L12" i="42" s="1"/>
  <c r="Y19" i="42"/>
  <c r="H5" i="42"/>
  <c r="Q12" i="39"/>
  <c r="V12" i="13"/>
  <c r="Q12" i="40"/>
  <c r="V12" i="26"/>
  <c r="H5" i="27"/>
  <c r="V12" i="27" l="1"/>
  <c r="G19" i="42"/>
  <c r="F12" i="42"/>
  <c r="G12" i="42" s="1"/>
  <c r="H12" i="42" s="1"/>
  <c r="I12" i="42" s="1"/>
  <c r="J12" i="42" s="1"/>
  <c r="F12" i="27"/>
  <c r="F12" i="41"/>
  <c r="F12" i="26"/>
  <c r="F12" i="40"/>
  <c r="F12" i="13"/>
  <c r="F12" i="39"/>
  <c r="I27" i="9"/>
  <c r="J27" i="9" s="1"/>
  <c r="K27" i="9"/>
  <c r="I8" i="9"/>
  <c r="J7" i="9"/>
  <c r="I7" i="9"/>
  <c r="G8" i="9"/>
  <c r="G9" i="9" s="1"/>
  <c r="G10" i="9" s="1"/>
  <c r="G11" i="9" s="1"/>
  <c r="G12" i="9" s="1"/>
  <c r="G13" i="9" s="1"/>
  <c r="G14" i="9" s="1"/>
  <c r="G15" i="9" s="1"/>
  <c r="G16" i="9" s="1"/>
  <c r="G17" i="9" s="1"/>
  <c r="G18" i="9" s="1"/>
  <c r="G19" i="9" s="1"/>
  <c r="G20" i="9" s="1"/>
  <c r="G21" i="9" s="1"/>
  <c r="G22" i="9" s="1"/>
  <c r="G23" i="9" s="1"/>
  <c r="G24" i="9" s="1"/>
  <c r="G25" i="9" s="1"/>
  <c r="G26" i="9" s="1"/>
  <c r="G27" i="9" s="1"/>
  <c r="I27" i="7"/>
  <c r="F8" i="7"/>
  <c r="F9" i="7" s="1"/>
  <c r="F10" i="7" s="1"/>
  <c r="F11" i="7" s="1"/>
  <c r="F12" i="7" s="1"/>
  <c r="F13" i="7" s="1"/>
  <c r="F14" i="7" s="1"/>
  <c r="F15" i="7" s="1"/>
  <c r="F16" i="7" s="1"/>
  <c r="F17" i="7" s="1"/>
  <c r="F18" i="7" s="1"/>
  <c r="F19" i="7" s="1"/>
  <c r="F20" i="7" s="1"/>
  <c r="F21" i="7" s="1"/>
  <c r="F22" i="7" s="1"/>
  <c r="F23" i="7" s="1"/>
  <c r="F24" i="7" s="1"/>
  <c r="F25" i="7" s="1"/>
  <c r="F26" i="7" s="1"/>
  <c r="F27" i="7" s="1"/>
  <c r="I27" i="24"/>
  <c r="I7" i="24"/>
  <c r="F8" i="24"/>
  <c r="F9" i="24" s="1"/>
  <c r="F10" i="24" s="1"/>
  <c r="F11" i="24" s="1"/>
  <c r="F12" i="24" s="1"/>
  <c r="F13" i="24" s="1"/>
  <c r="F14" i="24" s="1"/>
  <c r="F15" i="24" s="1"/>
  <c r="F16" i="24" s="1"/>
  <c r="F17" i="24" s="1"/>
  <c r="F18" i="24" s="1"/>
  <c r="F19" i="24" s="1"/>
  <c r="F20" i="24" s="1"/>
  <c r="F21" i="24" s="1"/>
  <c r="F22" i="24" s="1"/>
  <c r="F23" i="24" s="1"/>
  <c r="F24" i="24" s="1"/>
  <c r="F25" i="24" s="1"/>
  <c r="F26" i="24" s="1"/>
  <c r="F27" i="24" s="1"/>
  <c r="I7" i="25"/>
  <c r="F27" i="25"/>
  <c r="F9" i="25"/>
  <c r="F10" i="25"/>
  <c r="F11" i="25"/>
  <c r="F12" i="25"/>
  <c r="F13" i="25" s="1"/>
  <c r="F14" i="25" s="1"/>
  <c r="F15" i="25" s="1"/>
  <c r="F16" i="25" s="1"/>
  <c r="F17" i="25" s="1"/>
  <c r="F18" i="25" s="1"/>
  <c r="F19" i="25" s="1"/>
  <c r="F20" i="25" s="1"/>
  <c r="F21" i="25" s="1"/>
  <c r="F22" i="25" s="1"/>
  <c r="F23" i="25" s="1"/>
  <c r="F24" i="25" s="1"/>
  <c r="F25" i="25" s="1"/>
  <c r="F26" i="25" s="1"/>
  <c r="F8" i="25"/>
  <c r="H19" i="42" l="1"/>
  <c r="I19" i="9"/>
  <c r="J19" i="9" s="1"/>
  <c r="F26" i="23"/>
  <c r="E26" i="23"/>
  <c r="J11" i="23"/>
  <c r="X19" i="40"/>
  <c r="G19" i="41"/>
  <c r="H19" i="41" s="1"/>
  <c r="I19" i="41" s="1"/>
  <c r="G12" i="41"/>
  <c r="H12" i="41" s="1"/>
  <c r="I12" i="41" s="1"/>
  <c r="J12" i="41" s="1"/>
  <c r="K12" i="41" s="1"/>
  <c r="L12" i="41" s="1"/>
  <c r="M12" i="41" s="1"/>
  <c r="N12" i="41" s="1"/>
  <c r="O12" i="41" s="1"/>
  <c r="P12" i="41" s="1"/>
  <c r="Q12" i="41" s="1"/>
  <c r="H19" i="40"/>
  <c r="G19" i="40"/>
  <c r="G12" i="40"/>
  <c r="H12" i="40" s="1"/>
  <c r="I12" i="40" s="1"/>
  <c r="J12" i="40" s="1"/>
  <c r="K12" i="40" s="1"/>
  <c r="L12" i="40" s="1"/>
  <c r="M12" i="40" s="1"/>
  <c r="N12" i="40" s="1"/>
  <c r="O12" i="40" s="1"/>
  <c r="P12" i="40" s="1"/>
  <c r="X19" i="39"/>
  <c r="Y19" i="39" s="1"/>
  <c r="G19" i="39"/>
  <c r="G12" i="39"/>
  <c r="H12" i="39" s="1"/>
  <c r="I12" i="39" s="1"/>
  <c r="J12" i="39" s="1"/>
  <c r="K12" i="39" s="1"/>
  <c r="L12" i="39" s="1"/>
  <c r="M12" i="39" s="1"/>
  <c r="N12" i="39" s="1"/>
  <c r="O12" i="39" s="1"/>
  <c r="P12" i="39" s="1"/>
  <c r="O11" i="23" l="1"/>
  <c r="H12" i="25"/>
  <c r="I19" i="42"/>
  <c r="J19" i="41"/>
  <c r="I19" i="40"/>
  <c r="H19" i="39"/>
  <c r="J19" i="42" l="1"/>
  <c r="K19" i="41"/>
  <c r="J19" i="40"/>
  <c r="I19" i="39"/>
  <c r="L19" i="41" l="1"/>
  <c r="K19" i="40"/>
  <c r="J19" i="39"/>
  <c r="M19" i="41" l="1"/>
  <c r="L19" i="40"/>
  <c r="K19" i="39"/>
  <c r="N19" i="41" l="1"/>
  <c r="M19" i="40"/>
  <c r="L19" i="39"/>
  <c r="O19" i="41" l="1"/>
  <c r="X19" i="41" s="1"/>
  <c r="Y19" i="41" s="1"/>
  <c r="N19" i="40"/>
  <c r="M19" i="39"/>
  <c r="O19" i="40" l="1"/>
  <c r="N19" i="39"/>
  <c r="X19" i="42" l="1"/>
  <c r="O19" i="39"/>
  <c r="F20" i="42" l="1"/>
  <c r="G20" i="42"/>
  <c r="H20" i="42"/>
  <c r="I20" i="42"/>
  <c r="J20" i="42"/>
  <c r="F20" i="41"/>
  <c r="G20" i="41"/>
  <c r="H20" i="41"/>
  <c r="I20" i="41"/>
  <c r="J20" i="41"/>
  <c r="K20" i="41"/>
  <c r="L20" i="41"/>
  <c r="M20" i="41"/>
  <c r="N20" i="41"/>
  <c r="O20" i="41"/>
  <c r="Y19" i="40"/>
  <c r="X20" i="42" l="1"/>
  <c r="Y20" i="42" s="1"/>
  <c r="X20" i="41"/>
  <c r="Y20" i="41" s="1"/>
  <c r="F20" i="40"/>
  <c r="G20" i="40"/>
  <c r="H20" i="40"/>
  <c r="I20" i="40"/>
  <c r="J20" i="40"/>
  <c r="K20" i="40"/>
  <c r="L20" i="40"/>
  <c r="M20" i="40"/>
  <c r="N20" i="40"/>
  <c r="O20" i="40"/>
  <c r="X20" i="40" l="1"/>
  <c r="Y20" i="40" s="1"/>
  <c r="F20" i="39"/>
  <c r="G20" i="39"/>
  <c r="H20" i="39"/>
  <c r="I20" i="39"/>
  <c r="J20" i="39"/>
  <c r="K20" i="39"/>
  <c r="L20" i="39"/>
  <c r="M20" i="39"/>
  <c r="N20" i="39"/>
  <c r="O20" i="39"/>
  <c r="X20" i="39" l="1"/>
  <c r="Y20" i="39" s="1"/>
  <c r="G12" i="13" l="1"/>
  <c r="H12" i="13" s="1"/>
  <c r="I12" i="13" s="1"/>
  <c r="J12" i="13" s="1"/>
  <c r="K12" i="13" s="1"/>
  <c r="L12" i="13" s="1"/>
  <c r="M12" i="13" s="1"/>
  <c r="N12" i="13" s="1"/>
  <c r="O12" i="13" s="1"/>
  <c r="P12" i="13" s="1"/>
  <c r="Q12" i="13" s="1"/>
  <c r="R12" i="13" s="1"/>
  <c r="S12" i="13" s="1"/>
  <c r="T12" i="13" s="1"/>
  <c r="U12" i="13" s="1"/>
  <c r="G12" i="26"/>
  <c r="H12" i="26" s="1"/>
  <c r="I12" i="26" s="1"/>
  <c r="J12" i="26" s="1"/>
  <c r="K12" i="26" s="1"/>
  <c r="L12" i="26" s="1"/>
  <c r="M12" i="26" s="1"/>
  <c r="N12" i="26" s="1"/>
  <c r="O12" i="26" s="1"/>
  <c r="P12" i="26" s="1"/>
  <c r="Q12" i="26" s="1"/>
  <c r="R12" i="26" s="1"/>
  <c r="S12" i="26" s="1"/>
  <c r="T12" i="26" s="1"/>
  <c r="U12" i="26" s="1"/>
  <c r="G12" i="27"/>
  <c r="H12" i="27" s="1"/>
  <c r="I12" i="27" s="1"/>
  <c r="J12" i="27" s="1"/>
  <c r="K12" i="27" s="1"/>
  <c r="L12" i="27" s="1"/>
  <c r="M12" i="27" s="1"/>
  <c r="N12" i="27" s="1"/>
  <c r="O12" i="27" s="1"/>
  <c r="P12" i="27" s="1"/>
  <c r="Q12" i="27" s="1"/>
  <c r="R12" i="27" s="1"/>
  <c r="S12" i="27" s="1"/>
  <c r="T12" i="27" s="1"/>
  <c r="U12" i="27" s="1"/>
  <c r="K26" i="9"/>
  <c r="I9" i="9"/>
  <c r="I10" i="9"/>
  <c r="I11" i="9"/>
  <c r="I12" i="9"/>
  <c r="I13" i="9"/>
  <c r="I14" i="9"/>
  <c r="I15" i="9"/>
  <c r="I16" i="9"/>
  <c r="I17" i="9"/>
  <c r="I18" i="9"/>
  <c r="I20" i="9"/>
  <c r="I21" i="9"/>
  <c r="I22" i="9"/>
  <c r="I23" i="9"/>
  <c r="I24" i="9"/>
  <c r="I25" i="9"/>
  <c r="I26" i="9"/>
  <c r="J26" i="9" s="1"/>
  <c r="P28" i="22"/>
  <c r="E18" i="37" l="1"/>
  <c r="F18" i="37" s="1"/>
  <c r="C13" i="25" l="1"/>
  <c r="D12" i="25"/>
  <c r="C11" i="25"/>
  <c r="C13" i="24"/>
  <c r="D12" i="24"/>
  <c r="C11" i="24"/>
  <c r="C11" i="7"/>
  <c r="D12" i="7"/>
  <c r="C7" i="23" l="1"/>
  <c r="C8" i="23"/>
  <c r="C9" i="23" s="1"/>
  <c r="C10" i="23" s="1"/>
  <c r="C11" i="23" s="1"/>
  <c r="C12" i="23" s="1"/>
  <c r="C13" i="23" s="1"/>
  <c r="C14" i="23" s="1"/>
  <c r="C15" i="23" s="1"/>
  <c r="C16" i="23" s="1"/>
  <c r="C17" i="23" s="1"/>
  <c r="C18" i="23" s="1"/>
  <c r="C19" i="23" s="1"/>
  <c r="C20" i="23" s="1"/>
  <c r="C21" i="23" s="1"/>
  <c r="C22" i="23" s="1"/>
  <c r="C23" i="23" s="1"/>
  <c r="C24" i="23" s="1"/>
  <c r="C13" i="7"/>
  <c r="D4" i="5"/>
  <c r="F19" i="37"/>
  <c r="F20" i="37"/>
  <c r="F15" i="37"/>
  <c r="F14" i="37"/>
  <c r="F16" i="37" s="1"/>
  <c r="I7" i="7" l="1"/>
  <c r="H10" i="23" l="1"/>
  <c r="M10" i="23" l="1"/>
  <c r="H11" i="7"/>
  <c r="P29" i="22"/>
  <c r="H6" i="23"/>
  <c r="H7" i="23"/>
  <c r="H8" i="23"/>
  <c r="H9" i="23"/>
  <c r="H11" i="23"/>
  <c r="H12" i="23"/>
  <c r="H13" i="23"/>
  <c r="H14" i="23"/>
  <c r="H15" i="23"/>
  <c r="H16" i="23"/>
  <c r="H17" i="23"/>
  <c r="H18" i="23"/>
  <c r="H19" i="23"/>
  <c r="H20" i="23"/>
  <c r="H21" i="23"/>
  <c r="H22" i="23"/>
  <c r="H23" i="23"/>
  <c r="H24" i="23"/>
  <c r="H25" i="23"/>
  <c r="J6" i="23"/>
  <c r="J7" i="23"/>
  <c r="J8" i="23"/>
  <c r="J9" i="23"/>
  <c r="J10" i="23"/>
  <c r="J12" i="23"/>
  <c r="J13" i="23"/>
  <c r="J14" i="23"/>
  <c r="J15" i="23"/>
  <c r="J16" i="23"/>
  <c r="J17" i="23"/>
  <c r="J18" i="23"/>
  <c r="J19" i="23"/>
  <c r="J20" i="23"/>
  <c r="J21" i="23"/>
  <c r="J22" i="23"/>
  <c r="J23" i="23"/>
  <c r="J24" i="23"/>
  <c r="J25" i="23"/>
  <c r="I7" i="23"/>
  <c r="I8" i="23"/>
  <c r="I9" i="23"/>
  <c r="I10" i="23"/>
  <c r="I11" i="23"/>
  <c r="I12" i="23"/>
  <c r="I13" i="23"/>
  <c r="I14" i="23"/>
  <c r="I15" i="23"/>
  <c r="I16" i="23"/>
  <c r="I17" i="23"/>
  <c r="I18" i="23"/>
  <c r="I19" i="23"/>
  <c r="I20" i="23"/>
  <c r="I21" i="23"/>
  <c r="I22" i="23"/>
  <c r="I23" i="23"/>
  <c r="I24" i="23"/>
  <c r="I25" i="23"/>
  <c r="I6" i="23"/>
  <c r="N12" i="23" l="1"/>
  <c r="H13" i="24"/>
  <c r="O6" i="23"/>
  <c r="H7" i="25"/>
  <c r="M25" i="23"/>
  <c r="H26" i="7"/>
  <c r="H26" i="23"/>
  <c r="M15" i="23"/>
  <c r="H16" i="7"/>
  <c r="O23" i="23"/>
  <c r="H24" i="25"/>
  <c r="M9" i="23"/>
  <c r="H10" i="7"/>
  <c r="O22" i="23"/>
  <c r="H23" i="25"/>
  <c r="M17" i="23"/>
  <c r="H18" i="7"/>
  <c r="N10" i="23"/>
  <c r="H11" i="24"/>
  <c r="O13" i="23"/>
  <c r="H14" i="25"/>
  <c r="M7" i="23"/>
  <c r="H8" i="7"/>
  <c r="N9" i="23"/>
  <c r="H10" i="24"/>
  <c r="M23" i="23"/>
  <c r="H24" i="7"/>
  <c r="N16" i="23"/>
  <c r="H17" i="24"/>
  <c r="O10" i="23"/>
  <c r="H11" i="25"/>
  <c r="N7" i="23"/>
  <c r="H8" i="24"/>
  <c r="O9" i="23"/>
  <c r="H10" i="25"/>
  <c r="M13" i="23"/>
  <c r="H14" i="7"/>
  <c r="N11" i="23"/>
  <c r="H12" i="24"/>
  <c r="M8" i="23"/>
  <c r="H9" i="7"/>
  <c r="N18" i="23"/>
  <c r="H19" i="24"/>
  <c r="M24" i="23"/>
  <c r="H25" i="7"/>
  <c r="N17" i="23"/>
  <c r="H18" i="24"/>
  <c r="M6" i="23"/>
  <c r="H7" i="7"/>
  <c r="N8" i="23"/>
  <c r="H9" i="24"/>
  <c r="M14" i="23"/>
  <c r="H15" i="7"/>
  <c r="N23" i="23"/>
  <c r="H24" i="24"/>
  <c r="O18" i="23"/>
  <c r="H19" i="25"/>
  <c r="O25" i="23"/>
  <c r="H26" i="25"/>
  <c r="J26" i="23"/>
  <c r="M20" i="23"/>
  <c r="H21" i="7"/>
  <c r="M12" i="23"/>
  <c r="H13" i="7"/>
  <c r="N20" i="23"/>
  <c r="H21" i="24"/>
  <c r="O15" i="23"/>
  <c r="H16" i="25"/>
  <c r="M18" i="23"/>
  <c r="H19" i="7"/>
  <c r="N19" i="23"/>
  <c r="H20" i="24"/>
  <c r="O14" i="23"/>
  <c r="H15" i="25"/>
  <c r="N6" i="23"/>
  <c r="H7" i="24"/>
  <c r="O21" i="23"/>
  <c r="H22" i="25"/>
  <c r="M16" i="23"/>
  <c r="H17" i="7"/>
  <c r="N25" i="23"/>
  <c r="H26" i="24"/>
  <c r="I26" i="23"/>
  <c r="O20" i="23"/>
  <c r="H21" i="25"/>
  <c r="O12" i="23"/>
  <c r="H13" i="25"/>
  <c r="N24" i="23"/>
  <c r="H25" i="24"/>
  <c r="O19" i="23"/>
  <c r="H20" i="25"/>
  <c r="M22" i="23"/>
  <c r="H23" i="7"/>
  <c r="N15" i="23"/>
  <c r="H16" i="24"/>
  <c r="M21" i="23"/>
  <c r="H22" i="7"/>
  <c r="N22" i="23"/>
  <c r="H23" i="24"/>
  <c r="N14" i="23"/>
  <c r="H15" i="24"/>
  <c r="O17" i="23"/>
  <c r="H18" i="25"/>
  <c r="O8" i="23"/>
  <c r="H9" i="25"/>
  <c r="N21" i="23"/>
  <c r="H22" i="24"/>
  <c r="N13" i="23"/>
  <c r="H14" i="24"/>
  <c r="O24" i="23"/>
  <c r="H25" i="25"/>
  <c r="O16" i="23"/>
  <c r="H17" i="25"/>
  <c r="O7" i="23"/>
  <c r="H8" i="25"/>
  <c r="M19" i="23"/>
  <c r="H20" i="7"/>
  <c r="M11" i="23"/>
  <c r="H12" i="7"/>
  <c r="D8" i="25"/>
  <c r="D8" i="24"/>
  <c r="D8" i="7"/>
  <c r="E7" i="9"/>
  <c r="D5" i="5"/>
  <c r="N26" i="23" l="1"/>
  <c r="H27" i="24"/>
  <c r="J27" i="24" s="1"/>
  <c r="M26" i="23"/>
  <c r="H27" i="7"/>
  <c r="J27" i="7" s="1"/>
  <c r="O26" i="23"/>
  <c r="H27" i="25"/>
  <c r="N26" i="9"/>
  <c r="N27" i="9"/>
  <c r="B2" i="5"/>
  <c r="B4" i="5"/>
  <c r="K27" i="24" l="1"/>
  <c r="K27" i="7"/>
  <c r="G19" i="27"/>
  <c r="G19" i="26"/>
  <c r="H19" i="26" l="1"/>
  <c r="H19" i="27"/>
  <c r="I19" i="26"/>
  <c r="I19" i="27" l="1"/>
  <c r="J19" i="26"/>
  <c r="J19" i="27" l="1"/>
  <c r="K19" i="26"/>
  <c r="D7" i="25"/>
  <c r="D9" i="25"/>
  <c r="D13" i="25" s="1"/>
  <c r="D7" i="24"/>
  <c r="D9" i="24"/>
  <c r="D13" i="24" s="1"/>
  <c r="I8" i="24" l="1"/>
  <c r="L19" i="26"/>
  <c r="K19" i="27"/>
  <c r="I8" i="25" l="1"/>
  <c r="I9" i="25" s="1"/>
  <c r="I10" i="25" s="1"/>
  <c r="I11" i="25" s="1"/>
  <c r="J7" i="25"/>
  <c r="K7" i="25" s="1"/>
  <c r="L7" i="25" s="1"/>
  <c r="L19" i="27"/>
  <c r="M19" i="26"/>
  <c r="I9" i="24"/>
  <c r="I10" i="24" s="1"/>
  <c r="J8" i="24"/>
  <c r="K8" i="24" s="1"/>
  <c r="C25" i="23"/>
  <c r="J7" i="24"/>
  <c r="Q25" i="22"/>
  <c r="Q8" i="22"/>
  <c r="Q9" i="22"/>
  <c r="Q10" i="22"/>
  <c r="Q11" i="22"/>
  <c r="Q12" i="22"/>
  <c r="Q13" i="22"/>
  <c r="Q14" i="22"/>
  <c r="Q15" i="22"/>
  <c r="Q16" i="22"/>
  <c r="Q17" i="22"/>
  <c r="Q18" i="22"/>
  <c r="Q19" i="22"/>
  <c r="Q20" i="22"/>
  <c r="Q21" i="22"/>
  <c r="Q22" i="22"/>
  <c r="Q23" i="22"/>
  <c r="Q24" i="22"/>
  <c r="K7" i="24" l="1"/>
  <c r="L7" i="24" s="1"/>
  <c r="J10" i="25"/>
  <c r="K10" i="25" s="1"/>
  <c r="J9" i="25"/>
  <c r="K9" i="25" s="1"/>
  <c r="M7" i="25"/>
  <c r="K9" i="6" s="1"/>
  <c r="J8" i="25"/>
  <c r="K8" i="25" s="1"/>
  <c r="L8" i="25" s="1"/>
  <c r="J9" i="24"/>
  <c r="K9" i="24" s="1"/>
  <c r="M19" i="27"/>
  <c r="N19" i="26"/>
  <c r="I12" i="25"/>
  <c r="J11" i="25"/>
  <c r="K11" i="25" s="1"/>
  <c r="J10" i="24"/>
  <c r="K10" i="24" s="1"/>
  <c r="I11" i="24"/>
  <c r="M7" i="24" l="1"/>
  <c r="G9" i="6" s="1"/>
  <c r="L8" i="24"/>
  <c r="M8" i="24" s="1"/>
  <c r="G10" i="6" s="1"/>
  <c r="L9" i="24"/>
  <c r="M9" i="24" s="1"/>
  <c r="G11" i="6" s="1"/>
  <c r="M8" i="25"/>
  <c r="K10" i="6" s="1"/>
  <c r="L9" i="25"/>
  <c r="L10" i="25" s="1"/>
  <c r="N19" i="27"/>
  <c r="O19" i="26"/>
  <c r="I13" i="25"/>
  <c r="J12" i="25"/>
  <c r="K12" i="25" s="1"/>
  <c r="I12" i="24"/>
  <c r="J11" i="24"/>
  <c r="K11" i="24" s="1"/>
  <c r="L10" i="24" l="1"/>
  <c r="M9" i="25"/>
  <c r="K11" i="6" s="1"/>
  <c r="O19" i="27"/>
  <c r="P19" i="26"/>
  <c r="M10" i="25"/>
  <c r="K12" i="6" s="1"/>
  <c r="L11" i="25"/>
  <c r="I14" i="25"/>
  <c r="J13" i="25"/>
  <c r="K13" i="25" s="1"/>
  <c r="J12" i="24"/>
  <c r="K12" i="24" s="1"/>
  <c r="I13" i="24"/>
  <c r="M10" i="24" l="1"/>
  <c r="G12" i="6" s="1"/>
  <c r="L11" i="24"/>
  <c r="M11" i="24" s="1"/>
  <c r="G13" i="6" s="1"/>
  <c r="P19" i="27"/>
  <c r="Q19" i="26"/>
  <c r="I15" i="25"/>
  <c r="J14" i="25"/>
  <c r="K14" i="25" s="1"/>
  <c r="L12" i="25"/>
  <c r="M11" i="25"/>
  <c r="K13" i="6" s="1"/>
  <c r="I14" i="24"/>
  <c r="J13" i="24"/>
  <c r="K13" i="24" s="1"/>
  <c r="J25" i="9"/>
  <c r="K24" i="9"/>
  <c r="K25" i="9"/>
  <c r="L12" i="24" l="1"/>
  <c r="M12" i="24" s="1"/>
  <c r="G14" i="6" s="1"/>
  <c r="Q19" i="27"/>
  <c r="R19" i="26"/>
  <c r="M12" i="25"/>
  <c r="K14" i="6" s="1"/>
  <c r="L13" i="25"/>
  <c r="I16" i="25"/>
  <c r="J15" i="25"/>
  <c r="K15" i="25" s="1"/>
  <c r="I15" i="24"/>
  <c r="J14" i="24"/>
  <c r="K14" i="24" s="1"/>
  <c r="N25" i="9"/>
  <c r="J24" i="9"/>
  <c r="L13" i="24" l="1"/>
  <c r="M13" i="24" s="1"/>
  <c r="G15" i="6" s="1"/>
  <c r="R19" i="27"/>
  <c r="S19" i="26"/>
  <c r="I17" i="25"/>
  <c r="J16" i="25"/>
  <c r="K16" i="25" s="1"/>
  <c r="L14" i="25"/>
  <c r="M14" i="25" s="1"/>
  <c r="M13" i="25"/>
  <c r="K15" i="6" s="1"/>
  <c r="I16" i="24"/>
  <c r="J15" i="24"/>
  <c r="K15" i="24" s="1"/>
  <c r="N24" i="9"/>
  <c r="J23" i="9"/>
  <c r="J20" i="9"/>
  <c r="J16" i="9"/>
  <c r="J14" i="9"/>
  <c r="J12" i="9"/>
  <c r="N12" i="9" s="1"/>
  <c r="J11" i="9"/>
  <c r="J8" i="9"/>
  <c r="J9" i="9"/>
  <c r="J17" i="9"/>
  <c r="K8" i="9"/>
  <c r="K9" i="9"/>
  <c r="K10" i="9"/>
  <c r="K11" i="9"/>
  <c r="K12" i="9"/>
  <c r="J13" i="9"/>
  <c r="K13" i="9"/>
  <c r="K14" i="9"/>
  <c r="K15" i="9"/>
  <c r="K16" i="9"/>
  <c r="K17" i="9"/>
  <c r="K18" i="9"/>
  <c r="K19" i="9"/>
  <c r="K20" i="9"/>
  <c r="K21" i="9"/>
  <c r="K22" i="9"/>
  <c r="K23" i="9"/>
  <c r="G19" i="13"/>
  <c r="I8" i="7"/>
  <c r="E8" i="6"/>
  <c r="C8" i="6"/>
  <c r="B2" i="6" s="1"/>
  <c r="D4" i="6"/>
  <c r="J18" i="9"/>
  <c r="J21" i="9"/>
  <c r="L14" i="6" l="1"/>
  <c r="M14" i="6" s="1"/>
  <c r="L13" i="6"/>
  <c r="M13" i="6" s="1"/>
  <c r="N14" i="9"/>
  <c r="N21" i="9"/>
  <c r="L14" i="24"/>
  <c r="M14" i="24" s="1"/>
  <c r="G16" i="6" s="1"/>
  <c r="H16" i="6" s="1"/>
  <c r="I16" i="6" s="1"/>
  <c r="L15" i="6"/>
  <c r="M15" i="6" s="1"/>
  <c r="H9" i="6"/>
  <c r="I9" i="6" s="1"/>
  <c r="L9" i="6"/>
  <c r="M9" i="6" s="1"/>
  <c r="H10" i="6"/>
  <c r="I10" i="6" s="1"/>
  <c r="L10" i="6"/>
  <c r="M10" i="6" s="1"/>
  <c r="H12" i="6"/>
  <c r="I12" i="6" s="1"/>
  <c r="H11" i="6"/>
  <c r="I11" i="6" s="1"/>
  <c r="L11" i="6"/>
  <c r="M11" i="6" s="1"/>
  <c r="H13" i="6"/>
  <c r="I13" i="6" s="1"/>
  <c r="L12" i="6"/>
  <c r="M12" i="6" s="1"/>
  <c r="H14" i="6"/>
  <c r="I14" i="6" s="1"/>
  <c r="H19" i="13"/>
  <c r="I19" i="13" s="1"/>
  <c r="J19" i="13" s="1"/>
  <c r="K19" i="13" s="1"/>
  <c r="H15" i="6"/>
  <c r="I15" i="6" s="1"/>
  <c r="S19" i="27"/>
  <c r="T19" i="26"/>
  <c r="L15" i="25"/>
  <c r="K16" i="6"/>
  <c r="L16" i="6" s="1"/>
  <c r="M16" i="6" s="1"/>
  <c r="I18" i="25"/>
  <c r="J17" i="25"/>
  <c r="K17" i="25" s="1"/>
  <c r="I17" i="24"/>
  <c r="J16" i="24"/>
  <c r="K16" i="24" s="1"/>
  <c r="I9" i="7"/>
  <c r="J8" i="7"/>
  <c r="K8" i="7" s="1"/>
  <c r="J7" i="7"/>
  <c r="K7" i="7" s="1"/>
  <c r="L7" i="7" s="1"/>
  <c r="N17" i="9"/>
  <c r="N13" i="9"/>
  <c r="N19" i="9"/>
  <c r="N9" i="9"/>
  <c r="J10" i="9"/>
  <c r="J15" i="9"/>
  <c r="O7" i="9"/>
  <c r="C9" i="5" s="1"/>
  <c r="N11" i="9"/>
  <c r="N23" i="9"/>
  <c r="N8" i="9"/>
  <c r="N20" i="9"/>
  <c r="N18" i="9"/>
  <c r="J22" i="9"/>
  <c r="N16" i="9"/>
  <c r="X19" i="26" l="1"/>
  <c r="Y19" i="26" s="1"/>
  <c r="F20" i="26" s="1"/>
  <c r="L15" i="24"/>
  <c r="M15" i="24" s="1"/>
  <c r="G17" i="6" s="1"/>
  <c r="H17" i="6" s="1"/>
  <c r="I17" i="6" s="1"/>
  <c r="D9" i="5"/>
  <c r="T19" i="27"/>
  <c r="X19" i="27" s="1"/>
  <c r="Y19" i="27" s="1"/>
  <c r="F20" i="27" s="1"/>
  <c r="L19" i="13"/>
  <c r="I19" i="25"/>
  <c r="J18" i="25"/>
  <c r="K18" i="25" s="1"/>
  <c r="L16" i="25"/>
  <c r="M15" i="25"/>
  <c r="K17" i="6" s="1"/>
  <c r="L17" i="6" s="1"/>
  <c r="M17" i="6" s="1"/>
  <c r="I18" i="24"/>
  <c r="J17" i="24"/>
  <c r="K17" i="24" s="1"/>
  <c r="L8" i="7"/>
  <c r="M8" i="7" s="1"/>
  <c r="C10" i="6" s="1"/>
  <c r="N15" i="9"/>
  <c r="M7" i="7"/>
  <c r="I10" i="7"/>
  <c r="J9" i="7"/>
  <c r="K9" i="7" s="1"/>
  <c r="O8" i="9"/>
  <c r="P8" i="9" s="1"/>
  <c r="C10" i="5" s="1"/>
  <c r="N10" i="9"/>
  <c r="N22" i="9"/>
  <c r="C9" i="6" l="1"/>
  <c r="D9" i="6" s="1"/>
  <c r="E9" i="6" s="1"/>
  <c r="L16" i="24"/>
  <c r="M16" i="24" s="1"/>
  <c r="G18" i="6" s="1"/>
  <c r="H18" i="6" s="1"/>
  <c r="I18" i="6" s="1"/>
  <c r="I5" i="40" s="1"/>
  <c r="D10" i="5"/>
  <c r="G20" i="26"/>
  <c r="H20" i="26"/>
  <c r="I20" i="26"/>
  <c r="J20" i="26"/>
  <c r="K20" i="26"/>
  <c r="L20" i="26"/>
  <c r="M20" i="26"/>
  <c r="N20" i="26"/>
  <c r="O20" i="26"/>
  <c r="P20" i="26"/>
  <c r="Q20" i="26"/>
  <c r="R20" i="26"/>
  <c r="S20" i="26"/>
  <c r="T20" i="26"/>
  <c r="M19" i="13"/>
  <c r="I20" i="25"/>
  <c r="J19" i="25"/>
  <c r="K19" i="25" s="1"/>
  <c r="L17" i="25"/>
  <c r="M16" i="25"/>
  <c r="K18" i="6" s="1"/>
  <c r="L18" i="6" s="1"/>
  <c r="M18" i="6" s="1"/>
  <c r="I5" i="41" s="1"/>
  <c r="I19" i="24"/>
  <c r="J18" i="24"/>
  <c r="K18" i="24" s="1"/>
  <c r="D10" i="6"/>
  <c r="E10" i="6" s="1"/>
  <c r="L9" i="7"/>
  <c r="M9" i="7" s="1"/>
  <c r="C11" i="6" s="1"/>
  <c r="I11" i="7"/>
  <c r="J10" i="7"/>
  <c r="K10" i="7" s="1"/>
  <c r="O9" i="9"/>
  <c r="O10" i="9" s="1"/>
  <c r="X20" i="26" l="1"/>
  <c r="Y20" i="26" s="1"/>
  <c r="L17" i="24"/>
  <c r="M17" i="24" s="1"/>
  <c r="G19" i="6" s="1"/>
  <c r="H19" i="6" s="1"/>
  <c r="I19" i="6" s="1"/>
  <c r="L10" i="7"/>
  <c r="M10" i="7" s="1"/>
  <c r="C12" i="6" s="1"/>
  <c r="D12" i="6" s="1"/>
  <c r="G20" i="27"/>
  <c r="H20" i="27"/>
  <c r="I20" i="27"/>
  <c r="J20" i="27"/>
  <c r="K20" i="27"/>
  <c r="L20" i="27"/>
  <c r="M20" i="27"/>
  <c r="N20" i="27"/>
  <c r="O20" i="27"/>
  <c r="P20" i="27"/>
  <c r="Q20" i="27"/>
  <c r="R20" i="27"/>
  <c r="S20" i="27"/>
  <c r="T20" i="27"/>
  <c r="N19" i="13"/>
  <c r="I21" i="25"/>
  <c r="J20" i="25"/>
  <c r="K20" i="25" s="1"/>
  <c r="L18" i="25"/>
  <c r="M17" i="25"/>
  <c r="K19" i="6" s="1"/>
  <c r="L19" i="6" s="1"/>
  <c r="M19" i="6" s="1"/>
  <c r="I20" i="24"/>
  <c r="I21" i="24" s="1"/>
  <c r="J19" i="24"/>
  <c r="K19" i="24" s="1"/>
  <c r="P9" i="9"/>
  <c r="J11" i="7"/>
  <c r="K11" i="7" s="1"/>
  <c r="I12" i="7"/>
  <c r="I13" i="7" s="1"/>
  <c r="D11" i="6"/>
  <c r="E11" i="6" s="1"/>
  <c r="P10" i="9"/>
  <c r="O11" i="9"/>
  <c r="X20" i="27" l="1"/>
  <c r="Y20" i="27" s="1"/>
  <c r="L18" i="24"/>
  <c r="M18" i="24" s="1"/>
  <c r="G20" i="6" s="1"/>
  <c r="H20" i="6" s="1"/>
  <c r="I20" i="6" s="1"/>
  <c r="C12" i="5"/>
  <c r="D12" i="5" s="1"/>
  <c r="C11" i="5"/>
  <c r="D11" i="5" s="1"/>
  <c r="L11" i="7"/>
  <c r="M11" i="7" s="1"/>
  <c r="C13" i="6" s="1"/>
  <c r="O19" i="13"/>
  <c r="I22" i="25"/>
  <c r="J21" i="25"/>
  <c r="K21" i="25" s="1"/>
  <c r="L19" i="25"/>
  <c r="M18" i="25"/>
  <c r="K20" i="6" s="1"/>
  <c r="L20" i="6" s="1"/>
  <c r="M20" i="6" s="1"/>
  <c r="J20" i="24"/>
  <c r="K20" i="24" s="1"/>
  <c r="J12" i="7"/>
  <c r="K12" i="7" s="1"/>
  <c r="E12" i="6"/>
  <c r="P11" i="9"/>
  <c r="O12" i="9"/>
  <c r="P12" i="9" s="1"/>
  <c r="L19" i="24" l="1"/>
  <c r="M19" i="24" s="1"/>
  <c r="G21" i="6" s="1"/>
  <c r="H21" i="6" s="1"/>
  <c r="I21" i="6" s="1"/>
  <c r="C13" i="5"/>
  <c r="D13" i="5" s="1"/>
  <c r="L12" i="7"/>
  <c r="P19" i="13"/>
  <c r="I23" i="25"/>
  <c r="J22" i="25"/>
  <c r="K22" i="25" s="1"/>
  <c r="L20" i="25"/>
  <c r="L21" i="25" s="1"/>
  <c r="M21" i="25" s="1"/>
  <c r="K23" i="6" s="1"/>
  <c r="L23" i="6" s="1"/>
  <c r="M23" i="6" s="1"/>
  <c r="M19" i="25"/>
  <c r="K21" i="6" s="1"/>
  <c r="L21" i="6" s="1"/>
  <c r="M21" i="6" s="1"/>
  <c r="I22" i="24"/>
  <c r="J21" i="24"/>
  <c r="K21" i="24" s="1"/>
  <c r="J13" i="7"/>
  <c r="K13" i="7" s="1"/>
  <c r="I14" i="7"/>
  <c r="D13" i="6"/>
  <c r="E13" i="6" s="1"/>
  <c r="I5" i="42" s="1"/>
  <c r="O13" i="9"/>
  <c r="P13" i="9" s="1"/>
  <c r="C15" i="5" s="1"/>
  <c r="I5" i="27" l="1"/>
  <c r="M12" i="7"/>
  <c r="C14" i="6" s="1"/>
  <c r="D14" i="6" s="1"/>
  <c r="E14" i="6" s="1"/>
  <c r="L13" i="7"/>
  <c r="M13" i="7" s="1"/>
  <c r="C15" i="6" s="1"/>
  <c r="L20" i="24"/>
  <c r="L21" i="24" s="1"/>
  <c r="M21" i="24" s="1"/>
  <c r="G23" i="6" s="1"/>
  <c r="H23" i="6" s="1"/>
  <c r="C14" i="5"/>
  <c r="D14" i="5" s="1"/>
  <c r="Q19" i="13"/>
  <c r="I24" i="25"/>
  <c r="J23" i="25"/>
  <c r="K23" i="25" s="1"/>
  <c r="M20" i="25"/>
  <c r="K22" i="6" s="1"/>
  <c r="L22" i="6" s="1"/>
  <c r="M22" i="6" s="1"/>
  <c r="I23" i="24"/>
  <c r="J22" i="24"/>
  <c r="K22" i="24" s="1"/>
  <c r="J14" i="7"/>
  <c r="K14" i="7" s="1"/>
  <c r="I15" i="7"/>
  <c r="O14" i="9"/>
  <c r="M20" i="24" l="1"/>
  <c r="G22" i="6" s="1"/>
  <c r="H22" i="6" s="1"/>
  <c r="I22" i="6" s="1"/>
  <c r="I23" i="6"/>
  <c r="L14" i="7"/>
  <c r="M14" i="7" s="1"/>
  <c r="C16" i="6" s="1"/>
  <c r="D16" i="6" s="1"/>
  <c r="D15" i="5"/>
  <c r="R19" i="13"/>
  <c r="I25" i="25"/>
  <c r="J24" i="25"/>
  <c r="K24" i="25" s="1"/>
  <c r="L22" i="25"/>
  <c r="I24" i="24"/>
  <c r="J23" i="24"/>
  <c r="K23" i="24" s="1"/>
  <c r="D15" i="6"/>
  <c r="E15" i="6" s="1"/>
  <c r="I16" i="7"/>
  <c r="J15" i="7"/>
  <c r="K15" i="7" s="1"/>
  <c r="P14" i="9"/>
  <c r="O15" i="9"/>
  <c r="I5" i="26" l="1"/>
  <c r="L15" i="7"/>
  <c r="M15" i="7" s="1"/>
  <c r="C17" i="6" s="1"/>
  <c r="L22" i="24"/>
  <c r="M22" i="24" s="1"/>
  <c r="G24" i="6" s="1"/>
  <c r="H24" i="6" s="1"/>
  <c r="I24" i="6" s="1"/>
  <c r="C16" i="5"/>
  <c r="D16" i="5" s="1"/>
  <c r="S19" i="13"/>
  <c r="I26" i="25"/>
  <c r="I27" i="25" s="1"/>
  <c r="J27" i="25" s="1"/>
  <c r="K27" i="25" s="1"/>
  <c r="J25" i="25"/>
  <c r="K25" i="25" s="1"/>
  <c r="L23" i="25"/>
  <c r="M22" i="25"/>
  <c r="K24" i="6" s="1"/>
  <c r="L24" i="6" s="1"/>
  <c r="M24" i="6" s="1"/>
  <c r="I25" i="24"/>
  <c r="J24" i="24"/>
  <c r="K24" i="24" s="1"/>
  <c r="I17" i="7"/>
  <c r="J16" i="7"/>
  <c r="K16" i="7" s="1"/>
  <c r="E16" i="6"/>
  <c r="P15" i="9"/>
  <c r="O16" i="9"/>
  <c r="L16" i="7" l="1"/>
  <c r="M16" i="7" s="1"/>
  <c r="C18" i="6" s="1"/>
  <c r="L23" i="24"/>
  <c r="M23" i="24" s="1"/>
  <c r="G25" i="6" s="1"/>
  <c r="H25" i="6" s="1"/>
  <c r="I25" i="6" s="1"/>
  <c r="C17" i="5"/>
  <c r="D17" i="5" s="1"/>
  <c r="T19" i="13"/>
  <c r="X19" i="13" s="1"/>
  <c r="Y19" i="13" s="1"/>
  <c r="F20" i="13" s="1"/>
  <c r="J26" i="25"/>
  <c r="K26" i="25" s="1"/>
  <c r="L24" i="25"/>
  <c r="M23" i="25"/>
  <c r="K25" i="6" s="1"/>
  <c r="L25" i="6" s="1"/>
  <c r="M25" i="6" s="1"/>
  <c r="I26" i="24"/>
  <c r="J25" i="24"/>
  <c r="K25" i="24" s="1"/>
  <c r="I18" i="7"/>
  <c r="J17" i="7"/>
  <c r="K17" i="7" s="1"/>
  <c r="D17" i="6"/>
  <c r="E17" i="6" s="1"/>
  <c r="P16" i="9"/>
  <c r="O17" i="9"/>
  <c r="L17" i="7" l="1"/>
  <c r="M17" i="7" s="1"/>
  <c r="C19" i="6" s="1"/>
  <c r="L24" i="24"/>
  <c r="M24" i="24" s="1"/>
  <c r="G26" i="6" s="1"/>
  <c r="H26" i="6" s="1"/>
  <c r="I26" i="6" s="1"/>
  <c r="C18" i="5"/>
  <c r="D18" i="5" s="1"/>
  <c r="L25" i="25"/>
  <c r="M24" i="25"/>
  <c r="K26" i="6" s="1"/>
  <c r="L26" i="6" s="1"/>
  <c r="M26" i="6" s="1"/>
  <c r="J26" i="24"/>
  <c r="K26" i="24" s="1"/>
  <c r="J18" i="7"/>
  <c r="K18" i="7" s="1"/>
  <c r="I19" i="7"/>
  <c r="D18" i="6"/>
  <c r="E18" i="6" s="1"/>
  <c r="P17" i="9"/>
  <c r="O18" i="9"/>
  <c r="L18" i="7" l="1"/>
  <c r="H5" i="41"/>
  <c r="H5" i="39"/>
  <c r="I5" i="39"/>
  <c r="H5" i="40"/>
  <c r="L25" i="24"/>
  <c r="M25" i="24" s="1"/>
  <c r="G27" i="6" s="1"/>
  <c r="H27" i="6" s="1"/>
  <c r="I27" i="6" s="1"/>
  <c r="C19" i="5"/>
  <c r="D19" i="5" s="1"/>
  <c r="L26" i="25"/>
  <c r="M25" i="25"/>
  <c r="K27" i="6" s="1"/>
  <c r="L27" i="6" s="1"/>
  <c r="M27" i="6" s="1"/>
  <c r="M18" i="7"/>
  <c r="C20" i="6" s="1"/>
  <c r="I20" i="7"/>
  <c r="J19" i="7"/>
  <c r="K19" i="7" s="1"/>
  <c r="L19" i="7" s="1"/>
  <c r="D19" i="6"/>
  <c r="E19" i="6" s="1"/>
  <c r="P18" i="9"/>
  <c r="O19" i="9"/>
  <c r="J5" i="42" l="1"/>
  <c r="K5" i="42" s="1"/>
  <c r="L5" i="42" s="1"/>
  <c r="L6" i="42" s="1"/>
  <c r="F9" i="42" s="1"/>
  <c r="M26" i="25"/>
  <c r="K28" i="6" s="1"/>
  <c r="L28" i="6" s="1"/>
  <c r="M28" i="6" s="1"/>
  <c r="L27" i="25"/>
  <c r="M27" i="25" s="1"/>
  <c r="K29" i="6" s="1"/>
  <c r="L29" i="6" s="1"/>
  <c r="M29" i="6" s="1"/>
  <c r="L26" i="24"/>
  <c r="C20" i="5"/>
  <c r="D20" i="5" s="1"/>
  <c r="H20" i="13"/>
  <c r="I20" i="13"/>
  <c r="J20" i="13"/>
  <c r="G20" i="13"/>
  <c r="K20" i="13"/>
  <c r="L20" i="13"/>
  <c r="M20" i="13"/>
  <c r="N20" i="13"/>
  <c r="O20" i="13"/>
  <c r="P20" i="13"/>
  <c r="Q20" i="13"/>
  <c r="R20" i="13"/>
  <c r="S20" i="13"/>
  <c r="T20" i="13"/>
  <c r="M19" i="7"/>
  <c r="C21" i="6" s="1"/>
  <c r="I21" i="7"/>
  <c r="J20" i="7"/>
  <c r="K20" i="7" s="1"/>
  <c r="L20" i="7" s="1"/>
  <c r="D20" i="6"/>
  <c r="E20" i="6" s="1"/>
  <c r="P19" i="9"/>
  <c r="C21" i="5" s="1"/>
  <c r="O20" i="9"/>
  <c r="O21" i="9" s="1"/>
  <c r="P21" i="9" s="1"/>
  <c r="C23" i="5" s="1"/>
  <c r="D23" i="5" s="1"/>
  <c r="F13" i="42" l="1"/>
  <c r="G9" i="42"/>
  <c r="M26" i="24"/>
  <c r="G28" i="6" s="1"/>
  <c r="H28" i="6" s="1"/>
  <c r="I28" i="6" s="1"/>
  <c r="L27" i="24"/>
  <c r="M27" i="24" s="1"/>
  <c r="G29" i="6" s="1"/>
  <c r="H29" i="6" s="1"/>
  <c r="I29" i="6" s="1"/>
  <c r="H5" i="13"/>
  <c r="X20" i="13"/>
  <c r="Y20" i="13" s="1"/>
  <c r="D21" i="5"/>
  <c r="M20" i="7"/>
  <c r="C22" i="6" s="1"/>
  <c r="J21" i="7"/>
  <c r="K21" i="7" s="1"/>
  <c r="L21" i="7" s="1"/>
  <c r="I22" i="7"/>
  <c r="D21" i="6"/>
  <c r="E21" i="6" s="1"/>
  <c r="P20" i="9"/>
  <c r="H9" i="42" l="1"/>
  <c r="G13" i="42"/>
  <c r="J5" i="40"/>
  <c r="K5" i="40" s="1"/>
  <c r="L5" i="40" s="1"/>
  <c r="L6" i="40" s="1"/>
  <c r="F9" i="40" s="1"/>
  <c r="G9" i="40" s="1"/>
  <c r="J5" i="41"/>
  <c r="K5" i="41" s="1"/>
  <c r="L5" i="41" s="1"/>
  <c r="L6" i="41" s="1"/>
  <c r="F9" i="41" s="1"/>
  <c r="J5" i="27"/>
  <c r="M21" i="7"/>
  <c r="C23" i="6" s="1"/>
  <c r="D23" i="6" s="1"/>
  <c r="E23" i="6" s="1"/>
  <c r="H5" i="26"/>
  <c r="C22" i="5"/>
  <c r="D22" i="5" s="1"/>
  <c r="J22" i="7"/>
  <c r="K22" i="7" s="1"/>
  <c r="L22" i="7" s="1"/>
  <c r="I23" i="7"/>
  <c r="D22" i="6"/>
  <c r="E22" i="6" s="1"/>
  <c r="O22" i="9"/>
  <c r="I9" i="42" l="1"/>
  <c r="H13" i="42"/>
  <c r="F13" i="40"/>
  <c r="G9" i="41"/>
  <c r="F13" i="41"/>
  <c r="H9" i="40"/>
  <c r="G13" i="40"/>
  <c r="J5" i="39"/>
  <c r="K5" i="39" s="1"/>
  <c r="L5" i="39" s="1"/>
  <c r="L6" i="39" s="1"/>
  <c r="F9" i="39" s="1"/>
  <c r="I5" i="13"/>
  <c r="J5" i="13" s="1"/>
  <c r="K5" i="13" s="1"/>
  <c r="M22" i="7"/>
  <c r="C24" i="6" s="1"/>
  <c r="I24" i="7"/>
  <c r="J23" i="7"/>
  <c r="K23" i="7" s="1"/>
  <c r="L23" i="7" s="1"/>
  <c r="P22" i="9"/>
  <c r="O23" i="9"/>
  <c r="O24" i="9" s="1"/>
  <c r="I13" i="42" l="1"/>
  <c r="J9" i="42"/>
  <c r="H9" i="41"/>
  <c r="G13" i="41"/>
  <c r="H13" i="40"/>
  <c r="I9" i="40"/>
  <c r="F13" i="39"/>
  <c r="G9" i="39"/>
  <c r="L5" i="13"/>
  <c r="J5" i="26"/>
  <c r="C24" i="5"/>
  <c r="D24" i="5" s="1"/>
  <c r="M23" i="7"/>
  <c r="C25" i="6" s="1"/>
  <c r="J24" i="7"/>
  <c r="K24" i="7" s="1"/>
  <c r="L24" i="7" s="1"/>
  <c r="I25" i="7"/>
  <c r="D24" i="6"/>
  <c r="E24" i="6" s="1"/>
  <c r="P24" i="9"/>
  <c r="C26" i="5" s="1"/>
  <c r="O25" i="9"/>
  <c r="P23" i="9"/>
  <c r="J13" i="42" l="1"/>
  <c r="K13" i="42" s="1"/>
  <c r="L13" i="42" s="1"/>
  <c r="H13" i="41"/>
  <c r="I9" i="41"/>
  <c r="I13" i="40"/>
  <c r="J9" i="40"/>
  <c r="H9" i="39"/>
  <c r="G13" i="39"/>
  <c r="P25" i="9"/>
  <c r="C27" i="5" s="1"/>
  <c r="O26" i="9"/>
  <c r="L6" i="13"/>
  <c r="F9" i="13" s="1"/>
  <c r="F13" i="13" s="1"/>
  <c r="C25" i="5"/>
  <c r="D25" i="5" s="1"/>
  <c r="K5" i="26"/>
  <c r="L5" i="26" s="1"/>
  <c r="K5" i="27"/>
  <c r="L5" i="27" s="1"/>
  <c r="D25" i="6"/>
  <c r="E25" i="6" s="1"/>
  <c r="J25" i="7"/>
  <c r="K25" i="7" s="1"/>
  <c r="L25" i="7" s="1"/>
  <c r="I26" i="7"/>
  <c r="M24" i="7"/>
  <c r="C26" i="6" s="1"/>
  <c r="D26" i="5"/>
  <c r="P26" i="9" l="1"/>
  <c r="C28" i="5" s="1"/>
  <c r="D28" i="5" s="1"/>
  <c r="O27" i="9"/>
  <c r="P27" i="9" s="1"/>
  <c r="C29" i="5" s="1"/>
  <c r="D29" i="5" s="1"/>
  <c r="J9" i="41"/>
  <c r="I13" i="41"/>
  <c r="K9" i="40"/>
  <c r="J13" i="40"/>
  <c r="I9" i="39"/>
  <c r="H13" i="39"/>
  <c r="L6" i="26"/>
  <c r="F9" i="26" s="1"/>
  <c r="L6" i="27"/>
  <c r="F9" i="27" s="1"/>
  <c r="G9" i="13"/>
  <c r="M25" i="7"/>
  <c r="C27" i="6" s="1"/>
  <c r="D26" i="6"/>
  <c r="E26" i="6" s="1"/>
  <c r="J26" i="7"/>
  <c r="K26" i="7" s="1"/>
  <c r="L26" i="7" s="1"/>
  <c r="L27" i="7" s="1"/>
  <c r="M27" i="7" s="1"/>
  <c r="C29" i="6" s="1"/>
  <c r="D29" i="6" s="1"/>
  <c r="E29" i="6" s="1"/>
  <c r="D27" i="5"/>
  <c r="K9" i="41" l="1"/>
  <c r="J13" i="41"/>
  <c r="L9" i="40"/>
  <c r="K13" i="40"/>
  <c r="J9" i="39"/>
  <c r="I13" i="39"/>
  <c r="F13" i="27"/>
  <c r="G9" i="27"/>
  <c r="F13" i="26"/>
  <c r="G9" i="26"/>
  <c r="G13" i="26" s="1"/>
  <c r="G13" i="13"/>
  <c r="H9" i="13"/>
  <c r="M26" i="7"/>
  <c r="C28" i="6" s="1"/>
  <c r="D27" i="6"/>
  <c r="E27" i="6" s="1"/>
  <c r="H9" i="27" l="1"/>
  <c r="H13" i="27" s="1"/>
  <c r="G13" i="27"/>
  <c r="L9" i="41"/>
  <c r="K13" i="41"/>
  <c r="L13" i="40"/>
  <c r="M9" i="40"/>
  <c r="J13" i="39"/>
  <c r="K9" i="39"/>
  <c r="H9" i="26"/>
  <c r="H13" i="26" s="1"/>
  <c r="H13" i="13"/>
  <c r="I9" i="13"/>
  <c r="D28" i="6"/>
  <c r="E28" i="6" s="1"/>
  <c r="I9" i="27" l="1"/>
  <c r="L13" i="41"/>
  <c r="M9" i="41"/>
  <c r="N9" i="40"/>
  <c r="M13" i="40"/>
  <c r="L9" i="39"/>
  <c r="K13" i="39"/>
  <c r="I9" i="26"/>
  <c r="I13" i="13"/>
  <c r="I13" i="27"/>
  <c r="J9" i="27"/>
  <c r="J9" i="13"/>
  <c r="X9" i="42" l="1"/>
  <c r="Y9" i="42" s="1"/>
  <c r="N9" i="41"/>
  <c r="M13" i="41"/>
  <c r="O9" i="40"/>
  <c r="X9" i="40" s="1"/>
  <c r="N13" i="40"/>
  <c r="M9" i="39"/>
  <c r="L13" i="39"/>
  <c r="I13" i="26"/>
  <c r="J9" i="26"/>
  <c r="K9" i="26" s="1"/>
  <c r="L9" i="26" s="1"/>
  <c r="J13" i="13"/>
  <c r="J13" i="27"/>
  <c r="K9" i="27"/>
  <c r="K9" i="13"/>
  <c r="X13" i="42" l="1"/>
  <c r="Y13" i="42" s="1"/>
  <c r="O9" i="41"/>
  <c r="X9" i="41" s="1"/>
  <c r="Y9" i="41" s="1"/>
  <c r="N13" i="41"/>
  <c r="O13" i="40"/>
  <c r="N9" i="39"/>
  <c r="M13" i="39"/>
  <c r="J13" i="26"/>
  <c r="K13" i="26"/>
  <c r="K13" i="13"/>
  <c r="K13" i="27"/>
  <c r="L13" i="26"/>
  <c r="L9" i="27"/>
  <c r="L9" i="13"/>
  <c r="M9" i="26"/>
  <c r="P13" i="40" l="1"/>
  <c r="Q13" i="40" s="1"/>
  <c r="X13" i="40"/>
  <c r="O13" i="41"/>
  <c r="N13" i="39"/>
  <c r="O9" i="39"/>
  <c r="X9" i="39" s="1"/>
  <c r="Y9" i="39" s="1"/>
  <c r="L13" i="13"/>
  <c r="L13" i="27"/>
  <c r="M13" i="26"/>
  <c r="M9" i="27"/>
  <c r="M13" i="27" s="1"/>
  <c r="M9" i="13"/>
  <c r="N9" i="26"/>
  <c r="P13" i="41" l="1"/>
  <c r="Q13" i="41" s="1"/>
  <c r="X13" i="41"/>
  <c r="Y13" i="41" s="1"/>
  <c r="O13" i="39"/>
  <c r="M13" i="13"/>
  <c r="N13" i="26"/>
  <c r="N9" i="27"/>
  <c r="N9" i="13"/>
  <c r="O9" i="26"/>
  <c r="X13" i="39" l="1"/>
  <c r="Y13" i="39" s="1"/>
  <c r="P13" i="39"/>
  <c r="Q13" i="39" s="1"/>
  <c r="N13" i="13"/>
  <c r="N13" i="27"/>
  <c r="O13" i="26"/>
  <c r="O9" i="27"/>
  <c r="O9" i="13"/>
  <c r="P9" i="26"/>
  <c r="O13" i="13" l="1"/>
  <c r="O13" i="27"/>
  <c r="P13" i="26"/>
  <c r="P9" i="27"/>
  <c r="P9" i="13"/>
  <c r="Q9" i="26"/>
  <c r="Y9" i="40" l="1"/>
  <c r="P13" i="13"/>
  <c r="P13" i="27"/>
  <c r="Q13" i="26"/>
  <c r="Q9" i="27"/>
  <c r="Q9" i="13"/>
  <c r="R9" i="26"/>
  <c r="Y13" i="40" l="1"/>
  <c r="Q13" i="13"/>
  <c r="Q13" i="27"/>
  <c r="R13" i="26"/>
  <c r="R9" i="27"/>
  <c r="R9" i="13"/>
  <c r="S9" i="26"/>
  <c r="R13" i="13" l="1"/>
  <c r="R13" i="27"/>
  <c r="S13" i="26"/>
  <c r="S9" i="27"/>
  <c r="S9" i="13"/>
  <c r="T9" i="26"/>
  <c r="X9" i="26" s="1"/>
  <c r="Y9" i="26" s="1"/>
  <c r="S13" i="13" l="1"/>
  <c r="S13" i="27"/>
  <c r="T13" i="26"/>
  <c r="T9" i="27"/>
  <c r="X9" i="27" s="1"/>
  <c r="Y9" i="27" s="1"/>
  <c r="T9" i="13"/>
  <c r="X9" i="13" s="1"/>
  <c r="Y9" i="13" s="1"/>
  <c r="X13" i="26" l="1"/>
  <c r="Y13" i="26" s="1"/>
  <c r="U13" i="26"/>
  <c r="V13" i="26" s="1"/>
  <c r="T13" i="13"/>
  <c r="X13" i="13" s="1"/>
  <c r="T13" i="27"/>
  <c r="X13" i="27" l="1"/>
  <c r="Y13" i="27" s="1"/>
  <c r="U13" i="27"/>
  <c r="V13" i="27" s="1"/>
  <c r="Y13" i="13"/>
  <c r="U13" i="13"/>
  <c r="V13" i="13" s="1"/>
</calcChain>
</file>

<file path=xl/sharedStrings.xml><?xml version="1.0" encoding="utf-8"?>
<sst xmlns="http://schemas.openxmlformats.org/spreadsheetml/2006/main" count="466" uniqueCount="153">
  <si>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</si>
  <si>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</si>
  <si>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</si>
  <si>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</si>
  <si>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</si>
  <si>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</si>
  <si>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</si>
  <si>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</si>
  <si>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</si>
  <si>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</si>
  <si>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</si>
  <si>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</si>
  <si>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</si>
  <si>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</si>
  <si>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</si>
  <si>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</si>
  <si>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</si>
  <si>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</si>
  <si>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</si>
  <si>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</si>
  <si>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</si>
  <si>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</si>
  <si>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</si>
  <si>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</si>
  <si>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</si>
  <si>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</si>
  <si>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</si>
  <si>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</si>
  <si>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</si>
  <si>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</si>
  <si>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</si>
  <si>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</si>
  <si>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</si>
  <si>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</si>
  <si>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r>
      <t>GDP Inflation</t>
    </r>
    <r>
      <rPr>
        <b/>
        <sz val="10"/>
        <rFont val="Arial"/>
        <family val="2"/>
      </rPr>
      <t xml:space="preserve"> (**)</t>
    </r>
    <r>
      <rPr>
        <b/>
        <sz val="12"/>
        <rFont val="Arial"/>
        <family val="2"/>
      </rPr>
      <t>:</t>
    </r>
  </si>
  <si>
    <t>($/kw-yr)</t>
  </si>
  <si>
    <t xml:space="preserve">Present Value-Energy </t>
  </si>
  <si>
    <t>Cumulative Present Value -Energy</t>
  </si>
  <si>
    <t>Flat Load</t>
  </si>
  <si>
    <t xml:space="preserve"> 1 / 8760</t>
  </si>
  <si>
    <t>$ / MWh</t>
  </si>
  <si>
    <t>$ / kWh</t>
  </si>
  <si>
    <t>[9]</t>
  </si>
  <si>
    <t>$/kw-yr</t>
  </si>
  <si>
    <t>The planning adjustment is the cost difference between the  IRP portfolio with no demand side resources (DSR) and the  IRP portfolio with optimal DSR, which is relevant to EES but not for a PPA.</t>
  </si>
  <si>
    <t>EES leads to lower overall load and hence lower RPS requirement to meet. A PPA does not lower overall load.</t>
  </si>
  <si>
    <t xml:space="preserve"> "Contingency Reserves" per WECC 10/1/2014</t>
  </si>
  <si>
    <t>Ave</t>
  </si>
  <si>
    <t>MONTHS</t>
  </si>
  <si>
    <t>Indicative Avoided Capacity Costs for Resources Delivered to PSE's System</t>
  </si>
  <si>
    <t>Delivered to PSE Capacity Value</t>
  </si>
  <si>
    <t>Capacity Resource Addition</t>
  </si>
  <si>
    <t>(b)                             Avoided Energy Supply Capacity Cost $/kW-Yr                         Delivered to Mid-C</t>
  </si>
  <si>
    <t>Supply Capacity Cost</t>
  </si>
  <si>
    <t>Transmission Redirect</t>
  </si>
  <si>
    <t>Flow Battery-4 hr</t>
  </si>
  <si>
    <t>Frame Peaker</t>
  </si>
  <si>
    <t>Wind</t>
  </si>
  <si>
    <t>Solar</t>
  </si>
  <si>
    <t>This model accounts for both avoided energy costs and avoided capacity costs.</t>
  </si>
  <si>
    <t>This Schedule 91 energy rate model is based upon the cost effectiveness standard model that has been used for evaluating individual measures of PSE's Energy Efficiency Services program.</t>
  </si>
  <si>
    <t>Note 1</t>
  </si>
  <si>
    <t>Note 2</t>
  </si>
  <si>
    <t>Nominal Discount Rate</t>
  </si>
  <si>
    <t>GDP Inflation</t>
  </si>
  <si>
    <t>T&amp;D Line Loss Reduction</t>
  </si>
  <si>
    <t>Planning Adjustment</t>
  </si>
  <si>
    <t>Avoided Renewable Benefits</t>
  </si>
  <si>
    <t>Conservation Credit</t>
  </si>
  <si>
    <t>PSE currently makes no deduction for balancing related costs as such costs could not be currently identified.</t>
  </si>
  <si>
    <t>There are separate calculations for Baseload, Wind and Solar resources which have different capacity values as provided in the 2017 IRP and PSE’s Schedule of Estimated Avoided Cost most recently filed in Docket No. 171141.</t>
  </si>
  <si>
    <t>Including</t>
  </si>
  <si>
    <t>($/MWh)</t>
  </si>
  <si>
    <t>The 10% conservation credit adder per Northwest Power Act of 1980 is now reflected in the REC market which is additional to the PPA.</t>
  </si>
  <si>
    <t>20-year levelized</t>
  </si>
  <si>
    <t>15-year levelized</t>
  </si>
  <si>
    <t>Escalated Rate @ 2.5%</t>
  </si>
  <si>
    <t>Nominal Discount Rate (*):</t>
  </si>
  <si>
    <t>GDP Inflation (**):</t>
  </si>
  <si>
    <t>1</t>
  </si>
  <si>
    <t>Docket No. UE-180282</t>
  </si>
  <si>
    <t>Adjustment 18.02</t>
  </si>
  <si>
    <t>PUGET SOUND ENERGY-ELECTRIC</t>
  </si>
  <si>
    <t>PRO FORMA COST OF CAPITAL</t>
  </si>
  <si>
    <t>FOR THE TWELVE MONTHS ENDED SEPTEMBER 30, 2016</t>
  </si>
  <si>
    <t>2017 GENERAL RATE INCREASE - UE-180282</t>
  </si>
  <si>
    <t>Tax Reform Filing</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</si>
  <si>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</si>
  <si>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</si>
  <si>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</si>
  <si>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</si>
  <si>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</si>
  <si>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</si>
  <si>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</si>
  <si>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</si>
  <si>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</si>
  <si>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</si>
  <si>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</si>
  <si>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</si>
  <si>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</si>
  <si>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</si>
  <si>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</si>
  <si>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 xml:space="preserve"> T&amp;D Line Loss Reduction [4]</t>
  </si>
  <si>
    <t xml:space="preserve">Transmission losses updated as per section 15.7 Real Power Losses, PSE Current Effective OATT 8.7.18.
 </t>
  </si>
  <si>
    <t>http://www.oatioasis.com/webSmartOASIS/HomePage?ProviderName=PSEI&amp;Homepage=1</t>
  </si>
  <si>
    <t>checksum</t>
  </si>
  <si>
    <t>year / hour</t>
  </si>
  <si>
    <r>
      <t>Note 2: The 7</t>
    </r>
    <r>
      <rPr>
        <vertAlign val="superscript"/>
        <sz val="12"/>
        <rFont val="Arial"/>
        <family val="2"/>
      </rPr>
      <t>th</t>
    </r>
    <r>
      <rPr>
        <sz val="12"/>
        <rFont val="Arial"/>
        <family val="2"/>
      </rPr>
      <t xml:space="preserve"> Northwest Power Plan used monetary values of avoided transmission and distribution capacity which were recommended by the Regional Technical Forum. The values of transmission and distribution in the 7th Northwest Power Plan are in 2012 prices.  To obtain a current year value, the price in 2012 was inflated using 2.5% per year, consistent with EES methodology.</t>
    </r>
  </si>
  <si>
    <r>
      <t xml:space="preserve">(c)=(a)*100%                   </t>
    </r>
    <r>
      <rPr>
        <u/>
        <sz val="12"/>
        <color theme="1"/>
        <rFont val="Arial"/>
        <family val="2"/>
      </rPr>
      <t>Firm Resource</t>
    </r>
    <r>
      <rPr>
        <sz val="12"/>
        <rFont val="Arial"/>
        <family val="2"/>
      </rPr>
      <t xml:space="preserve"> ELCC=100%</t>
    </r>
  </si>
  <si>
    <r>
      <t xml:space="preserve">(d)=(a)*0.16         </t>
    </r>
    <r>
      <rPr>
        <u/>
        <sz val="12"/>
        <color theme="1"/>
        <rFont val="Arial"/>
        <family val="2"/>
      </rPr>
      <t>Wind Resource</t>
    </r>
    <r>
      <rPr>
        <sz val="12"/>
        <rFont val="Arial"/>
        <family val="2"/>
      </rPr>
      <t xml:space="preserve"> ELCC=16%</t>
    </r>
  </si>
  <si>
    <r>
      <t xml:space="preserve">(e)=(a)*0.02       </t>
    </r>
    <r>
      <rPr>
        <u/>
        <sz val="12"/>
        <color theme="1"/>
        <rFont val="Arial"/>
        <family val="2"/>
      </rPr>
      <t>Solar Resource</t>
    </r>
    <r>
      <rPr>
        <sz val="12"/>
        <rFont val="Arial"/>
        <family val="2"/>
      </rPr>
      <t xml:space="preserve"> ELCC=2%</t>
    </r>
  </si>
  <si>
    <t>Schedule 91 Rates for Purchase of Energy - Firm</t>
  </si>
  <si>
    <t xml:space="preserve">Note 1: The avoided capacity costs are consistent with the 2017 IRP for the Firm Resource. </t>
  </si>
  <si>
    <t xml:space="preserve">Note 1: The avoided capacity costs are consistent with the 2017 IRP for the Wind Resource. </t>
  </si>
  <si>
    <t>($/kw-yr.)</t>
  </si>
  <si>
    <t>2019 IRP: Forecast Mid-C Power Prices for Base Scenario (Nominal $/MWh) -- DRAFT</t>
  </si>
  <si>
    <t>FOR ELECTRIC AND GAS SALES  ANALYSIS</t>
  </si>
  <si>
    <t>Scenario Name</t>
  </si>
  <si>
    <t>Demand</t>
  </si>
  <si>
    <t>Gas Price</t>
  </si>
  <si>
    <r>
      <t>CO</t>
    </r>
    <r>
      <rPr>
        <b/>
        <vertAlign val="subscript"/>
        <sz val="11"/>
        <color rgb="FFFFFFFF"/>
        <rFont val="Arial Narrow"/>
        <family val="2"/>
      </rPr>
      <t>2</t>
    </r>
    <r>
      <rPr>
        <b/>
        <sz val="11"/>
        <color rgb="FFFFFFFF"/>
        <rFont val="Arial Narrow"/>
        <family val="2"/>
      </rPr>
      <t xml:space="preserve"> Price</t>
    </r>
  </si>
  <si>
    <t xml:space="preserve">Base </t>
  </si>
  <si>
    <t>Mid</t>
  </si>
  <si>
    <t>Social cost of carbon included in Washington state, plus upstream natural gas GHG emissions</t>
  </si>
  <si>
    <t>Gas Prices</t>
  </si>
  <si>
    <r>
      <t>For gas price assumptions, PSE uses a combination of forward market prices and fundamental forecasts acquired in Fall 2018 from Wood Mackenzie. Wood Mackenzie is a well-known macroeconomic and energy forecasting consultancy whose gas market analysis includes regional, North American and international factors, as well as Canadian markets and liquefied natural gas (LNG) exports. Three gas</t>
    </r>
    <r>
      <rPr>
        <sz val="11"/>
        <color theme="1"/>
        <rFont val="Arial"/>
        <family val="2"/>
      </rPr>
      <t xml:space="preserve"> </t>
    </r>
    <r>
      <rPr>
        <sz val="10"/>
        <color theme="1"/>
        <rFont val="Arial"/>
        <family val="2"/>
      </rPr>
      <t>price forecasts are used in the scenario analysis.</t>
    </r>
  </si>
  <si>
    <r>
      <t xml:space="preserve">Mid Gas Prices.  </t>
    </r>
    <r>
      <rPr>
        <sz val="10"/>
        <color theme="1"/>
        <rFont val="Arial"/>
        <family val="2"/>
      </rPr>
      <t xml:space="preserve">From 2020-2023, this IRP uses the three-month average of forward marks for the period ending December 31, 2018. Forward marks reflect the price of gas being purchased at a given point in time for future delivery. Beyond 2023, this IRP uses the Wood Mackenzie long-run, fundamentals-based gas price forecasts published in November 2018. </t>
    </r>
    <r>
      <rPr>
        <b/>
        <i/>
        <sz val="10"/>
        <color rgb="FF006C71"/>
        <rFont val="Arial"/>
        <family val="2"/>
      </rPr>
      <t>The 2019 IRP Base Scenarios use this forecast.</t>
    </r>
  </si>
  <si>
    <t>Scenario 1: Base</t>
  </si>
  <si>
    <r>
      <t>·</t>
    </r>
    <r>
      <rPr>
        <sz val="7"/>
        <color theme="1"/>
        <rFont val="Times New Roman"/>
        <family val="1"/>
      </rPr>
      <t xml:space="preserve">         </t>
    </r>
    <r>
      <rPr>
        <sz val="10"/>
        <color theme="1"/>
        <rFont val="Arial"/>
        <family val="2"/>
      </rPr>
      <t>This scenario applies the NPCC Seventh Power Plan regional demand forecast to the WECC region and the 2019 IRP Base (Mid) Demand Forecast for PSE.</t>
    </r>
  </si>
  <si>
    <r>
      <t>·</t>
    </r>
    <r>
      <rPr>
        <sz val="7"/>
        <color theme="1"/>
        <rFont val="Times New Roman"/>
        <family val="1"/>
      </rPr>
      <t xml:space="preserve">         </t>
    </r>
    <r>
      <rPr>
        <sz val="10"/>
        <color theme="1"/>
        <rFont val="Arial"/>
        <family val="2"/>
      </rPr>
      <t>Mid gas prices are applied, a combination of forward market prices and Wood Mackenzie’s fundamental long-term base forecast.</t>
    </r>
  </si>
  <si>
    <r>
      <t>·</t>
    </r>
    <r>
      <rPr>
        <sz val="7"/>
        <color theme="1"/>
        <rFont val="Times New Roman"/>
        <family val="1"/>
      </rPr>
      <t xml:space="preserve">         </t>
    </r>
    <r>
      <rPr>
        <sz val="10"/>
        <color theme="1"/>
        <rFont val="Arial"/>
        <family val="2"/>
      </rPr>
      <t>80 percent of electric sales (delivered load) are met with non-emitting/renewable resources by 2030 (per CETA)</t>
    </r>
  </si>
  <si>
    <r>
      <t>·</t>
    </r>
    <r>
      <rPr>
        <sz val="7"/>
        <color theme="1"/>
        <rFont val="Times New Roman"/>
        <family val="1"/>
      </rPr>
      <t xml:space="preserve">         </t>
    </r>
    <r>
      <rPr>
        <sz val="10"/>
        <color theme="1"/>
        <rFont val="Arial"/>
        <family val="2"/>
      </rPr>
      <t>The social cost of carbon, expressed as a cost adder, is modeled in addition to current CO2 regulations and policies.</t>
    </r>
  </si>
  <si>
    <r>
      <t>·</t>
    </r>
    <r>
      <rPr>
        <sz val="7"/>
        <color theme="1"/>
        <rFont val="Times New Roman"/>
        <family val="1"/>
      </rPr>
      <t xml:space="preserve">         </t>
    </r>
    <r>
      <rPr>
        <sz val="10"/>
        <color theme="1"/>
        <rFont val="Arial"/>
        <family val="2"/>
      </rPr>
      <t>For natural gas, upstream CO2 emissions are added to the emission rate of natural gas plants.</t>
    </r>
  </si>
  <si>
    <t>Assumptions</t>
  </si>
  <si>
    <t>Flat ($/MWh)</t>
  </si>
  <si>
    <t>Flat ($/kWh)</t>
  </si>
  <si>
    <t>Schedule 91 Rates for Purchase of Energy - Wind</t>
  </si>
  <si>
    <t>Schedule 91 Rates for Purchase of Energy - Solar</t>
  </si>
  <si>
    <t>Power prices have been updated to be consistent with PSE's 2019 Integrated Resource Plan using the Mid-C prices for the “Base” scenario, and includes the 2019 power price forecast from Aurora.</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</si>
  <si>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</si>
  <si>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</si>
  <si>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</si>
  <si>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</si>
  <si>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</si>
  <si>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An additoinal two years are added to the strip to accommodate projects that sign the PPA in the year following the "current year."</t>
  </si>
  <si>
    <t xml:space="preserve">Schedule 91 -- Purchases from Qualifying Facilities of Five Megawatts or Less </t>
  </si>
  <si>
    <t>Baseload</t>
  </si>
  <si>
    <t>(a)
Levelized Net $/kW-yr  Delivered To PSE</t>
  </si>
  <si>
    <t>Hours in Year</t>
  </si>
  <si>
    <t>Baseload Resource</t>
  </si>
  <si>
    <t xml:space="preserve">Wind Resource </t>
  </si>
  <si>
    <t>Solar Resource</t>
  </si>
  <si>
    <r>
      <t>(Nominal $/MW)</t>
    </r>
    <r>
      <rPr>
        <sz val="8"/>
        <color theme="1"/>
        <rFont val="Calibri"/>
        <family val="2"/>
      </rPr>
      <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</si>
</sst>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0000"/>
    <numFmt numFmtId="168" formatCode="0.0%"/>
    <numFmt numFmtId="169" formatCode="&quot;$&quot;#,##0.00"/>
    <numFmt numFmtId="170" formatCode="_(&quot;$&quot;* #,##0.0000_);_(&quot;$&quot;* \(#,##0.0000\);_(&quot;$&quot;* &quot;-&quot;??_);_(@_)"/>
    <numFmt numFmtId="171" formatCode="_(&quot;$&quot;* #,##0.00000_);_(&quot;$&quot;* \(#,##0.00000\);_(&quot;$&quot;* &quot;-&quot;??_);_(@_)"/>
    <numFmt numFmtId="172" formatCode="_(* #,##0.0000_);_(* \(#,##0.0000\);_(* &quot;-&quot;??_);_(@_)"/>
    <numFmt numFmtId="173" formatCode="_(&quot;$&quot;* #,##0_);_(&quot;$&quot;* \(#,##0\);_(&quot;$&quot;* &quot;-&quot;??_);_(@_)"/>
    <numFmt numFmtId="174" formatCode="_(* #,##0_);_(* \(#,##0\);_(* &quot;-&quot;??_);_(@_)"/>
    <numFmt numFmtId="175" formatCode="_(* #,##0.000000000000_);_(* \(#,##0.000000000000\);_(* &quot;-&quot;??_);_(@_)"/>
    <numFmt numFmtId="176" formatCode="&quot;$&quot;#,##0.00_);\(&quot;$&quot;#,##0.00\);@_)"/>
    <numFmt numFmtId="177" formatCode="&quot;$&quot;#,##0.000_);[Red]\(&quot;$&quot;#,##0.000\)"/>
    <numFmt numFmtId="178" formatCode="0.00%_);\(0.00%\);&quot;–&quot;_)"/>
    <numFmt numFmtId="179" formatCode="#,##0.00_);\(#,##0.00\);\–_);&quot;–&quot;_)"/>
    <numFmt numFmtId="180" formatCode="&quot;$&quot;#,##0.0000"/>
  </numFmts>
  <fonts count="6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vertAlign val="superscript"/>
      <sz val="12"/>
      <name val="Arial"/>
      <family val="2"/>
    </font>
    <font>
      <i/>
      <sz val="10"/>
      <name val="Arial"/>
      <family val="2"/>
    </font>
    <font>
      <u/>
      <sz val="12"/>
      <color indexed="12"/>
      <name val="Arial"/>
      <family val="2"/>
    </font>
    <font>
      <sz val="12"/>
      <color theme="1"/>
      <name val="Arial"/>
      <family val="2"/>
    </font>
    <font>
      <b/>
      <i/>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u/>
      <sz val="12"/>
      <color theme="1"/>
      <name val="Arial"/>
      <family val="2"/>
    </font>
    <font>
      <sz val="11"/>
      <color rgb="FF1F497D"/>
      <name val="Calibri"/>
      <family val="2"/>
    </font>
    <font>
      <sz val="10"/>
      <color theme="1"/>
      <name val="Arial"/>
      <family val="2"/>
    </font>
    <font>
      <b/>
      <sz val="11"/>
      <color rgb="FFFFFFFF"/>
      <name val="Arial Narrow"/>
      <family val="2"/>
    </font>
    <font>
      <sz val="11"/>
      <color rgb="FFFFFFFF"/>
      <name val="Calibri"/>
      <family val="2"/>
      <scheme val="minor"/>
    </font>
    <font>
      <b/>
      <vertAlign val="subscript"/>
      <sz val="11"/>
      <color rgb="FFFFFFFF"/>
      <name val="Arial Narrow"/>
      <family val="2"/>
    </font>
    <font>
      <b/>
      <sz val="10"/>
      <color theme="1"/>
      <name val="Arial"/>
      <family val="2"/>
    </font>
    <font>
      <sz val="16"/>
      <color theme="1"/>
      <name val="Arial"/>
      <family val="2"/>
    </font>
    <font>
      <sz val="11"/>
      <color theme="1"/>
      <name val="Arial"/>
      <family val="2"/>
    </font>
    <font>
      <b/>
      <i/>
      <sz val="10"/>
      <color rgb="FF006C71"/>
      <name val="Arial"/>
      <family val="2"/>
    </font>
    <font>
      <b/>
      <sz val="14"/>
      <color rgb="FF156570"/>
      <name val="Arial"/>
      <family val="2"/>
    </font>
    <font>
      <sz val="10"/>
      <color theme="1"/>
      <name val="Symbol"/>
      <family val="1"/>
      <charset val="2"/>
    </font>
    <font>
      <sz val="7"/>
      <color theme="1"/>
      <name val="Times New Roman"/>
      <family val="1"/>
    </font>
    <font>
      <b/>
      <sz val="12"/>
      <color theme="1"/>
      <name val="Arial"/>
      <family val="2"/>
    </font>
    <font>
      <sz val="8"/>
      <color theme="1"/>
      <name val="Calibri"/>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theme="4" tint="0.79998168889431442"/>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92D050"/>
        <bgColor indexed="64"/>
      </patternFill>
    </fill>
    <fill>
      <patternFill patternType="solid">
        <fgColor rgb="FF808080"/>
        <bgColor indexed="64"/>
      </patternFill>
    </fill>
    <fill>
      <patternFill patternType="solid">
        <fgColor rgb="FF137883"/>
        <bgColor indexed="64"/>
      </patternFill>
    </fill>
    <fill>
      <patternFill patternType="solid">
        <fgColor rgb="FFAFDBD1"/>
        <bgColor indexed="64"/>
      </patternFill>
    </fill>
    <fill>
      <patternFill patternType="solid">
        <fgColor rgb="FFFFFF00"/>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rgb="FF000000"/>
      </right>
      <top style="thin">
        <color indexed="64"/>
      </top>
      <bottom style="thin">
        <color indexed="64"/>
      </bottom>
      <diagonal/>
    </border>
    <border>
      <left/>
      <right/>
      <top style="thin">
        <color indexed="64"/>
      </top>
      <bottom style="thin">
        <color indexed="64"/>
      </bottom>
      <diagonal/>
    </border>
    <border>
      <left style="thin">
        <color indexed="64"/>
      </left>
      <right style="medium">
        <color rgb="FF000000"/>
      </right>
      <top style="medium">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rgb="FF000000"/>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right style="medium">
        <color rgb="FF000000"/>
      </right>
      <top/>
      <bottom style="thin">
        <color indexed="64"/>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rgb="FF000000"/>
      </left>
      <right style="medium">
        <color rgb="FF000000"/>
      </right>
      <top style="medium">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top style="thin">
        <color rgb="FF000000"/>
      </top>
      <bottom style="medium">
        <color rgb="FF000000"/>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medium">
        <color rgb="FF000000"/>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rgb="FF000000"/>
      </left>
      <right style="thin">
        <color indexed="64"/>
      </right>
      <top style="thin">
        <color indexed="64"/>
      </top>
      <bottom/>
      <diagonal/>
    </border>
    <border>
      <left style="medium">
        <color indexed="64"/>
      </left>
      <right style="thin">
        <color indexed="64"/>
      </right>
      <top style="thin">
        <color rgb="FF000000"/>
      </top>
      <bottom/>
      <diagonal/>
    </border>
    <border>
      <left/>
      <right style="medium">
        <color rgb="FF000000"/>
      </right>
      <top style="thin">
        <color rgb="FF000000"/>
      </top>
      <bottom/>
      <diagonal/>
    </border>
    <border>
      <left style="thin">
        <color indexed="64"/>
      </left>
      <right style="thin">
        <color indexed="64"/>
      </right>
      <top style="thin">
        <color indexed="64"/>
      </top>
      <bottom/>
      <diagonal/>
    </border>
  </borders>
  <cellStyleXfs count="6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6" fillId="0" borderId="0" applyNumberFormat="0" applyFill="0" applyBorder="0" applyAlignment="0" applyProtection="0">
      <alignment vertical="top"/>
      <protection locked="0"/>
    </xf>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9" fillId="0" borderId="0"/>
    <xf numFmtId="0" fontId="13" fillId="0" borderId="0"/>
    <xf numFmtId="0" fontId="9" fillId="0" borderId="0"/>
    <xf numFmtId="0" fontId="13" fillId="0" borderId="0"/>
    <xf numFmtId="0" fontId="13" fillId="23" borderId="7" applyNumberFormat="0" applyFont="0" applyAlignment="0" applyProtection="0"/>
    <xf numFmtId="0" fontId="26"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6" fontId="5" fillId="0" borderId="0">
      <alignment horizontal="left" wrapText="1"/>
    </xf>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334">
    <xf numFmtId="0" fontId="0" fillId="0" borderId="0" xfId="0"/>
    <xf numFmtId="8" fontId="0" fillId="0" borderId="0" xfId="0" applyNumberFormat="1"/>
    <xf numFmtId="0" fontId="0" fillId="0" borderId="0" xfId="0" applyAlignment="1">
      <alignment horizontal="center"/>
    </xf>
    <xf numFmtId="0" fontId="8" fillId="0" borderId="0" xfId="0" applyFont="1" applyAlignment="1">
      <alignment horizontal="center" wrapText="1"/>
    </xf>
    <xf numFmtId="0" fontId="8" fillId="0" borderId="11" xfId="0" applyFont="1" applyBorder="1" applyAlignment="1">
      <alignment horizontal="center"/>
    </xf>
    <xf numFmtId="0" fontId="8" fillId="0" borderId="0" xfId="0" applyFont="1"/>
    <xf numFmtId="0" fontId="11" fillId="0" borderId="10" xfId="0" applyFont="1" applyBorder="1" applyAlignment="1">
      <alignment horizontal="center" wrapText="1"/>
    </xf>
    <xf numFmtId="0" fontId="11"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9"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0" fillId="0" borderId="0" xfId="0" applyFill="1" applyBorder="1" applyAlignment="1">
      <alignment horizontal="left"/>
    </xf>
    <xf numFmtId="167" fontId="0" fillId="0" borderId="0" xfId="0" applyNumberFormat="1"/>
    <xf numFmtId="165" fontId="0" fillId="0" borderId="0" xfId="0" applyNumberFormat="1"/>
    <xf numFmtId="0" fontId="30" fillId="0" borderId="0" xfId="47" applyFont="1"/>
    <xf numFmtId="0" fontId="8" fillId="0" borderId="0" xfId="47" applyFont="1" applyAlignment="1">
      <alignment horizontal="center"/>
    </xf>
    <xf numFmtId="0" fontId="8" fillId="0" borderId="0" xfId="47" applyFont="1" applyAlignment="1">
      <alignment horizontal="center" wrapText="1"/>
    </xf>
    <xf numFmtId="0" fontId="8" fillId="0" borderId="0" xfId="47" applyFont="1" applyFill="1" applyAlignment="1">
      <alignment horizontal="center" wrapText="1"/>
    </xf>
    <xf numFmtId="0" fontId="8" fillId="0" borderId="11" xfId="47" applyFont="1" applyBorder="1" applyAlignment="1">
      <alignment horizontal="center"/>
    </xf>
    <xf numFmtId="0" fontId="8" fillId="0" borderId="11" xfId="47" applyFont="1" applyFill="1" applyBorder="1" applyAlignment="1">
      <alignment horizontal="center"/>
    </xf>
    <xf numFmtId="0" fontId="8" fillId="0" borderId="0" xfId="47" applyFont="1" applyBorder="1" applyAlignment="1">
      <alignment horizontal="right"/>
    </xf>
    <xf numFmtId="0" fontId="12" fillId="0" borderId="0" xfId="47" applyFont="1" applyFill="1"/>
    <xf numFmtId="0" fontId="8" fillId="0" borderId="0" xfId="46" applyFont="1" applyFill="1" applyAlignment="1">
      <alignment horizontal="right"/>
    </xf>
    <xf numFmtId="0" fontId="8" fillId="0" borderId="0" xfId="46" applyFont="1" applyFill="1" applyAlignment="1">
      <alignment horizontal="center"/>
    </xf>
    <xf numFmtId="0" fontId="8" fillId="0" borderId="0" xfId="46" applyFont="1" applyFill="1" applyAlignment="1">
      <alignment horizontal="center" wrapText="1"/>
    </xf>
    <xf numFmtId="0" fontId="8" fillId="0" borderId="0" xfId="46" applyFont="1" applyFill="1" applyBorder="1" applyAlignment="1">
      <alignment horizontal="center" wrapText="1"/>
    </xf>
    <xf numFmtId="0" fontId="8" fillId="0" borderId="11" xfId="46" applyFont="1" applyFill="1" applyBorder="1" applyAlignment="1">
      <alignment horizontal="center"/>
    </xf>
    <xf numFmtId="0" fontId="8" fillId="0" borderId="0" xfId="46" applyFont="1" applyFill="1" applyBorder="1" applyAlignment="1">
      <alignment horizontal="center"/>
    </xf>
    <xf numFmtId="0" fontId="8" fillId="0" borderId="0" xfId="46" applyFont="1" applyFill="1" applyBorder="1" applyAlignment="1">
      <alignment horizontal="right"/>
    </xf>
    <xf numFmtId="0" fontId="0" fillId="0" borderId="0" xfId="0" quotePrefix="1"/>
    <xf numFmtId="8" fontId="11" fillId="0" borderId="10" xfId="0" applyNumberFormat="1" applyFont="1" applyBorder="1" applyAlignment="1">
      <alignment horizontal="center" wrapText="1"/>
    </xf>
    <xf numFmtId="0" fontId="0" fillId="0" borderId="0" xfId="0" quotePrefix="1" applyAlignment="1">
      <alignment wrapText="1"/>
    </xf>
    <xf numFmtId="0" fontId="0" fillId="0" borderId="0" xfId="0" applyFill="1"/>
    <xf numFmtId="0" fontId="11" fillId="0" borderId="10" xfId="0" applyFont="1" applyFill="1" applyBorder="1" applyAlignment="1">
      <alignment horizontal="center" wrapText="1"/>
    </xf>
    <xf numFmtId="44" fontId="9" fillId="0" borderId="10" xfId="31" applyFont="1" applyFill="1" applyBorder="1" applyAlignment="1">
      <alignment horizontal="center"/>
    </xf>
    <xf numFmtId="44" fontId="11" fillId="0" borderId="10" xfId="31" applyFont="1" applyFill="1" applyBorder="1" applyAlignment="1">
      <alignment horizontal="center" wrapText="1"/>
    </xf>
    <xf numFmtId="170" fontId="9" fillId="0" borderId="10" xfId="31" applyNumberFormat="1" applyFont="1" applyFill="1" applyBorder="1"/>
    <xf numFmtId="0" fontId="4" fillId="0" borderId="0" xfId="47" applyFont="1" applyFill="1" applyAlignment="1">
      <alignment horizontal="left"/>
    </xf>
    <xf numFmtId="0" fontId="0" fillId="0" borderId="10" xfId="0" applyBorder="1"/>
    <xf numFmtId="0" fontId="11" fillId="0" borderId="10" xfId="0" applyFont="1" applyBorder="1" applyAlignment="1">
      <alignment horizontal="center"/>
    </xf>
    <xf numFmtId="0" fontId="11" fillId="0" borderId="10" xfId="0" quotePrefix="1" applyFont="1" applyBorder="1" applyAlignment="1">
      <alignment horizontal="center"/>
    </xf>
    <xf numFmtId="0" fontId="0" fillId="26" borderId="10" xfId="0" applyFill="1" applyBorder="1" applyAlignment="1">
      <alignment horizontal="center"/>
    </xf>
    <xf numFmtId="44" fontId="9" fillId="26" borderId="10" xfId="31" applyFont="1" applyFill="1" applyBorder="1" applyAlignment="1">
      <alignment horizontal="center"/>
    </xf>
    <xf numFmtId="170" fontId="9" fillId="26" borderId="10" xfId="31" applyNumberFormat="1" applyFont="1" applyFill="1" applyBorder="1"/>
    <xf numFmtId="44" fontId="4" fillId="0" borderId="0" xfId="31" applyFont="1" applyBorder="1"/>
    <xf numFmtId="9" fontId="4" fillId="0" borderId="0" xfId="50" applyFont="1" applyBorder="1"/>
    <xf numFmtId="0" fontId="4" fillId="0" borderId="0" xfId="47" applyFont="1"/>
    <xf numFmtId="8" fontId="8" fillId="0" borderId="0" xfId="0" applyNumberFormat="1" applyFont="1"/>
    <xf numFmtId="0" fontId="8" fillId="0" borderId="0" xfId="46" applyFont="1" applyFill="1" applyBorder="1"/>
    <xf numFmtId="0" fontId="0" fillId="0" borderId="0" xfId="0" applyBorder="1"/>
    <xf numFmtId="44" fontId="0" fillId="0" borderId="10" xfId="31" applyFont="1" applyBorder="1" applyAlignment="1">
      <alignment horizontal="center"/>
    </xf>
    <xf numFmtId="44" fontId="0" fillId="0" borderId="0" xfId="31" applyFont="1"/>
    <xf numFmtId="44" fontId="0" fillId="0" borderId="10" xfId="31" applyFont="1" applyBorder="1"/>
    <xf numFmtId="44" fontId="0" fillId="26" borderId="10" xfId="31" applyFont="1" applyFill="1" applyBorder="1"/>
    <xf numFmtId="44" fontId="0" fillId="26" borderId="0" xfId="31" applyFont="1" applyFill="1"/>
    <xf numFmtId="0" fontId="4" fillId="0" borderId="0" xfId="47" applyFont="1" applyFill="1" applyAlignment="1">
      <alignment horizontal="center"/>
    </xf>
    <xf numFmtId="0" fontId="4" fillId="0" borderId="0" xfId="46" applyFont="1" applyFill="1" applyAlignment="1">
      <alignment horizontal="center"/>
    </xf>
    <xf numFmtId="0" fontId="4" fillId="0" borderId="0" xfId="47" applyFont="1" applyAlignment="1">
      <alignment horizontal="center"/>
    </xf>
    <xf numFmtId="0" fontId="4" fillId="26" borderId="0" xfId="47" applyFont="1" applyFill="1" applyAlignment="1">
      <alignment horizontal="center"/>
    </xf>
    <xf numFmtId="44" fontId="4" fillId="0" borderId="0" xfId="31" applyFont="1" applyFill="1"/>
    <xf numFmtId="44" fontId="4" fillId="0" borderId="0" xfId="31" applyFont="1"/>
    <xf numFmtId="44" fontId="4" fillId="0" borderId="0" xfId="31" applyFont="1" applyAlignment="1">
      <alignment horizontal="center"/>
    </xf>
    <xf numFmtId="44" fontId="4" fillId="26" borderId="0" xfId="31" applyFont="1" applyFill="1"/>
    <xf numFmtId="44" fontId="4" fillId="26" borderId="0" xfId="31" applyFont="1" applyFill="1" applyAlignment="1">
      <alignment horizontal="center"/>
    </xf>
    <xf numFmtId="0" fontId="8" fillId="0" borderId="0" xfId="0" applyFont="1" applyAlignment="1">
      <alignment horizontal="center"/>
    </xf>
    <xf numFmtId="0" fontId="4" fillId="0" borderId="0" xfId="0" applyFont="1" applyAlignment="1">
      <alignment horizontal="left" vertical="center" wrapText="1"/>
    </xf>
    <xf numFmtId="44" fontId="0" fillId="26" borderId="10" xfId="31" applyNumberFormat="1" applyFont="1" applyFill="1" applyBorder="1"/>
    <xf numFmtId="8" fontId="0" fillId="0" borderId="0" xfId="0" applyNumberFormat="1" applyBorder="1"/>
    <xf numFmtId="0" fontId="34" fillId="0" borderId="0" xfId="0" applyFont="1" applyBorder="1"/>
    <xf numFmtId="0" fontId="4" fillId="0" borderId="0" xfId="47" applyFont="1" applyFill="1"/>
    <xf numFmtId="169" fontId="4" fillId="0" borderId="0" xfId="32" applyNumberFormat="1" applyFont="1" applyFill="1" applyAlignment="1">
      <alignment horizontal="right"/>
    </xf>
    <xf numFmtId="10" fontId="4" fillId="0" borderId="10" xfId="50" applyNumberFormat="1" applyFont="1" applyFill="1" applyBorder="1" applyAlignment="1">
      <alignment horizontal="right"/>
    </xf>
    <xf numFmtId="168" fontId="4" fillId="0" borderId="0" xfId="51" applyNumberFormat="1" applyFont="1" applyAlignment="1">
      <alignment horizontal="right"/>
    </xf>
    <xf numFmtId="8" fontId="4" fillId="0" borderId="0" xfId="31" applyNumberFormat="1" applyFont="1" applyAlignment="1">
      <alignment horizontal="center"/>
    </xf>
    <xf numFmtId="0" fontId="4" fillId="0" borderId="0" xfId="47" applyFont="1" applyAlignment="1">
      <alignment horizontal="right"/>
    </xf>
    <xf numFmtId="0" fontId="4" fillId="0" borderId="0" xfId="47" applyFont="1" applyBorder="1"/>
    <xf numFmtId="169" fontId="4" fillId="0" borderId="0" xfId="32" applyNumberFormat="1" applyFont="1" applyFill="1" applyBorder="1" applyAlignment="1">
      <alignment horizontal="right"/>
    </xf>
    <xf numFmtId="168" fontId="4" fillId="0" borderId="0" xfId="51" applyNumberFormat="1" applyFont="1" applyBorder="1"/>
    <xf numFmtId="0" fontId="4" fillId="0" borderId="0" xfId="0" applyFont="1"/>
    <xf numFmtId="44" fontId="4" fillId="0" borderId="0" xfId="47" applyNumberFormat="1" applyFont="1" applyFill="1"/>
    <xf numFmtId="173" fontId="4" fillId="0" borderId="0" xfId="47" applyNumberFormat="1" applyFont="1" applyFill="1"/>
    <xf numFmtId="173" fontId="4" fillId="0" borderId="0" xfId="32" applyNumberFormat="1" applyFont="1" applyFill="1" applyAlignment="1">
      <alignment horizontal="center"/>
    </xf>
    <xf numFmtId="0" fontId="35" fillId="0" borderId="0" xfId="40" applyFont="1" applyAlignment="1" applyProtection="1">
      <alignment vertical="center"/>
    </xf>
    <xf numFmtId="0" fontId="37" fillId="0" borderId="0" xfId="0" applyFont="1"/>
    <xf numFmtId="0" fontId="36" fillId="0" borderId="0" xfId="59" applyFont="1"/>
    <xf numFmtId="0" fontId="38" fillId="27" borderId="14" xfId="0" applyFont="1" applyFill="1" applyBorder="1" applyAlignment="1">
      <alignment vertical="center"/>
    </xf>
    <xf numFmtId="0" fontId="41" fillId="0" borderId="20" xfId="0" applyFont="1" applyBorder="1" applyAlignment="1">
      <alignment horizontal="right" vertical="center"/>
    </xf>
    <xf numFmtId="2" fontId="41" fillId="0" borderId="19" xfId="0" applyNumberFormat="1" applyFont="1" applyBorder="1" applyAlignment="1">
      <alignment horizontal="right" vertical="center"/>
    </xf>
    <xf numFmtId="0" fontId="41" fillId="0" borderId="0" xfId="0" applyFont="1" applyBorder="1" applyAlignment="1">
      <alignment horizontal="right" vertical="center"/>
    </xf>
    <xf numFmtId="2" fontId="41" fillId="0" borderId="0" xfId="0" applyNumberFormat="1" applyFont="1" applyBorder="1" applyAlignment="1">
      <alignment horizontal="right" vertical="center"/>
    </xf>
    <xf numFmtId="2" fontId="41" fillId="0" borderId="0" xfId="0" applyNumberFormat="1" applyFont="1" applyFill="1" applyBorder="1" applyAlignment="1">
      <alignment horizontal="right" vertical="center"/>
    </xf>
    <xf numFmtId="0" fontId="36" fillId="0" borderId="0" xfId="59" applyFont="1" applyBorder="1"/>
    <xf numFmtId="0" fontId="36" fillId="0" borderId="0" xfId="59" applyFont="1" applyAlignment="1">
      <alignment horizontal="right"/>
    </xf>
    <xf numFmtId="8" fontId="36" fillId="0" borderId="46" xfId="59" applyNumberFormat="1" applyFont="1" applyBorder="1"/>
    <xf numFmtId="44" fontId="36" fillId="0" borderId="31" xfId="31" applyFont="1" applyBorder="1"/>
    <xf numFmtId="0" fontId="39" fillId="27" borderId="15" xfId="0" applyFont="1" applyFill="1" applyBorder="1" applyAlignment="1">
      <alignment horizontal="center" vertical="center"/>
    </xf>
    <xf numFmtId="0" fontId="39" fillId="27" borderId="16" xfId="0" applyFont="1" applyFill="1" applyBorder="1" applyAlignment="1">
      <alignment horizontal="center" vertical="center"/>
    </xf>
    <xf numFmtId="0" fontId="40" fillId="28" borderId="17" xfId="0" applyFont="1" applyFill="1" applyBorder="1" applyAlignment="1">
      <alignment horizontal="centerContinuous" vertical="center"/>
    </xf>
    <xf numFmtId="0" fontId="40" fillId="28" borderId="18" xfId="0" applyFont="1" applyFill="1" applyBorder="1" applyAlignment="1">
      <alignment horizontal="centerContinuous" vertical="center"/>
    </xf>
    <xf numFmtId="0" fontId="40" fillId="28" borderId="19" xfId="0" applyFont="1" applyFill="1" applyBorder="1" applyAlignment="1">
      <alignment horizontal="centerContinuous" vertical="center"/>
    </xf>
    <xf numFmtId="0" fontId="36" fillId="0" borderId="0" xfId="59" applyFont="1" applyAlignment="1">
      <alignment horizontal="right" indent="1"/>
    </xf>
    <xf numFmtId="0" fontId="36" fillId="0" borderId="0" xfId="59" applyFont="1" applyBorder="1" applyAlignment="1">
      <alignment horizontal="right" indent="1"/>
    </xf>
    <xf numFmtId="178" fontId="36" fillId="0" borderId="0" xfId="50" applyNumberFormat="1" applyFont="1" applyAlignment="1">
      <alignment horizontal="right"/>
    </xf>
    <xf numFmtId="0" fontId="1" fillId="0" borderId="0" xfId="63"/>
    <xf numFmtId="0" fontId="42" fillId="0" borderId="14" xfId="63" applyFont="1" applyBorder="1" applyAlignment="1">
      <alignment vertical="center"/>
    </xf>
    <xf numFmtId="0" fontId="43" fillId="0" borderId="15" xfId="63" applyFont="1" applyBorder="1" applyAlignment="1">
      <alignment vertical="center"/>
    </xf>
    <xf numFmtId="0" fontId="42" fillId="0" borderId="16" xfId="63" applyFont="1" applyBorder="1" applyAlignment="1">
      <alignment horizontal="right" vertical="center"/>
    </xf>
    <xf numFmtId="0" fontId="44" fillId="0" borderId="58" xfId="63" applyFont="1" applyBorder="1" applyAlignment="1">
      <alignment vertical="center"/>
    </xf>
    <xf numFmtId="0" fontId="43" fillId="0" borderId="0" xfId="63" applyFont="1"/>
    <xf numFmtId="0" fontId="42" fillId="0" borderId="59" xfId="63" applyFont="1" applyBorder="1" applyAlignment="1">
      <alignment horizontal="right" vertical="center"/>
    </xf>
    <xf numFmtId="0" fontId="43" fillId="0" borderId="58" xfId="63" applyFont="1" applyBorder="1" applyAlignment="1">
      <alignment vertical="center"/>
    </xf>
    <xf numFmtId="0" fontId="42" fillId="0" borderId="58" xfId="63" applyFont="1" applyBorder="1" applyAlignment="1">
      <alignment horizontal="center" vertical="center"/>
    </xf>
    <xf numFmtId="0" fontId="42" fillId="0" borderId="59" xfId="63" applyFont="1" applyBorder="1" applyAlignment="1">
      <alignment vertical="center"/>
    </xf>
    <xf numFmtId="0" fontId="43" fillId="0" borderId="59" xfId="63" applyFont="1" applyBorder="1" applyAlignment="1">
      <alignment vertical="center"/>
    </xf>
    <xf numFmtId="0" fontId="43" fillId="0" borderId="0" xfId="63" applyFont="1" applyAlignment="1">
      <alignment horizontal="center" vertical="center"/>
    </xf>
    <xf numFmtId="0" fontId="43" fillId="0" borderId="59" xfId="63" applyFont="1" applyBorder="1" applyAlignment="1">
      <alignment horizontal="center" vertical="center"/>
    </xf>
    <xf numFmtId="0" fontId="42" fillId="0" borderId="60" xfId="63" applyFont="1" applyBorder="1" applyAlignment="1">
      <alignment horizontal="center" vertical="center"/>
    </xf>
    <xf numFmtId="0" fontId="42" fillId="0" borderId="21" xfId="63" applyFont="1" applyBorder="1" applyAlignment="1">
      <alignment vertical="center"/>
    </xf>
    <xf numFmtId="0" fontId="43" fillId="0" borderId="21" xfId="63" applyFont="1" applyBorder="1" applyAlignment="1">
      <alignment horizontal="center" vertical="center"/>
    </xf>
    <xf numFmtId="0" fontId="43" fillId="0" borderId="61" xfId="63" applyFont="1" applyBorder="1" applyAlignment="1">
      <alignment horizontal="center" vertical="center"/>
    </xf>
    <xf numFmtId="0" fontId="43" fillId="0" borderId="58" xfId="63" applyFont="1" applyBorder="1" applyAlignment="1">
      <alignment horizontal="center" vertical="center"/>
    </xf>
    <xf numFmtId="0" fontId="43" fillId="0" borderId="0" xfId="63" applyFont="1" applyAlignment="1">
      <alignment vertical="center"/>
    </xf>
    <xf numFmtId="10" fontId="43" fillId="30" borderId="0" xfId="63" applyNumberFormat="1" applyFont="1" applyFill="1" applyAlignment="1">
      <alignment horizontal="right" vertical="center"/>
    </xf>
    <xf numFmtId="10" fontId="43" fillId="30" borderId="59" xfId="63" applyNumberFormat="1" applyFont="1" applyFill="1" applyBorder="1" applyAlignment="1">
      <alignment horizontal="right" vertical="center"/>
    </xf>
    <xf numFmtId="10" fontId="43" fillId="30" borderId="21" xfId="63" applyNumberFormat="1" applyFont="1" applyFill="1" applyBorder="1" applyAlignment="1">
      <alignment horizontal="right" vertical="center"/>
    </xf>
    <xf numFmtId="10" fontId="43" fillId="30" borderId="15" xfId="63" applyNumberFormat="1" applyFont="1" applyFill="1" applyBorder="1" applyAlignment="1">
      <alignment horizontal="right" vertical="center"/>
    </xf>
    <xf numFmtId="0" fontId="43" fillId="30" borderId="0" xfId="63" applyFont="1" applyFill="1"/>
    <xf numFmtId="10" fontId="43" fillId="0" borderId="0" xfId="63" applyNumberFormat="1" applyFont="1" applyAlignment="1">
      <alignment horizontal="right" vertical="center"/>
    </xf>
    <xf numFmtId="10" fontId="43" fillId="0" borderId="59" xfId="63" applyNumberFormat="1" applyFont="1" applyBorder="1" applyAlignment="1">
      <alignment horizontal="right" vertical="center"/>
    </xf>
    <xf numFmtId="0" fontId="45" fillId="0" borderId="0" xfId="63" applyFont="1"/>
    <xf numFmtId="10" fontId="43" fillId="0" borderId="21" xfId="63" applyNumberFormat="1" applyFont="1" applyBorder="1" applyAlignment="1">
      <alignment horizontal="right" vertical="center"/>
    </xf>
    <xf numFmtId="10" fontId="43" fillId="0" borderId="15" xfId="63" applyNumberFormat="1" applyFont="1" applyBorder="1" applyAlignment="1">
      <alignment horizontal="right" vertical="center"/>
    </xf>
    <xf numFmtId="10" fontId="43" fillId="0" borderId="16" xfId="63" applyNumberFormat="1" applyFont="1" applyBorder="1" applyAlignment="1">
      <alignment horizontal="right" vertical="center"/>
    </xf>
    <xf numFmtId="0" fontId="43" fillId="0" borderId="60" xfId="63" applyFont="1" applyBorder="1" applyAlignment="1">
      <alignment horizontal="center" vertical="center"/>
    </xf>
    <xf numFmtId="0" fontId="43" fillId="0" borderId="21" xfId="63" applyFont="1" applyBorder="1" applyAlignment="1">
      <alignment vertical="center"/>
    </xf>
    <xf numFmtId="0" fontId="43" fillId="0" borderId="61" xfId="63" applyFont="1" applyBorder="1" applyAlignment="1">
      <alignment vertical="center"/>
    </xf>
    <xf numFmtId="10" fontId="43" fillId="30" borderId="62" xfId="63" applyNumberFormat="1" applyFont="1" applyFill="1" applyBorder="1" applyAlignment="1">
      <alignment horizontal="right" vertical="center"/>
    </xf>
    <xf numFmtId="2" fontId="4" fillId="0" borderId="0" xfId="0" applyNumberFormat="1" applyFont="1" applyAlignment="1">
      <alignment horizontal="center" wrapText="1"/>
    </xf>
    <xf numFmtId="2" fontId="4" fillId="0" borderId="0" xfId="0" applyNumberFormat="1" applyFont="1" applyAlignment="1">
      <alignment wrapText="1"/>
    </xf>
    <xf numFmtId="0" fontId="4" fillId="0" borderId="0" xfId="0" applyFont="1" applyAlignment="1">
      <alignment horizontal="center"/>
    </xf>
    <xf numFmtId="44" fontId="4" fillId="0" borderId="0" xfId="0" applyNumberFormat="1" applyFont="1"/>
    <xf numFmtId="0" fontId="4" fillId="0" borderId="0" xfId="0" applyFont="1" applyBorder="1"/>
    <xf numFmtId="174" fontId="4" fillId="0" borderId="0" xfId="0" applyNumberFormat="1" applyFont="1"/>
    <xf numFmtId="44" fontId="4" fillId="0" borderId="0" xfId="0" applyNumberFormat="1" applyFont="1" applyBorder="1"/>
    <xf numFmtId="9" fontId="4" fillId="0" borderId="48" xfId="0" applyNumberFormat="1" applyFont="1" applyFill="1" applyBorder="1"/>
    <xf numFmtId="0" fontId="46" fillId="0" borderId="0" xfId="0" applyFont="1" applyBorder="1"/>
    <xf numFmtId="175" fontId="4" fillId="0" borderId="0" xfId="0" applyNumberFormat="1" applyFont="1"/>
    <xf numFmtId="8" fontId="4" fillId="0" borderId="0" xfId="0" applyNumberFormat="1" applyFont="1" applyBorder="1"/>
    <xf numFmtId="8" fontId="4" fillId="0" borderId="0" xfId="0" applyNumberFormat="1" applyFont="1"/>
    <xf numFmtId="0" fontId="4" fillId="0" borderId="52" xfId="0" applyFont="1" applyFill="1" applyBorder="1"/>
    <xf numFmtId="44" fontId="4" fillId="0" borderId="52" xfId="31" applyFont="1" applyFill="1" applyBorder="1"/>
    <xf numFmtId="176" fontId="4" fillId="0" borderId="0" xfId="31" applyNumberFormat="1" applyFont="1" applyBorder="1"/>
    <xf numFmtId="0" fontId="4" fillId="24" borderId="10" xfId="0" applyFont="1" applyFill="1" applyBorder="1" applyAlignment="1">
      <alignment horizontal="center"/>
    </xf>
    <xf numFmtId="0" fontId="4" fillId="0" borderId="0" xfId="0" applyFont="1" applyFill="1" applyBorder="1"/>
    <xf numFmtId="8" fontId="4" fillId="0" borderId="0" xfId="0" applyNumberFormat="1" applyFont="1" applyFill="1" applyBorder="1"/>
    <xf numFmtId="9" fontId="4" fillId="0" borderId="0" xfId="50" applyFont="1"/>
    <xf numFmtId="0" fontId="47" fillId="0" borderId="0" xfId="0" applyFont="1"/>
    <xf numFmtId="0" fontId="4" fillId="0" borderId="0" xfId="0" applyFont="1" applyFill="1"/>
    <xf numFmtId="2" fontId="4" fillId="0" borderId="0" xfId="0" applyNumberFormat="1" applyFont="1"/>
    <xf numFmtId="40" fontId="4" fillId="0" borderId="0" xfId="0" applyNumberFormat="1" applyFont="1"/>
    <xf numFmtId="17" fontId="48" fillId="0" borderId="0" xfId="0" applyNumberFormat="1" applyFont="1" applyAlignment="1">
      <alignment horizontal="left" vertical="top"/>
    </xf>
    <xf numFmtId="17" fontId="4" fillId="0" borderId="0" xfId="0" applyNumberFormat="1" applyFont="1" applyAlignment="1">
      <alignment horizontal="left" vertical="top"/>
    </xf>
    <xf numFmtId="0" fontId="4" fillId="0" borderId="0" xfId="0" applyFont="1" applyAlignment="1">
      <alignment horizontal="left" vertical="top"/>
    </xf>
    <xf numFmtId="0" fontId="4" fillId="0" borderId="0" xfId="0" applyFont="1" applyFill="1" applyAlignment="1">
      <alignment horizontal="center" vertical="top"/>
    </xf>
    <xf numFmtId="0" fontId="4" fillId="0" borderId="0" xfId="0" applyFont="1" applyFill="1" applyBorder="1" applyAlignment="1">
      <alignment horizontal="center" vertical="top"/>
    </xf>
    <xf numFmtId="0" fontId="8" fillId="0" borderId="0" xfId="0" applyFont="1" applyFill="1" applyAlignment="1">
      <alignment horizontal="left" vertical="top"/>
    </xf>
    <xf numFmtId="177" fontId="4" fillId="0" borderId="0" xfId="0" applyNumberFormat="1" applyFont="1"/>
    <xf numFmtId="0" fontId="4" fillId="0" borderId="50" xfId="0" applyFont="1" applyFill="1" applyBorder="1"/>
    <xf numFmtId="2" fontId="4" fillId="0" borderId="52" xfId="0" applyNumberFormat="1" applyFont="1" applyFill="1" applyBorder="1"/>
    <xf numFmtId="2" fontId="4" fillId="0" borderId="0" xfId="0" applyNumberFormat="1" applyFont="1" applyBorder="1"/>
    <xf numFmtId="164" fontId="4" fillId="0" borderId="0" xfId="0" applyNumberFormat="1" applyFont="1" applyBorder="1"/>
    <xf numFmtId="0" fontId="4" fillId="0" borderId="49" xfId="0" applyFont="1" applyFill="1" applyBorder="1"/>
    <xf numFmtId="40" fontId="4" fillId="0" borderId="49" xfId="0" applyNumberFormat="1" applyFont="1" applyFill="1" applyBorder="1"/>
    <xf numFmtId="2" fontId="4" fillId="0" borderId="0" xfId="0" applyNumberFormat="1" applyFont="1" applyBorder="1" applyAlignment="1">
      <alignment horizontal="center" wrapText="1"/>
    </xf>
    <xf numFmtId="2" fontId="4" fillId="0" borderId="0" xfId="0" applyNumberFormat="1" applyFont="1" applyBorder="1" applyAlignment="1">
      <alignment wrapText="1"/>
    </xf>
    <xf numFmtId="174" fontId="4" fillId="0" borderId="0" xfId="0" applyNumberFormat="1" applyFont="1" applyBorder="1"/>
    <xf numFmtId="172" fontId="4" fillId="0" borderId="52" xfId="28" applyNumberFormat="1" applyFont="1" applyFill="1" applyBorder="1"/>
    <xf numFmtId="174" fontId="4" fillId="0" borderId="52" xfId="28" applyNumberFormat="1" applyFont="1" applyFill="1" applyBorder="1"/>
    <xf numFmtId="1" fontId="4" fillId="0" borderId="52" xfId="0" applyNumberFormat="1" applyFont="1" applyFill="1" applyBorder="1" applyAlignment="1">
      <alignment horizontal="center"/>
    </xf>
    <xf numFmtId="10" fontId="4" fillId="0" borderId="52" xfId="0" applyNumberFormat="1" applyFont="1" applyFill="1" applyBorder="1" applyAlignment="1">
      <alignment horizontal="right"/>
    </xf>
    <xf numFmtId="0" fontId="4" fillId="0" borderId="52" xfId="0" applyFont="1" applyFill="1" applyBorder="1" applyAlignment="1">
      <alignment horizontal="center"/>
    </xf>
    <xf numFmtId="171" fontId="4" fillId="0" borderId="52" xfId="31" applyNumberFormat="1" applyFont="1" applyFill="1" applyBorder="1"/>
    <xf numFmtId="170" fontId="4" fillId="0" borderId="52" xfId="31" applyNumberFormat="1" applyFont="1" applyFill="1" applyBorder="1"/>
    <xf numFmtId="170" fontId="4" fillId="0" borderId="52" xfId="0" applyNumberFormat="1" applyFont="1" applyFill="1" applyBorder="1"/>
    <xf numFmtId="44" fontId="4" fillId="0" borderId="52" xfId="0" applyNumberFormat="1" applyFont="1" applyFill="1" applyBorder="1"/>
    <xf numFmtId="0" fontId="0" fillId="0" borderId="48" xfId="0" applyFill="1" applyBorder="1"/>
    <xf numFmtId="0" fontId="11" fillId="0" borderId="0" xfId="0" applyFont="1" applyBorder="1"/>
    <xf numFmtId="0" fontId="0" fillId="0" borderId="0" xfId="0" quotePrefix="1" applyBorder="1" applyAlignment="1">
      <alignment wrapText="1"/>
    </xf>
    <xf numFmtId="0" fontId="0" fillId="0" borderId="47" xfId="0" quotePrefix="1" applyFill="1" applyBorder="1" applyAlignment="1">
      <alignment horizontal="center"/>
    </xf>
    <xf numFmtId="44" fontId="4" fillId="29" borderId="51" xfId="0" applyNumberFormat="1" applyFont="1" applyFill="1" applyBorder="1"/>
    <xf numFmtId="44" fontId="4" fillId="29" borderId="30" xfId="0" applyNumberFormat="1" applyFont="1" applyFill="1" applyBorder="1"/>
    <xf numFmtId="44" fontId="4" fillId="29" borderId="33" xfId="0" applyNumberFormat="1" applyFont="1" applyFill="1" applyBorder="1"/>
    <xf numFmtId="179" fontId="4" fillId="0" borderId="52" xfId="0" applyNumberFormat="1" applyFont="1" applyFill="1" applyBorder="1"/>
    <xf numFmtId="179" fontId="4" fillId="0" borderId="50" xfId="31" applyNumberFormat="1" applyFont="1" applyFill="1" applyBorder="1"/>
    <xf numFmtId="171" fontId="9" fillId="0" borderId="10" xfId="31" applyNumberFormat="1" applyFont="1" applyFill="1" applyBorder="1"/>
    <xf numFmtId="171" fontId="9" fillId="26" borderId="10" xfId="31" applyNumberFormat="1" applyFont="1" applyFill="1" applyBorder="1"/>
    <xf numFmtId="10" fontId="0" fillId="0" borderId="48" xfId="0" applyNumberFormat="1" applyFill="1" applyBorder="1"/>
    <xf numFmtId="10" fontId="0" fillId="0" borderId="53" xfId="50" applyNumberFormat="1" applyFont="1" applyFill="1" applyBorder="1"/>
    <xf numFmtId="0" fontId="8" fillId="0" borderId="49" xfId="46" applyFont="1" applyFill="1" applyBorder="1" applyAlignment="1">
      <alignment horizontal="center"/>
    </xf>
    <xf numFmtId="0" fontId="8" fillId="0" borderId="0" xfId="47" applyFont="1" applyFill="1" applyBorder="1" applyAlignment="1">
      <alignment horizontal="right"/>
    </xf>
    <xf numFmtId="0" fontId="8" fillId="0" borderId="49" xfId="47" applyNumberFormat="1" applyFont="1" applyFill="1" applyBorder="1" applyAlignment="1">
      <alignment horizontal="center"/>
    </xf>
    <xf numFmtId="0" fontId="46" fillId="0" borderId="0" xfId="47" applyFont="1" applyFill="1" applyAlignment="1">
      <alignment horizontal="center"/>
    </xf>
    <xf numFmtId="0" fontId="4" fillId="0" borderId="0" xfId="47" applyFont="1" applyBorder="1" applyAlignment="1">
      <alignment horizontal="center"/>
    </xf>
    <xf numFmtId="44" fontId="4" fillId="0" borderId="0" xfId="31" applyFont="1" applyFill="1" applyBorder="1"/>
    <xf numFmtId="44" fontId="4" fillId="0" borderId="0" xfId="31" applyFont="1" applyBorder="1" applyAlignment="1">
      <alignment horizontal="center"/>
    </xf>
    <xf numFmtId="0" fontId="8" fillId="0" borderId="49" xfId="47" applyFont="1" applyFill="1" applyBorder="1" applyAlignment="1">
      <alignment horizontal="center"/>
    </xf>
    <xf numFmtId="0" fontId="5" fillId="0" borderId="0" xfId="47" applyFont="1" applyFill="1"/>
    <xf numFmtId="0" fontId="4" fillId="0" borderId="0" xfId="47" applyFont="1" applyFill="1" applyBorder="1"/>
    <xf numFmtId="0" fontId="4" fillId="0" borderId="0" xfId="46" applyFont="1" applyFill="1" applyBorder="1" applyAlignment="1">
      <alignment horizontal="center"/>
    </xf>
    <xf numFmtId="44" fontId="31" fillId="0" borderId="0" xfId="31" applyFont="1" applyFill="1" applyBorder="1"/>
    <xf numFmtId="0" fontId="49" fillId="0" borderId="0" xfId="47" applyFont="1" applyBorder="1"/>
    <xf numFmtId="0" fontId="49" fillId="0" borderId="0" xfId="47" applyFont="1"/>
    <xf numFmtId="44" fontId="31" fillId="26" borderId="0" xfId="31" applyFont="1" applyFill="1" applyBorder="1"/>
    <xf numFmtId="0" fontId="5" fillId="0" borderId="0" xfId="0" applyFont="1"/>
    <xf numFmtId="44" fontId="5" fillId="0" borderId="0" xfId="0" applyNumberFormat="1" applyFont="1" applyFill="1"/>
    <xf numFmtId="8" fontId="49" fillId="0" borderId="0" xfId="47" applyNumberFormat="1" applyFont="1" applyFill="1" applyBorder="1"/>
    <xf numFmtId="44" fontId="31" fillId="0" borderId="0" xfId="31" applyNumberFormat="1" applyFont="1" applyFill="1" applyBorder="1"/>
    <xf numFmtId="0" fontId="4" fillId="0" borderId="0" xfId="46" applyFont="1" applyFill="1" applyBorder="1"/>
    <xf numFmtId="10" fontId="4" fillId="0" borderId="48" xfId="51" applyNumberFormat="1" applyFont="1" applyFill="1" applyBorder="1" applyAlignment="1">
      <alignment horizontal="right"/>
    </xf>
    <xf numFmtId="10" fontId="4" fillId="0" borderId="53" xfId="51" applyNumberFormat="1" applyFont="1" applyFill="1" applyBorder="1" applyAlignment="1">
      <alignment horizontal="right"/>
    </xf>
    <xf numFmtId="168" fontId="4" fillId="0" borderId="0" xfId="51" applyNumberFormat="1" applyFont="1" applyFill="1" applyBorder="1" applyAlignment="1">
      <alignment horizontal="right"/>
    </xf>
    <xf numFmtId="2" fontId="4" fillId="0" borderId="0" xfId="46" applyNumberFormat="1" applyFont="1" applyFill="1" applyBorder="1" applyAlignment="1">
      <alignment horizontal="center"/>
    </xf>
    <xf numFmtId="8" fontId="4" fillId="0" borderId="0" xfId="46" applyNumberFormat="1" applyFont="1" applyFill="1"/>
    <xf numFmtId="44" fontId="4" fillId="0" borderId="0" xfId="32" applyFont="1" applyFill="1"/>
    <xf numFmtId="44" fontId="4" fillId="0" borderId="0" xfId="46" applyNumberFormat="1" applyFont="1" applyFill="1"/>
    <xf numFmtId="44" fontId="4" fillId="0" borderId="0" xfId="32" applyFont="1" applyFill="1" applyAlignment="1">
      <alignment horizontal="center"/>
    </xf>
    <xf numFmtId="2" fontId="4" fillId="0" borderId="0" xfId="46" applyNumberFormat="1" applyFont="1" applyFill="1" applyAlignment="1">
      <alignment horizontal="center"/>
    </xf>
    <xf numFmtId="0" fontId="4" fillId="0" borderId="0" xfId="46" applyFont="1" applyFill="1" applyBorder="1" applyAlignment="1">
      <alignment horizontal="right"/>
    </xf>
    <xf numFmtId="0" fontId="4" fillId="0" borderId="0" xfId="46" applyFont="1" applyFill="1" applyBorder="1" applyAlignment="1"/>
    <xf numFmtId="168" fontId="4" fillId="0" borderId="0" xfId="51" applyNumberFormat="1" applyFont="1" applyFill="1" applyBorder="1"/>
    <xf numFmtId="2" fontId="4" fillId="26" borderId="0" xfId="46" applyNumberFormat="1" applyFont="1" applyFill="1" applyAlignment="1">
      <alignment horizontal="center"/>
    </xf>
    <xf numFmtId="0" fontId="30" fillId="0" borderId="0" xfId="47" applyFont="1" applyFill="1"/>
    <xf numFmtId="0" fontId="30" fillId="0" borderId="0" xfId="46" applyFont="1" applyFill="1"/>
    <xf numFmtId="0" fontId="50" fillId="0" borderId="0" xfId="46" applyFont="1" applyFill="1" applyAlignment="1">
      <alignment horizontal="right"/>
    </xf>
    <xf numFmtId="0" fontId="50" fillId="0" borderId="0" xfId="46" applyFont="1" applyFill="1"/>
    <xf numFmtId="0" fontId="4" fillId="0" borderId="0" xfId="46" applyFont="1" applyFill="1"/>
    <xf numFmtId="0" fontId="8" fillId="0" borderId="0" xfId="46" applyFont="1" applyFill="1"/>
    <xf numFmtId="0" fontId="31" fillId="0" borderId="0" xfId="47" applyFont="1" applyFill="1"/>
    <xf numFmtId="0" fontId="30" fillId="0" borderId="0" xfId="46" applyFont="1" applyFill="1" applyAlignment="1">
      <alignment wrapText="1"/>
    </xf>
    <xf numFmtId="8" fontId="4" fillId="0" borderId="52" xfId="31" applyNumberFormat="1" applyFont="1" applyFill="1" applyBorder="1"/>
    <xf numFmtId="8" fontId="46" fillId="0" borderId="0" xfId="0" applyNumberFormat="1" applyFont="1"/>
    <xf numFmtId="44" fontId="4" fillId="0" borderId="10" xfId="31" applyFont="1" applyFill="1" applyBorder="1" applyAlignment="1">
      <alignment horizontal="right"/>
    </xf>
    <xf numFmtId="0" fontId="36" fillId="0" borderId="14" xfId="59" applyFont="1" applyBorder="1" applyAlignment="1">
      <alignment horizontal="center" wrapText="1"/>
    </xf>
    <xf numFmtId="0" fontId="36" fillId="0" borderId="26" xfId="59" applyFont="1" applyBorder="1" applyAlignment="1">
      <alignment horizontal="center" wrapText="1"/>
    </xf>
    <xf numFmtId="0" fontId="36" fillId="0" borderId="35" xfId="59" applyFont="1" applyBorder="1" applyAlignment="1">
      <alignment horizontal="center" wrapText="1"/>
    </xf>
    <xf numFmtId="0" fontId="36" fillId="0" borderId="36" xfId="59" applyFont="1" applyBorder="1" applyAlignment="1">
      <alignment horizontal="center" wrapText="1"/>
    </xf>
    <xf numFmtId="0" fontId="36" fillId="0" borderId="37" xfId="59" applyFont="1" applyBorder="1" applyAlignment="1">
      <alignment horizontal="center" wrapText="1"/>
    </xf>
    <xf numFmtId="0" fontId="36" fillId="0" borderId="18" xfId="59" applyFont="1" applyBorder="1"/>
    <xf numFmtId="0" fontId="36" fillId="0" borderId="55" xfId="59" applyFont="1" applyFill="1" applyBorder="1" applyAlignment="1">
      <alignment horizontal="center" wrapText="1"/>
    </xf>
    <xf numFmtId="0" fontId="36" fillId="0" borderId="42" xfId="59" applyFont="1" applyBorder="1" applyAlignment="1">
      <alignment horizontal="center" wrapText="1"/>
    </xf>
    <xf numFmtId="0" fontId="36" fillId="0" borderId="19" xfId="59" applyFont="1" applyBorder="1" applyAlignment="1">
      <alignment horizontal="center" wrapText="1"/>
    </xf>
    <xf numFmtId="9" fontId="36" fillId="0" borderId="29" xfId="59" applyNumberFormat="1" applyFont="1" applyBorder="1" applyAlignment="1">
      <alignment horizontal="center" wrapText="1"/>
    </xf>
    <xf numFmtId="9" fontId="36" fillId="0" borderId="38" xfId="59" applyNumberFormat="1" applyFont="1" applyBorder="1" applyAlignment="1">
      <alignment horizontal="center" wrapText="1"/>
    </xf>
    <xf numFmtId="9" fontId="36" fillId="0" borderId="39" xfId="59" applyNumberFormat="1" applyFont="1" applyBorder="1" applyAlignment="1">
      <alignment horizontal="center" wrapText="1"/>
    </xf>
    <xf numFmtId="0" fontId="36" fillId="0" borderId="40" xfId="59" applyFont="1" applyBorder="1"/>
    <xf numFmtId="44" fontId="4" fillId="0" borderId="25" xfId="60" applyNumberFormat="1" applyFont="1" applyBorder="1"/>
    <xf numFmtId="44" fontId="4" fillId="0" borderId="27" xfId="60" applyNumberFormat="1" applyFont="1" applyBorder="1"/>
    <xf numFmtId="170" fontId="36" fillId="0" borderId="32" xfId="31" applyNumberFormat="1" applyFont="1" applyBorder="1"/>
    <xf numFmtId="170" fontId="36" fillId="0" borderId="33" xfId="31" applyNumberFormat="1" applyFont="1" applyBorder="1"/>
    <xf numFmtId="170" fontId="4" fillId="0" borderId="34" xfId="31" applyNumberFormat="1" applyFont="1" applyBorder="1"/>
    <xf numFmtId="0" fontId="36" fillId="0" borderId="24" xfId="59" applyFont="1" applyBorder="1"/>
    <xf numFmtId="170" fontId="36" fillId="0" borderId="12" xfId="31" applyNumberFormat="1" applyFont="1" applyBorder="1"/>
    <xf numFmtId="170" fontId="4" fillId="0" borderId="13" xfId="31" applyNumberFormat="1" applyFont="1" applyBorder="1"/>
    <xf numFmtId="44" fontId="4" fillId="0" borderId="22" xfId="60" applyFont="1" applyBorder="1"/>
    <xf numFmtId="0" fontId="36" fillId="0" borderId="23" xfId="59" applyFont="1" applyBorder="1"/>
    <xf numFmtId="0" fontId="36" fillId="0" borderId="22" xfId="59" applyFont="1" applyBorder="1"/>
    <xf numFmtId="44" fontId="4" fillId="0" borderId="22" xfId="60" applyFont="1" applyFill="1" applyBorder="1"/>
    <xf numFmtId="44" fontId="4" fillId="0" borderId="28" xfId="60" applyFont="1" applyBorder="1"/>
    <xf numFmtId="44" fontId="4" fillId="0" borderId="43" xfId="60" applyFont="1" applyBorder="1"/>
    <xf numFmtId="44" fontId="4" fillId="0" borderId="63" xfId="60" applyNumberFormat="1" applyFont="1" applyBorder="1"/>
    <xf numFmtId="170" fontId="36" fillId="0" borderId="43" xfId="31" applyNumberFormat="1" applyFont="1" applyBorder="1"/>
    <xf numFmtId="170" fontId="36" fillId="0" borderId="44" xfId="31" applyNumberFormat="1" applyFont="1" applyBorder="1"/>
    <xf numFmtId="170" fontId="4" fillId="0" borderId="45" xfId="31" applyNumberFormat="1" applyFont="1" applyBorder="1"/>
    <xf numFmtId="0" fontId="36" fillId="0" borderId="0" xfId="59" applyFont="1" applyAlignment="1">
      <alignment horizontal="center" wrapText="1"/>
    </xf>
    <xf numFmtId="44" fontId="4" fillId="0" borderId="0" xfId="60" applyNumberFormat="1" applyFont="1"/>
    <xf numFmtId="44" fontId="4" fillId="0" borderId="49" xfId="31" applyFont="1" applyFill="1" applyBorder="1"/>
    <xf numFmtId="0" fontId="8" fillId="0" borderId="50" xfId="47" applyNumberFormat="1" applyFont="1" applyFill="1" applyBorder="1" applyAlignment="1">
      <alignment horizontal="center"/>
    </xf>
    <xf numFmtId="169" fontId="4" fillId="0" borderId="49" xfId="32" applyNumberFormat="1" applyFont="1" applyFill="1" applyBorder="1" applyAlignment="1">
      <alignment horizontal="center"/>
    </xf>
    <xf numFmtId="8" fontId="4" fillId="0" borderId="10" xfId="0" applyNumberFormat="1" applyFont="1" applyFill="1" applyBorder="1"/>
    <xf numFmtId="0" fontId="4" fillId="0" borderId="0" xfId="0" applyFont="1" applyFill="1" applyBorder="1" applyAlignment="1">
      <alignment horizontal="center"/>
    </xf>
    <xf numFmtId="0" fontId="52" fillId="0" borderId="0" xfId="0" applyFont="1" applyAlignment="1">
      <alignment vertical="center"/>
    </xf>
    <xf numFmtId="0" fontId="55" fillId="32" borderId="20" xfId="0" applyFont="1" applyFill="1" applyBorder="1" applyAlignment="1">
      <alignment vertical="center" wrapText="1"/>
    </xf>
    <xf numFmtId="0" fontId="54" fillId="32" borderId="19" xfId="0" applyFont="1" applyFill="1" applyBorder="1" applyAlignment="1">
      <alignment vertical="center" wrapText="1"/>
    </xf>
    <xf numFmtId="0" fontId="57" fillId="33" borderId="20" xfId="0" applyFont="1" applyFill="1" applyBorder="1" applyAlignment="1">
      <alignment horizontal="center" vertical="center" wrapText="1"/>
    </xf>
    <xf numFmtId="0" fontId="53" fillId="0" borderId="19" xfId="0" applyFont="1" applyBorder="1" applyAlignment="1">
      <alignment horizontal="center" vertical="center" wrapText="1"/>
    </xf>
    <xf numFmtId="0" fontId="58" fillId="0" borderId="0" xfId="0" applyFont="1" applyAlignment="1">
      <alignment vertical="center"/>
    </xf>
    <xf numFmtId="0" fontId="61" fillId="0" borderId="0" xfId="0" applyFont="1" applyAlignment="1">
      <alignment vertical="center"/>
    </xf>
    <xf numFmtId="0" fontId="62" fillId="0" borderId="0" xfId="0" applyFont="1" applyAlignment="1">
      <alignment horizontal="left" vertical="center" indent="5"/>
    </xf>
    <xf numFmtId="0" fontId="64" fillId="0" borderId="0" xfId="59" applyFont="1"/>
    <xf numFmtId="0" fontId="4" fillId="0" borderId="0" xfId="31" applyNumberFormat="1" applyFont="1" applyBorder="1" applyAlignment="1">
      <alignment horizontal="center"/>
    </xf>
    <xf numFmtId="0" fontId="4" fillId="25" borderId="48" xfId="0" applyFont="1" applyFill="1" applyBorder="1" applyAlignment="1">
      <alignment vertical="center" wrapText="1"/>
    </xf>
    <xf numFmtId="0" fontId="4" fillId="25" borderId="48" xfId="0" applyFont="1" applyFill="1" applyBorder="1" applyAlignment="1">
      <alignment horizontal="left" vertical="center" wrapText="1"/>
    </xf>
    <xf numFmtId="0" fontId="36" fillId="0" borderId="0" xfId="59" applyFont="1" applyAlignment="1">
      <alignment wrapText="1"/>
    </xf>
    <xf numFmtId="0" fontId="36" fillId="0" borderId="41" xfId="59" applyFont="1" applyBorder="1" applyAlignment="1">
      <alignment horizontal="center"/>
    </xf>
    <xf numFmtId="0" fontId="36" fillId="0" borderId="11" xfId="59" applyFont="1" applyBorder="1" applyAlignment="1">
      <alignment horizontal="center"/>
    </xf>
    <xf numFmtId="0" fontId="36" fillId="0" borderId="57" xfId="59" applyFont="1" applyFill="1" applyBorder="1" applyAlignment="1">
      <alignment horizontal="center"/>
    </xf>
    <xf numFmtId="0" fontId="36" fillId="0" borderId="56" xfId="59" applyFont="1" applyFill="1" applyBorder="1" applyAlignment="1">
      <alignment horizontal="center"/>
    </xf>
    <xf numFmtId="44" fontId="4" fillId="0" borderId="0" xfId="0" applyNumberFormat="1" applyFont="1" applyFill="1" applyBorder="1"/>
    <xf numFmtId="0" fontId="8" fillId="0" borderId="0" xfId="0" applyFont="1" applyAlignment="1">
      <alignment horizontal="left"/>
    </xf>
    <xf numFmtId="0" fontId="53" fillId="0" borderId="67" xfId="0" applyFont="1" applyBorder="1" applyAlignment="1">
      <alignment horizontal="center" vertical="center"/>
    </xf>
    <xf numFmtId="0" fontId="53" fillId="0" borderId="61" xfId="0" applyFont="1" applyBorder="1" applyAlignment="1">
      <alignment horizontal="right" vertical="center" wrapText="1"/>
    </xf>
    <xf numFmtId="8" fontId="53" fillId="0" borderId="61" xfId="0" applyNumberFormat="1" applyFont="1" applyBorder="1" applyAlignment="1">
      <alignment horizontal="right" vertical="center"/>
    </xf>
    <xf numFmtId="0" fontId="53" fillId="0" borderId="61" xfId="0" applyFont="1" applyBorder="1" applyAlignment="1">
      <alignment horizontal="center" vertical="center"/>
    </xf>
    <xf numFmtId="0" fontId="36" fillId="0" borderId="71" xfId="59" applyFont="1" applyFill="1" applyBorder="1" applyAlignment="1">
      <alignment horizontal="center"/>
    </xf>
    <xf numFmtId="0" fontId="36" fillId="0" borderId="0" xfId="59" applyFont="1" applyFill="1" applyBorder="1" applyAlignment="1">
      <alignment horizontal="center"/>
    </xf>
    <xf numFmtId="0" fontId="36" fillId="0" borderId="28" xfId="59" applyFont="1" applyBorder="1"/>
    <xf numFmtId="44" fontId="4" fillId="0" borderId="72" xfId="60" applyFont="1" applyFill="1" applyBorder="1"/>
    <xf numFmtId="44" fontId="4" fillId="0" borderId="73" xfId="60" applyNumberFormat="1" applyFont="1" applyFill="1" applyBorder="1"/>
    <xf numFmtId="170" fontId="36" fillId="0" borderId="74" xfId="31" applyNumberFormat="1" applyFont="1" applyBorder="1"/>
    <xf numFmtId="0" fontId="36" fillId="34" borderId="10" xfId="59" applyFont="1" applyFill="1" applyBorder="1"/>
    <xf numFmtId="0" fontId="36" fillId="34" borderId="10" xfId="59" applyFont="1" applyFill="1" applyBorder="1" applyAlignment="1">
      <alignment horizontal="center"/>
    </xf>
    <xf numFmtId="44" fontId="36" fillId="34" borderId="10" xfId="59" applyNumberFormat="1" applyFont="1" applyFill="1" applyBorder="1"/>
    <xf numFmtId="0" fontId="4" fillId="34" borderId="10" xfId="0" applyFont="1" applyFill="1" applyBorder="1"/>
    <xf numFmtId="180" fontId="36" fillId="34" borderId="10" xfId="59" applyNumberFormat="1" applyFont="1" applyFill="1" applyBorder="1"/>
    <xf numFmtId="0" fontId="32" fillId="0" borderId="0" xfId="0" applyFont="1" applyAlignment="1">
      <alignment horizontal="right"/>
    </xf>
    <xf numFmtId="0" fontId="11" fillId="0" borderId="0" xfId="0" applyFont="1" applyAlignment="1">
      <alignment horizontal="right"/>
    </xf>
    <xf numFmtId="0" fontId="11" fillId="0" borderId="0" xfId="0" applyFont="1" applyBorder="1" applyAlignment="1">
      <alignment horizontal="right"/>
    </xf>
    <xf numFmtId="0" fontId="11" fillId="0" borderId="0" xfId="46" applyFont="1" applyFill="1" applyBorder="1" applyAlignment="1">
      <alignment horizontal="right"/>
    </xf>
    <xf numFmtId="0" fontId="4" fillId="0" borderId="0" xfId="0" applyFont="1" applyAlignment="1">
      <alignment horizontal="left" vertical="center" wrapText="1"/>
    </xf>
    <xf numFmtId="0" fontId="54" fillId="31" borderId="64" xfId="0" applyFont="1" applyFill="1" applyBorder="1" applyAlignment="1">
      <alignment horizontal="center" vertical="center" wrapText="1"/>
    </xf>
    <xf numFmtId="0" fontId="54" fillId="31" borderId="65" xfId="0" applyFont="1" applyFill="1" applyBorder="1" applyAlignment="1">
      <alignment horizontal="center" vertical="center" wrapText="1"/>
    </xf>
    <xf numFmtId="0" fontId="54" fillId="31" borderId="66" xfId="0" applyFont="1" applyFill="1" applyBorder="1" applyAlignment="1">
      <alignment horizontal="center" vertical="center" wrapText="1"/>
    </xf>
    <xf numFmtId="0" fontId="53" fillId="0" borderId="0" xfId="0" applyFont="1" applyAlignment="1">
      <alignment horizontal="left" vertical="top" wrapText="1"/>
    </xf>
    <xf numFmtId="0" fontId="57" fillId="0" borderId="0" xfId="0" applyFont="1" applyAlignment="1">
      <alignment horizontal="left" vertical="top" wrapText="1"/>
    </xf>
    <xf numFmtId="0" fontId="36" fillId="0" borderId="21" xfId="59" applyFont="1" applyBorder="1" applyAlignment="1">
      <alignment horizontal="center"/>
    </xf>
    <xf numFmtId="0" fontId="36" fillId="0" borderId="68" xfId="59" applyFont="1" applyBorder="1" applyAlignment="1">
      <alignment horizontal="center" wrapText="1"/>
    </xf>
    <xf numFmtId="0" fontId="36" fillId="0" borderId="69" xfId="59" applyFont="1" applyBorder="1" applyAlignment="1">
      <alignment horizontal="center" wrapText="1"/>
    </xf>
    <xf numFmtId="0" fontId="36" fillId="0" borderId="70" xfId="59" applyFont="1" applyBorder="1" applyAlignment="1">
      <alignment horizontal="center" wrapText="1"/>
    </xf>
    <xf numFmtId="0" fontId="42" fillId="0" borderId="58" xfId="63" applyFont="1" applyBorder="1" applyAlignment="1">
      <alignment horizontal="center" vertical="center"/>
    </xf>
    <xf numFmtId="0" fontId="42" fillId="0" borderId="0" xfId="63" applyFont="1" applyBorder="1" applyAlignment="1">
      <alignment horizontal="center" vertical="center"/>
    </xf>
    <xf numFmtId="0" fontId="42" fillId="0" borderId="54" xfId="63" applyFont="1" applyBorder="1" applyAlignment="1">
      <alignment horizontal="center" vertical="center"/>
    </xf>
  </cellXfs>
  <cellStyles count="6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12.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0-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5.emf"/><Relationship Id="rId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574040</xdr:colOff>
          <xdr:row>2</xdr:row>
          <xdr:rowOff>93980</xdr:rowOff>
        </xdr:from>
        <xdr:to>
          <xdr:col>6</xdr:col>
          <xdr:colOff>741680</xdr:colOff>
          <xdr:row>3</xdr:row>
          <xdr:rowOff>66040</xdr:rowOff>
        </xdr:to>
        <xdr:sp macro="" textlink="">
          <xdr:nvSpPr>
            <xdr:cNvPr id="5121" name="Control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93980</xdr:rowOff>
        </xdr:from>
        <xdr:to>
          <xdr:col>6</xdr:col>
          <xdr:colOff>1130300</xdr:colOff>
          <xdr:row>3</xdr:row>
          <xdr:rowOff>66040</xdr:rowOff>
        </xdr:to>
        <xdr:sp macro="" textlink="">
          <xdr:nvSpPr>
            <xdr:cNvPr id="5122" name="Control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93980</xdr:rowOff>
        </xdr:from>
        <xdr:to>
          <xdr:col>6</xdr:col>
          <xdr:colOff>1130300</xdr:colOff>
          <xdr:row>3</xdr:row>
          <xdr:rowOff>66040</xdr:rowOff>
        </xdr:to>
        <xdr:sp macro="" textlink="">
          <xdr:nvSpPr>
            <xdr:cNvPr id="5123" name="Control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93980</xdr:rowOff>
        </xdr:from>
        <xdr:to>
          <xdr:col>6</xdr:col>
          <xdr:colOff>1145540</xdr:colOff>
          <xdr:row>3</xdr:row>
          <xdr:rowOff>127000</xdr:rowOff>
        </xdr:to>
        <xdr:sp macro="" textlink="">
          <xdr:nvSpPr>
            <xdr:cNvPr id="5124" name="Control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358140</xdr:colOff>
          <xdr:row>1</xdr:row>
          <xdr:rowOff>0</xdr:rowOff>
        </xdr:from>
        <xdr:to>
          <xdr:col>2</xdr:col>
          <xdr:colOff>464820</xdr:colOff>
          <xdr:row>1</xdr:row>
          <xdr:rowOff>114300</xdr:rowOff>
        </xdr:to>
        <xdr:sp macro="" textlink="">
          <xdr:nvSpPr>
            <xdr:cNvPr id="12289" name="Control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xdr:row>
          <xdr:rowOff>0</xdr:rowOff>
        </xdr:from>
        <xdr:to>
          <xdr:col>2</xdr:col>
          <xdr:colOff>723900</xdr:colOff>
          <xdr:row>1</xdr:row>
          <xdr:rowOff>114300</xdr:rowOff>
        </xdr:to>
        <xdr:sp macro="" textlink="">
          <xdr:nvSpPr>
            <xdr:cNvPr id="12290" name="Control 2" hidden="1">
              <a:extLst>
                <a:ext uri="{63B3BB69-23CF-44E3-9099-C40C66FF867C}">
                  <a14:compatExt spid="_x0000_s12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xdr:row>
          <xdr:rowOff>0</xdr:rowOff>
        </xdr:from>
        <xdr:to>
          <xdr:col>2</xdr:col>
          <xdr:colOff>723900</xdr:colOff>
          <xdr:row>1</xdr:row>
          <xdr:rowOff>114300</xdr:rowOff>
        </xdr:to>
        <xdr:sp macro="" textlink="">
          <xdr:nvSpPr>
            <xdr:cNvPr id="12291" name="Control 3"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xdr:row>
          <xdr:rowOff>0</xdr:rowOff>
        </xdr:from>
        <xdr:to>
          <xdr:col>2</xdr:col>
          <xdr:colOff>731520</xdr:colOff>
          <xdr:row>1</xdr:row>
          <xdr:rowOff>152400</xdr:rowOff>
        </xdr:to>
        <xdr:sp macro="" textlink="">
          <xdr:nvSpPr>
            <xdr:cNvPr id="12292" name="Control 4" hidden="1">
              <a:extLst>
                <a:ext uri="{63B3BB69-23CF-44E3-9099-C40C66FF867C}">
                  <a14:compatExt spid="_x0000_s1229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358140</xdr:colOff>
          <xdr:row>1</xdr:row>
          <xdr:rowOff>0</xdr:rowOff>
        </xdr:from>
        <xdr:to>
          <xdr:col>2</xdr:col>
          <xdr:colOff>464820</xdr:colOff>
          <xdr:row>1</xdr:row>
          <xdr:rowOff>114300</xdr:rowOff>
        </xdr:to>
        <xdr:sp macro="" textlink="">
          <xdr:nvSpPr>
            <xdr:cNvPr id="13313" name="Control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xdr:row>
          <xdr:rowOff>0</xdr:rowOff>
        </xdr:from>
        <xdr:to>
          <xdr:col>2</xdr:col>
          <xdr:colOff>723900</xdr:colOff>
          <xdr:row>1</xdr:row>
          <xdr:rowOff>114300</xdr:rowOff>
        </xdr:to>
        <xdr:sp macro="" textlink="">
          <xdr:nvSpPr>
            <xdr:cNvPr id="13314" name="Control 2" hidden="1">
              <a:extLst>
                <a:ext uri="{63B3BB69-23CF-44E3-9099-C40C66FF867C}">
                  <a14:compatExt spid="_x0000_s13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xdr:row>
          <xdr:rowOff>0</xdr:rowOff>
        </xdr:from>
        <xdr:to>
          <xdr:col>2</xdr:col>
          <xdr:colOff>723900</xdr:colOff>
          <xdr:row>1</xdr:row>
          <xdr:rowOff>114300</xdr:rowOff>
        </xdr:to>
        <xdr:sp macro="" textlink="">
          <xdr:nvSpPr>
            <xdr:cNvPr id="13315" name="Control 3" hidden="1">
              <a:extLst>
                <a:ext uri="{63B3BB69-23CF-44E3-9099-C40C66FF867C}">
                  <a14:compatExt spid="_x0000_s13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xdr:row>
          <xdr:rowOff>0</xdr:rowOff>
        </xdr:from>
        <xdr:to>
          <xdr:col>2</xdr:col>
          <xdr:colOff>731520</xdr:colOff>
          <xdr:row>1</xdr:row>
          <xdr:rowOff>152400</xdr:rowOff>
        </xdr:to>
        <xdr:sp macro="" textlink="">
          <xdr:nvSpPr>
            <xdr:cNvPr id="13316" name="Control 4" hidden="1">
              <a:extLst>
                <a:ext uri="{63B3BB69-23CF-44E3-9099-C40C66FF867C}">
                  <a14:compatExt spid="_x0000_s13316"/>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2.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customProperty" Target="../customProperty7.bin"/><Relationship Id="rId1" Type="http://schemas.openxmlformats.org/officeDocument/2006/relationships/printerSettings" Target="../printerSettings/printerSettings11.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12.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drawing" Target="../drawings/drawing3.xml"/><Relationship Id="rId7" Type="http://schemas.openxmlformats.org/officeDocument/2006/relationships/control" Target="../activeX/activeX6.xml"/><Relationship Id="rId12" Type="http://schemas.openxmlformats.org/officeDocument/2006/relationships/image" Target="../media/image8.emf"/><Relationship Id="rId2" Type="http://schemas.openxmlformats.org/officeDocument/2006/relationships/customProperty" Target="../customProperty8.bin"/><Relationship Id="rId1" Type="http://schemas.openxmlformats.org/officeDocument/2006/relationships/printerSettings" Target="../printerSettings/printerSettings12.bin"/><Relationship Id="rId6" Type="http://schemas.openxmlformats.org/officeDocument/2006/relationships/image" Target="../media/image5.emf"/><Relationship Id="rId11" Type="http://schemas.openxmlformats.org/officeDocument/2006/relationships/control" Target="../activeX/activeX8.xml"/><Relationship Id="rId5" Type="http://schemas.openxmlformats.org/officeDocument/2006/relationships/control" Target="../activeX/activeX5.xml"/><Relationship Id="rId10" Type="http://schemas.openxmlformats.org/officeDocument/2006/relationships/image" Target="../media/image7.emf"/><Relationship Id="rId4" Type="http://schemas.openxmlformats.org/officeDocument/2006/relationships/vmlDrawing" Target="../drawings/vmlDrawing2.vml"/><Relationship Id="rId9" Type="http://schemas.openxmlformats.org/officeDocument/2006/relationships/control" Target="../activeX/activeX7.xml"/></Relationships>
</file>

<file path=xl/worksheets/_rels/sheet13.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drawing" Target="../drawings/drawing4.xml"/><Relationship Id="rId7" Type="http://schemas.openxmlformats.org/officeDocument/2006/relationships/control" Target="../activeX/activeX10.xml"/><Relationship Id="rId12" Type="http://schemas.openxmlformats.org/officeDocument/2006/relationships/image" Target="../media/image11.emf"/><Relationship Id="rId2" Type="http://schemas.openxmlformats.org/officeDocument/2006/relationships/customProperty" Target="../customProperty9.bin"/><Relationship Id="rId1" Type="http://schemas.openxmlformats.org/officeDocument/2006/relationships/printerSettings" Target="../printerSettings/printerSettings13.bin"/><Relationship Id="rId6" Type="http://schemas.openxmlformats.org/officeDocument/2006/relationships/image" Target="../media/image5.emf"/><Relationship Id="rId11" Type="http://schemas.openxmlformats.org/officeDocument/2006/relationships/control" Target="../activeX/activeX12.xml"/><Relationship Id="rId5" Type="http://schemas.openxmlformats.org/officeDocument/2006/relationships/control" Target="../activeX/activeX9.xml"/><Relationship Id="rId10" Type="http://schemas.openxmlformats.org/officeDocument/2006/relationships/image" Target="../media/image10.emf"/><Relationship Id="rId4" Type="http://schemas.openxmlformats.org/officeDocument/2006/relationships/vmlDrawing" Target="../drawings/vmlDrawing3.vml"/><Relationship Id="rId9" Type="http://schemas.openxmlformats.org/officeDocument/2006/relationships/control" Target="../activeX/activeX11.xml"/></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9.bin"/><Relationship Id="rId1" Type="http://schemas.openxmlformats.org/officeDocument/2006/relationships/hyperlink" Target="http://www.oatioasis.com/webSmartOASIS/HomePage?ProviderName=PSEI&amp;Homepage=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zoomScale="70" zoomScaleNormal="70" workbookViewId="0">
      <selection activeCell="C2" sqref="C2"/>
    </sheetView>
  </sheetViews>
  <sheetFormatPr defaultColWidth="9.109375" defaultRowHeight="15" x14ac:dyDescent="0.25"/>
  <cols>
    <col min="1" max="1" width="2.6640625" style="81" customWidth="1"/>
    <col min="2" max="2" width="5" style="81" customWidth="1"/>
    <col min="3" max="3" width="46.6640625" style="81" customWidth="1"/>
    <col min="4" max="4" width="2.6640625" style="81" customWidth="1"/>
    <col min="5" max="22" width="12.6640625" style="81" customWidth="1"/>
    <col min="23" max="23" width="2.6640625" style="81" customWidth="1"/>
    <col min="24" max="25" width="12.6640625" style="81" customWidth="1"/>
    <col min="26" max="29" width="12.33203125" style="81" customWidth="1"/>
    <col min="30" max="16384" width="9.109375" style="81"/>
  </cols>
  <sheetData>
    <row r="2" spans="2:29" ht="19.5" customHeight="1" x14ac:dyDescent="0.3">
      <c r="C2" s="301" t="s">
        <v>145</v>
      </c>
      <c r="D2" s="301"/>
      <c r="E2" s="301"/>
      <c r="F2" s="301"/>
      <c r="G2" s="301"/>
      <c r="H2" s="301"/>
      <c r="I2" s="301"/>
      <c r="J2" s="301"/>
      <c r="K2" s="301"/>
      <c r="L2" s="301"/>
    </row>
    <row r="3" spans="2:29" ht="15.6" x14ac:dyDescent="0.3">
      <c r="C3" s="67" t="s">
        <v>146</v>
      </c>
    </row>
    <row r="4" spans="2:29" s="141" customFormat="1" ht="45" x14ac:dyDescent="0.25">
      <c r="B4" s="140"/>
      <c r="C4" s="176" t="s">
        <v>0</v>
      </c>
      <c r="D4" s="176"/>
      <c r="E4" s="176" t="s">
        <v>1</v>
      </c>
      <c r="F4" s="176" t="s">
        <v>2</v>
      </c>
      <c r="G4" s="176" t="s">
        <v>3</v>
      </c>
      <c r="H4" s="176" t="s">
        <v>4</v>
      </c>
      <c r="I4" s="176" t="s">
        <v>5</v>
      </c>
      <c r="J4" s="176" t="s">
        <v>6</v>
      </c>
      <c r="K4" s="176" t="s">
        <v>7</v>
      </c>
      <c r="L4" s="177" t="s">
        <v>14</v>
      </c>
      <c r="M4" s="177"/>
    </row>
    <row r="5" spans="2:29" x14ac:dyDescent="0.25">
      <c r="C5" s="179"/>
      <c r="D5" s="180"/>
      <c r="E5" s="181">
        <v>5</v>
      </c>
      <c r="F5" s="182">
        <v>1</v>
      </c>
      <c r="G5" s="183" t="s">
        <v>8</v>
      </c>
      <c r="H5" s="184">
        <f>'Electric EES CE Std Energy'!D13</f>
        <v>2.148959418736375E-2</v>
      </c>
      <c r="I5" s="185">
        <f>'Electric EES CE Std Capacity'!E13</f>
        <v>5.785053137167556E-3</v>
      </c>
      <c r="J5" s="185">
        <f>H5+I5</f>
        <v>2.7274647324531307E-2</v>
      </c>
      <c r="K5" s="186">
        <f>J5</f>
        <v>2.7274647324531307E-2</v>
      </c>
      <c r="L5" s="187">
        <f>K5*1000</f>
        <v>27.274647324531308</v>
      </c>
      <c r="M5" s="170"/>
    </row>
    <row r="6" spans="2:29" ht="15.6" x14ac:dyDescent="0.3">
      <c r="C6" s="178"/>
      <c r="D6" s="178"/>
      <c r="E6" s="144"/>
      <c r="F6" s="144"/>
      <c r="G6" s="144"/>
      <c r="H6" s="47"/>
      <c r="I6" s="146"/>
      <c r="J6" s="47"/>
      <c r="K6" s="146"/>
      <c r="L6" s="146">
        <f>L5*(1-M6)</f>
        <v>26.45640790479537</v>
      </c>
      <c r="M6" s="147">
        <v>0.03</v>
      </c>
      <c r="N6" s="148" t="s">
        <v>46</v>
      </c>
    </row>
    <row r="7" spans="2:29" x14ac:dyDescent="0.25">
      <c r="C7" s="149"/>
      <c r="D7" s="145"/>
      <c r="H7" s="63"/>
      <c r="I7" s="143"/>
      <c r="J7" s="63"/>
      <c r="K7" s="143"/>
      <c r="L7" s="143"/>
      <c r="M7" s="144"/>
    </row>
    <row r="8" spans="2:29" ht="15.6" x14ac:dyDescent="0.3">
      <c r="C8" s="144"/>
      <c r="D8" s="144"/>
      <c r="E8" s="144"/>
      <c r="F8" s="144"/>
      <c r="G8" s="144"/>
      <c r="H8" s="150"/>
      <c r="I8" s="150"/>
      <c r="J8" s="150"/>
      <c r="K8" s="150"/>
      <c r="L8" s="150"/>
      <c r="M8" s="150"/>
      <c r="N8" s="150"/>
      <c r="O8" s="150"/>
      <c r="P8" s="150"/>
      <c r="S8" s="150"/>
      <c r="T8" s="150"/>
      <c r="U8" s="151"/>
      <c r="V8" s="151"/>
      <c r="X8" s="243" t="s">
        <v>105</v>
      </c>
      <c r="Y8" s="150"/>
      <c r="Z8" s="151"/>
      <c r="AA8" s="151"/>
      <c r="AB8" s="150"/>
      <c r="AC8" s="144"/>
    </row>
    <row r="9" spans="2:29" x14ac:dyDescent="0.25">
      <c r="C9" s="152" t="s">
        <v>9</v>
      </c>
      <c r="D9" s="152"/>
      <c r="E9" s="152"/>
      <c r="F9" s="153">
        <f>+L6</f>
        <v>26.45640790479537</v>
      </c>
      <c r="G9" s="153">
        <f t="shared" ref="G9:J9" si="0">F9</f>
        <v>26.45640790479537</v>
      </c>
      <c r="H9" s="153">
        <f t="shared" si="0"/>
        <v>26.45640790479537</v>
      </c>
      <c r="I9" s="153">
        <f t="shared" si="0"/>
        <v>26.45640790479537</v>
      </c>
      <c r="J9" s="153">
        <f t="shared" si="0"/>
        <v>26.45640790479537</v>
      </c>
      <c r="K9" s="150"/>
      <c r="L9" s="150"/>
      <c r="M9" s="150"/>
      <c r="N9" s="150"/>
      <c r="O9" s="151"/>
      <c r="P9" s="63"/>
      <c r="S9" s="63"/>
      <c r="T9" s="63"/>
      <c r="U9" s="63"/>
      <c r="X9" s="242">
        <f>NPV(Rate_of_Return,F9:J9)</f>
        <v>106.75583666077078</v>
      </c>
      <c r="Y9" s="242">
        <f>-PMT(Rate_of_Return,E5,X9)</f>
        <v>26.456407904795359</v>
      </c>
    </row>
    <row r="10" spans="2:29" x14ac:dyDescent="0.25">
      <c r="C10" s="144"/>
      <c r="D10" s="144"/>
      <c r="E10" s="144"/>
      <c r="F10" s="154"/>
      <c r="G10" s="154"/>
      <c r="H10" s="154"/>
      <c r="I10" s="154"/>
      <c r="J10" s="154"/>
      <c r="K10" s="150"/>
      <c r="L10" s="150"/>
      <c r="M10" s="150"/>
      <c r="N10" s="150"/>
      <c r="O10" s="151"/>
      <c r="P10" s="63"/>
      <c r="S10" s="63"/>
      <c r="T10" s="63"/>
      <c r="U10" s="63"/>
      <c r="X10" s="47"/>
      <c r="Y10" s="47"/>
    </row>
    <row r="11" spans="2:29" x14ac:dyDescent="0.25">
      <c r="C11" s="81" t="s">
        <v>76</v>
      </c>
      <c r="F11" s="292">
        <v>1</v>
      </c>
      <c r="G11" s="292">
        <v>2</v>
      </c>
      <c r="H11" s="292">
        <v>3</v>
      </c>
      <c r="I11" s="292">
        <v>4</v>
      </c>
      <c r="J11" s="292">
        <v>5</v>
      </c>
      <c r="K11" s="292">
        <v>6</v>
      </c>
      <c r="L11" s="292">
        <v>7</v>
      </c>
      <c r="M11" s="150"/>
      <c r="N11" s="150"/>
      <c r="O11" s="151"/>
      <c r="P11" s="63"/>
      <c r="S11" s="63"/>
      <c r="T11" s="63"/>
      <c r="U11" s="63"/>
      <c r="X11" s="63"/>
      <c r="Y11" s="63"/>
    </row>
    <row r="12" spans="2:29" ht="15.6" x14ac:dyDescent="0.3">
      <c r="C12" s="144"/>
      <c r="D12" s="142"/>
      <c r="E12" s="144"/>
      <c r="F12" s="155">
        <f>'Energy Prices'!$C$6</f>
        <v>2019</v>
      </c>
      <c r="G12" s="155">
        <f>F12+1</f>
        <v>2020</v>
      </c>
      <c r="H12" s="155">
        <f>G12+1</f>
        <v>2021</v>
      </c>
      <c r="I12" s="155">
        <f t="shared" ref="I12:L12" si="1">H12+1</f>
        <v>2022</v>
      </c>
      <c r="J12" s="155">
        <f t="shared" si="1"/>
        <v>2023</v>
      </c>
      <c r="K12" s="155">
        <f t="shared" si="1"/>
        <v>2024</v>
      </c>
      <c r="L12" s="155">
        <f t="shared" si="1"/>
        <v>2025</v>
      </c>
      <c r="M12" s="150"/>
      <c r="N12" s="150"/>
      <c r="O12" s="151"/>
      <c r="P12" s="282"/>
      <c r="S12" s="151"/>
      <c r="T12" s="151"/>
      <c r="U12" s="151"/>
      <c r="X12" s="243" t="s">
        <v>105</v>
      </c>
      <c r="Y12" s="47"/>
    </row>
    <row r="13" spans="2:29" ht="52.95" customHeight="1" x14ac:dyDescent="0.25">
      <c r="B13" s="144"/>
      <c r="C13" s="293" t="s">
        <v>111</v>
      </c>
      <c r="D13" s="144"/>
      <c r="F13" s="192">
        <f>F$9*F$20</f>
        <v>25.257317429341267</v>
      </c>
      <c r="G13" s="193">
        <f t="shared" ref="G13:J13" si="2">G$9*G$20</f>
        <v>25.888750365074795</v>
      </c>
      <c r="H13" s="194">
        <f t="shared" si="2"/>
        <v>26.53596912420166</v>
      </c>
      <c r="I13" s="194">
        <f t="shared" si="2"/>
        <v>27.199368352306703</v>
      </c>
      <c r="J13" s="194">
        <f t="shared" si="2"/>
        <v>27.87935256111437</v>
      </c>
      <c r="K13" s="281">
        <f>J13*1.025</f>
        <v>28.576336375142226</v>
      </c>
      <c r="L13" s="281">
        <f>K13*1.025</f>
        <v>29.290744784520779</v>
      </c>
      <c r="M13" s="150"/>
      <c r="N13" s="150"/>
      <c r="O13" s="151"/>
      <c r="P13" s="157"/>
      <c r="S13" s="157"/>
      <c r="T13" s="157"/>
      <c r="U13" s="157"/>
      <c r="X13" s="242">
        <f>NPV(Rate_of_Return,F13:J13)</f>
        <v>106.75583666077081</v>
      </c>
      <c r="Y13" s="242">
        <f>-PMT(Rate_of_Return,E5,X13)</f>
        <v>26.45640790479537</v>
      </c>
    </row>
    <row r="14" spans="2:29" x14ac:dyDescent="0.25">
      <c r="C14" s="156"/>
      <c r="E14" s="159"/>
      <c r="F14" s="157"/>
      <c r="G14" s="157"/>
      <c r="H14" s="157"/>
      <c r="I14" s="157"/>
      <c r="J14" s="157"/>
      <c r="K14" s="150"/>
      <c r="L14" s="150"/>
      <c r="M14" s="150"/>
      <c r="N14" s="150"/>
      <c r="O14" s="151"/>
      <c r="P14" s="157"/>
      <c r="S14" s="151"/>
      <c r="T14" s="151"/>
      <c r="U14" s="151"/>
      <c r="V14" s="150"/>
      <c r="W14" s="144"/>
      <c r="X14" s="151"/>
      <c r="Y14" s="151"/>
    </row>
    <row r="15" spans="2:29" x14ac:dyDescent="0.25">
      <c r="C15" s="160"/>
      <c r="E15" s="159"/>
      <c r="F15" s="157"/>
      <c r="G15" s="157"/>
      <c r="H15" s="157"/>
      <c r="I15" s="157"/>
      <c r="J15" s="157"/>
      <c r="K15" s="150"/>
      <c r="L15" s="150"/>
      <c r="M15" s="150"/>
      <c r="N15" s="150"/>
      <c r="O15" s="151"/>
      <c r="P15" s="157"/>
      <c r="S15" s="151"/>
      <c r="T15" s="151"/>
      <c r="U15" s="151"/>
      <c r="V15" s="151"/>
      <c r="X15" s="151"/>
      <c r="Y15" s="151"/>
    </row>
    <row r="16" spans="2:29" x14ac:dyDescent="0.25">
      <c r="C16" s="81" t="s">
        <v>10</v>
      </c>
      <c r="K16" s="150"/>
      <c r="L16" s="150"/>
      <c r="M16" s="150"/>
      <c r="N16" s="150"/>
      <c r="O16" s="151"/>
    </row>
    <row r="17" spans="2:25" x14ac:dyDescent="0.25">
      <c r="K17" s="150"/>
      <c r="L17" s="150"/>
      <c r="M17" s="150"/>
      <c r="N17" s="150"/>
      <c r="O17" s="151"/>
    </row>
    <row r="18" spans="2:25" ht="15.6" x14ac:dyDescent="0.3">
      <c r="C18" s="144"/>
      <c r="D18" s="144"/>
      <c r="E18" s="144"/>
      <c r="F18" s="144"/>
      <c r="G18" s="144"/>
      <c r="H18" s="144"/>
      <c r="I18" s="144"/>
      <c r="J18" s="144"/>
      <c r="K18" s="150"/>
      <c r="L18" s="150"/>
      <c r="M18" s="150"/>
      <c r="N18" s="150"/>
      <c r="O18" s="151"/>
      <c r="X18" s="243" t="s">
        <v>105</v>
      </c>
      <c r="Y18" s="144"/>
    </row>
    <row r="19" spans="2:25" x14ac:dyDescent="0.25">
      <c r="C19" s="152" t="s">
        <v>11</v>
      </c>
      <c r="D19" s="152"/>
      <c r="E19" s="152"/>
      <c r="F19" s="171">
        <v>100</v>
      </c>
      <c r="G19" s="171">
        <f t="shared" ref="G19:J19" si="3">F19*1.025</f>
        <v>102.49999999999999</v>
      </c>
      <c r="H19" s="171">
        <f t="shared" si="3"/>
        <v>105.06249999999997</v>
      </c>
      <c r="I19" s="171">
        <f t="shared" si="3"/>
        <v>107.68906249999996</v>
      </c>
      <c r="J19" s="171">
        <f t="shared" si="3"/>
        <v>110.38128906249996</v>
      </c>
      <c r="K19" s="150"/>
      <c r="L19" s="150"/>
      <c r="M19" s="150"/>
      <c r="N19" s="150"/>
      <c r="O19" s="151"/>
      <c r="P19" s="161"/>
      <c r="S19" s="151"/>
      <c r="T19" s="151"/>
      <c r="U19" s="151"/>
      <c r="X19" s="196">
        <f>NPV(Rate_of_Return,F19:J19)</f>
        <v>422.67290245460998</v>
      </c>
      <c r="Y19" s="196">
        <f>-PMT(Rate_of_Return,E5,X19)</f>
        <v>104.74749734926769</v>
      </c>
    </row>
    <row r="20" spans="2:25" x14ac:dyDescent="0.25">
      <c r="C20" s="174" t="s">
        <v>12</v>
      </c>
      <c r="D20" s="174"/>
      <c r="E20" s="174"/>
      <c r="F20" s="175">
        <f>F19/$Y$19</f>
        <v>0.95467674675378889</v>
      </c>
      <c r="G20" s="175">
        <f>G19/$Y$19</f>
        <v>0.97854366542263349</v>
      </c>
      <c r="H20" s="175">
        <f>H19/$Y$19</f>
        <v>1.0030072570581992</v>
      </c>
      <c r="I20" s="175">
        <f>I19/$Y$19</f>
        <v>1.0280824384846541</v>
      </c>
      <c r="J20" s="175">
        <f>J19/$Y$19</f>
        <v>1.0537844994467704</v>
      </c>
      <c r="K20" s="150"/>
      <c r="L20" s="150"/>
      <c r="M20" s="150"/>
      <c r="N20" s="150"/>
      <c r="O20" s="151"/>
      <c r="P20" s="162"/>
      <c r="S20" s="151"/>
      <c r="T20" s="151"/>
      <c r="U20" s="151"/>
      <c r="X20" s="195">
        <f>NPV(Rate_of_Return,F20:J20)</f>
        <v>4.0351599145634864</v>
      </c>
      <c r="Y20" s="195">
        <f>-PMT(Rate_of_Return,E5,X20)</f>
        <v>1.0000000000000002</v>
      </c>
    </row>
    <row r="21" spans="2:25" x14ac:dyDescent="0.25">
      <c r="C21" s="144"/>
      <c r="D21" s="144"/>
      <c r="E21" s="172"/>
      <c r="F21" s="172"/>
      <c r="G21" s="172"/>
      <c r="H21" s="172"/>
      <c r="I21" s="172"/>
      <c r="J21" s="172"/>
      <c r="K21" s="172"/>
      <c r="L21" s="172"/>
      <c r="M21" s="173"/>
      <c r="N21" s="173"/>
      <c r="O21" s="173"/>
      <c r="P21" s="150"/>
      <c r="S21" s="150"/>
      <c r="T21" s="150"/>
      <c r="U21" s="151"/>
      <c r="W21" s="144"/>
      <c r="X21" s="150"/>
      <c r="Y21" s="150"/>
    </row>
    <row r="22" spans="2:25" x14ac:dyDescent="0.25">
      <c r="B22" s="163" t="s">
        <v>13</v>
      </c>
      <c r="C22" s="164"/>
      <c r="D22" s="165"/>
      <c r="E22" s="165"/>
      <c r="F22" s="165"/>
      <c r="G22" s="165"/>
      <c r="H22" s="165"/>
      <c r="I22" s="165"/>
      <c r="J22" s="165"/>
      <c r="K22" s="165"/>
      <c r="L22" s="165"/>
      <c r="M22" s="165"/>
      <c r="N22" s="165"/>
      <c r="O22" s="165"/>
      <c r="Y22" s="160"/>
    </row>
    <row r="23" spans="2:25" x14ac:dyDescent="0.25">
      <c r="B23" s="166">
        <v>1</v>
      </c>
      <c r="C23" s="165" t="s">
        <v>60</v>
      </c>
      <c r="D23" s="165"/>
      <c r="E23" s="165"/>
      <c r="F23" s="165"/>
      <c r="G23" s="165"/>
      <c r="H23" s="165"/>
      <c r="I23" s="165"/>
      <c r="J23" s="165"/>
      <c r="K23" s="165"/>
      <c r="L23" s="165"/>
      <c r="M23" s="165"/>
      <c r="N23" s="165"/>
      <c r="O23" s="165"/>
      <c r="Y23" s="156"/>
    </row>
    <row r="24" spans="2:25" x14ac:dyDescent="0.25">
      <c r="B24" s="166">
        <v>2</v>
      </c>
      <c r="C24" s="165" t="s">
        <v>138</v>
      </c>
      <c r="D24" s="165"/>
      <c r="E24" s="165"/>
      <c r="F24" s="165"/>
      <c r="G24" s="165"/>
      <c r="H24" s="165"/>
      <c r="I24" s="165"/>
      <c r="J24" s="165"/>
      <c r="K24" s="165"/>
      <c r="L24" s="165"/>
      <c r="M24" s="165"/>
      <c r="N24" s="165"/>
      <c r="O24" s="165"/>
      <c r="Y24" s="157"/>
    </row>
    <row r="25" spans="2:25" x14ac:dyDescent="0.25">
      <c r="B25" s="166">
        <v>3</v>
      </c>
      <c r="C25" s="165" t="s">
        <v>59</v>
      </c>
      <c r="D25" s="165"/>
      <c r="E25" s="165"/>
      <c r="F25" s="165"/>
      <c r="G25" s="165"/>
      <c r="H25" s="165"/>
      <c r="I25" s="165"/>
      <c r="J25" s="165"/>
      <c r="K25" s="165"/>
      <c r="L25" s="165"/>
      <c r="M25" s="165"/>
      <c r="N25" s="165"/>
      <c r="O25" s="165"/>
      <c r="Y25" s="167"/>
    </row>
    <row r="26" spans="2:25" x14ac:dyDescent="0.25">
      <c r="B26" s="166">
        <v>4</v>
      </c>
      <c r="C26" s="165" t="s">
        <v>70</v>
      </c>
      <c r="D26" s="165"/>
      <c r="E26" s="165"/>
      <c r="F26" s="165"/>
      <c r="G26" s="165"/>
      <c r="H26" s="165"/>
      <c r="I26" s="165"/>
      <c r="J26" s="165"/>
      <c r="K26" s="165"/>
      <c r="L26" s="165"/>
      <c r="M26" s="165"/>
      <c r="N26" s="165"/>
      <c r="O26" s="165"/>
      <c r="Y26" s="167"/>
    </row>
    <row r="27" spans="2:25" x14ac:dyDescent="0.25">
      <c r="B27" s="166">
        <v>5</v>
      </c>
      <c r="C27" s="165" t="s">
        <v>139</v>
      </c>
      <c r="D27" s="165"/>
      <c r="E27" s="165"/>
      <c r="F27" s="165"/>
      <c r="G27" s="165"/>
      <c r="H27" s="165"/>
      <c r="I27" s="165"/>
      <c r="J27" s="165"/>
      <c r="K27" s="165"/>
      <c r="L27" s="165"/>
      <c r="M27" s="165"/>
      <c r="N27" s="165"/>
      <c r="O27" s="165"/>
      <c r="Y27" s="156"/>
    </row>
    <row r="28" spans="2:25" x14ac:dyDescent="0.25">
      <c r="B28" s="166">
        <v>6</v>
      </c>
      <c r="C28" s="165" t="s">
        <v>140</v>
      </c>
      <c r="D28" s="165"/>
      <c r="E28" s="165"/>
      <c r="F28" s="165"/>
      <c r="G28" s="165"/>
      <c r="H28" s="165"/>
      <c r="I28" s="165"/>
      <c r="J28" s="165"/>
      <c r="K28" s="165"/>
      <c r="L28" s="165"/>
      <c r="M28" s="165"/>
      <c r="N28" s="165"/>
      <c r="O28" s="165"/>
      <c r="Y28" s="157"/>
    </row>
    <row r="29" spans="2:25" x14ac:dyDescent="0.25">
      <c r="B29" s="166">
        <v>7</v>
      </c>
      <c r="C29" s="165" t="s">
        <v>141</v>
      </c>
      <c r="D29" s="165"/>
      <c r="E29" s="165"/>
      <c r="F29" s="165"/>
      <c r="G29" s="165"/>
      <c r="H29" s="165"/>
      <c r="I29" s="165"/>
      <c r="J29" s="165"/>
      <c r="K29" s="165"/>
      <c r="L29" s="165"/>
      <c r="M29" s="165"/>
      <c r="N29" s="165"/>
      <c r="O29" s="165"/>
      <c r="P29" s="165"/>
      <c r="Q29" s="165"/>
    </row>
    <row r="30" spans="2:25" x14ac:dyDescent="0.25">
      <c r="B30" s="166">
        <v>8</v>
      </c>
      <c r="C30" s="165" t="s">
        <v>69</v>
      </c>
      <c r="D30" s="165"/>
      <c r="E30" s="165"/>
      <c r="F30" s="165"/>
      <c r="G30" s="165"/>
      <c r="H30" s="165"/>
      <c r="I30" s="165"/>
      <c r="J30" s="165"/>
      <c r="K30" s="165"/>
      <c r="L30" s="165"/>
      <c r="M30" s="165"/>
      <c r="N30" s="165"/>
      <c r="O30" s="165"/>
      <c r="P30" s="165"/>
      <c r="Q30" s="165"/>
    </row>
    <row r="31" spans="2:25" x14ac:dyDescent="0.25">
      <c r="B31" s="166">
        <v>9</v>
      </c>
      <c r="C31" s="165" t="s">
        <v>142</v>
      </c>
      <c r="D31" s="165"/>
      <c r="E31" s="165"/>
      <c r="F31" s="165"/>
      <c r="G31" s="165"/>
      <c r="H31" s="165"/>
      <c r="I31" s="165"/>
      <c r="J31" s="165"/>
      <c r="K31" s="165"/>
      <c r="L31" s="165"/>
      <c r="M31" s="165"/>
      <c r="N31" s="165"/>
      <c r="O31" s="165"/>
      <c r="P31" s="165"/>
      <c r="Q31" s="165"/>
    </row>
    <row r="32" spans="2:25" x14ac:dyDescent="0.25">
      <c r="B32" s="166">
        <v>10</v>
      </c>
      <c r="C32" s="81" t="s">
        <v>143</v>
      </c>
    </row>
    <row r="33" spans="2:20" x14ac:dyDescent="0.25">
      <c r="B33" s="166">
        <v>11</v>
      </c>
      <c r="C33" s="81" t="s">
        <v>144</v>
      </c>
    </row>
    <row r="34" spans="2:20" ht="15.6" x14ac:dyDescent="0.3">
      <c r="B34" s="168"/>
      <c r="C34" s="5"/>
      <c r="D34" s="5"/>
      <c r="E34" s="5"/>
      <c r="F34" s="5"/>
    </row>
    <row r="35" spans="2:20" ht="15.6" x14ac:dyDescent="0.3">
      <c r="B35" s="168"/>
      <c r="C35" s="5"/>
      <c r="D35" s="5"/>
      <c r="E35" s="5"/>
      <c r="F35" s="5"/>
    </row>
    <row r="37" spans="2:20" x14ac:dyDescent="0.25">
      <c r="F37" s="151"/>
      <c r="G37" s="169"/>
      <c r="H37" s="169"/>
      <c r="I37" s="169"/>
      <c r="J37" s="169"/>
      <c r="K37" s="169"/>
      <c r="L37" s="169"/>
      <c r="M37" s="169"/>
      <c r="N37" s="169"/>
      <c r="O37" s="169"/>
      <c r="P37" s="169"/>
      <c r="Q37" s="169"/>
      <c r="R37" s="169"/>
      <c r="S37" s="169"/>
      <c r="T37" s="169"/>
    </row>
    <row r="38" spans="2:20" x14ac:dyDescent="0.25">
      <c r="G38" s="169"/>
      <c r="H38" s="169"/>
      <c r="I38" s="169"/>
      <c r="J38" s="169"/>
      <c r="K38" s="169"/>
      <c r="L38" s="169"/>
      <c r="M38" s="169"/>
      <c r="N38" s="169"/>
      <c r="O38" s="169"/>
      <c r="P38" s="169"/>
      <c r="Q38" s="169"/>
      <c r="R38" s="169"/>
      <c r="S38" s="169"/>
      <c r="T38" s="169"/>
    </row>
    <row r="39" spans="2:20" x14ac:dyDescent="0.25">
      <c r="F39" s="151"/>
      <c r="G39" s="151"/>
      <c r="H39" s="151"/>
      <c r="I39" s="151"/>
      <c r="J39" s="151"/>
      <c r="K39" s="151"/>
      <c r="L39" s="151"/>
      <c r="M39" s="151"/>
      <c r="N39" s="151"/>
      <c r="O39" s="151"/>
      <c r="P39" s="151"/>
      <c r="Q39" s="151"/>
      <c r="R39" s="151"/>
      <c r="S39" s="151"/>
      <c r="T39" s="151"/>
    </row>
    <row r="40" spans="2:20" x14ac:dyDescent="0.25">
      <c r="D40" s="161"/>
    </row>
  </sheetData>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39997558519241921"/>
    <pageSetUpPr fitToPage="1"/>
  </sheetPr>
  <dimension ref="B2:M41"/>
  <sheetViews>
    <sheetView workbookViewId="0">
      <pane ySplit="8" topLeftCell="A9" activePane="bottomLeft" state="frozen"/>
      <selection activeCell="F13" sqref="F13"/>
      <selection pane="bottomLeft" activeCell="H27" sqref="H27"/>
    </sheetView>
  </sheetViews>
  <sheetFormatPr defaultRowHeight="13.2" x14ac:dyDescent="0.25"/>
  <cols>
    <col min="1" max="1" width="2.6640625" customWidth="1"/>
    <col min="2" max="2" width="11" customWidth="1"/>
    <col min="3" max="3" width="18.44140625" customWidth="1"/>
    <col min="4" max="4" width="13.88671875" customWidth="1"/>
    <col min="5" max="5" width="12.44140625" customWidth="1"/>
    <col min="6" max="6" width="2" customWidth="1"/>
    <col min="7" max="7" width="18.44140625" customWidth="1"/>
    <col min="8" max="8" width="13.109375" customWidth="1"/>
    <col min="9" max="9" width="12.109375" customWidth="1"/>
    <col min="10" max="10" width="2.109375" customWidth="1"/>
    <col min="11" max="11" width="19.44140625" customWidth="1"/>
    <col min="12" max="13" width="11.33203125" customWidth="1"/>
  </cols>
  <sheetData>
    <row r="2" spans="2:13" ht="15.6" x14ac:dyDescent="0.3">
      <c r="B2" s="50" t="str">
        <f>+C8</f>
        <v>Levelized Cost Effectiveness Standard-Capacity</v>
      </c>
    </row>
    <row r="3" spans="2:13" ht="15.6" x14ac:dyDescent="0.3">
      <c r="B3" s="50"/>
      <c r="C3" s="52"/>
      <c r="D3" s="52"/>
    </row>
    <row r="4" spans="2:13" x14ac:dyDescent="0.25">
      <c r="B4" s="189" t="s">
        <v>38</v>
      </c>
      <c r="C4" s="191" t="s">
        <v>39</v>
      </c>
      <c r="D4" s="188">
        <f>1/8760</f>
        <v>1.1415525114155251E-4</v>
      </c>
      <c r="E4" s="71" t="s">
        <v>106</v>
      </c>
    </row>
    <row r="5" spans="2:13" x14ac:dyDescent="0.25">
      <c r="B5" s="7"/>
      <c r="C5" s="190"/>
      <c r="D5" s="52"/>
    </row>
    <row r="6" spans="2:13" x14ac:dyDescent="0.25">
      <c r="B6" s="7"/>
      <c r="C6" s="34"/>
    </row>
    <row r="7" spans="2:13" ht="13.2" customHeight="1" x14ac:dyDescent="0.25">
      <c r="B7" s="41"/>
      <c r="C7" s="42" t="s">
        <v>43</v>
      </c>
      <c r="D7" s="43" t="s">
        <v>40</v>
      </c>
      <c r="E7" s="43" t="s">
        <v>41</v>
      </c>
      <c r="G7" s="42" t="s">
        <v>43</v>
      </c>
      <c r="H7" s="42" t="s">
        <v>40</v>
      </c>
      <c r="I7" s="42" t="s">
        <v>41</v>
      </c>
      <c r="K7" s="42" t="s">
        <v>43</v>
      </c>
      <c r="L7" s="42" t="s">
        <v>40</v>
      </c>
      <c r="M7" s="42" t="s">
        <v>41</v>
      </c>
    </row>
    <row r="8" spans="2:13" s="7" customFormat="1" ht="39.6" x14ac:dyDescent="0.25">
      <c r="B8" s="6" t="s">
        <v>1</v>
      </c>
      <c r="C8" s="33" t="str">
        <f>+'Firm Avoided Capacity Calcs'!M4</f>
        <v>Levelized Cost Effectiveness Standard-Capacity</v>
      </c>
      <c r="D8" s="36" t="s">
        <v>146</v>
      </c>
      <c r="E8" s="36" t="str">
        <f>+D8</f>
        <v>Baseload</v>
      </c>
      <c r="F8"/>
      <c r="G8" s="6" t="s">
        <v>19</v>
      </c>
      <c r="H8" s="6" t="s">
        <v>57</v>
      </c>
      <c r="I8" s="6" t="s">
        <v>57</v>
      </c>
      <c r="K8" s="6" t="s">
        <v>19</v>
      </c>
      <c r="L8" s="6" t="s">
        <v>58</v>
      </c>
      <c r="M8" s="6" t="s">
        <v>58</v>
      </c>
    </row>
    <row r="9" spans="2:13" x14ac:dyDescent="0.25">
      <c r="B9" s="8">
        <v>1</v>
      </c>
      <c r="C9" s="53">
        <f>+'Firm Avoided Capacity Calcs'!M7</f>
        <v>32.589147679963077</v>
      </c>
      <c r="D9" s="37">
        <f>+C9*$D$4*1000</f>
        <v>3.7202223378953279</v>
      </c>
      <c r="E9" s="39">
        <f t="shared" ref="E9:E28" si="0">D9/1000</f>
        <v>3.7202223378953281E-3</v>
      </c>
      <c r="F9" s="54"/>
      <c r="G9" s="55">
        <f>'Wind Avoided Capacity Calcs'!M7</f>
        <v>32.503160212905982</v>
      </c>
      <c r="H9" s="37">
        <f>+G9*$D$4*1000</f>
        <v>3.7104064169983997</v>
      </c>
      <c r="I9" s="39">
        <f t="shared" ref="I9:I28" si="1">H9/1000</f>
        <v>3.7104064169983996E-3</v>
      </c>
      <c r="J9" s="54"/>
      <c r="K9" s="55">
        <f>'Solar Avoided Capacity Calcs'!M7</f>
        <v>32.488828968396462</v>
      </c>
      <c r="L9" s="37">
        <f>+K9*$D$4*1000</f>
        <v>3.7087704301822444</v>
      </c>
      <c r="M9" s="197">
        <f t="shared" ref="M9:M28" si="2">L9/1000</f>
        <v>3.7087704301822445E-3</v>
      </c>
    </row>
    <row r="10" spans="2:13" x14ac:dyDescent="0.25">
      <c r="B10" s="8">
        <v>2</v>
      </c>
      <c r="C10" s="53">
        <f>+'Firm Avoided Capacity Calcs'!M8</f>
        <v>32.980366148746221</v>
      </c>
      <c r="D10" s="37">
        <f t="shared" ref="D10:D28" si="3">+C10*$D$4*1000</f>
        <v>3.7648819804504816</v>
      </c>
      <c r="E10" s="39">
        <f t="shared" si="0"/>
        <v>3.7648819804504815E-3</v>
      </c>
      <c r="F10" s="54"/>
      <c r="G10" s="55">
        <f>'Wind Avoided Capacity Calcs'!M8</f>
        <v>32.894378681689119</v>
      </c>
      <c r="H10" s="37">
        <f t="shared" ref="H10:H28" si="4">+G10*$D$4*1000</f>
        <v>3.7550660595535521</v>
      </c>
      <c r="I10" s="39">
        <f t="shared" si="1"/>
        <v>3.7550660595535522E-3</v>
      </c>
      <c r="J10" s="54"/>
      <c r="K10" s="55">
        <f>'Solar Avoided Capacity Calcs'!M8</f>
        <v>32.880047437179599</v>
      </c>
      <c r="L10" s="37">
        <f t="shared" ref="L10:L28" si="5">+K10*$D$4*1000</f>
        <v>3.7534300727373973</v>
      </c>
      <c r="M10" s="197">
        <f t="shared" si="2"/>
        <v>3.7534300727373971E-3</v>
      </c>
    </row>
    <row r="11" spans="2:13" x14ac:dyDescent="0.25">
      <c r="B11" s="8">
        <v>3</v>
      </c>
      <c r="C11" s="53">
        <f>+'Firm Avoided Capacity Calcs'!M9</f>
        <v>33.36797025371029</v>
      </c>
      <c r="D11" s="37">
        <f t="shared" si="3"/>
        <v>3.8091290243961518</v>
      </c>
      <c r="E11" s="39">
        <f t="shared" si="0"/>
        <v>3.8091290243961518E-3</v>
      </c>
      <c r="F11" s="54"/>
      <c r="G11" s="55">
        <f>'Wind Avoided Capacity Calcs'!M9</f>
        <v>33.281982786653188</v>
      </c>
      <c r="H11" s="37">
        <f t="shared" si="4"/>
        <v>3.7993131034992222</v>
      </c>
      <c r="I11" s="39">
        <f t="shared" si="1"/>
        <v>3.7993131034992221E-3</v>
      </c>
      <c r="J11" s="54"/>
      <c r="K11" s="55">
        <f>'Solar Avoided Capacity Calcs'!M9</f>
        <v>33.267651542143675</v>
      </c>
      <c r="L11" s="37">
        <f t="shared" si="5"/>
        <v>3.7976771166830678</v>
      </c>
      <c r="M11" s="197">
        <f t="shared" si="2"/>
        <v>3.7976771166830679E-3</v>
      </c>
    </row>
    <row r="12" spans="2:13" x14ac:dyDescent="0.25">
      <c r="B12" s="8">
        <v>4</v>
      </c>
      <c r="C12" s="53">
        <f>+'Firm Avoided Capacity Calcs'!M10</f>
        <v>34.456639424941422</v>
      </c>
      <c r="D12" s="37">
        <f>+C12*$D$4*1000</f>
        <v>3.9334063270481079</v>
      </c>
      <c r="E12" s="39">
        <f t="shared" si="0"/>
        <v>3.9334063270481077E-3</v>
      </c>
      <c r="F12" s="54"/>
      <c r="G12" s="55">
        <f>'Wind Avoided Capacity Calcs'!M10</f>
        <v>33.778535184554165</v>
      </c>
      <c r="H12" s="37">
        <f t="shared" si="4"/>
        <v>3.8559971671865485</v>
      </c>
      <c r="I12" s="39">
        <f t="shared" si="1"/>
        <v>3.8559971671865484E-3</v>
      </c>
      <c r="J12" s="54"/>
      <c r="K12" s="55">
        <f>'Solar Avoided Capacity Calcs'!M10</f>
        <v>33.665517811156278</v>
      </c>
      <c r="L12" s="37">
        <f t="shared" si="5"/>
        <v>3.8430956405429542</v>
      </c>
      <c r="M12" s="197">
        <f t="shared" si="2"/>
        <v>3.8430956405429541E-3</v>
      </c>
    </row>
    <row r="13" spans="2:13" x14ac:dyDescent="0.25">
      <c r="B13" s="8">
        <v>5</v>
      </c>
      <c r="C13" s="53">
        <f>+'Firm Avoided Capacity Calcs'!M11</f>
        <v>50.677065481587796</v>
      </c>
      <c r="D13" s="37">
        <f t="shared" si="3"/>
        <v>5.785053137167556</v>
      </c>
      <c r="E13" s="39">
        <f t="shared" si="0"/>
        <v>5.785053137167556E-3</v>
      </c>
      <c r="F13" s="54"/>
      <c r="G13" s="55">
        <f>'Wind Avoided Capacity Calcs'!M11</f>
        <v>36.692766703141054</v>
      </c>
      <c r="H13" s="37">
        <f t="shared" si="4"/>
        <v>4.1886719980754625</v>
      </c>
      <c r="I13" s="39">
        <f t="shared" si="1"/>
        <v>4.1886719980754623E-3</v>
      </c>
      <c r="J13" s="54"/>
      <c r="K13" s="55">
        <f>'Solar Avoided Capacity Calcs'!M11</f>
        <v>34.362050240066594</v>
      </c>
      <c r="L13" s="37">
        <f>+K13*$D$4*1000</f>
        <v>3.9226084748934467</v>
      </c>
      <c r="M13" s="197">
        <f t="shared" si="2"/>
        <v>3.9226084748934468E-3</v>
      </c>
    </row>
    <row r="14" spans="2:13" x14ac:dyDescent="0.25">
      <c r="B14" s="8">
        <v>6</v>
      </c>
      <c r="C14" s="53">
        <f>+'Firm Avoided Capacity Calcs'!M12</f>
        <v>61.565994067144118</v>
      </c>
      <c r="D14" s="37">
        <f t="shared" si="3"/>
        <v>7.0280815145141684</v>
      </c>
      <c r="E14" s="39">
        <f t="shared" si="0"/>
        <v>7.0280815145141685E-3</v>
      </c>
      <c r="F14" s="54"/>
      <c r="G14" s="55">
        <f>'Wind Avoided Capacity Calcs'!M12</f>
        <v>38.750383400736375</v>
      </c>
      <c r="H14" s="37">
        <f t="shared" si="4"/>
        <v>4.423559748942508</v>
      </c>
      <c r="I14" s="39">
        <f t="shared" si="1"/>
        <v>4.4235597489425084E-3</v>
      </c>
      <c r="J14" s="54"/>
      <c r="K14" s="55">
        <f>'Solar Avoided Capacity Calcs'!M12</f>
        <v>34.947781623001745</v>
      </c>
      <c r="L14" s="37">
        <f t="shared" si="5"/>
        <v>3.9894727880138978</v>
      </c>
      <c r="M14" s="197">
        <f t="shared" si="2"/>
        <v>3.989472788013898E-3</v>
      </c>
    </row>
    <row r="15" spans="2:13" x14ac:dyDescent="0.25">
      <c r="B15" s="8">
        <v>7</v>
      </c>
      <c r="C15" s="53">
        <f>+'Firm Avoided Capacity Calcs'!M13</f>
        <v>67.931681359104616</v>
      </c>
      <c r="D15" s="37">
        <f t="shared" si="3"/>
        <v>7.754758146016508</v>
      </c>
      <c r="E15" s="39">
        <f t="shared" si="0"/>
        <v>7.7547581460165084E-3</v>
      </c>
      <c r="F15" s="54"/>
      <c r="G15" s="55">
        <f>'Wind Avoided Capacity Calcs'!M13</f>
        <v>40.080540039794251</v>
      </c>
      <c r="H15" s="37">
        <f t="shared" si="4"/>
        <v>4.5754041141317643</v>
      </c>
      <c r="I15" s="39">
        <f t="shared" si="1"/>
        <v>4.5754041141317639E-3</v>
      </c>
      <c r="J15" s="54"/>
      <c r="K15" s="55">
        <f>'Solar Avoided Capacity Calcs'!M13</f>
        <v>35.438683153242515</v>
      </c>
      <c r="L15" s="37">
        <f t="shared" si="5"/>
        <v>4.0455117754843055</v>
      </c>
      <c r="M15" s="197">
        <f t="shared" si="2"/>
        <v>4.0455117754843051E-3</v>
      </c>
    </row>
    <row r="16" spans="2:13" x14ac:dyDescent="0.25">
      <c r="B16" s="8">
        <v>8</v>
      </c>
      <c r="C16" s="53">
        <f>+'Firm Avoided Capacity Calcs'!M14</f>
        <v>72.766123187044627</v>
      </c>
      <c r="D16" s="37">
        <f>+C16*$D$4*1000</f>
        <v>8.306635067014227</v>
      </c>
      <c r="E16" s="39">
        <f t="shared" si="0"/>
        <v>8.3066350670142272E-3</v>
      </c>
      <c r="F16" s="54"/>
      <c r="G16" s="55">
        <f>'Wind Avoided Capacity Calcs'!M14</f>
        <v>41.161797113912556</v>
      </c>
      <c r="H16" s="37">
        <f t="shared" si="4"/>
        <v>4.698835286976319</v>
      </c>
      <c r="I16" s="39">
        <f t="shared" si="1"/>
        <v>4.6988352869763187E-3</v>
      </c>
      <c r="J16" s="54"/>
      <c r="K16" s="55">
        <f>'Solar Avoided Capacity Calcs'!M14</f>
        <v>35.894409435057199</v>
      </c>
      <c r="L16" s="37">
        <f t="shared" si="5"/>
        <v>4.0975353236366665</v>
      </c>
      <c r="M16" s="197">
        <f t="shared" si="2"/>
        <v>4.0975353236366663E-3</v>
      </c>
    </row>
    <row r="17" spans="2:13" x14ac:dyDescent="0.25">
      <c r="B17" s="8">
        <v>9</v>
      </c>
      <c r="C17" s="53">
        <f>+'Firm Avoided Capacity Calcs'!M15</f>
        <v>76.617122114341015</v>
      </c>
      <c r="D17" s="37">
        <f t="shared" si="3"/>
        <v>8.7462468167055949</v>
      </c>
      <c r="E17" s="39">
        <f t="shared" si="0"/>
        <v>8.7462468167055947E-3</v>
      </c>
      <c r="F17" s="54"/>
      <c r="G17" s="55">
        <f>'Wind Avoided Capacity Calcs'!M15</f>
        <v>42.081651915421446</v>
      </c>
      <c r="H17" s="37">
        <f t="shared" si="4"/>
        <v>4.803841542856329</v>
      </c>
      <c r="I17" s="39">
        <f t="shared" si="1"/>
        <v>4.803841542856329E-3</v>
      </c>
      <c r="J17" s="54"/>
      <c r="K17" s="55">
        <f>'Solar Avoided Capacity Calcs'!M15</f>
        <v>36.325740215601506</v>
      </c>
      <c r="L17" s="37">
        <f t="shared" si="5"/>
        <v>4.1467739972147832</v>
      </c>
      <c r="M17" s="197">
        <f t="shared" si="2"/>
        <v>4.1467739972147833E-3</v>
      </c>
    </row>
    <row r="18" spans="2:13" x14ac:dyDescent="0.25">
      <c r="B18" s="8">
        <v>10</v>
      </c>
      <c r="C18" s="53">
        <f>+'Firm Avoided Capacity Calcs'!M16</f>
        <v>79.743020253331778</v>
      </c>
      <c r="D18" s="37">
        <f t="shared" si="3"/>
        <v>9.1030845038049968</v>
      </c>
      <c r="E18" s="39">
        <f t="shared" si="0"/>
        <v>9.1030845038049969E-3</v>
      </c>
      <c r="F18" s="54"/>
      <c r="G18" s="55">
        <f>'Wind Avoided Capacity Calcs'!M16</f>
        <v>42.88129608527931</v>
      </c>
      <c r="H18" s="37">
        <f t="shared" si="4"/>
        <v>4.8951251238903319</v>
      </c>
      <c r="I18" s="39">
        <f t="shared" si="1"/>
        <v>4.8951251238903322E-3</v>
      </c>
      <c r="J18" s="54"/>
      <c r="K18" s="55">
        <f>'Solar Avoided Capacity Calcs'!M16</f>
        <v>36.737675390603897</v>
      </c>
      <c r="L18" s="37">
        <f t="shared" si="5"/>
        <v>4.1937985605712207</v>
      </c>
      <c r="M18" s="197">
        <f t="shared" si="2"/>
        <v>4.1937985605712208E-3</v>
      </c>
    </row>
    <row r="19" spans="2:13" x14ac:dyDescent="0.25">
      <c r="B19" s="8">
        <v>11</v>
      </c>
      <c r="C19" s="53">
        <f>+'Firm Avoided Capacity Calcs'!M17</f>
        <v>82.340252961468778</v>
      </c>
      <c r="D19" s="37">
        <f t="shared" si="3"/>
        <v>9.3995722558754302</v>
      </c>
      <c r="E19" s="39">
        <f t="shared" si="0"/>
        <v>9.3995722558754304E-3</v>
      </c>
      <c r="F19" s="54"/>
      <c r="G19" s="55">
        <f>'Wind Avoided Capacity Calcs'!M17</f>
        <v>43.592024467732635</v>
      </c>
      <c r="H19" s="37">
        <f t="shared" si="4"/>
        <v>4.9762585008827207</v>
      </c>
      <c r="I19" s="39">
        <f t="shared" si="1"/>
        <v>4.9762585008827206E-3</v>
      </c>
      <c r="J19" s="54"/>
      <c r="K19" s="55">
        <f>'Solar Avoided Capacity Calcs'!M17</f>
        <v>37.133986385443279</v>
      </c>
      <c r="L19" s="37">
        <f t="shared" si="5"/>
        <v>4.2390395417172693</v>
      </c>
      <c r="M19" s="197">
        <f t="shared" si="2"/>
        <v>4.2390395417172691E-3</v>
      </c>
    </row>
    <row r="20" spans="2:13" x14ac:dyDescent="0.25">
      <c r="B20" s="8">
        <v>12</v>
      </c>
      <c r="C20" s="53">
        <f>+'Firm Avoided Capacity Calcs'!M18</f>
        <v>84.539750779779581</v>
      </c>
      <c r="D20" s="37">
        <f t="shared" si="3"/>
        <v>9.6506564817099978</v>
      </c>
      <c r="E20" s="39">
        <f t="shared" si="0"/>
        <v>9.6506564817099971E-3</v>
      </c>
      <c r="F20" s="54"/>
      <c r="G20" s="55">
        <f>'Wind Avoided Capacity Calcs'!M18</f>
        <v>44.234659646687717</v>
      </c>
      <c r="H20" s="37">
        <f t="shared" si="4"/>
        <v>5.0496186811287345</v>
      </c>
      <c r="I20" s="39">
        <f t="shared" si="1"/>
        <v>5.0496186811287347E-3</v>
      </c>
      <c r="J20" s="54"/>
      <c r="K20" s="55">
        <f>'Solar Avoided Capacity Calcs'!M18</f>
        <v>37.517144457839073</v>
      </c>
      <c r="L20" s="37">
        <f t="shared" si="5"/>
        <v>4.2827790476985248</v>
      </c>
      <c r="M20" s="197">
        <f t="shared" si="2"/>
        <v>4.2827790476985244E-3</v>
      </c>
    </row>
    <row r="21" spans="2:13" x14ac:dyDescent="0.25">
      <c r="B21" s="8">
        <v>13</v>
      </c>
      <c r="C21" s="53">
        <f>+'Firm Avoided Capacity Calcs'!M19</f>
        <v>86.607824916936508</v>
      </c>
      <c r="D21" s="37">
        <f t="shared" si="3"/>
        <v>9.8867380042164967</v>
      </c>
      <c r="E21" s="39">
        <f t="shared" si="0"/>
        <v>9.886738004216496E-3</v>
      </c>
      <c r="F21" s="54"/>
      <c r="G21" s="55">
        <f>'Wind Avoided Capacity Calcs'!M19</f>
        <v>44.851693811751908</v>
      </c>
      <c r="H21" s="37">
        <f t="shared" si="4"/>
        <v>5.120056371204555</v>
      </c>
      <c r="I21" s="39">
        <f t="shared" si="1"/>
        <v>5.1200563712045554E-3</v>
      </c>
      <c r="J21" s="54"/>
      <c r="K21" s="55">
        <f>'Solar Avoided Capacity Calcs'!M19</f>
        <v>37.892338627554473</v>
      </c>
      <c r="L21" s="37">
        <f t="shared" si="5"/>
        <v>4.325609432369232</v>
      </c>
      <c r="M21" s="197">
        <f t="shared" si="2"/>
        <v>4.3256094323692318E-3</v>
      </c>
    </row>
    <row r="22" spans="2:13" x14ac:dyDescent="0.25">
      <c r="B22" s="8">
        <v>14</v>
      </c>
      <c r="C22" s="53">
        <f>+'Firm Avoided Capacity Calcs'!M20</f>
        <v>88.406689207804334</v>
      </c>
      <c r="D22" s="37">
        <f t="shared" si="3"/>
        <v>10.092087809110083</v>
      </c>
      <c r="E22" s="39">
        <f t="shared" si="0"/>
        <v>1.0092087809110082E-2</v>
      </c>
      <c r="F22" s="54"/>
      <c r="G22" s="55">
        <f>'Wind Avoided Capacity Calcs'!M20</f>
        <v>45.420972422284805</v>
      </c>
      <c r="H22" s="37">
        <f t="shared" si="4"/>
        <v>5.185042513959452</v>
      </c>
      <c r="I22" s="39">
        <f t="shared" si="1"/>
        <v>5.1850425139594522E-3</v>
      </c>
      <c r="J22" s="54"/>
      <c r="K22" s="55">
        <f>'Solar Avoided Capacity Calcs'!M20</f>
        <v>38.256686291364886</v>
      </c>
      <c r="L22" s="37">
        <f t="shared" si="5"/>
        <v>4.367201631434348</v>
      </c>
      <c r="M22" s="197">
        <f t="shared" si="2"/>
        <v>4.3672016314343478E-3</v>
      </c>
    </row>
    <row r="23" spans="2:13" x14ac:dyDescent="0.25">
      <c r="B23" s="44">
        <v>15</v>
      </c>
      <c r="C23" s="56">
        <f>+'Firm Avoided Capacity Calcs'!M21</f>
        <v>89.989174260262573</v>
      </c>
      <c r="D23" s="45">
        <f>+C23*$D$4*1000</f>
        <v>10.272736787701207</v>
      </c>
      <c r="E23" s="46">
        <f>D23/1000</f>
        <v>1.0272736787701207E-2</v>
      </c>
      <c r="F23" s="57"/>
      <c r="G23" s="69">
        <f>'Wind Avoided Capacity Calcs'!M21</f>
        <v>45.950848583674151</v>
      </c>
      <c r="H23" s="45">
        <f>+G23*$D$4*1000</f>
        <v>5.2455306602367751</v>
      </c>
      <c r="I23" s="46">
        <f t="shared" si="1"/>
        <v>5.245530660236775E-3</v>
      </c>
      <c r="J23" s="57"/>
      <c r="K23" s="45">
        <f>'Solar Avoided Capacity Calcs'!M21</f>
        <v>38.611127637576075</v>
      </c>
      <c r="L23" s="45">
        <f>+K23*$D$4*1000</f>
        <v>4.4076629723260359</v>
      </c>
      <c r="M23" s="198">
        <f>L23/1000</f>
        <v>4.4076629723260362E-3</v>
      </c>
    </row>
    <row r="24" spans="2:13" x14ac:dyDescent="0.25">
      <c r="B24" s="8">
        <v>16</v>
      </c>
      <c r="C24" s="53">
        <f>+'Firm Avoided Capacity Calcs'!M22</f>
        <v>91.536418809006989</v>
      </c>
      <c r="D24" s="37">
        <f t="shared" si="3"/>
        <v>10.449362877740523</v>
      </c>
      <c r="E24" s="39">
        <f t="shared" si="0"/>
        <v>1.0449362877740523E-2</v>
      </c>
      <c r="F24" s="54"/>
      <c r="G24" s="55">
        <f>'Wind Avoided Capacity Calcs'!M22</f>
        <v>46.470213739114733</v>
      </c>
      <c r="H24" s="37">
        <f t="shared" si="4"/>
        <v>5.3048189199902662</v>
      </c>
      <c r="I24" s="39">
        <f t="shared" si="1"/>
        <v>5.3048189199902665E-3</v>
      </c>
      <c r="J24" s="54"/>
      <c r="K24" s="55">
        <f>'Solar Avoided Capacity Calcs'!M22</f>
        <v>38.959179560799363</v>
      </c>
      <c r="L24" s="37">
        <f t="shared" si="5"/>
        <v>4.4473949270318904</v>
      </c>
      <c r="M24" s="197">
        <f t="shared" si="2"/>
        <v>4.4473949270318908E-3</v>
      </c>
    </row>
    <row r="25" spans="2:13" x14ac:dyDescent="0.25">
      <c r="B25" s="8">
        <v>17</v>
      </c>
      <c r="C25" s="53">
        <f>+'Firm Avoided Capacity Calcs'!M23</f>
        <v>92.918804900754793</v>
      </c>
      <c r="D25" s="37">
        <f t="shared" si="3"/>
        <v>10.607169509218583</v>
      </c>
      <c r="E25" s="39">
        <f t="shared" si="0"/>
        <v>1.0607169509218582E-2</v>
      </c>
      <c r="F25" s="54"/>
      <c r="G25" s="55">
        <f>'Wind Avoided Capacity Calcs'!M23</f>
        <v>46.958247337351729</v>
      </c>
      <c r="H25" s="37">
        <f t="shared" si="4"/>
        <v>5.360530517962526</v>
      </c>
      <c r="I25" s="39">
        <f t="shared" si="1"/>
        <v>5.3605305179625258E-3</v>
      </c>
      <c r="J25" s="54"/>
      <c r="K25" s="55">
        <f>'Solar Avoided Capacity Calcs'!M23</f>
        <v>39.298154410117888</v>
      </c>
      <c r="L25" s="37">
        <f t="shared" si="5"/>
        <v>4.4860906860865164</v>
      </c>
      <c r="M25" s="197">
        <f t="shared" si="2"/>
        <v>4.4860906860865165E-3</v>
      </c>
    </row>
    <row r="26" spans="2:13" x14ac:dyDescent="0.25">
      <c r="B26" s="8">
        <v>18</v>
      </c>
      <c r="C26" s="53">
        <f>+'Firm Avoided Capacity Calcs'!M24</f>
        <v>94.240224553628579</v>
      </c>
      <c r="D26" s="37">
        <f t="shared" si="3"/>
        <v>10.758016501555772</v>
      </c>
      <c r="E26" s="39">
        <f t="shared" si="0"/>
        <v>1.0758016501555773E-2</v>
      </c>
      <c r="F26" s="54"/>
      <c r="G26" s="55">
        <f>'Wind Avoided Capacity Calcs'!M24</f>
        <v>47.431499500039067</v>
      </c>
      <c r="H26" s="37">
        <f t="shared" si="4"/>
        <v>5.4145547374473821</v>
      </c>
      <c r="I26" s="39">
        <f t="shared" si="1"/>
        <v>5.414554737447382E-3</v>
      </c>
      <c r="J26" s="54"/>
      <c r="K26" s="55">
        <f>'Solar Avoided Capacity Calcs'!M24</f>
        <v>39.6300453244408</v>
      </c>
      <c r="L26" s="37">
        <f t="shared" si="5"/>
        <v>4.5239777767626483</v>
      </c>
      <c r="M26" s="197">
        <f t="shared" si="2"/>
        <v>4.5239777767626483E-3</v>
      </c>
    </row>
    <row r="27" spans="2:13" x14ac:dyDescent="0.25">
      <c r="B27" s="8">
        <v>19</v>
      </c>
      <c r="C27" s="53">
        <f>+'Firm Avoided Capacity Calcs'!M25</f>
        <v>95.4352708906071</v>
      </c>
      <c r="D27" s="37">
        <f t="shared" si="3"/>
        <v>10.894437316279349</v>
      </c>
      <c r="E27" s="39">
        <f t="shared" si="0"/>
        <v>1.089443731627935E-2</v>
      </c>
      <c r="F27" s="54"/>
      <c r="G27" s="55">
        <f>'Wind Avoided Capacity Calcs'!M25</f>
        <v>47.879441569739697</v>
      </c>
      <c r="H27" s="37">
        <f t="shared" si="4"/>
        <v>5.465689676910924</v>
      </c>
      <c r="I27" s="39">
        <f t="shared" si="1"/>
        <v>5.4656896769109242E-3</v>
      </c>
      <c r="J27" s="54"/>
      <c r="K27" s="55">
        <f>'Solar Avoided Capacity Calcs'!M25</f>
        <v>39.953470016261797</v>
      </c>
      <c r="L27" s="37">
        <f t="shared" si="5"/>
        <v>4.5608984036828533</v>
      </c>
      <c r="M27" s="197">
        <f t="shared" si="2"/>
        <v>4.5608984036828535E-3</v>
      </c>
    </row>
    <row r="28" spans="2:13" x14ac:dyDescent="0.25">
      <c r="B28" s="8">
        <v>20</v>
      </c>
      <c r="C28" s="53">
        <f>+'Firm Avoided Capacity Calcs'!M26</f>
        <v>96.522179142636929</v>
      </c>
      <c r="D28" s="37">
        <f t="shared" si="3"/>
        <v>11.01851360075764</v>
      </c>
      <c r="E28" s="39">
        <f t="shared" si="0"/>
        <v>1.101851360075764E-2</v>
      </c>
      <c r="F28" s="54"/>
      <c r="G28" s="55">
        <f>'Wind Avoided Capacity Calcs'!M26</f>
        <v>48.304936603126386</v>
      </c>
      <c r="H28" s="37">
        <f t="shared" si="4"/>
        <v>5.5142621693066651</v>
      </c>
      <c r="I28" s="39">
        <f t="shared" si="1"/>
        <v>5.5142621693066649E-3</v>
      </c>
      <c r="J28" s="54"/>
      <c r="K28" s="55">
        <f>'Solar Avoided Capacity Calcs'!M26</f>
        <v>40.268729513207951</v>
      </c>
      <c r="L28" s="37">
        <f t="shared" si="5"/>
        <v>4.5968869307315012</v>
      </c>
      <c r="M28" s="197">
        <f t="shared" si="2"/>
        <v>4.5968869307315011E-3</v>
      </c>
    </row>
    <row r="29" spans="2:13" x14ac:dyDescent="0.25">
      <c r="B29" s="8">
        <v>21</v>
      </c>
      <c r="C29" s="53">
        <f>+'Firm Avoided Capacity Calcs'!M27</f>
        <v>97.515716529717679</v>
      </c>
      <c r="D29" s="37">
        <f t="shared" ref="D29" si="6">+C29*$D$4*1000</f>
        <v>11.131931110698364</v>
      </c>
      <c r="E29" s="39">
        <f t="shared" ref="E29" si="7">D29/1000</f>
        <v>1.1131931110698365E-2</v>
      </c>
      <c r="F29" s="54"/>
      <c r="G29" s="55">
        <f>'Wind Avoided Capacity Calcs'!M27</f>
        <v>48.710301652175616</v>
      </c>
      <c r="H29" s="37">
        <f t="shared" ref="H29" si="8">+G29*$D$4*1000</f>
        <v>5.5605367182848875</v>
      </c>
      <c r="I29" s="39">
        <f t="shared" ref="I29" si="9">H29/1000</f>
        <v>5.5605367182848878E-3</v>
      </c>
      <c r="J29" s="54"/>
      <c r="K29" s="55">
        <f>'Solar Avoided Capacity Calcs'!M27</f>
        <v>40.576065839251925</v>
      </c>
      <c r="L29" s="37">
        <f t="shared" ref="L29" si="10">+K29*$D$4*1000</f>
        <v>4.6319709862159728</v>
      </c>
      <c r="M29" s="197">
        <f t="shared" ref="M29" si="11">L29/1000</f>
        <v>4.6319709862159726E-3</v>
      </c>
    </row>
    <row r="30" spans="2:13" x14ac:dyDescent="0.25">
      <c r="B30" s="35"/>
      <c r="C30" s="35"/>
      <c r="D30" s="35"/>
      <c r="E30" s="35"/>
      <c r="F30" s="35"/>
      <c r="G30" s="35"/>
      <c r="H30" s="35"/>
    </row>
    <row r="39" spans="2:4" x14ac:dyDescent="0.25">
      <c r="C39" s="9"/>
    </row>
    <row r="40" spans="2:4" x14ac:dyDescent="0.25">
      <c r="C40" s="10"/>
    </row>
    <row r="41" spans="2:4" x14ac:dyDescent="0.25">
      <c r="B41" s="14"/>
      <c r="C41" s="15"/>
      <c r="D41" s="16"/>
    </row>
  </sheetData>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M30"/>
  <sheetViews>
    <sheetView tabSelected="1" zoomScale="75" zoomScaleNormal="75" workbookViewId="0">
      <selection activeCell="J33" sqref="J33"/>
    </sheetView>
  </sheetViews>
  <sheetFormatPr defaultColWidth="9.109375" defaultRowHeight="15" x14ac:dyDescent="0.25"/>
  <cols>
    <col min="1" max="1" width="2.6640625" style="49" customWidth="1"/>
    <col min="2" max="2" width="25.6640625" style="49" customWidth="1"/>
    <col min="3" max="3" width="17.44140625" style="49" customWidth="1"/>
    <col min="4" max="4" width="15.5546875" style="49" customWidth="1"/>
    <col min="5" max="5" width="2.6640625" style="49" customWidth="1"/>
    <col min="6" max="6" width="9.6640625" style="49" customWidth="1"/>
    <col min="7" max="7" width="16.6640625" style="49" customWidth="1"/>
    <col min="8" max="9" width="16.44140625" style="72" customWidth="1"/>
    <col min="10" max="10" width="16.6640625" style="209" customWidth="1"/>
    <col min="11" max="11" width="18.5546875" style="49" customWidth="1"/>
    <col min="12" max="12" width="19" style="49" customWidth="1"/>
    <col min="13" max="13" width="22.33203125" style="49" customWidth="1"/>
    <col min="14" max="16384" width="9.109375" style="49"/>
  </cols>
  <sheetData>
    <row r="1" spans="1:13" x14ac:dyDescent="0.25">
      <c r="B1" s="17"/>
    </row>
    <row r="3" spans="1:13" ht="15.6" x14ac:dyDescent="0.3">
      <c r="H3" s="204" t="s">
        <v>61</v>
      </c>
    </row>
    <row r="4" spans="1:13" ht="62.4" x14ac:dyDescent="0.3">
      <c r="F4" s="18" t="s">
        <v>15</v>
      </c>
      <c r="G4" s="19" t="s">
        <v>1</v>
      </c>
      <c r="H4" s="20" t="s">
        <v>16</v>
      </c>
      <c r="I4" s="20" t="s">
        <v>101</v>
      </c>
      <c r="J4" s="20" t="s">
        <v>68</v>
      </c>
      <c r="K4" s="19" t="s">
        <v>17</v>
      </c>
      <c r="L4" s="19" t="s">
        <v>18</v>
      </c>
      <c r="M4" s="3" t="s">
        <v>19</v>
      </c>
    </row>
    <row r="5" spans="1:13" ht="15.6" x14ac:dyDescent="0.3">
      <c r="B5" s="78"/>
      <c r="C5" s="78"/>
      <c r="F5" s="21"/>
      <c r="G5" s="21" t="s">
        <v>20</v>
      </c>
      <c r="H5" s="22" t="s">
        <v>35</v>
      </c>
      <c r="I5" s="22" t="s">
        <v>35</v>
      </c>
      <c r="J5" s="22" t="s">
        <v>35</v>
      </c>
      <c r="K5" s="21" t="s">
        <v>35</v>
      </c>
      <c r="L5" s="21" t="s">
        <v>35</v>
      </c>
      <c r="M5" s="4" t="s">
        <v>35</v>
      </c>
    </row>
    <row r="6" spans="1:13" ht="15.6" x14ac:dyDescent="0.3">
      <c r="A6" s="210"/>
      <c r="B6" s="210"/>
      <c r="C6" s="202" t="s">
        <v>21</v>
      </c>
      <c r="D6" s="244">
        <v>27.33</v>
      </c>
      <c r="E6" s="73"/>
      <c r="F6" s="208" t="s">
        <v>22</v>
      </c>
      <c r="G6" s="208" t="s">
        <v>23</v>
      </c>
      <c r="H6" s="208" t="s">
        <v>24</v>
      </c>
      <c r="I6" s="208" t="s">
        <v>25</v>
      </c>
      <c r="J6" s="208" t="s">
        <v>26</v>
      </c>
      <c r="K6" s="208" t="s">
        <v>32</v>
      </c>
      <c r="L6" s="208" t="s">
        <v>27</v>
      </c>
      <c r="M6" s="208" t="s">
        <v>28</v>
      </c>
    </row>
    <row r="7" spans="1:13" ht="15.6" x14ac:dyDescent="0.3">
      <c r="A7" s="210"/>
      <c r="B7" s="78"/>
      <c r="C7" s="23" t="s">
        <v>29</v>
      </c>
      <c r="D7" s="74">
        <v>0</v>
      </c>
      <c r="E7" s="75"/>
      <c r="F7" s="211">
        <v>2019</v>
      </c>
      <c r="G7" s="205">
        <v>1</v>
      </c>
      <c r="H7" s="212">
        <f>'Capacity Delivered'!H6</f>
        <v>0.10236603221083454</v>
      </c>
      <c r="I7" s="219">
        <f>D13</f>
        <v>32.486781647752245</v>
      </c>
      <c r="J7" s="206">
        <f t="shared" ref="J7:J26" si="0">(H7+I7)*$D$7</f>
        <v>0</v>
      </c>
      <c r="K7" s="47">
        <f>SUM(H7:J7)/((1+$D$8)^G7)</f>
        <v>30.287311970225907</v>
      </c>
      <c r="L7" s="207">
        <f>K7</f>
        <v>30.287311970225907</v>
      </c>
      <c r="M7" s="207">
        <f>(-PMT($D$8,G7,(L7)))</f>
        <v>32.589147679963077</v>
      </c>
    </row>
    <row r="8" spans="1:13" ht="15.6" x14ac:dyDescent="0.3">
      <c r="A8" s="210"/>
      <c r="B8" s="78"/>
      <c r="C8" s="23" t="s">
        <v>33</v>
      </c>
      <c r="D8" s="74">
        <f>Rate_of_Return</f>
        <v>7.5999999999999998E-2</v>
      </c>
      <c r="E8" s="75"/>
      <c r="F8" s="59">
        <f>F7+1</f>
        <v>2020</v>
      </c>
      <c r="G8" s="60">
        <v>2</v>
      </c>
      <c r="H8" s="212">
        <f>'Capacity Delivered'!H7</f>
        <v>0.10236603221083454</v>
      </c>
      <c r="I8" s="212">
        <f t="shared" ref="I8:I27" si="1">I7+(I7*$D$9)</f>
        <v>33.298951188946049</v>
      </c>
      <c r="J8" s="62">
        <f t="shared" si="0"/>
        <v>0</v>
      </c>
      <c r="K8" s="63">
        <f t="shared" ref="K8:K26" si="2">SUM(H8:J8)/((1+$D$8)^G8)</f>
        <v>28.849550535817702</v>
      </c>
      <c r="L8" s="64">
        <f t="shared" ref="L8:L26" si="3">L7+K8</f>
        <v>59.136862506043613</v>
      </c>
      <c r="M8" s="64">
        <f t="shared" ref="M8:M26" si="4">(-PMT($D$8,G8,(L8)))</f>
        <v>32.980366148746221</v>
      </c>
    </row>
    <row r="9" spans="1:13" ht="15.6" x14ac:dyDescent="0.3">
      <c r="A9" s="210"/>
      <c r="B9" s="78"/>
      <c r="C9" s="23" t="s">
        <v>34</v>
      </c>
      <c r="D9" s="74">
        <v>2.5000000000000001E-2</v>
      </c>
      <c r="E9" s="77"/>
      <c r="F9" s="59">
        <f t="shared" ref="F9:F27" si="5">F8+1</f>
        <v>2021</v>
      </c>
      <c r="G9" s="60">
        <v>3</v>
      </c>
      <c r="H9" s="212">
        <f>'Capacity Delivered'!H8</f>
        <v>0.10236603221083454</v>
      </c>
      <c r="I9" s="212">
        <f t="shared" si="1"/>
        <v>34.131424968669698</v>
      </c>
      <c r="J9" s="62">
        <f t="shared" si="0"/>
        <v>0</v>
      </c>
      <c r="K9" s="63">
        <f t="shared" si="2"/>
        <v>27.480091911571527</v>
      </c>
      <c r="L9" s="64">
        <f t="shared" si="3"/>
        <v>86.616954417615148</v>
      </c>
      <c r="M9" s="64">
        <f>(-PMT($D$8,G9,(L9)))</f>
        <v>33.36797025371029</v>
      </c>
    </row>
    <row r="10" spans="1:13" ht="15.6" x14ac:dyDescent="0.3">
      <c r="B10" s="78"/>
      <c r="C10" s="23"/>
      <c r="D10" s="79"/>
      <c r="E10" s="75"/>
      <c r="F10" s="59">
        <f t="shared" si="5"/>
        <v>2022</v>
      </c>
      <c r="G10" s="60">
        <v>4</v>
      </c>
      <c r="H10" s="212">
        <f>'Capacity Delivered'!H9</f>
        <v>3.26</v>
      </c>
      <c r="I10" s="212">
        <f t="shared" si="1"/>
        <v>34.984710592886444</v>
      </c>
      <c r="J10" s="62">
        <f t="shared" si="0"/>
        <v>0</v>
      </c>
      <c r="K10" s="63">
        <f t="shared" si="2"/>
        <v>28.531348170589844</v>
      </c>
      <c r="L10" s="64">
        <f t="shared" si="3"/>
        <v>115.14830258820498</v>
      </c>
      <c r="M10" s="64">
        <f t="shared" si="4"/>
        <v>34.456639424941422</v>
      </c>
    </row>
    <row r="11" spans="1:13" ht="15.6" x14ac:dyDescent="0.3">
      <c r="B11" s="78"/>
      <c r="C11" s="23" t="str">
        <f>C6</f>
        <v>Deferred T&amp;D Cost Credit ($/kw-yr) (4):</v>
      </c>
      <c r="D11" s="280" t="s">
        <v>62</v>
      </c>
      <c r="E11" s="75"/>
      <c r="F11" s="59">
        <f t="shared" si="5"/>
        <v>2023</v>
      </c>
      <c r="G11" s="60">
        <v>5</v>
      </c>
      <c r="H11" s="212">
        <f>'Capacity Delivered'!H10</f>
        <v>93</v>
      </c>
      <c r="I11" s="212">
        <f t="shared" si="1"/>
        <v>35.859328357708605</v>
      </c>
      <c r="J11" s="62">
        <f t="shared" si="0"/>
        <v>0</v>
      </c>
      <c r="K11" s="63">
        <f t="shared" si="2"/>
        <v>89.341760630807002</v>
      </c>
      <c r="L11" s="64">
        <f t="shared" si="3"/>
        <v>204.49006321901197</v>
      </c>
      <c r="M11" s="64">
        <f t="shared" si="4"/>
        <v>50.677065481587796</v>
      </c>
    </row>
    <row r="12" spans="1:13" ht="15.6" x14ac:dyDescent="0.3">
      <c r="B12" s="48"/>
      <c r="C12" s="279">
        <v>2012</v>
      </c>
      <c r="D12" s="47">
        <f>D6</f>
        <v>27.33</v>
      </c>
      <c r="E12" s="75"/>
      <c r="F12" s="59">
        <f t="shared" si="5"/>
        <v>2024</v>
      </c>
      <c r="G12" s="60">
        <v>6</v>
      </c>
      <c r="H12" s="212">
        <f>'Capacity Delivered'!H11</f>
        <v>93</v>
      </c>
      <c r="I12" s="212">
        <f t="shared" si="1"/>
        <v>36.755811566651317</v>
      </c>
      <c r="J12" s="62">
        <f t="shared" si="0"/>
        <v>0</v>
      </c>
      <c r="K12" s="63">
        <f>SUM(H12:J12)/((1+$D$8)^G12)</f>
        <v>83.609031044126908</v>
      </c>
      <c r="L12" s="64">
        <f t="shared" si="3"/>
        <v>288.09909426313891</v>
      </c>
      <c r="M12" s="64">
        <f t="shared" si="4"/>
        <v>61.565994067144118</v>
      </c>
    </row>
    <row r="13" spans="1:13" ht="15.6" x14ac:dyDescent="0.3">
      <c r="B13" s="48"/>
      <c r="C13" s="203">
        <f>F7</f>
        <v>2019</v>
      </c>
      <c r="D13" s="278">
        <f>D6*((1+$D$9)^($C$13-$C$12))</f>
        <v>32.486781647752245</v>
      </c>
      <c r="E13" s="75"/>
      <c r="F13" s="59">
        <f t="shared" si="5"/>
        <v>2025</v>
      </c>
      <c r="G13" s="60">
        <v>7</v>
      </c>
      <c r="H13" s="212">
        <f>'Capacity Delivered'!H12</f>
        <v>80</v>
      </c>
      <c r="I13" s="212">
        <f>I12+(I12*$D$9)</f>
        <v>37.674706855817604</v>
      </c>
      <c r="J13" s="62">
        <f t="shared" si="0"/>
        <v>0</v>
      </c>
      <c r="K13" s="63">
        <f>SUM(H13:J13)/((1+$D$8)^G13)</f>
        <v>70.468856748679926</v>
      </c>
      <c r="L13" s="64">
        <f>L12+K13</f>
        <v>358.56795101181882</v>
      </c>
      <c r="M13" s="64">
        <f>(-PMT($D$8,G13,(L13)))</f>
        <v>67.931681359104616</v>
      </c>
    </row>
    <row r="14" spans="1:13" x14ac:dyDescent="0.25">
      <c r="B14" s="48"/>
      <c r="C14" s="213"/>
      <c r="D14" s="213"/>
      <c r="E14" s="75"/>
      <c r="F14" s="59">
        <f t="shared" si="5"/>
        <v>2026</v>
      </c>
      <c r="G14" s="60">
        <v>8</v>
      </c>
      <c r="H14" s="212">
        <f>'Capacity Delivered'!H13</f>
        <v>80</v>
      </c>
      <c r="I14" s="212">
        <f t="shared" si="1"/>
        <v>38.616574527213047</v>
      </c>
      <c r="J14" s="62">
        <f t="shared" si="0"/>
        <v>0</v>
      </c>
      <c r="K14" s="63">
        <f t="shared" si="2"/>
        <v>66.015696161261701</v>
      </c>
      <c r="L14" s="64">
        <f t="shared" si="3"/>
        <v>424.58364717308052</v>
      </c>
      <c r="M14" s="64">
        <f t="shared" si="4"/>
        <v>72.766123187044627</v>
      </c>
    </row>
    <row r="15" spans="1:13" x14ac:dyDescent="0.25">
      <c r="B15" s="213"/>
      <c r="C15" s="214"/>
      <c r="D15" s="214"/>
      <c r="E15" s="75"/>
      <c r="F15" s="59">
        <f t="shared" si="5"/>
        <v>2027</v>
      </c>
      <c r="G15" s="60">
        <v>9</v>
      </c>
      <c r="H15" s="212">
        <f>'Capacity Delivered'!H14</f>
        <v>80.477938899565444</v>
      </c>
      <c r="I15" s="212">
        <f t="shared" si="1"/>
        <v>39.581988890393376</v>
      </c>
      <c r="J15" s="62">
        <f t="shared" si="0"/>
        <v>0</v>
      </c>
      <c r="K15" s="63">
        <f t="shared" si="2"/>
        <v>62.099433140009104</v>
      </c>
      <c r="L15" s="64">
        <f t="shared" si="3"/>
        <v>486.68308031308965</v>
      </c>
      <c r="M15" s="64">
        <f t="shared" si="4"/>
        <v>76.617122114341015</v>
      </c>
    </row>
    <row r="16" spans="1:13" x14ac:dyDescent="0.25">
      <c r="B16" s="213"/>
      <c r="C16" s="214"/>
      <c r="D16" s="214"/>
      <c r="E16" s="75"/>
      <c r="F16" s="59">
        <f t="shared" si="5"/>
        <v>2028</v>
      </c>
      <c r="G16" s="60">
        <v>10</v>
      </c>
      <c r="H16" s="212">
        <f>'Capacity Delivered'!H15</f>
        <v>80.477938899565444</v>
      </c>
      <c r="I16" s="212">
        <f t="shared" si="1"/>
        <v>40.571538612653214</v>
      </c>
      <c r="J16" s="62">
        <f t="shared" si="0"/>
        <v>0</v>
      </c>
      <c r="K16" s="63">
        <f t="shared" si="2"/>
        <v>58.188907842896015</v>
      </c>
      <c r="L16" s="64">
        <f t="shared" si="3"/>
        <v>544.87198815598572</v>
      </c>
      <c r="M16" s="64">
        <f t="shared" si="4"/>
        <v>79.743020253331778</v>
      </c>
    </row>
    <row r="17" spans="2:13" x14ac:dyDescent="0.25">
      <c r="B17" s="213"/>
      <c r="C17" s="214"/>
      <c r="D17" s="214"/>
      <c r="E17" s="75"/>
      <c r="F17" s="59">
        <f t="shared" si="5"/>
        <v>2029</v>
      </c>
      <c r="G17" s="60">
        <v>11</v>
      </c>
      <c r="H17" s="212">
        <f>'Capacity Delivered'!H16</f>
        <v>80.477938899565444</v>
      </c>
      <c r="I17" s="212">
        <f t="shared" si="1"/>
        <v>41.585827077969547</v>
      </c>
      <c r="J17" s="62">
        <f t="shared" si="0"/>
        <v>0</v>
      </c>
      <c r="K17" s="63">
        <f t="shared" si="2"/>
        <v>54.532044480432113</v>
      </c>
      <c r="L17" s="64">
        <f t="shared" si="3"/>
        <v>599.40403263641781</v>
      </c>
      <c r="M17" s="64">
        <f t="shared" si="4"/>
        <v>82.340252961468778</v>
      </c>
    </row>
    <row r="18" spans="2:13" x14ac:dyDescent="0.25">
      <c r="B18" s="214"/>
      <c r="C18" s="214"/>
      <c r="D18" s="214"/>
      <c r="E18" s="75"/>
      <c r="F18" s="59">
        <f t="shared" si="5"/>
        <v>2030</v>
      </c>
      <c r="G18" s="60">
        <v>12</v>
      </c>
      <c r="H18" s="212">
        <f>'Capacity Delivered'!H17</f>
        <v>80.477938899565444</v>
      </c>
      <c r="I18" s="212">
        <f t="shared" si="1"/>
        <v>42.625472754918789</v>
      </c>
      <c r="J18" s="62">
        <f t="shared" si="0"/>
        <v>0</v>
      </c>
      <c r="K18" s="63">
        <f t="shared" si="2"/>
        <v>51.111995048649433</v>
      </c>
      <c r="L18" s="64">
        <f t="shared" si="3"/>
        <v>650.51602768506723</v>
      </c>
      <c r="M18" s="64">
        <f t="shared" si="4"/>
        <v>84.539750779779581</v>
      </c>
    </row>
    <row r="19" spans="2:13" x14ac:dyDescent="0.25">
      <c r="B19" s="214"/>
      <c r="C19" s="214"/>
      <c r="D19" s="214"/>
      <c r="E19" s="80"/>
      <c r="F19" s="59">
        <f t="shared" si="5"/>
        <v>2031</v>
      </c>
      <c r="G19" s="60">
        <v>13</v>
      </c>
      <c r="H19" s="212">
        <f>'Capacity Delivered'!H18</f>
        <v>84.157096346974001</v>
      </c>
      <c r="I19" s="212">
        <f t="shared" si="1"/>
        <v>43.691109573791756</v>
      </c>
      <c r="J19" s="62">
        <f t="shared" si="0"/>
        <v>0</v>
      </c>
      <c r="K19" s="63">
        <f t="shared" si="2"/>
        <v>49.332725611556135</v>
      </c>
      <c r="L19" s="64">
        <f t="shared" si="3"/>
        <v>699.84875329662339</v>
      </c>
      <c r="M19" s="64">
        <f t="shared" si="4"/>
        <v>86.607824916936508</v>
      </c>
    </row>
    <row r="20" spans="2:13" x14ac:dyDescent="0.25">
      <c r="B20" s="214"/>
      <c r="C20" s="214"/>
      <c r="D20" s="214"/>
      <c r="E20" s="80"/>
      <c r="F20" s="59">
        <f t="shared" si="5"/>
        <v>2032</v>
      </c>
      <c r="G20" s="60">
        <v>14</v>
      </c>
      <c r="H20" s="212">
        <f>'Capacity Delivered'!H19</f>
        <v>84.157096346974001</v>
      </c>
      <c r="I20" s="212">
        <f t="shared" si="1"/>
        <v>44.783387313136551</v>
      </c>
      <c r="J20" s="62">
        <f t="shared" si="0"/>
        <v>0</v>
      </c>
      <c r="K20" s="63">
        <f t="shared" si="2"/>
        <v>46.239964959566677</v>
      </c>
      <c r="L20" s="64">
        <f t="shared" si="3"/>
        <v>746.08871825619008</v>
      </c>
      <c r="M20" s="64">
        <f t="shared" si="4"/>
        <v>88.406689207804334</v>
      </c>
    </row>
    <row r="21" spans="2:13" s="216" customFormat="1" x14ac:dyDescent="0.25">
      <c r="B21" s="214"/>
      <c r="C21" s="214"/>
      <c r="D21" s="214"/>
      <c r="E21" s="80"/>
      <c r="F21" s="61">
        <f t="shared" si="5"/>
        <v>2033</v>
      </c>
      <c r="G21" s="61">
        <v>15</v>
      </c>
      <c r="H21" s="215">
        <f>'Capacity Delivered'!H20</f>
        <v>84.157096346974001</v>
      </c>
      <c r="I21" s="215">
        <f t="shared" si="1"/>
        <v>45.902971995964961</v>
      </c>
      <c r="J21" s="65">
        <f t="shared" si="0"/>
        <v>0</v>
      </c>
      <c r="K21" s="65">
        <f t="shared" si="2"/>
        <v>43.347086049939549</v>
      </c>
      <c r="L21" s="66">
        <f>L20+K21</f>
        <v>789.43580430612963</v>
      </c>
      <c r="M21" s="66">
        <f>(-PMT($D$8,G21,(L21)))</f>
        <v>89.989174260262573</v>
      </c>
    </row>
    <row r="22" spans="2:13" x14ac:dyDescent="0.25">
      <c r="B22" s="214"/>
      <c r="C22" s="214"/>
      <c r="D22" s="214"/>
      <c r="E22" s="80"/>
      <c r="F22" s="59">
        <f t="shared" si="5"/>
        <v>2034</v>
      </c>
      <c r="G22" s="60">
        <v>16</v>
      </c>
      <c r="H22" s="212">
        <f>'Capacity Delivered'!H21</f>
        <v>88.306829270347322</v>
      </c>
      <c r="I22" s="212">
        <f t="shared" si="1"/>
        <v>47.050546295864088</v>
      </c>
      <c r="J22" s="62">
        <f t="shared" si="0"/>
        <v>0</v>
      </c>
      <c r="K22" s="63">
        <f t="shared" si="2"/>
        <v>41.926207942880382</v>
      </c>
      <c r="L22" s="64">
        <f t="shared" si="3"/>
        <v>831.36201224901004</v>
      </c>
      <c r="M22" s="64">
        <f t="shared" si="4"/>
        <v>91.536418809006989</v>
      </c>
    </row>
    <row r="23" spans="2:13" x14ac:dyDescent="0.25">
      <c r="B23" s="214"/>
      <c r="C23" s="214"/>
      <c r="D23" s="214"/>
      <c r="E23" s="80"/>
      <c r="F23" s="59">
        <f t="shared" si="5"/>
        <v>2035</v>
      </c>
      <c r="G23" s="60">
        <v>17</v>
      </c>
      <c r="H23" s="212">
        <f>'Capacity Delivered'!H22</f>
        <v>88.306829270347322</v>
      </c>
      <c r="I23" s="212">
        <f t="shared" si="1"/>
        <v>48.226809953260691</v>
      </c>
      <c r="J23" s="62">
        <f t="shared" si="0"/>
        <v>0</v>
      </c>
      <c r="K23" s="63">
        <f t="shared" si="2"/>
        <v>39.303484375092175</v>
      </c>
      <c r="L23" s="64">
        <f t="shared" si="3"/>
        <v>870.66549662410216</v>
      </c>
      <c r="M23" s="64">
        <f t="shared" si="4"/>
        <v>92.918804900754793</v>
      </c>
    </row>
    <row r="24" spans="2:13" x14ac:dyDescent="0.25">
      <c r="B24" s="214"/>
      <c r="C24" s="214"/>
      <c r="D24" s="214"/>
      <c r="E24" s="80"/>
      <c r="F24" s="59">
        <f t="shared" si="5"/>
        <v>2036</v>
      </c>
      <c r="G24" s="60">
        <v>18</v>
      </c>
      <c r="H24" s="212">
        <f>'Capacity Delivered'!H23</f>
        <v>91.089450907608253</v>
      </c>
      <c r="I24" s="212">
        <f t="shared" si="1"/>
        <v>49.432480202092208</v>
      </c>
      <c r="J24" s="62">
        <f t="shared" si="0"/>
        <v>0</v>
      </c>
      <c r="K24" s="63">
        <f t="shared" si="2"/>
        <v>37.594405844191741</v>
      </c>
      <c r="L24" s="64">
        <f t="shared" si="3"/>
        <v>908.25990246829394</v>
      </c>
      <c r="M24" s="64">
        <f t="shared" si="4"/>
        <v>94.240224553628579</v>
      </c>
    </row>
    <row r="25" spans="2:13" x14ac:dyDescent="0.25">
      <c r="B25" s="214"/>
      <c r="C25" s="214"/>
      <c r="D25" s="214"/>
      <c r="E25" s="80"/>
      <c r="F25" s="59">
        <f t="shared" si="5"/>
        <v>2037</v>
      </c>
      <c r="G25" s="60">
        <v>19</v>
      </c>
      <c r="H25" s="212">
        <f>'Capacity Delivered'!H24</f>
        <v>91.089450907608253</v>
      </c>
      <c r="I25" s="212">
        <f t="shared" si="1"/>
        <v>50.668292207144511</v>
      </c>
      <c r="J25" s="62">
        <f t="shared" si="0"/>
        <v>0</v>
      </c>
      <c r="K25" s="63">
        <f t="shared" si="2"/>
        <v>35.246308247697215</v>
      </c>
      <c r="L25" s="64">
        <f t="shared" si="3"/>
        <v>943.50621071599119</v>
      </c>
      <c r="M25" s="64">
        <f t="shared" si="4"/>
        <v>95.4352708906071</v>
      </c>
    </row>
    <row r="26" spans="2:13" x14ac:dyDescent="0.25">
      <c r="B26" s="214"/>
      <c r="C26" s="214"/>
      <c r="D26" s="214"/>
      <c r="E26" s="80"/>
      <c r="F26" s="59">
        <f t="shared" si="5"/>
        <v>2038</v>
      </c>
      <c r="G26" s="60">
        <v>20</v>
      </c>
      <c r="H26" s="212">
        <f>'Capacity Delivered'!H25</f>
        <v>91.089450907608253</v>
      </c>
      <c r="I26" s="212">
        <f t="shared" si="1"/>
        <v>51.934999512323124</v>
      </c>
      <c r="J26" s="62">
        <f t="shared" si="0"/>
        <v>0</v>
      </c>
      <c r="K26" s="63">
        <f t="shared" si="2"/>
        <v>33.049497528546915</v>
      </c>
      <c r="L26" s="64">
        <f t="shared" si="3"/>
        <v>976.5557082445381</v>
      </c>
      <c r="M26" s="64">
        <f t="shared" si="4"/>
        <v>96.522179142636929</v>
      </c>
    </row>
    <row r="27" spans="2:13" s="72" customFormat="1" x14ac:dyDescent="0.25">
      <c r="F27" s="59">
        <f t="shared" si="5"/>
        <v>2039</v>
      </c>
      <c r="G27" s="58">
        <v>21</v>
      </c>
      <c r="H27" s="212">
        <f>'Capacity Delivered'!H26</f>
        <v>91.089450907608253</v>
      </c>
      <c r="I27" s="212">
        <f t="shared" si="1"/>
        <v>53.233374500131205</v>
      </c>
      <c r="J27" s="62">
        <f t="shared" ref="J27" si="6">(H27+I27)*$D$7</f>
        <v>0</v>
      </c>
      <c r="K27" s="63">
        <f t="shared" ref="K27" si="7">SUM(H27:J27)/((1+$D$8)^G27)</f>
        <v>30.993978292054091</v>
      </c>
      <c r="L27" s="64">
        <f t="shared" ref="L27" si="8">L26+K27</f>
        <v>1007.5496865365922</v>
      </c>
      <c r="M27" s="64">
        <f t="shared" ref="M27" si="9">(-PMT($D$8,G27,(L27)))</f>
        <v>97.515716529717679</v>
      </c>
    </row>
    <row r="28" spans="2:13" s="72" customFormat="1" x14ac:dyDescent="0.25">
      <c r="C28" s="24"/>
      <c r="F28" s="59"/>
      <c r="G28" s="58"/>
      <c r="H28" s="217"/>
      <c r="I28" s="218"/>
      <c r="J28" s="82"/>
      <c r="K28" s="83"/>
      <c r="L28" s="84"/>
      <c r="M28" s="76"/>
    </row>
    <row r="29" spans="2:13" x14ac:dyDescent="0.25">
      <c r="B29" s="40" t="s">
        <v>112</v>
      </c>
      <c r="C29" s="24"/>
      <c r="D29" s="72"/>
      <c r="E29" s="72"/>
      <c r="F29" s="40"/>
      <c r="G29" s="58"/>
      <c r="H29" s="217"/>
      <c r="I29" s="218"/>
      <c r="J29" s="82"/>
      <c r="K29" s="40"/>
      <c r="L29" s="40"/>
      <c r="M29" s="40"/>
    </row>
    <row r="30" spans="2:13" s="72" customFormat="1" ht="51.75" customHeight="1" x14ac:dyDescent="0.25">
      <c r="B30" s="321" t="s">
        <v>107</v>
      </c>
      <c r="C30" s="321"/>
      <c r="D30" s="321"/>
      <c r="E30" s="321"/>
      <c r="F30" s="321"/>
      <c r="G30" s="321"/>
      <c r="H30" s="321"/>
      <c r="I30" s="321"/>
      <c r="J30" s="321"/>
      <c r="K30" s="68"/>
      <c r="L30" s="68"/>
    </row>
  </sheetData>
  <mergeCells count="1">
    <mergeCell ref="B30:J30"/>
  </mergeCells>
  <phoneticPr fontId="13" type="noConversion"/>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5121" r:id="rId5" name="Control 1">
          <controlPr defaultSize="0" r:id="rId6">
            <anchor moveWithCells="1">
              <from>
                <xdr:col>6</xdr:col>
                <xdr:colOff>571500</xdr:colOff>
                <xdr:row>2</xdr:row>
                <xdr:rowOff>91440</xdr:rowOff>
              </from>
              <to>
                <xdr:col>6</xdr:col>
                <xdr:colOff>739140</xdr:colOff>
                <xdr:row>3</xdr:row>
                <xdr:rowOff>68580</xdr:rowOff>
              </to>
            </anchor>
          </controlPr>
        </control>
      </mc:Choice>
      <mc:Fallback>
        <control shapeId="5121" r:id="rId5" name="Control 1"/>
      </mc:Fallback>
    </mc:AlternateContent>
    <mc:AlternateContent xmlns:mc="http://schemas.openxmlformats.org/markup-compatibility/2006">
      <mc:Choice Requires="x14">
        <control shapeId="5122" r:id="rId7" name="Control 2">
          <controlPr defaultSize="0" r:id="rId8">
            <anchor moveWithCells="1">
              <from>
                <xdr:col>6</xdr:col>
                <xdr:colOff>571500</xdr:colOff>
                <xdr:row>2</xdr:row>
                <xdr:rowOff>91440</xdr:rowOff>
              </from>
              <to>
                <xdr:col>6</xdr:col>
                <xdr:colOff>1127760</xdr:colOff>
                <xdr:row>3</xdr:row>
                <xdr:rowOff>68580</xdr:rowOff>
              </to>
            </anchor>
          </controlPr>
        </control>
      </mc:Choice>
      <mc:Fallback>
        <control shapeId="5122" r:id="rId7" name="Control 2"/>
      </mc:Fallback>
    </mc:AlternateContent>
    <mc:AlternateContent xmlns:mc="http://schemas.openxmlformats.org/markup-compatibility/2006">
      <mc:Choice Requires="x14">
        <control shapeId="5123" r:id="rId9" name="Control 3">
          <controlPr defaultSize="0" r:id="rId10">
            <anchor moveWithCells="1">
              <from>
                <xdr:col>6</xdr:col>
                <xdr:colOff>571500</xdr:colOff>
                <xdr:row>2</xdr:row>
                <xdr:rowOff>91440</xdr:rowOff>
              </from>
              <to>
                <xdr:col>6</xdr:col>
                <xdr:colOff>1127760</xdr:colOff>
                <xdr:row>3</xdr:row>
                <xdr:rowOff>68580</xdr:rowOff>
              </to>
            </anchor>
          </controlPr>
        </control>
      </mc:Choice>
      <mc:Fallback>
        <control shapeId="5123" r:id="rId9" name="Control 3"/>
      </mc:Fallback>
    </mc:AlternateContent>
    <mc:AlternateContent xmlns:mc="http://schemas.openxmlformats.org/markup-compatibility/2006">
      <mc:Choice Requires="x14">
        <control shapeId="5124" r:id="rId11" name="Control 4">
          <controlPr defaultSize="0" r:id="rId12">
            <anchor moveWithCells="1">
              <from>
                <xdr:col>6</xdr:col>
                <xdr:colOff>571500</xdr:colOff>
                <xdr:row>2</xdr:row>
                <xdr:rowOff>91440</xdr:rowOff>
              </from>
              <to>
                <xdr:col>7</xdr:col>
                <xdr:colOff>0</xdr:colOff>
                <xdr:row>3</xdr:row>
                <xdr:rowOff>129540</xdr:rowOff>
              </to>
            </anchor>
          </controlPr>
        </control>
      </mc:Choice>
      <mc:Fallback>
        <control shapeId="5124" r:id="rId11" name="Control 4"/>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tint="0.39997558519241921"/>
    <pageSetUpPr fitToPage="1"/>
  </sheetPr>
  <dimension ref="A1:M30"/>
  <sheetViews>
    <sheetView zoomScale="75" zoomScaleNormal="75" workbookViewId="0">
      <selection activeCell="F7" sqref="F7:G27"/>
    </sheetView>
  </sheetViews>
  <sheetFormatPr defaultColWidth="9.109375" defaultRowHeight="15" x14ac:dyDescent="0.25"/>
  <cols>
    <col min="1" max="1" width="2.6640625" style="49" customWidth="1"/>
    <col min="2" max="2" width="25.6640625" style="49" customWidth="1"/>
    <col min="3" max="3" width="17.44140625" style="49" customWidth="1"/>
    <col min="4" max="4" width="15.5546875" style="49" customWidth="1"/>
    <col min="5" max="5" width="2.6640625" style="49" customWidth="1"/>
    <col min="6" max="6" width="9.6640625" style="49" customWidth="1"/>
    <col min="7" max="7" width="16.6640625" style="49" customWidth="1"/>
    <col min="8" max="9" width="16.44140625" style="72" customWidth="1"/>
    <col min="10" max="10" width="16.6640625" style="209" customWidth="1"/>
    <col min="11" max="11" width="18.5546875" style="49" customWidth="1"/>
    <col min="12" max="12" width="19" style="49" customWidth="1"/>
    <col min="13" max="13" width="22.33203125" style="49" customWidth="1"/>
    <col min="14" max="16384" width="9.109375" style="49"/>
  </cols>
  <sheetData>
    <row r="1" spans="1:13" x14ac:dyDescent="0.25">
      <c r="B1" s="17"/>
    </row>
    <row r="3" spans="1:13" ht="15.6" x14ac:dyDescent="0.3">
      <c r="H3" s="204" t="s">
        <v>61</v>
      </c>
    </row>
    <row r="4" spans="1:13" ht="62.4" x14ac:dyDescent="0.3">
      <c r="F4" s="18" t="s">
        <v>15</v>
      </c>
      <c r="G4" s="19" t="s">
        <v>1</v>
      </c>
      <c r="H4" s="20" t="s">
        <v>16</v>
      </c>
      <c r="I4" s="20" t="s">
        <v>101</v>
      </c>
      <c r="J4" s="20" t="s">
        <v>68</v>
      </c>
      <c r="K4" s="19" t="s">
        <v>17</v>
      </c>
      <c r="L4" s="19" t="s">
        <v>18</v>
      </c>
      <c r="M4" s="3" t="s">
        <v>19</v>
      </c>
    </row>
    <row r="5" spans="1:13" ht="15.6" x14ac:dyDescent="0.3">
      <c r="B5" s="210"/>
      <c r="C5" s="210"/>
      <c r="F5" s="21"/>
      <c r="G5" s="21" t="s">
        <v>20</v>
      </c>
      <c r="H5" s="22" t="s">
        <v>35</v>
      </c>
      <c r="I5" s="22" t="s">
        <v>35</v>
      </c>
      <c r="J5" s="22" t="s">
        <v>35</v>
      </c>
      <c r="K5" s="21" t="s">
        <v>35</v>
      </c>
      <c r="L5" s="21" t="s">
        <v>35</v>
      </c>
      <c r="M5" s="4" t="s">
        <v>35</v>
      </c>
    </row>
    <row r="6" spans="1:13" ht="15.6" x14ac:dyDescent="0.3">
      <c r="A6" s="210"/>
      <c r="B6" s="78"/>
      <c r="C6" s="23" t="s">
        <v>21</v>
      </c>
      <c r="D6" s="244">
        <v>27.33</v>
      </c>
      <c r="E6" s="73"/>
      <c r="F6" s="208" t="s">
        <v>22</v>
      </c>
      <c r="G6" s="208" t="s">
        <v>23</v>
      </c>
      <c r="H6" s="208" t="s">
        <v>24</v>
      </c>
      <c r="I6" s="208" t="s">
        <v>25</v>
      </c>
      <c r="J6" s="208" t="s">
        <v>26</v>
      </c>
      <c r="K6" s="208" t="s">
        <v>32</v>
      </c>
      <c r="L6" s="208" t="s">
        <v>27</v>
      </c>
      <c r="M6" s="208" t="s">
        <v>28</v>
      </c>
    </row>
    <row r="7" spans="1:13" ht="15.6" x14ac:dyDescent="0.3">
      <c r="A7" s="210"/>
      <c r="B7" s="78"/>
      <c r="C7" s="23" t="s">
        <v>29</v>
      </c>
      <c r="D7" s="74">
        <f>'Firm Avoided Capacity Calcs'!D7</f>
        <v>0</v>
      </c>
      <c r="E7" s="75"/>
      <c r="F7" s="211">
        <v>2019</v>
      </c>
      <c r="G7" s="205">
        <v>1</v>
      </c>
      <c r="H7" s="212">
        <f>'Capacity Delivered'!I6</f>
        <v>1.6378565153733527E-2</v>
      </c>
      <c r="I7" s="219">
        <f>D13</f>
        <v>32.486781647752245</v>
      </c>
      <c r="J7" s="206">
        <f t="shared" ref="J7:J26" si="0">(H7+I7)*$D$7</f>
        <v>0</v>
      </c>
      <c r="K7" s="47">
        <f>SUM(H7:J7)/((1+$D$8)^G7)</f>
        <v>30.20739796738474</v>
      </c>
      <c r="L7" s="207">
        <f>K7</f>
        <v>30.20739796738474</v>
      </c>
      <c r="M7" s="207">
        <f>(-PMT($D$8,G7,(L7)))</f>
        <v>32.503160212905982</v>
      </c>
    </row>
    <row r="8" spans="1:13" ht="15.6" x14ac:dyDescent="0.3">
      <c r="A8" s="210"/>
      <c r="B8" s="78"/>
      <c r="C8" s="23" t="s">
        <v>77</v>
      </c>
      <c r="D8" s="74">
        <f>Rate_of_Return</f>
        <v>7.5999999999999998E-2</v>
      </c>
      <c r="E8" s="75"/>
      <c r="F8" s="59">
        <f>F7+1</f>
        <v>2020</v>
      </c>
      <c r="G8" s="60">
        <v>2</v>
      </c>
      <c r="H8" s="212">
        <f>'Capacity Delivered'!I7</f>
        <v>1.6378565153733527E-2</v>
      </c>
      <c r="I8" s="212">
        <f t="shared" ref="I8:I27" si="1">I7+(I7*$D$9)</f>
        <v>33.298951188946049</v>
      </c>
      <c r="J8" s="62">
        <f t="shared" si="0"/>
        <v>0</v>
      </c>
      <c r="K8" s="63">
        <f t="shared" ref="K8:K26" si="2">SUM(H8:J8)/((1+$D$8)^G8)</f>
        <v>28.775281016448588</v>
      </c>
      <c r="L8" s="64">
        <f t="shared" ref="L8:L26" si="3">L7+K8</f>
        <v>58.982678983833324</v>
      </c>
      <c r="M8" s="64">
        <f t="shared" ref="M8:M26" si="4">(-PMT($D$8,G8,(L8)))</f>
        <v>32.894378681689119</v>
      </c>
    </row>
    <row r="9" spans="1:13" ht="15.6" x14ac:dyDescent="0.3">
      <c r="A9" s="210"/>
      <c r="B9" s="78"/>
      <c r="C9" s="23" t="s">
        <v>78</v>
      </c>
      <c r="D9" s="74">
        <f>'Firm Avoided Capacity Calcs'!D9</f>
        <v>2.5000000000000001E-2</v>
      </c>
      <c r="E9" s="77"/>
      <c r="F9" s="59">
        <f t="shared" ref="F9:F27" si="5">F8+1</f>
        <v>2021</v>
      </c>
      <c r="G9" s="60">
        <v>3</v>
      </c>
      <c r="H9" s="212">
        <f>'Capacity Delivered'!I8</f>
        <v>1.6378565153733527E-2</v>
      </c>
      <c r="I9" s="212">
        <f t="shared" si="1"/>
        <v>34.131424968669698</v>
      </c>
      <c r="J9" s="62">
        <f t="shared" si="0"/>
        <v>0</v>
      </c>
      <c r="K9" s="63">
        <f t="shared" si="2"/>
        <v>27.411068194685733</v>
      </c>
      <c r="L9" s="64">
        <f t="shared" si="3"/>
        <v>86.39374717851905</v>
      </c>
      <c r="M9" s="64">
        <f>(-PMT($D$8,G9,(L9)))</f>
        <v>33.281982786653188</v>
      </c>
    </row>
    <row r="10" spans="1:13" ht="15.6" x14ac:dyDescent="0.3">
      <c r="B10" s="78"/>
      <c r="C10" s="23"/>
      <c r="D10" s="79"/>
      <c r="E10" s="75"/>
      <c r="F10" s="59">
        <f t="shared" si="5"/>
        <v>2022</v>
      </c>
      <c r="G10" s="60">
        <v>4</v>
      </c>
      <c r="H10" s="212">
        <f>'Capacity Delivered'!I9</f>
        <v>0.52159999999999995</v>
      </c>
      <c r="I10" s="212">
        <f t="shared" si="1"/>
        <v>34.984710592886444</v>
      </c>
      <c r="J10" s="62">
        <f t="shared" si="0"/>
        <v>0</v>
      </c>
      <c r="K10" s="63">
        <f>SUM(H10:J10)/((1+$D$8)^G10)</f>
        <v>26.488444913665329</v>
      </c>
      <c r="L10" s="64">
        <f t="shared" si="3"/>
        <v>112.88219209218438</v>
      </c>
      <c r="M10" s="64">
        <f>(-PMT($D$8,G10,(L10)))</f>
        <v>33.778535184554165</v>
      </c>
    </row>
    <row r="11" spans="1:13" ht="15.6" x14ac:dyDescent="0.3">
      <c r="B11" s="78"/>
      <c r="C11" s="23" t="str">
        <f>C6</f>
        <v>Deferred T&amp;D Cost Credit ($/kw-yr) (4):</v>
      </c>
      <c r="D11" s="280" t="s">
        <v>62</v>
      </c>
      <c r="E11" s="75"/>
      <c r="F11" s="59">
        <f t="shared" si="5"/>
        <v>2023</v>
      </c>
      <c r="G11" s="60">
        <v>5</v>
      </c>
      <c r="H11" s="212">
        <f>'Capacity Delivered'!I10</f>
        <v>14.88</v>
      </c>
      <c r="I11" s="212">
        <f t="shared" si="1"/>
        <v>35.859328357708605</v>
      </c>
      <c r="J11" s="62">
        <f t="shared" si="0"/>
        <v>0</v>
      </c>
      <c r="K11" s="63">
        <f t="shared" si="2"/>
        <v>35.17898926276019</v>
      </c>
      <c r="L11" s="64">
        <f t="shared" si="3"/>
        <v>148.06118135494458</v>
      </c>
      <c r="M11" s="64">
        <f t="shared" si="4"/>
        <v>36.692766703141054</v>
      </c>
    </row>
    <row r="12" spans="1:13" ht="15.6" x14ac:dyDescent="0.3">
      <c r="B12" s="48"/>
      <c r="C12" s="279">
        <v>2012</v>
      </c>
      <c r="D12" s="47">
        <f>D6</f>
        <v>27.33</v>
      </c>
      <c r="E12" s="75"/>
      <c r="F12" s="59">
        <f t="shared" si="5"/>
        <v>2024</v>
      </c>
      <c r="G12" s="60">
        <v>6</v>
      </c>
      <c r="H12" s="212">
        <f>'Capacity Delivered'!I11</f>
        <v>14.88</v>
      </c>
      <c r="I12" s="212">
        <f t="shared" si="1"/>
        <v>36.755811566651317</v>
      </c>
      <c r="J12" s="62">
        <f t="shared" si="0"/>
        <v>0</v>
      </c>
      <c r="K12" s="63">
        <f>SUM(H12:J12)/((1+$D$8)^G12)</f>
        <v>33.27188293255923</v>
      </c>
      <c r="L12" s="64">
        <f t="shared" si="3"/>
        <v>181.33306428750382</v>
      </c>
      <c r="M12" s="64">
        <f t="shared" si="4"/>
        <v>38.750383400736375</v>
      </c>
    </row>
    <row r="13" spans="1:13" ht="15.6" x14ac:dyDescent="0.3">
      <c r="B13" s="48"/>
      <c r="C13" s="203">
        <f>F7</f>
        <v>2019</v>
      </c>
      <c r="D13" s="278">
        <f>D6*((1+$D$9)^($C$13-$C$12))</f>
        <v>32.486781647752245</v>
      </c>
      <c r="E13" s="75"/>
      <c r="F13" s="59">
        <f t="shared" si="5"/>
        <v>2025</v>
      </c>
      <c r="G13" s="60">
        <v>7</v>
      </c>
      <c r="H13" s="212">
        <f>'Capacity Delivered'!I12</f>
        <v>12.8</v>
      </c>
      <c r="I13" s="212">
        <f t="shared" si="1"/>
        <v>37.674706855817604</v>
      </c>
      <c r="J13" s="62">
        <f t="shared" si="0"/>
        <v>0</v>
      </c>
      <c r="K13" s="63">
        <f t="shared" si="2"/>
        <v>30.226503059934135</v>
      </c>
      <c r="L13" s="64">
        <f t="shared" si="3"/>
        <v>211.55956734743796</v>
      </c>
      <c r="M13" s="64">
        <f t="shared" si="4"/>
        <v>40.080540039794251</v>
      </c>
    </row>
    <row r="14" spans="1:13" x14ac:dyDescent="0.25">
      <c r="B14" s="48"/>
      <c r="C14" s="213"/>
      <c r="D14" s="213"/>
      <c r="E14" s="75"/>
      <c r="F14" s="59">
        <f t="shared" si="5"/>
        <v>2026</v>
      </c>
      <c r="G14" s="60">
        <v>8</v>
      </c>
      <c r="H14" s="212">
        <f>'Capacity Delivered'!I13</f>
        <v>12.8</v>
      </c>
      <c r="I14" s="212">
        <f t="shared" si="1"/>
        <v>38.616574527213047</v>
      </c>
      <c r="J14" s="62">
        <f t="shared" si="0"/>
        <v>0</v>
      </c>
      <c r="K14" s="63">
        <f t="shared" si="2"/>
        <v>28.615739201460777</v>
      </c>
      <c r="L14" s="64">
        <f t="shared" si="3"/>
        <v>240.17530654889873</v>
      </c>
      <c r="M14" s="64">
        <f t="shared" si="4"/>
        <v>41.161797113912556</v>
      </c>
    </row>
    <row r="15" spans="1:13" x14ac:dyDescent="0.25">
      <c r="B15" s="213"/>
      <c r="C15" s="214"/>
      <c r="D15" s="214"/>
      <c r="E15" s="75"/>
      <c r="F15" s="59">
        <f t="shared" si="5"/>
        <v>2027</v>
      </c>
      <c r="G15" s="60">
        <v>9</v>
      </c>
      <c r="H15" s="212">
        <f>'Capacity Delivered'!I14</f>
        <v>12.876470223930472</v>
      </c>
      <c r="I15" s="212">
        <f t="shared" si="1"/>
        <v>39.581988890393376</v>
      </c>
      <c r="J15" s="62">
        <f t="shared" si="0"/>
        <v>0</v>
      </c>
      <c r="K15" s="63">
        <f t="shared" si="2"/>
        <v>27.133454387020766</v>
      </c>
      <c r="L15" s="64">
        <f t="shared" si="3"/>
        <v>267.30876093591951</v>
      </c>
      <c r="M15" s="64">
        <f t="shared" si="4"/>
        <v>42.081651915421446</v>
      </c>
    </row>
    <row r="16" spans="1:13" x14ac:dyDescent="0.25">
      <c r="B16" s="213"/>
      <c r="C16" s="214"/>
      <c r="D16" s="214"/>
      <c r="E16" s="75"/>
      <c r="F16" s="59">
        <f t="shared" si="5"/>
        <v>2028</v>
      </c>
      <c r="G16" s="60">
        <v>10</v>
      </c>
      <c r="H16" s="212">
        <f>'Capacity Delivered'!I15</f>
        <v>12.876470223930472</v>
      </c>
      <c r="I16" s="212">
        <f t="shared" si="1"/>
        <v>40.571538612653214</v>
      </c>
      <c r="J16" s="62">
        <f t="shared" si="0"/>
        <v>0</v>
      </c>
      <c r="K16" s="63">
        <f t="shared" si="2"/>
        <v>25.69264506130834</v>
      </c>
      <c r="L16" s="64">
        <f t="shared" si="3"/>
        <v>293.00140599722783</v>
      </c>
      <c r="M16" s="64">
        <f t="shared" si="4"/>
        <v>42.88129608527931</v>
      </c>
    </row>
    <row r="17" spans="2:13" x14ac:dyDescent="0.25">
      <c r="B17" s="213"/>
      <c r="C17" s="214"/>
      <c r="D17" s="214"/>
      <c r="E17" s="75"/>
      <c r="F17" s="59">
        <f t="shared" si="5"/>
        <v>2029</v>
      </c>
      <c r="G17" s="60">
        <v>11</v>
      </c>
      <c r="H17" s="212">
        <f>'Capacity Delivered'!I16</f>
        <v>12.876470223930472</v>
      </c>
      <c r="I17" s="212">
        <f t="shared" si="1"/>
        <v>41.585827077969547</v>
      </c>
      <c r="J17" s="62">
        <f t="shared" si="0"/>
        <v>0</v>
      </c>
      <c r="K17" s="63">
        <f t="shared" si="2"/>
        <v>24.331056765201946</v>
      </c>
      <c r="L17" s="64">
        <f t="shared" si="3"/>
        <v>317.33246276242977</v>
      </c>
      <c r="M17" s="64">
        <f t="shared" si="4"/>
        <v>43.592024467732635</v>
      </c>
    </row>
    <row r="18" spans="2:13" x14ac:dyDescent="0.25">
      <c r="B18" s="214"/>
      <c r="C18" s="214"/>
      <c r="D18" s="214"/>
      <c r="E18" s="75"/>
      <c r="F18" s="59">
        <f t="shared" si="5"/>
        <v>2030</v>
      </c>
      <c r="G18" s="60">
        <v>12</v>
      </c>
      <c r="H18" s="212">
        <f>'Capacity Delivered'!I17</f>
        <v>12.876470223930472</v>
      </c>
      <c r="I18" s="212">
        <f t="shared" si="1"/>
        <v>42.625472754918789</v>
      </c>
      <c r="J18" s="62">
        <f t="shared" si="0"/>
        <v>0</v>
      </c>
      <c r="K18" s="63">
        <f t="shared" si="2"/>
        <v>23.044162599550756</v>
      </c>
      <c r="L18" s="64">
        <f t="shared" si="3"/>
        <v>340.37662536198053</v>
      </c>
      <c r="M18" s="64">
        <f t="shared" si="4"/>
        <v>44.234659646687717</v>
      </c>
    </row>
    <row r="19" spans="2:13" x14ac:dyDescent="0.25">
      <c r="B19" s="214"/>
      <c r="C19" s="214"/>
      <c r="D19" s="214"/>
      <c r="E19" s="75"/>
      <c r="F19" s="59">
        <f t="shared" si="5"/>
        <v>2031</v>
      </c>
      <c r="G19" s="60">
        <v>13</v>
      </c>
      <c r="H19" s="212">
        <f>'Capacity Delivered'!I18</f>
        <v>13.46513541551584</v>
      </c>
      <c r="I19" s="212">
        <f t="shared" si="1"/>
        <v>43.691109573791756</v>
      </c>
      <c r="J19" s="62">
        <f t="shared" si="0"/>
        <v>0</v>
      </c>
      <c r="K19" s="63">
        <f t="shared" si="2"/>
        <v>22.054852711753274</v>
      </c>
      <c r="L19" s="64">
        <f t="shared" si="3"/>
        <v>362.43147807373379</v>
      </c>
      <c r="M19" s="64">
        <f t="shared" si="4"/>
        <v>44.851693811751908</v>
      </c>
    </row>
    <row r="20" spans="2:13" x14ac:dyDescent="0.25">
      <c r="B20" s="214"/>
      <c r="C20" s="214"/>
      <c r="D20" s="214"/>
      <c r="E20" s="75"/>
      <c r="F20" s="59">
        <f t="shared" si="5"/>
        <v>2032</v>
      </c>
      <c r="G20" s="60">
        <v>14</v>
      </c>
      <c r="H20" s="212">
        <f>'Capacity Delivered'!I19</f>
        <v>13.46513541551584</v>
      </c>
      <c r="I20" s="212">
        <f t="shared" si="1"/>
        <v>44.783387313136551</v>
      </c>
      <c r="J20" s="62">
        <f t="shared" si="0"/>
        <v>0</v>
      </c>
      <c r="K20" s="63">
        <f t="shared" si="2"/>
        <v>20.888781967184848</v>
      </c>
      <c r="L20" s="64">
        <f t="shared" si="3"/>
        <v>383.32026004091864</v>
      </c>
      <c r="M20" s="64">
        <f t="shared" si="4"/>
        <v>45.420972422284805</v>
      </c>
    </row>
    <row r="21" spans="2:13" s="216" customFormat="1" x14ac:dyDescent="0.25">
      <c r="B21" s="214"/>
      <c r="C21" s="214"/>
      <c r="D21" s="214"/>
      <c r="E21" s="80"/>
      <c r="F21" s="61">
        <f t="shared" si="5"/>
        <v>2033</v>
      </c>
      <c r="G21" s="61">
        <v>15</v>
      </c>
      <c r="H21" s="215">
        <f>'Capacity Delivered'!I20</f>
        <v>13.46513541551584</v>
      </c>
      <c r="I21" s="215">
        <f>I20+(I20*$D$9)</f>
        <v>45.902971995964961</v>
      </c>
      <c r="J21" s="65">
        <f t="shared" si="0"/>
        <v>0</v>
      </c>
      <c r="K21" s="65">
        <f>SUM(H21:J21)/((1+$D$8)^G21)</f>
        <v>19.786507060737105</v>
      </c>
      <c r="L21" s="66">
        <f>L20+K21</f>
        <v>403.10676710165575</v>
      </c>
      <c r="M21" s="66">
        <f>(-PMT($D$8,G21,(L21)))</f>
        <v>45.950848583674151</v>
      </c>
    </row>
    <row r="22" spans="2:13" x14ac:dyDescent="0.25">
      <c r="B22" s="214"/>
      <c r="C22" s="214"/>
      <c r="D22" s="214"/>
      <c r="E22" s="80"/>
      <c r="F22" s="59">
        <f t="shared" si="5"/>
        <v>2034</v>
      </c>
      <c r="G22" s="60">
        <v>16</v>
      </c>
      <c r="H22" s="212">
        <f>'Capacity Delivered'!I21</f>
        <v>14.129092683255571</v>
      </c>
      <c r="I22" s="212">
        <f t="shared" si="1"/>
        <v>47.050546295864088</v>
      </c>
      <c r="J22" s="62">
        <f t="shared" si="0"/>
        <v>0</v>
      </c>
      <c r="K22" s="63">
        <f t="shared" si="2"/>
        <v>18.950059093412396</v>
      </c>
      <c r="L22" s="64">
        <f t="shared" si="3"/>
        <v>422.05682619506814</v>
      </c>
      <c r="M22" s="64">
        <f t="shared" si="4"/>
        <v>46.470213739114733</v>
      </c>
    </row>
    <row r="23" spans="2:13" x14ac:dyDescent="0.25">
      <c r="B23" s="214"/>
      <c r="C23" s="214"/>
      <c r="D23" s="214"/>
      <c r="E23" s="80"/>
      <c r="F23" s="59">
        <f t="shared" si="5"/>
        <v>2035</v>
      </c>
      <c r="G23" s="60">
        <v>17</v>
      </c>
      <c r="H23" s="212">
        <f>'Capacity Delivered'!I22</f>
        <v>14.129092683255571</v>
      </c>
      <c r="I23" s="212">
        <f t="shared" si="1"/>
        <v>48.226809953260691</v>
      </c>
      <c r="J23" s="62">
        <f t="shared" si="0"/>
        <v>0</v>
      </c>
      <c r="K23" s="63">
        <f t="shared" si="2"/>
        <v>17.950186187854264</v>
      </c>
      <c r="L23" s="64">
        <f t="shared" si="3"/>
        <v>440.00701238292243</v>
      </c>
      <c r="M23" s="64">
        <f t="shared" si="4"/>
        <v>46.958247337351729</v>
      </c>
    </row>
    <row r="24" spans="2:13" x14ac:dyDescent="0.25">
      <c r="B24" s="214"/>
      <c r="C24" s="214"/>
      <c r="D24" s="214"/>
      <c r="E24" s="80"/>
      <c r="F24" s="59">
        <f t="shared" si="5"/>
        <v>2036</v>
      </c>
      <c r="G24" s="60">
        <v>18</v>
      </c>
      <c r="H24" s="212">
        <f>'Capacity Delivered'!I23</f>
        <v>14.57431214521732</v>
      </c>
      <c r="I24" s="212">
        <f t="shared" si="1"/>
        <v>49.432480202092208</v>
      </c>
      <c r="J24" s="62">
        <f t="shared" si="0"/>
        <v>0</v>
      </c>
      <c r="K24" s="63">
        <f t="shared" si="2"/>
        <v>17.123998434174307</v>
      </c>
      <c r="L24" s="64">
        <f t="shared" si="3"/>
        <v>457.13101081709675</v>
      </c>
      <c r="M24" s="64">
        <f t="shared" si="4"/>
        <v>47.431499500039067</v>
      </c>
    </row>
    <row r="25" spans="2:13" x14ac:dyDescent="0.25">
      <c r="B25" s="214"/>
      <c r="C25" s="214"/>
      <c r="D25" s="214"/>
      <c r="E25" s="80"/>
      <c r="F25" s="59">
        <f t="shared" si="5"/>
        <v>2037</v>
      </c>
      <c r="G25" s="60">
        <v>19</v>
      </c>
      <c r="H25" s="212">
        <f>'Capacity Delivered'!I24</f>
        <v>14.57431214521732</v>
      </c>
      <c r="I25" s="212">
        <f t="shared" si="1"/>
        <v>50.668292207144511</v>
      </c>
      <c r="J25" s="62">
        <f t="shared" si="0"/>
        <v>0</v>
      </c>
      <c r="K25" s="63">
        <f t="shared" si="2"/>
        <v>16.221766045078784</v>
      </c>
      <c r="L25" s="64">
        <f t="shared" si="3"/>
        <v>473.35277686217552</v>
      </c>
      <c r="M25" s="64">
        <f t="shared" si="4"/>
        <v>47.879441569739697</v>
      </c>
    </row>
    <row r="26" spans="2:13" x14ac:dyDescent="0.25">
      <c r="B26" s="214"/>
      <c r="C26" s="214"/>
      <c r="D26" s="214"/>
      <c r="E26" s="80"/>
      <c r="F26" s="59">
        <f t="shared" si="5"/>
        <v>2038</v>
      </c>
      <c r="G26" s="60">
        <v>20</v>
      </c>
      <c r="H26" s="212">
        <f>'Capacity Delivered'!I25</f>
        <v>14.57431214521732</v>
      </c>
      <c r="I26" s="212">
        <f t="shared" si="1"/>
        <v>51.934999512323124</v>
      </c>
      <c r="J26" s="62">
        <f t="shared" si="0"/>
        <v>0</v>
      </c>
      <c r="K26" s="63">
        <f t="shared" si="2"/>
        <v>15.368696224998187</v>
      </c>
      <c r="L26" s="64">
        <f t="shared" si="3"/>
        <v>488.72147308717371</v>
      </c>
      <c r="M26" s="64">
        <f t="shared" si="4"/>
        <v>48.304936603126386</v>
      </c>
    </row>
    <row r="27" spans="2:13" s="72" customFormat="1" x14ac:dyDescent="0.25">
      <c r="F27" s="59">
        <f t="shared" si="5"/>
        <v>2039</v>
      </c>
      <c r="G27" s="58">
        <v>21</v>
      </c>
      <c r="H27" s="212">
        <f>'Capacity Delivered'!I26</f>
        <v>14.57431214521732</v>
      </c>
      <c r="I27" s="212">
        <f t="shared" si="1"/>
        <v>53.233374500131205</v>
      </c>
      <c r="J27" s="62">
        <f t="shared" ref="J27" si="6">(H27+I27)*$D$7</f>
        <v>0</v>
      </c>
      <c r="K27" s="63">
        <f t="shared" ref="K27" si="7">SUM(H27:J27)/((1+$D$8)^G27)</f>
        <v>14.562006820354533</v>
      </c>
      <c r="L27" s="64">
        <f t="shared" ref="L27" si="8">L26+K27</f>
        <v>503.28347990752826</v>
      </c>
      <c r="M27" s="64">
        <f t="shared" ref="M27" si="9">(-PMT($D$8,G27,(L27)))</f>
        <v>48.710301652175616</v>
      </c>
    </row>
    <row r="28" spans="2:13" s="72" customFormat="1" x14ac:dyDescent="0.25">
      <c r="C28" s="24"/>
      <c r="F28" s="59"/>
      <c r="G28" s="58"/>
      <c r="H28" s="217"/>
      <c r="I28" s="218"/>
      <c r="J28" s="82"/>
      <c r="K28" s="83"/>
      <c r="L28" s="84"/>
      <c r="M28" s="76"/>
    </row>
    <row r="29" spans="2:13" x14ac:dyDescent="0.25">
      <c r="B29" s="40" t="s">
        <v>113</v>
      </c>
      <c r="C29" s="24"/>
      <c r="D29" s="72"/>
      <c r="E29" s="72"/>
      <c r="F29" s="40"/>
      <c r="G29" s="58"/>
      <c r="H29" s="217"/>
      <c r="I29" s="218"/>
      <c r="J29" s="82"/>
      <c r="K29" s="40"/>
      <c r="L29" s="40"/>
      <c r="M29" s="40"/>
    </row>
    <row r="30" spans="2:13" s="72" customFormat="1" ht="51.75" customHeight="1" x14ac:dyDescent="0.25">
      <c r="B30" s="321" t="s">
        <v>107</v>
      </c>
      <c r="C30" s="321"/>
      <c r="D30" s="321"/>
      <c r="E30" s="321"/>
      <c r="F30" s="321"/>
      <c r="G30" s="321"/>
      <c r="H30" s="321"/>
      <c r="I30" s="321"/>
      <c r="J30" s="321"/>
      <c r="K30" s="68"/>
      <c r="L30" s="68"/>
    </row>
  </sheetData>
  <mergeCells count="1">
    <mergeCell ref="B30:J30"/>
  </mergeCells>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12289" r:id="rId5" name="Control 1">
          <controlPr defaultSize="0" autoPict="0" r:id="rId6">
            <anchor moveWithCells="1">
              <from>
                <xdr:col>2</xdr:col>
                <xdr:colOff>358140</xdr:colOff>
                <xdr:row>1</xdr:row>
                <xdr:rowOff>0</xdr:rowOff>
              </from>
              <to>
                <xdr:col>2</xdr:col>
                <xdr:colOff>464820</xdr:colOff>
                <xdr:row>1</xdr:row>
                <xdr:rowOff>114300</xdr:rowOff>
              </to>
            </anchor>
          </controlPr>
        </control>
      </mc:Choice>
      <mc:Fallback>
        <control shapeId="12289" r:id="rId5" name="Control 1"/>
      </mc:Fallback>
    </mc:AlternateContent>
    <mc:AlternateContent xmlns:mc="http://schemas.openxmlformats.org/markup-compatibility/2006">
      <mc:Choice Requires="x14">
        <control shapeId="12290" r:id="rId7" name="Control 2">
          <controlPr defaultSize="0" autoPict="0" r:id="rId8">
            <anchor moveWithCells="1">
              <from>
                <xdr:col>2</xdr:col>
                <xdr:colOff>365760</xdr:colOff>
                <xdr:row>1</xdr:row>
                <xdr:rowOff>0</xdr:rowOff>
              </from>
              <to>
                <xdr:col>2</xdr:col>
                <xdr:colOff>723900</xdr:colOff>
                <xdr:row>1</xdr:row>
                <xdr:rowOff>114300</xdr:rowOff>
              </to>
            </anchor>
          </controlPr>
        </control>
      </mc:Choice>
      <mc:Fallback>
        <control shapeId="12290" r:id="rId7" name="Control 2"/>
      </mc:Fallback>
    </mc:AlternateContent>
    <mc:AlternateContent xmlns:mc="http://schemas.openxmlformats.org/markup-compatibility/2006">
      <mc:Choice Requires="x14">
        <control shapeId="12291" r:id="rId9" name="Control 3">
          <controlPr defaultSize="0" autoPict="0" r:id="rId10">
            <anchor moveWithCells="1">
              <from>
                <xdr:col>2</xdr:col>
                <xdr:colOff>365760</xdr:colOff>
                <xdr:row>1</xdr:row>
                <xdr:rowOff>0</xdr:rowOff>
              </from>
              <to>
                <xdr:col>2</xdr:col>
                <xdr:colOff>723900</xdr:colOff>
                <xdr:row>1</xdr:row>
                <xdr:rowOff>114300</xdr:rowOff>
              </to>
            </anchor>
          </controlPr>
        </control>
      </mc:Choice>
      <mc:Fallback>
        <control shapeId="12291" r:id="rId9" name="Control 3"/>
      </mc:Fallback>
    </mc:AlternateContent>
    <mc:AlternateContent xmlns:mc="http://schemas.openxmlformats.org/markup-compatibility/2006">
      <mc:Choice Requires="x14">
        <control shapeId="12292" r:id="rId11" name="Control 4">
          <controlPr defaultSize="0" autoPict="0" r:id="rId12">
            <anchor moveWithCells="1">
              <from>
                <xdr:col>2</xdr:col>
                <xdr:colOff>365760</xdr:colOff>
                <xdr:row>1</xdr:row>
                <xdr:rowOff>0</xdr:rowOff>
              </from>
              <to>
                <xdr:col>2</xdr:col>
                <xdr:colOff>731520</xdr:colOff>
                <xdr:row>1</xdr:row>
                <xdr:rowOff>152400</xdr:rowOff>
              </to>
            </anchor>
          </controlPr>
        </control>
      </mc:Choice>
      <mc:Fallback>
        <control shapeId="12292" r:id="rId11" name="Control 4"/>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9" tint="0.39997558519241921"/>
    <pageSetUpPr fitToPage="1"/>
  </sheetPr>
  <dimension ref="A1:N30"/>
  <sheetViews>
    <sheetView zoomScale="75" zoomScaleNormal="75" workbookViewId="0">
      <selection activeCell="M7" sqref="M7"/>
    </sheetView>
  </sheetViews>
  <sheetFormatPr defaultColWidth="9.109375" defaultRowHeight="15" x14ac:dyDescent="0.25"/>
  <cols>
    <col min="1" max="1" width="2.6640625" style="49" customWidth="1"/>
    <col min="2" max="2" width="25.6640625" style="49" customWidth="1"/>
    <col min="3" max="3" width="17.44140625" style="49" customWidth="1"/>
    <col min="4" max="4" width="15.5546875" style="49" customWidth="1"/>
    <col min="5" max="5" width="2.6640625" style="49" customWidth="1"/>
    <col min="6" max="6" width="9.6640625" style="49" customWidth="1"/>
    <col min="7" max="7" width="16.6640625" style="49" customWidth="1"/>
    <col min="8" max="9" width="16.44140625" style="72" customWidth="1"/>
    <col min="10" max="10" width="16.6640625" style="209" customWidth="1"/>
    <col min="11" max="11" width="18.5546875" style="49" customWidth="1"/>
    <col min="12" max="12" width="19" style="49" customWidth="1"/>
    <col min="13" max="13" width="22.33203125" style="49" customWidth="1"/>
    <col min="14" max="16384" width="9.109375" style="49"/>
  </cols>
  <sheetData>
    <row r="1" spans="1:13" x14ac:dyDescent="0.25">
      <c r="B1" s="17"/>
    </row>
    <row r="3" spans="1:13" ht="15.6" x14ac:dyDescent="0.3">
      <c r="H3" s="204" t="s">
        <v>61</v>
      </c>
    </row>
    <row r="4" spans="1:13" ht="62.4" x14ac:dyDescent="0.3">
      <c r="F4" s="18" t="s">
        <v>15</v>
      </c>
      <c r="G4" s="19" t="s">
        <v>1</v>
      </c>
      <c r="H4" s="20" t="s">
        <v>16</v>
      </c>
      <c r="I4" s="20" t="s">
        <v>101</v>
      </c>
      <c r="J4" s="20" t="s">
        <v>68</v>
      </c>
      <c r="K4" s="19" t="s">
        <v>17</v>
      </c>
      <c r="L4" s="19" t="s">
        <v>18</v>
      </c>
      <c r="M4" s="3" t="s">
        <v>19</v>
      </c>
    </row>
    <row r="5" spans="1:13" ht="15.6" x14ac:dyDescent="0.3">
      <c r="B5" s="210"/>
      <c r="C5" s="210"/>
      <c r="F5" s="21"/>
      <c r="G5" s="21" t="s">
        <v>20</v>
      </c>
      <c r="H5" s="22" t="s">
        <v>114</v>
      </c>
      <c r="I5" s="22" t="s">
        <v>35</v>
      </c>
      <c r="J5" s="22" t="s">
        <v>35</v>
      </c>
      <c r="K5" s="21" t="s">
        <v>35</v>
      </c>
      <c r="L5" s="21" t="s">
        <v>35</v>
      </c>
      <c r="M5" s="4" t="s">
        <v>35</v>
      </c>
    </row>
    <row r="6" spans="1:13" ht="15.6" x14ac:dyDescent="0.3">
      <c r="A6" s="210"/>
      <c r="B6" s="78"/>
      <c r="C6" s="23" t="s">
        <v>21</v>
      </c>
      <c r="D6" s="244">
        <v>27.33</v>
      </c>
      <c r="E6" s="73"/>
      <c r="F6" s="208" t="s">
        <v>22</v>
      </c>
      <c r="G6" s="208" t="s">
        <v>23</v>
      </c>
      <c r="H6" s="208" t="s">
        <v>24</v>
      </c>
      <c r="I6" s="208" t="s">
        <v>25</v>
      </c>
      <c r="J6" s="208" t="s">
        <v>26</v>
      </c>
      <c r="K6" s="208" t="s">
        <v>32</v>
      </c>
      <c r="L6" s="208" t="s">
        <v>27</v>
      </c>
      <c r="M6" s="208" t="s">
        <v>28</v>
      </c>
    </row>
    <row r="7" spans="1:13" ht="15.6" x14ac:dyDescent="0.3">
      <c r="A7" s="210"/>
      <c r="B7" s="78"/>
      <c r="C7" s="23" t="s">
        <v>29</v>
      </c>
      <c r="D7" s="74">
        <f>'Firm Avoided Capacity Calcs'!D7</f>
        <v>0</v>
      </c>
      <c r="E7" s="75"/>
      <c r="F7" s="211">
        <v>2019</v>
      </c>
      <c r="G7" s="205">
        <v>1</v>
      </c>
      <c r="H7" s="212">
        <f>'Capacity Delivered'!J6</f>
        <v>2.0473206442166909E-3</v>
      </c>
      <c r="I7" s="219">
        <f>D13</f>
        <v>32.486781647752245</v>
      </c>
      <c r="J7" s="206">
        <f>(H7+I7)*$D$7</f>
        <v>0</v>
      </c>
      <c r="K7" s="47">
        <f>SUM(H7:J7)/((1+$D$8)^G7)</f>
        <v>30.194078966911206</v>
      </c>
      <c r="L7" s="207">
        <f>K7</f>
        <v>30.194078966911206</v>
      </c>
      <c r="M7" s="207">
        <f>(-PMT($D$8,G7,(L7)))</f>
        <v>32.488828968396462</v>
      </c>
    </row>
    <row r="8" spans="1:13" ht="15.6" x14ac:dyDescent="0.3">
      <c r="A8" s="210"/>
      <c r="B8" s="78"/>
      <c r="C8" s="23" t="s">
        <v>33</v>
      </c>
      <c r="D8" s="74">
        <f>Rate_of_Return</f>
        <v>7.5999999999999998E-2</v>
      </c>
      <c r="E8" s="75"/>
      <c r="F8" s="59">
        <f>F7+1</f>
        <v>2020</v>
      </c>
      <c r="G8" s="60">
        <v>2</v>
      </c>
      <c r="H8" s="212">
        <f>'Capacity Delivered'!J7</f>
        <v>2.0473206442166909E-3</v>
      </c>
      <c r="I8" s="212">
        <f t="shared" ref="I8:I27" si="0">I7+(I7*$D$9)</f>
        <v>33.298951188946049</v>
      </c>
      <c r="J8" s="62">
        <f t="shared" ref="J8:J26" si="1">(H8+I8)*$D$7</f>
        <v>0</v>
      </c>
      <c r="K8" s="63">
        <f t="shared" ref="K8:K26" si="2">SUM(H8:J8)/((1+$D$8)^G8)</f>
        <v>28.762902763220399</v>
      </c>
      <c r="L8" s="64">
        <f t="shared" ref="L8:L26" si="3">L7+K8</f>
        <v>58.956981730131602</v>
      </c>
      <c r="M8" s="64">
        <f t="shared" ref="M8:M26" si="4">(-PMT($D$8,G8,(L8)))</f>
        <v>32.880047437179599</v>
      </c>
    </row>
    <row r="9" spans="1:13" ht="15.6" x14ac:dyDescent="0.3">
      <c r="A9" s="210"/>
      <c r="B9" s="78"/>
      <c r="C9" s="23" t="s">
        <v>34</v>
      </c>
      <c r="D9" s="74">
        <f>'Firm Avoided Capacity Calcs'!D9</f>
        <v>2.5000000000000001E-2</v>
      </c>
      <c r="E9" s="77"/>
      <c r="F9" s="59">
        <f t="shared" ref="F9:F27" si="5">F8+1</f>
        <v>2021</v>
      </c>
      <c r="G9" s="60">
        <v>3</v>
      </c>
      <c r="H9" s="212">
        <f>'Capacity Delivered'!J8</f>
        <v>2.0473206442166909E-3</v>
      </c>
      <c r="I9" s="212">
        <f t="shared" si="0"/>
        <v>34.131424968669698</v>
      </c>
      <c r="J9" s="62">
        <f t="shared" si="1"/>
        <v>0</v>
      </c>
      <c r="K9" s="63">
        <f t="shared" si="2"/>
        <v>27.399564241871431</v>
      </c>
      <c r="L9" s="64">
        <f t="shared" si="3"/>
        <v>86.356545972003033</v>
      </c>
      <c r="M9" s="64">
        <f>(-PMT($D$8,G9,(L9)))</f>
        <v>33.267651542143675</v>
      </c>
    </row>
    <row r="10" spans="1:13" ht="15.6" x14ac:dyDescent="0.3">
      <c r="B10" s="78"/>
      <c r="C10" s="23"/>
      <c r="D10" s="79"/>
      <c r="E10" s="75"/>
      <c r="F10" s="59">
        <f t="shared" si="5"/>
        <v>2022</v>
      </c>
      <c r="G10" s="60">
        <v>4</v>
      </c>
      <c r="H10" s="212">
        <f>'Capacity Delivered'!J9</f>
        <v>6.5199999999999994E-2</v>
      </c>
      <c r="I10" s="212">
        <f t="shared" si="0"/>
        <v>34.984710592886444</v>
      </c>
      <c r="J10" s="62">
        <f t="shared" si="1"/>
        <v>0</v>
      </c>
      <c r="K10" s="63">
        <f t="shared" si="2"/>
        <v>26.147961037511244</v>
      </c>
      <c r="L10" s="64">
        <f t="shared" si="3"/>
        <v>112.50450700951427</v>
      </c>
      <c r="M10" s="64">
        <f t="shared" si="4"/>
        <v>33.665517811156278</v>
      </c>
    </row>
    <row r="11" spans="1:13" ht="15.6" x14ac:dyDescent="0.3">
      <c r="B11" s="78"/>
      <c r="C11" s="23" t="str">
        <f>C6</f>
        <v>Deferred T&amp;D Cost Credit ($/kw-yr) (4):</v>
      </c>
      <c r="D11" s="280" t="s">
        <v>62</v>
      </c>
      <c r="E11" s="75"/>
      <c r="F11" s="59">
        <f t="shared" si="5"/>
        <v>2023</v>
      </c>
      <c r="G11" s="60">
        <v>5</v>
      </c>
      <c r="H11" s="212">
        <f>'Capacity Delivered'!J10</f>
        <v>1.86</v>
      </c>
      <c r="I11" s="212">
        <f t="shared" si="0"/>
        <v>35.859328357708605</v>
      </c>
      <c r="J11" s="62">
        <f t="shared" si="1"/>
        <v>0</v>
      </c>
      <c r="K11" s="63">
        <f t="shared" si="2"/>
        <v>26.15186070141905</v>
      </c>
      <c r="L11" s="64">
        <f t="shared" si="3"/>
        <v>138.65636771093332</v>
      </c>
      <c r="M11" s="64">
        <f t="shared" si="4"/>
        <v>34.362050240066594</v>
      </c>
    </row>
    <row r="12" spans="1:13" ht="15.6" x14ac:dyDescent="0.3">
      <c r="B12" s="48"/>
      <c r="C12" s="279">
        <v>2012</v>
      </c>
      <c r="D12" s="47">
        <f>D6</f>
        <v>27.33</v>
      </c>
      <c r="E12" s="75"/>
      <c r="F12" s="59">
        <f t="shared" si="5"/>
        <v>2024</v>
      </c>
      <c r="G12" s="60">
        <v>6</v>
      </c>
      <c r="H12" s="212">
        <f>'Capacity Delivered'!J11</f>
        <v>1.86</v>
      </c>
      <c r="I12" s="212">
        <f t="shared" si="0"/>
        <v>36.755811566651317</v>
      </c>
      <c r="J12" s="62">
        <f t="shared" si="1"/>
        <v>0</v>
      </c>
      <c r="K12" s="63">
        <f>SUM(H12:J12)/((1+$D$8)^G12)</f>
        <v>24.882358247297947</v>
      </c>
      <c r="L12" s="64">
        <f t="shared" si="3"/>
        <v>163.53872595823128</v>
      </c>
      <c r="M12" s="64">
        <f t="shared" si="4"/>
        <v>34.947781623001745</v>
      </c>
    </row>
    <row r="13" spans="1:13" ht="15.6" x14ac:dyDescent="0.3">
      <c r="B13" s="48"/>
      <c r="C13" s="203">
        <f>F7</f>
        <v>2019</v>
      </c>
      <c r="D13" s="278">
        <f>D6*((1+$D$9)^($C$13-$C$12))</f>
        <v>32.486781647752245</v>
      </c>
      <c r="E13" s="75"/>
      <c r="F13" s="59">
        <f t="shared" si="5"/>
        <v>2025</v>
      </c>
      <c r="G13" s="60">
        <v>7</v>
      </c>
      <c r="H13" s="212">
        <f>'Capacity Delivered'!J12</f>
        <v>1.6</v>
      </c>
      <c r="I13" s="212">
        <f t="shared" si="0"/>
        <v>37.674706855817604</v>
      </c>
      <c r="J13" s="62">
        <f t="shared" si="1"/>
        <v>0</v>
      </c>
      <c r="K13" s="63">
        <f t="shared" si="2"/>
        <v>23.51944411180984</v>
      </c>
      <c r="L13" s="64">
        <f t="shared" si="3"/>
        <v>187.05817007004111</v>
      </c>
      <c r="M13" s="64">
        <f t="shared" si="4"/>
        <v>35.438683153242515</v>
      </c>
    </row>
    <row r="14" spans="1:13" x14ac:dyDescent="0.25">
      <c r="B14" s="48"/>
      <c r="C14" s="214"/>
      <c r="D14" s="214"/>
      <c r="E14" s="75"/>
      <c r="F14" s="59">
        <f t="shared" si="5"/>
        <v>2026</v>
      </c>
      <c r="G14" s="60">
        <v>8</v>
      </c>
      <c r="H14" s="212">
        <f>'Capacity Delivered'!J13</f>
        <v>1.6</v>
      </c>
      <c r="I14" s="212">
        <f t="shared" si="0"/>
        <v>38.616574527213047</v>
      </c>
      <c r="J14" s="62">
        <f t="shared" si="1"/>
        <v>0</v>
      </c>
      <c r="K14" s="63">
        <f t="shared" si="2"/>
        <v>22.382413041493958</v>
      </c>
      <c r="L14" s="64">
        <f t="shared" si="3"/>
        <v>209.44058311153506</v>
      </c>
      <c r="M14" s="64">
        <f>(-PMT($D$8,G14,(L14)))</f>
        <v>35.894409435057199</v>
      </c>
    </row>
    <row r="15" spans="1:13" x14ac:dyDescent="0.25">
      <c r="B15" s="213"/>
      <c r="C15" s="214"/>
      <c r="D15" s="214"/>
      <c r="E15" s="75"/>
      <c r="F15" s="59">
        <f t="shared" si="5"/>
        <v>2027</v>
      </c>
      <c r="G15" s="60">
        <v>9</v>
      </c>
      <c r="H15" s="212">
        <f>'Capacity Delivered'!J14</f>
        <v>1.609558777991309</v>
      </c>
      <c r="I15" s="212">
        <f t="shared" si="0"/>
        <v>39.581988890393376</v>
      </c>
      <c r="J15" s="62">
        <f t="shared" si="1"/>
        <v>0</v>
      </c>
      <c r="K15" s="63">
        <f t="shared" si="2"/>
        <v>21.305791261522714</v>
      </c>
      <c r="L15" s="64">
        <f t="shared" si="3"/>
        <v>230.74637437305779</v>
      </c>
      <c r="M15" s="64">
        <f t="shared" si="4"/>
        <v>36.325740215601506</v>
      </c>
    </row>
    <row r="16" spans="1:13" x14ac:dyDescent="0.25">
      <c r="B16" s="213"/>
      <c r="C16" s="214"/>
      <c r="D16" s="214"/>
      <c r="E16" s="75"/>
      <c r="F16" s="59">
        <f t="shared" si="5"/>
        <v>2028</v>
      </c>
      <c r="G16" s="60">
        <v>10</v>
      </c>
      <c r="H16" s="212">
        <f>'Capacity Delivered'!J15</f>
        <v>1.609558777991309</v>
      </c>
      <c r="I16" s="212">
        <f t="shared" si="0"/>
        <v>40.571538612653214</v>
      </c>
      <c r="J16" s="62">
        <f t="shared" si="1"/>
        <v>0</v>
      </c>
      <c r="K16" s="63">
        <f t="shared" si="2"/>
        <v>20.276601264377064</v>
      </c>
      <c r="L16" s="64">
        <f t="shared" si="3"/>
        <v>251.02297563743485</v>
      </c>
      <c r="M16" s="64">
        <f t="shared" si="4"/>
        <v>36.737675390603897</v>
      </c>
    </row>
    <row r="17" spans="2:14" x14ac:dyDescent="0.25">
      <c r="B17" s="213"/>
      <c r="C17" s="214"/>
      <c r="D17" s="214"/>
      <c r="E17" s="75"/>
      <c r="F17" s="59">
        <f t="shared" si="5"/>
        <v>2029</v>
      </c>
      <c r="G17" s="60">
        <v>11</v>
      </c>
      <c r="H17" s="212">
        <f>'Capacity Delivered'!J16</f>
        <v>1.609558777991309</v>
      </c>
      <c r="I17" s="212">
        <f t="shared" si="0"/>
        <v>41.585827077969547</v>
      </c>
      <c r="J17" s="62">
        <f t="shared" si="1"/>
        <v>0</v>
      </c>
      <c r="K17" s="63">
        <f t="shared" si="2"/>
        <v>19.297558812663585</v>
      </c>
      <c r="L17" s="64">
        <f t="shared" si="3"/>
        <v>270.32053445009842</v>
      </c>
      <c r="M17" s="64">
        <f t="shared" si="4"/>
        <v>37.133986385443279</v>
      </c>
    </row>
    <row r="18" spans="2:14" x14ac:dyDescent="0.25">
      <c r="B18" s="214"/>
      <c r="C18" s="214"/>
      <c r="D18" s="214"/>
      <c r="E18" s="75"/>
      <c r="F18" s="59">
        <f t="shared" si="5"/>
        <v>2030</v>
      </c>
      <c r="G18" s="60">
        <v>12</v>
      </c>
      <c r="H18" s="212">
        <f>'Capacity Delivered'!J17</f>
        <v>1.609558777991309</v>
      </c>
      <c r="I18" s="212">
        <f t="shared" si="0"/>
        <v>42.625472754918789</v>
      </c>
      <c r="J18" s="62">
        <f t="shared" si="1"/>
        <v>0</v>
      </c>
      <c r="K18" s="63">
        <f t="shared" si="2"/>
        <v>18.366190524700979</v>
      </c>
      <c r="L18" s="64">
        <f t="shared" si="3"/>
        <v>288.6867249747994</v>
      </c>
      <c r="M18" s="64">
        <f t="shared" si="4"/>
        <v>37.517144457839073</v>
      </c>
    </row>
    <row r="19" spans="2:14" x14ac:dyDescent="0.25">
      <c r="B19" s="214"/>
      <c r="C19" s="214"/>
      <c r="D19" s="214"/>
      <c r="E19" s="80"/>
      <c r="F19" s="59">
        <f t="shared" si="5"/>
        <v>2031</v>
      </c>
      <c r="G19" s="60">
        <v>13</v>
      </c>
      <c r="H19" s="212">
        <f>'Capacity Delivered'!J18</f>
        <v>1.6831419269394801</v>
      </c>
      <c r="I19" s="212">
        <f t="shared" si="0"/>
        <v>43.691109573791756</v>
      </c>
      <c r="J19" s="62">
        <f t="shared" si="1"/>
        <v>0</v>
      </c>
      <c r="K19" s="63">
        <f t="shared" si="2"/>
        <v>17.50854056178613</v>
      </c>
      <c r="L19" s="64">
        <f t="shared" si="3"/>
        <v>306.19526553658551</v>
      </c>
      <c r="M19" s="64">
        <f t="shared" si="4"/>
        <v>37.892338627554473</v>
      </c>
    </row>
    <row r="20" spans="2:14" x14ac:dyDescent="0.25">
      <c r="B20" s="214"/>
      <c r="C20" s="214"/>
      <c r="D20" s="214"/>
      <c r="E20" s="80"/>
      <c r="F20" s="59">
        <f t="shared" si="5"/>
        <v>2032</v>
      </c>
      <c r="G20" s="60">
        <v>14</v>
      </c>
      <c r="H20" s="212">
        <f>'Capacity Delivered'!J19</f>
        <v>1.6831419269394801</v>
      </c>
      <c r="I20" s="212">
        <f t="shared" si="0"/>
        <v>44.783387313136551</v>
      </c>
      <c r="J20" s="62">
        <f t="shared" si="1"/>
        <v>0</v>
      </c>
      <c r="K20" s="63">
        <f t="shared" si="2"/>
        <v>16.663584801787877</v>
      </c>
      <c r="L20" s="64">
        <f t="shared" si="3"/>
        <v>322.85885033837337</v>
      </c>
      <c r="M20" s="64">
        <f t="shared" si="4"/>
        <v>38.256686291364886</v>
      </c>
    </row>
    <row r="21" spans="2:14" s="216" customFormat="1" x14ac:dyDescent="0.25">
      <c r="B21" s="214"/>
      <c r="C21" s="214"/>
      <c r="D21" s="214"/>
      <c r="E21" s="80"/>
      <c r="F21" s="61">
        <f t="shared" si="5"/>
        <v>2033</v>
      </c>
      <c r="G21" s="61">
        <v>15</v>
      </c>
      <c r="H21" s="215">
        <f>'Capacity Delivered'!J20</f>
        <v>1.6831419269394801</v>
      </c>
      <c r="I21" s="215">
        <f t="shared" si="0"/>
        <v>45.902971995964961</v>
      </c>
      <c r="J21" s="65">
        <f t="shared" si="1"/>
        <v>0</v>
      </c>
      <c r="K21" s="65">
        <f t="shared" si="2"/>
        <v>15.859743895870031</v>
      </c>
      <c r="L21" s="66">
        <f>L20+K21</f>
        <v>338.71859423424343</v>
      </c>
      <c r="M21" s="66">
        <f>(-PMT($D$8,G21,(L21)))</f>
        <v>38.611127637576075</v>
      </c>
    </row>
    <row r="22" spans="2:14" x14ac:dyDescent="0.25">
      <c r="B22" s="214"/>
      <c r="C22" s="214"/>
      <c r="D22" s="214"/>
      <c r="E22" s="80"/>
      <c r="F22" s="59">
        <f t="shared" si="5"/>
        <v>2034</v>
      </c>
      <c r="G22" s="60">
        <v>16</v>
      </c>
      <c r="H22" s="212">
        <f>'Capacity Delivered'!J21</f>
        <v>1.7661365854069464</v>
      </c>
      <c r="I22" s="212">
        <f t="shared" si="0"/>
        <v>47.050546295864088</v>
      </c>
      <c r="J22" s="62">
        <f t="shared" si="1"/>
        <v>0</v>
      </c>
      <c r="K22" s="63">
        <f t="shared" si="2"/>
        <v>15.120700951834396</v>
      </c>
      <c r="L22" s="64">
        <f t="shared" si="3"/>
        <v>353.83929518607783</v>
      </c>
      <c r="M22" s="64">
        <f t="shared" si="4"/>
        <v>38.959179560799363</v>
      </c>
    </row>
    <row r="23" spans="2:14" x14ac:dyDescent="0.25">
      <c r="B23" s="214"/>
      <c r="C23" s="214"/>
      <c r="D23" s="214"/>
      <c r="E23" s="80"/>
      <c r="F23" s="59">
        <f t="shared" si="5"/>
        <v>2035</v>
      </c>
      <c r="G23" s="60">
        <v>17</v>
      </c>
      <c r="H23" s="212">
        <f>'Capacity Delivered'!J22</f>
        <v>1.7661365854069464</v>
      </c>
      <c r="I23" s="212">
        <f t="shared" si="0"/>
        <v>48.226809953260691</v>
      </c>
      <c r="J23" s="62">
        <f t="shared" si="1"/>
        <v>0</v>
      </c>
      <c r="K23" s="63">
        <f t="shared" si="2"/>
        <v>14.391303156647947</v>
      </c>
      <c r="L23" s="64">
        <f t="shared" si="3"/>
        <v>368.23059834272578</v>
      </c>
      <c r="M23" s="64">
        <f t="shared" si="4"/>
        <v>39.298154410117888</v>
      </c>
    </row>
    <row r="24" spans="2:14" x14ac:dyDescent="0.25">
      <c r="B24" s="214"/>
      <c r="C24" s="214"/>
      <c r="D24" s="214"/>
      <c r="E24" s="80"/>
      <c r="F24" s="59">
        <f t="shared" si="5"/>
        <v>2036</v>
      </c>
      <c r="G24" s="60">
        <v>18</v>
      </c>
      <c r="H24" s="212">
        <f>'Capacity Delivered'!J23</f>
        <v>1.821789018152165</v>
      </c>
      <c r="I24" s="212">
        <f t="shared" si="0"/>
        <v>49.432480202092208</v>
      </c>
      <c r="J24" s="62">
        <f t="shared" si="1"/>
        <v>0</v>
      </c>
      <c r="K24" s="63">
        <f t="shared" si="2"/>
        <v>13.712263865838068</v>
      </c>
      <c r="L24" s="64">
        <f t="shared" si="3"/>
        <v>381.94286220856384</v>
      </c>
      <c r="M24" s="64">
        <f t="shared" si="4"/>
        <v>39.6300453244408</v>
      </c>
    </row>
    <row r="25" spans="2:14" x14ac:dyDescent="0.25">
      <c r="B25" s="214"/>
      <c r="C25" s="214"/>
      <c r="D25" s="214"/>
      <c r="E25" s="80"/>
      <c r="F25" s="59">
        <f t="shared" si="5"/>
        <v>2037</v>
      </c>
      <c r="G25" s="60">
        <v>19</v>
      </c>
      <c r="H25" s="212">
        <f>'Capacity Delivered'!J24</f>
        <v>1.821789018152165</v>
      </c>
      <c r="I25" s="212">
        <f t="shared" si="0"/>
        <v>50.668292207144511</v>
      </c>
      <c r="J25" s="62">
        <f t="shared" si="1"/>
        <v>0</v>
      </c>
      <c r="K25" s="63">
        <f t="shared" si="2"/>
        <v>13.051009011309045</v>
      </c>
      <c r="L25" s="64">
        <f t="shared" si="3"/>
        <v>394.99387121987286</v>
      </c>
      <c r="M25" s="64">
        <f t="shared" si="4"/>
        <v>39.953470016261797</v>
      </c>
    </row>
    <row r="26" spans="2:14" x14ac:dyDescent="0.25">
      <c r="B26" s="214"/>
      <c r="C26" s="214"/>
      <c r="D26" s="214"/>
      <c r="E26" s="80"/>
      <c r="F26" s="59">
        <f t="shared" si="5"/>
        <v>2038</v>
      </c>
      <c r="G26" s="60">
        <v>20</v>
      </c>
      <c r="H26" s="212">
        <f>'Capacity Delivered'!J25</f>
        <v>1.821789018152165</v>
      </c>
      <c r="I26" s="212">
        <f t="shared" si="0"/>
        <v>51.934999512323124</v>
      </c>
      <c r="J26" s="62">
        <f t="shared" si="1"/>
        <v>0</v>
      </c>
      <c r="K26" s="63">
        <f t="shared" si="2"/>
        <v>12.421896007740063</v>
      </c>
      <c r="L26" s="64">
        <f t="shared" si="3"/>
        <v>407.41576722761295</v>
      </c>
      <c r="M26" s="64">
        <f t="shared" si="4"/>
        <v>40.268729513207951</v>
      </c>
    </row>
    <row r="27" spans="2:14" s="72" customFormat="1" x14ac:dyDescent="0.25">
      <c r="F27" s="59">
        <f t="shared" si="5"/>
        <v>2039</v>
      </c>
      <c r="G27" s="58">
        <v>21</v>
      </c>
      <c r="H27" s="212">
        <f>'Capacity Delivered'!J26</f>
        <v>1.821789018152165</v>
      </c>
      <c r="I27" s="212">
        <f t="shared" si="0"/>
        <v>53.233374500131205</v>
      </c>
      <c r="J27" s="62">
        <f t="shared" ref="J27" si="6">(H27+I27)*$D$7</f>
        <v>0</v>
      </c>
      <c r="K27" s="63">
        <f t="shared" ref="K27" si="7">SUM(H27:J27)/((1+$D$8)^G27)</f>
        <v>11.823344908404605</v>
      </c>
      <c r="L27" s="64">
        <f t="shared" ref="L27" si="8">L26+K27</f>
        <v>419.23911213601752</v>
      </c>
      <c r="M27" s="64">
        <f t="shared" ref="M27" si="9">(-PMT($D$8,G27,(L27)))</f>
        <v>40.576065839251925</v>
      </c>
    </row>
    <row r="28" spans="2:14" s="72" customFormat="1" x14ac:dyDescent="0.25">
      <c r="C28" s="24"/>
      <c r="F28" s="59"/>
      <c r="G28" s="58"/>
      <c r="H28" s="58"/>
      <c r="I28" s="58"/>
      <c r="J28" s="58"/>
      <c r="K28" s="58"/>
      <c r="L28" s="58"/>
      <c r="M28" s="58"/>
      <c r="N28" s="58"/>
    </row>
    <row r="29" spans="2:14" x14ac:dyDescent="0.25">
      <c r="B29" s="40" t="s">
        <v>113</v>
      </c>
      <c r="C29" s="24"/>
      <c r="D29" s="72"/>
      <c r="E29" s="72"/>
      <c r="F29" s="40"/>
      <c r="G29" s="58"/>
      <c r="H29" s="217"/>
      <c r="I29" s="218"/>
      <c r="J29" s="82"/>
      <c r="K29" s="40"/>
      <c r="L29" s="40"/>
      <c r="M29" s="40"/>
    </row>
    <row r="30" spans="2:14" s="72" customFormat="1" ht="51.75" customHeight="1" x14ac:dyDescent="0.25">
      <c r="B30" s="321" t="s">
        <v>107</v>
      </c>
      <c r="C30" s="321"/>
      <c r="D30" s="321"/>
      <c r="E30" s="321"/>
      <c r="F30" s="321"/>
      <c r="G30" s="321"/>
      <c r="H30" s="321"/>
      <c r="I30" s="321"/>
      <c r="J30" s="321"/>
      <c r="K30" s="68"/>
      <c r="L30" s="68"/>
    </row>
  </sheetData>
  <mergeCells count="1">
    <mergeCell ref="B30:J30"/>
  </mergeCells>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13313" r:id="rId5" name="Control 1">
          <controlPr defaultSize="0" autoPict="0" r:id="rId6">
            <anchor moveWithCells="1">
              <from>
                <xdr:col>2</xdr:col>
                <xdr:colOff>358140</xdr:colOff>
                <xdr:row>1</xdr:row>
                <xdr:rowOff>0</xdr:rowOff>
              </from>
              <to>
                <xdr:col>2</xdr:col>
                <xdr:colOff>464820</xdr:colOff>
                <xdr:row>1</xdr:row>
                <xdr:rowOff>114300</xdr:rowOff>
              </to>
            </anchor>
          </controlPr>
        </control>
      </mc:Choice>
      <mc:Fallback>
        <control shapeId="13313" r:id="rId5" name="Control 1"/>
      </mc:Fallback>
    </mc:AlternateContent>
    <mc:AlternateContent xmlns:mc="http://schemas.openxmlformats.org/markup-compatibility/2006">
      <mc:Choice Requires="x14">
        <control shapeId="13314" r:id="rId7" name="Control 2">
          <controlPr defaultSize="0" autoPict="0" r:id="rId8">
            <anchor moveWithCells="1">
              <from>
                <xdr:col>2</xdr:col>
                <xdr:colOff>365760</xdr:colOff>
                <xdr:row>1</xdr:row>
                <xdr:rowOff>0</xdr:rowOff>
              </from>
              <to>
                <xdr:col>2</xdr:col>
                <xdr:colOff>723900</xdr:colOff>
                <xdr:row>1</xdr:row>
                <xdr:rowOff>114300</xdr:rowOff>
              </to>
            </anchor>
          </controlPr>
        </control>
      </mc:Choice>
      <mc:Fallback>
        <control shapeId="13314" r:id="rId7" name="Control 2"/>
      </mc:Fallback>
    </mc:AlternateContent>
    <mc:AlternateContent xmlns:mc="http://schemas.openxmlformats.org/markup-compatibility/2006">
      <mc:Choice Requires="x14">
        <control shapeId="13315" r:id="rId9" name="Control 3">
          <controlPr defaultSize="0" autoPict="0" r:id="rId10">
            <anchor moveWithCells="1">
              <from>
                <xdr:col>2</xdr:col>
                <xdr:colOff>365760</xdr:colOff>
                <xdr:row>1</xdr:row>
                <xdr:rowOff>0</xdr:rowOff>
              </from>
              <to>
                <xdr:col>2</xdr:col>
                <xdr:colOff>723900</xdr:colOff>
                <xdr:row>1</xdr:row>
                <xdr:rowOff>114300</xdr:rowOff>
              </to>
            </anchor>
          </controlPr>
        </control>
      </mc:Choice>
      <mc:Fallback>
        <control shapeId="13315" r:id="rId9" name="Control 3"/>
      </mc:Fallback>
    </mc:AlternateContent>
    <mc:AlternateContent xmlns:mc="http://schemas.openxmlformats.org/markup-compatibility/2006">
      <mc:Choice Requires="x14">
        <control shapeId="13316" r:id="rId11" name="Control 4">
          <controlPr defaultSize="0" autoPict="0" r:id="rId12">
            <anchor moveWithCells="1">
              <from>
                <xdr:col>2</xdr:col>
                <xdr:colOff>365760</xdr:colOff>
                <xdr:row>1</xdr:row>
                <xdr:rowOff>0</xdr:rowOff>
              </from>
              <to>
                <xdr:col>2</xdr:col>
                <xdr:colOff>731520</xdr:colOff>
                <xdr:row>1</xdr:row>
                <xdr:rowOff>152400</xdr:rowOff>
              </to>
            </anchor>
          </controlPr>
        </control>
      </mc:Choice>
      <mc:Fallback>
        <control shapeId="13316" r:id="rId11" name="Control 4"/>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election activeCell="F13" sqref="F13"/>
    </sheetView>
  </sheetViews>
  <sheetFormatPr defaultColWidth="9.109375" defaultRowHeight="14.4" x14ac:dyDescent="0.3"/>
  <cols>
    <col min="1" max="16384" width="9.109375" style="106"/>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51"/>
  <sheetViews>
    <sheetView topLeftCell="A26" zoomScale="75" zoomScaleNormal="75" workbookViewId="0">
      <selection activeCell="A55" sqref="A55"/>
    </sheetView>
  </sheetViews>
  <sheetFormatPr defaultColWidth="8.88671875" defaultRowHeight="15" x14ac:dyDescent="0.25"/>
  <cols>
    <col min="1" max="1" width="2.6640625" style="87" customWidth="1"/>
    <col min="2" max="2" width="4" style="87" bestFit="1" customWidth="1"/>
    <col min="3" max="3" width="9.6640625" style="87" customWidth="1"/>
    <col min="4" max="16" width="10" style="87" customWidth="1"/>
    <col min="17" max="17" width="14.109375" style="95" customWidth="1"/>
    <col min="18" max="16384" width="8.88671875" style="87"/>
  </cols>
  <sheetData>
    <row r="2" spans="2:17" ht="15.6" x14ac:dyDescent="0.3">
      <c r="C2" s="86" t="s">
        <v>115</v>
      </c>
      <c r="Q2" s="103"/>
    </row>
    <row r="3" spans="2:17" ht="16.2" thickBot="1" x14ac:dyDescent="0.35">
      <c r="C3" s="86"/>
      <c r="Q3" s="103"/>
    </row>
    <row r="4" spans="2:17" ht="15.6" x14ac:dyDescent="0.25">
      <c r="C4" s="88"/>
      <c r="D4" s="98" t="s">
        <v>79</v>
      </c>
      <c r="E4" s="98">
        <v>2</v>
      </c>
      <c r="F4" s="98">
        <v>3</v>
      </c>
      <c r="G4" s="98">
        <v>4</v>
      </c>
      <c r="H4" s="98">
        <v>5</v>
      </c>
      <c r="I4" s="98">
        <v>6</v>
      </c>
      <c r="J4" s="98">
        <v>7</v>
      </c>
      <c r="K4" s="98">
        <v>8</v>
      </c>
      <c r="L4" s="98">
        <v>9</v>
      </c>
      <c r="M4" s="98">
        <v>10</v>
      </c>
      <c r="N4" s="98">
        <v>11</v>
      </c>
      <c r="O4" s="98">
        <v>12</v>
      </c>
      <c r="P4" s="99" t="s">
        <v>47</v>
      </c>
      <c r="Q4" s="103"/>
    </row>
    <row r="5" spans="2:17" ht="16.2" thickBot="1" x14ac:dyDescent="0.3">
      <c r="C5" s="100" t="s">
        <v>48</v>
      </c>
      <c r="D5" s="101"/>
      <c r="E5" s="101"/>
      <c r="F5" s="101"/>
      <c r="G5" s="101"/>
      <c r="H5" s="101"/>
      <c r="I5" s="101"/>
      <c r="J5" s="101"/>
      <c r="K5" s="101"/>
      <c r="L5" s="101"/>
      <c r="M5" s="101"/>
      <c r="N5" s="101"/>
      <c r="O5" s="101"/>
      <c r="P5" s="102"/>
      <c r="Q5" s="103"/>
    </row>
    <row r="6" spans="2:17" ht="15.6" thickBot="1" x14ac:dyDescent="0.3">
      <c r="B6" s="295">
        <v>1</v>
      </c>
      <c r="C6" s="89">
        <v>2019</v>
      </c>
      <c r="D6" s="90">
        <v>32.3232079</v>
      </c>
      <c r="E6" s="90">
        <v>32.306220000000003</v>
      </c>
      <c r="F6" s="90">
        <v>23.641214399999999</v>
      </c>
      <c r="G6" s="90">
        <v>19.780989999999999</v>
      </c>
      <c r="H6" s="90">
        <v>13.309936499999999</v>
      </c>
      <c r="I6" s="90">
        <v>16.519300000000001</v>
      </c>
      <c r="J6" s="90">
        <v>22.661876700000001</v>
      </c>
      <c r="K6" s="90">
        <v>24.541979999999999</v>
      </c>
      <c r="L6" s="90">
        <v>25.865476600000001</v>
      </c>
      <c r="M6" s="90">
        <v>24.558557499999999</v>
      </c>
      <c r="N6" s="90">
        <v>24.787761700000001</v>
      </c>
      <c r="O6" s="90">
        <v>27.481796299999999</v>
      </c>
      <c r="P6" s="90">
        <v>23.981526466666661</v>
      </c>
      <c r="Q6" s="103"/>
    </row>
    <row r="7" spans="2:17" ht="15.6" thickBot="1" x14ac:dyDescent="0.3">
      <c r="B7" s="87">
        <v>2</v>
      </c>
      <c r="C7" s="89">
        <v>2020</v>
      </c>
      <c r="D7" s="90">
        <v>25.9440937</v>
      </c>
      <c r="E7" s="90">
        <v>26.261833200000002</v>
      </c>
      <c r="F7" s="90">
        <v>21.0399055</v>
      </c>
      <c r="G7" s="90">
        <v>17.856735199999999</v>
      </c>
      <c r="H7" s="90">
        <v>13.0737352</v>
      </c>
      <c r="I7" s="90">
        <v>14.55818</v>
      </c>
      <c r="J7" s="90">
        <v>20.469644500000001</v>
      </c>
      <c r="K7" s="90">
        <v>23.303104399999999</v>
      </c>
      <c r="L7" s="90">
        <v>24.061151500000001</v>
      </c>
      <c r="M7" s="90">
        <v>23.821563699999999</v>
      </c>
      <c r="N7" s="90">
        <v>23.6084347</v>
      </c>
      <c r="O7" s="90">
        <v>24.970954899999999</v>
      </c>
      <c r="P7" s="90">
        <v>21.580778041666665</v>
      </c>
      <c r="Q7" s="105">
        <f>P7/P6-1</f>
        <v>-0.10010824074676561</v>
      </c>
    </row>
    <row r="8" spans="2:17" ht="15.6" thickBot="1" x14ac:dyDescent="0.3">
      <c r="B8" s="87">
        <v>3</v>
      </c>
      <c r="C8" s="89">
        <v>2021</v>
      </c>
      <c r="D8" s="90">
        <v>23.408178299999999</v>
      </c>
      <c r="E8" s="90">
        <v>24.0494576</v>
      </c>
      <c r="F8" s="90">
        <v>19.1669388</v>
      </c>
      <c r="G8" s="90">
        <v>15.6182976</v>
      </c>
      <c r="H8" s="90">
        <v>10.9203844</v>
      </c>
      <c r="I8" s="90">
        <v>12.372290599999999</v>
      </c>
      <c r="J8" s="90">
        <v>19.399827999999999</v>
      </c>
      <c r="K8" s="90">
        <v>22.331407500000001</v>
      </c>
      <c r="L8" s="90">
        <v>23.711845400000001</v>
      </c>
      <c r="M8" s="90">
        <v>24.406791699999999</v>
      </c>
      <c r="N8" s="90">
        <v>23.517114599999999</v>
      </c>
      <c r="O8" s="90">
        <v>24.654735599999999</v>
      </c>
      <c r="P8" s="90">
        <v>20.296439175</v>
      </c>
      <c r="Q8" s="105">
        <f t="shared" ref="Q8:Q25" si="0">P8/P7-1</f>
        <v>-5.9513093744208545E-2</v>
      </c>
    </row>
    <row r="9" spans="2:17" ht="15.6" thickBot="1" x14ac:dyDescent="0.3">
      <c r="B9" s="295">
        <v>4</v>
      </c>
      <c r="C9" s="89">
        <v>2022</v>
      </c>
      <c r="D9" s="90">
        <v>22.3664989</v>
      </c>
      <c r="E9" s="90">
        <v>23.223543200000002</v>
      </c>
      <c r="F9" s="90">
        <v>17.523078900000002</v>
      </c>
      <c r="G9" s="90">
        <v>14.6103439</v>
      </c>
      <c r="H9" s="90">
        <v>9.3978400000000004</v>
      </c>
      <c r="I9" s="90">
        <v>9.9396240000000002</v>
      </c>
      <c r="J9" s="90">
        <v>17.848537400000001</v>
      </c>
      <c r="K9" s="90">
        <v>21.527010000000001</v>
      </c>
      <c r="L9" s="90">
        <v>23.039266600000001</v>
      </c>
      <c r="M9" s="90">
        <v>23.148921999999999</v>
      </c>
      <c r="N9" s="90">
        <v>22.144763900000001</v>
      </c>
      <c r="O9" s="90">
        <v>24.190755800000002</v>
      </c>
      <c r="P9" s="90">
        <v>19.080015383333336</v>
      </c>
      <c r="Q9" s="105">
        <f t="shared" si="0"/>
        <v>-5.9932867099416365E-2</v>
      </c>
    </row>
    <row r="10" spans="2:17" ht="15.6" thickBot="1" x14ac:dyDescent="0.3">
      <c r="B10" s="87">
        <v>5</v>
      </c>
      <c r="C10" s="89">
        <v>2023</v>
      </c>
      <c r="D10" s="90">
        <v>21.220334999999999</v>
      </c>
      <c r="E10" s="90">
        <v>22.297689999999999</v>
      </c>
      <c r="F10" s="90">
        <v>15.50445</v>
      </c>
      <c r="G10" s="90">
        <v>13.993652300000001</v>
      </c>
      <c r="H10" s="90">
        <v>10.205626499999999</v>
      </c>
      <c r="I10" s="90">
        <v>9.6543460000000003</v>
      </c>
      <c r="J10" s="90">
        <v>17.91433</v>
      </c>
      <c r="K10" s="90">
        <v>21.412883799999999</v>
      </c>
      <c r="L10" s="90">
        <v>23.375581700000001</v>
      </c>
      <c r="M10" s="90">
        <v>23.095634499999999</v>
      </c>
      <c r="N10" s="90">
        <v>21.969265</v>
      </c>
      <c r="O10" s="90">
        <v>24.016904799999999</v>
      </c>
      <c r="P10" s="90">
        <v>18.721724966666667</v>
      </c>
      <c r="Q10" s="105">
        <f t="shared" si="0"/>
        <v>-1.8778308584574854E-2</v>
      </c>
    </row>
    <row r="11" spans="2:17" ht="15.6" thickBot="1" x14ac:dyDescent="0.3">
      <c r="B11" s="87">
        <v>6</v>
      </c>
      <c r="C11" s="89">
        <v>2024</v>
      </c>
      <c r="D11" s="90">
        <v>21.377410000000001</v>
      </c>
      <c r="E11" s="90">
        <v>23.725670000000001</v>
      </c>
      <c r="F11" s="90">
        <v>15.6514463</v>
      </c>
      <c r="G11" s="90">
        <v>14.985832200000001</v>
      </c>
      <c r="H11" s="90">
        <v>8.3660479999999993</v>
      </c>
      <c r="I11" s="90">
        <v>10.024779300000001</v>
      </c>
      <c r="J11" s="90">
        <v>18.219381299999998</v>
      </c>
      <c r="K11" s="90">
        <v>22.431469</v>
      </c>
      <c r="L11" s="90">
        <v>25.3901653</v>
      </c>
      <c r="M11" s="90">
        <v>25.2213554</v>
      </c>
      <c r="N11" s="90">
        <v>23.814882300000001</v>
      </c>
      <c r="O11" s="90">
        <v>25.647415200000001</v>
      </c>
      <c r="P11" s="90">
        <v>19.571321191666669</v>
      </c>
      <c r="Q11" s="105">
        <f t="shared" si="0"/>
        <v>4.538023213740594E-2</v>
      </c>
    </row>
    <row r="12" spans="2:17" ht="15.6" thickBot="1" x14ac:dyDescent="0.3">
      <c r="B12" s="295">
        <v>7</v>
      </c>
      <c r="C12" s="89">
        <v>2025</v>
      </c>
      <c r="D12" s="90">
        <v>22.178417199999998</v>
      </c>
      <c r="E12" s="90">
        <v>24.742450000000002</v>
      </c>
      <c r="F12" s="90">
        <v>15.6446209</v>
      </c>
      <c r="G12" s="90">
        <v>16.003979999999999</v>
      </c>
      <c r="H12" s="90">
        <v>9.0102624900000006</v>
      </c>
      <c r="I12" s="90">
        <v>11.4341764</v>
      </c>
      <c r="J12" s="90">
        <v>18.296821600000001</v>
      </c>
      <c r="K12" s="90">
        <v>24.119983699999999</v>
      </c>
      <c r="L12" s="90">
        <v>27.542888600000001</v>
      </c>
      <c r="M12" s="90">
        <v>26.5674362</v>
      </c>
      <c r="N12" s="90">
        <v>24.811794299999999</v>
      </c>
      <c r="O12" s="90">
        <v>27.125309000000001</v>
      </c>
      <c r="P12" s="90">
        <v>20.623178365833336</v>
      </c>
      <c r="Q12" s="105">
        <f t="shared" si="0"/>
        <v>5.3744822021240868E-2</v>
      </c>
    </row>
    <row r="13" spans="2:17" ht="15.6" thickBot="1" x14ac:dyDescent="0.3">
      <c r="B13" s="87">
        <v>8</v>
      </c>
      <c r="C13" s="89">
        <v>2026</v>
      </c>
      <c r="D13" s="90">
        <v>23.475526800000001</v>
      </c>
      <c r="E13" s="90">
        <v>26.518011099999999</v>
      </c>
      <c r="F13" s="90">
        <v>17.426633800000001</v>
      </c>
      <c r="G13" s="90">
        <v>17.390699999999999</v>
      </c>
      <c r="H13" s="90">
        <v>10.221367799999999</v>
      </c>
      <c r="I13" s="90">
        <v>11.4526834</v>
      </c>
      <c r="J13" s="90">
        <v>19.417087599999999</v>
      </c>
      <c r="K13" s="90">
        <v>26.020779999999998</v>
      </c>
      <c r="L13" s="90">
        <v>28.946926099999999</v>
      </c>
      <c r="M13" s="90">
        <v>28.870735199999999</v>
      </c>
      <c r="N13" s="90">
        <v>26.173584000000002</v>
      </c>
      <c r="O13" s="90">
        <v>28.6495876</v>
      </c>
      <c r="P13" s="90">
        <v>22.046968616666671</v>
      </c>
      <c r="Q13" s="105">
        <f t="shared" si="0"/>
        <v>6.9038352167488659E-2</v>
      </c>
    </row>
    <row r="14" spans="2:17" ht="15.6" thickBot="1" x14ac:dyDescent="0.3">
      <c r="B14" s="87">
        <v>9</v>
      </c>
      <c r="C14" s="89">
        <v>2027</v>
      </c>
      <c r="D14" s="90">
        <v>25.0704937</v>
      </c>
      <c r="E14" s="90">
        <v>27.7912064</v>
      </c>
      <c r="F14" s="90">
        <v>17.618677099999999</v>
      </c>
      <c r="G14" s="90">
        <v>17.30481</v>
      </c>
      <c r="H14" s="90">
        <v>10.0907917</v>
      </c>
      <c r="I14" s="90">
        <v>11.081109</v>
      </c>
      <c r="J14" s="90">
        <v>21.514244099999999</v>
      </c>
      <c r="K14" s="90">
        <v>27.2325439</v>
      </c>
      <c r="L14" s="90">
        <v>30.924936299999999</v>
      </c>
      <c r="M14" s="90">
        <v>30.701068899999999</v>
      </c>
      <c r="N14" s="90">
        <v>28.121093800000001</v>
      </c>
      <c r="O14" s="90">
        <v>30.590982400000001</v>
      </c>
      <c r="P14" s="90">
        <v>23.17016310833333</v>
      </c>
      <c r="Q14" s="105">
        <f t="shared" si="0"/>
        <v>5.0945529573510839E-2</v>
      </c>
    </row>
    <row r="15" spans="2:17" ht="15.6" thickBot="1" x14ac:dyDescent="0.3">
      <c r="B15" s="295">
        <v>10</v>
      </c>
      <c r="C15" s="89">
        <v>2028</v>
      </c>
      <c r="D15" s="90">
        <v>25.208356899999998</v>
      </c>
      <c r="E15" s="90">
        <v>27.807886100000001</v>
      </c>
      <c r="F15" s="90">
        <v>16.863792400000001</v>
      </c>
      <c r="G15" s="90">
        <v>17.363174399999998</v>
      </c>
      <c r="H15" s="90">
        <v>10.259779</v>
      </c>
      <c r="I15" s="90">
        <v>11.592837299999999</v>
      </c>
      <c r="J15" s="90">
        <v>22.958913800000001</v>
      </c>
      <c r="K15" s="90">
        <v>27.960750000000001</v>
      </c>
      <c r="L15" s="90">
        <v>31.4918175</v>
      </c>
      <c r="M15" s="90">
        <v>30.8707733</v>
      </c>
      <c r="N15" s="90">
        <v>27.705432900000002</v>
      </c>
      <c r="O15" s="90">
        <v>31.6278477</v>
      </c>
      <c r="P15" s="90">
        <v>23.475946774999997</v>
      </c>
      <c r="Q15" s="105">
        <f t="shared" si="0"/>
        <v>1.3197303153929418E-2</v>
      </c>
    </row>
    <row r="16" spans="2:17" ht="15.6" thickBot="1" x14ac:dyDescent="0.3">
      <c r="B16" s="87">
        <v>11</v>
      </c>
      <c r="C16" s="89">
        <v>2029</v>
      </c>
      <c r="D16" s="90">
        <v>24.358564399999999</v>
      </c>
      <c r="E16" s="90">
        <v>29.527006100000001</v>
      </c>
      <c r="F16" s="90">
        <v>17.0643387</v>
      </c>
      <c r="G16" s="90">
        <v>19.658796299999999</v>
      </c>
      <c r="H16" s="90">
        <v>10.2959394</v>
      </c>
      <c r="I16" s="90">
        <v>10.954897900000001</v>
      </c>
      <c r="J16" s="90">
        <v>22.076740000000001</v>
      </c>
      <c r="K16" s="90">
        <v>29.154691700000001</v>
      </c>
      <c r="L16" s="90">
        <v>33.170169999999999</v>
      </c>
      <c r="M16" s="90">
        <v>29.944955799999999</v>
      </c>
      <c r="N16" s="90">
        <v>25.985088300000001</v>
      </c>
      <c r="O16" s="90">
        <v>32.3934</v>
      </c>
      <c r="P16" s="90">
        <v>23.715382383333335</v>
      </c>
      <c r="Q16" s="105">
        <f t="shared" si="0"/>
        <v>1.0199188583453367E-2</v>
      </c>
    </row>
    <row r="17" spans="2:17" ht="15.6" thickBot="1" x14ac:dyDescent="0.3">
      <c r="B17" s="87">
        <v>12</v>
      </c>
      <c r="C17" s="89">
        <v>2030</v>
      </c>
      <c r="D17" s="90">
        <v>25.089626299999999</v>
      </c>
      <c r="E17" s="90">
        <v>29.378440000000001</v>
      </c>
      <c r="F17" s="90">
        <v>16.584198000000001</v>
      </c>
      <c r="G17" s="90">
        <v>18.178421</v>
      </c>
      <c r="H17" s="90">
        <v>9.846895</v>
      </c>
      <c r="I17" s="90">
        <v>11.2374887</v>
      </c>
      <c r="J17" s="90">
        <v>22.294301999999998</v>
      </c>
      <c r="K17" s="90">
        <v>28.791872000000001</v>
      </c>
      <c r="L17" s="90">
        <v>33.894245099999999</v>
      </c>
      <c r="M17" s="90">
        <v>32.336196899999997</v>
      </c>
      <c r="N17" s="90">
        <v>28.977304499999999</v>
      </c>
      <c r="O17" s="90">
        <v>33.052356699999997</v>
      </c>
      <c r="P17" s="90">
        <v>24.138445516666668</v>
      </c>
      <c r="Q17" s="105">
        <f t="shared" si="0"/>
        <v>1.7839186671965823E-2</v>
      </c>
    </row>
    <row r="18" spans="2:17" ht="15.6" thickBot="1" x14ac:dyDescent="0.3">
      <c r="B18" s="295">
        <v>13</v>
      </c>
      <c r="C18" s="89">
        <v>2031</v>
      </c>
      <c r="D18" s="90">
        <v>25.4894867</v>
      </c>
      <c r="E18" s="90">
        <v>29.929079999999999</v>
      </c>
      <c r="F18" s="90">
        <v>17.278327900000001</v>
      </c>
      <c r="G18" s="90">
        <v>18.103975299999998</v>
      </c>
      <c r="H18" s="90">
        <v>10.5112915</v>
      </c>
      <c r="I18" s="90">
        <v>11.775423999999999</v>
      </c>
      <c r="J18" s="90">
        <v>23.123062099999999</v>
      </c>
      <c r="K18" s="90">
        <v>30.024372100000001</v>
      </c>
      <c r="L18" s="90">
        <v>35.109375</v>
      </c>
      <c r="M18" s="90">
        <v>31.459465000000002</v>
      </c>
      <c r="N18" s="90">
        <v>28.033496899999999</v>
      </c>
      <c r="O18" s="90">
        <v>33.80048</v>
      </c>
      <c r="P18" s="90">
        <v>24.553153041666665</v>
      </c>
      <c r="Q18" s="105">
        <f t="shared" si="0"/>
        <v>1.7180374134434517E-2</v>
      </c>
    </row>
    <row r="19" spans="2:17" ht="15.6" thickBot="1" x14ac:dyDescent="0.3">
      <c r="B19" s="87">
        <v>14</v>
      </c>
      <c r="C19" s="89">
        <v>2032</v>
      </c>
      <c r="D19" s="90">
        <v>25.665124899999999</v>
      </c>
      <c r="E19" s="90">
        <v>30.749774899999998</v>
      </c>
      <c r="F19" s="90">
        <v>17.648571</v>
      </c>
      <c r="G19" s="90">
        <v>20.116119999999999</v>
      </c>
      <c r="H19" s="90">
        <v>12.564932799999999</v>
      </c>
      <c r="I19" s="90">
        <v>11.9768753</v>
      </c>
      <c r="J19" s="90">
        <v>25.4113483</v>
      </c>
      <c r="K19" s="90">
        <v>31.251760000000001</v>
      </c>
      <c r="L19" s="90">
        <v>34.870710000000003</v>
      </c>
      <c r="M19" s="90">
        <v>34.974655200000001</v>
      </c>
      <c r="N19" s="90">
        <v>31.550817500000001</v>
      </c>
      <c r="O19" s="90">
        <v>36.269226099999997</v>
      </c>
      <c r="P19" s="90">
        <v>26.087492999999995</v>
      </c>
      <c r="Q19" s="105">
        <f t="shared" si="0"/>
        <v>6.2490546763161348E-2</v>
      </c>
    </row>
    <row r="20" spans="2:17" ht="15.6" thickBot="1" x14ac:dyDescent="0.3">
      <c r="B20" s="87">
        <v>15</v>
      </c>
      <c r="C20" s="89">
        <v>2033</v>
      </c>
      <c r="D20" s="90">
        <v>26.830995600000001</v>
      </c>
      <c r="E20" s="90">
        <v>32.496284500000002</v>
      </c>
      <c r="F20" s="90">
        <v>18.681383100000001</v>
      </c>
      <c r="G20" s="90">
        <v>19.585752500000002</v>
      </c>
      <c r="H20" s="90">
        <v>12.33643</v>
      </c>
      <c r="I20" s="90">
        <v>12.7162752</v>
      </c>
      <c r="J20" s="90">
        <v>28.223320000000001</v>
      </c>
      <c r="K20" s="90">
        <v>32.202087400000003</v>
      </c>
      <c r="L20" s="90">
        <v>37.2084045</v>
      </c>
      <c r="M20" s="90">
        <v>37.648310000000002</v>
      </c>
      <c r="N20" s="90">
        <v>35.363599999999998</v>
      </c>
      <c r="O20" s="90">
        <v>38.448642700000001</v>
      </c>
      <c r="P20" s="90">
        <v>27.645123791666666</v>
      </c>
      <c r="Q20" s="105">
        <f t="shared" si="0"/>
        <v>5.970795245318028E-2</v>
      </c>
    </row>
    <row r="21" spans="2:17" ht="15.6" thickBot="1" x14ac:dyDescent="0.3">
      <c r="B21" s="295">
        <v>16</v>
      </c>
      <c r="C21" s="89">
        <v>2034</v>
      </c>
      <c r="D21" s="90">
        <v>28.594846700000002</v>
      </c>
      <c r="E21" s="90">
        <v>34.46611</v>
      </c>
      <c r="F21" s="90">
        <v>19.425554300000002</v>
      </c>
      <c r="G21" s="90">
        <v>20.556591000000001</v>
      </c>
      <c r="H21" s="90">
        <v>13.718856799999999</v>
      </c>
      <c r="I21" s="90">
        <v>13.793730699999999</v>
      </c>
      <c r="J21" s="90">
        <v>31.579008099999999</v>
      </c>
      <c r="K21" s="90">
        <v>34.503303500000001</v>
      </c>
      <c r="L21" s="90">
        <v>40.268929999999997</v>
      </c>
      <c r="M21" s="90">
        <v>39.418384600000003</v>
      </c>
      <c r="N21" s="90">
        <v>35.530056000000002</v>
      </c>
      <c r="O21" s="90">
        <v>42.032474499999999</v>
      </c>
      <c r="P21" s="90">
        <v>29.490653850000001</v>
      </c>
      <c r="Q21" s="105">
        <f t="shared" si="0"/>
        <v>6.67578872947443E-2</v>
      </c>
    </row>
    <row r="22" spans="2:17" ht="15.6" thickBot="1" x14ac:dyDescent="0.3">
      <c r="B22" s="87">
        <v>17</v>
      </c>
      <c r="C22" s="89">
        <v>2035</v>
      </c>
      <c r="D22" s="90">
        <v>30.755748700000002</v>
      </c>
      <c r="E22" s="90">
        <v>38.545017199999997</v>
      </c>
      <c r="F22" s="90">
        <v>20.221281099999999</v>
      </c>
      <c r="G22" s="90">
        <v>24.468730000000001</v>
      </c>
      <c r="H22" s="90">
        <v>15.4281025</v>
      </c>
      <c r="I22" s="90">
        <v>15.3457823</v>
      </c>
      <c r="J22" s="90">
        <v>33.429222099999997</v>
      </c>
      <c r="K22" s="90">
        <v>38.868049999999997</v>
      </c>
      <c r="L22" s="90">
        <v>44.402462</v>
      </c>
      <c r="M22" s="90">
        <v>39.8831177</v>
      </c>
      <c r="N22" s="90">
        <v>34.609580000000001</v>
      </c>
      <c r="O22" s="90">
        <v>42.971874200000002</v>
      </c>
      <c r="P22" s="90">
        <v>31.577413983333333</v>
      </c>
      <c r="Q22" s="105">
        <f t="shared" si="0"/>
        <v>7.0760049741431352E-2</v>
      </c>
    </row>
    <row r="23" spans="2:17" ht="15.6" thickBot="1" x14ac:dyDescent="0.3">
      <c r="B23" s="87">
        <v>18</v>
      </c>
      <c r="C23" s="89">
        <v>2036</v>
      </c>
      <c r="D23" s="90">
        <v>31.006239999999998</v>
      </c>
      <c r="E23" s="90">
        <v>39.109645800000003</v>
      </c>
      <c r="F23" s="90">
        <v>20.777166399999999</v>
      </c>
      <c r="G23" s="90">
        <v>22.745033299999999</v>
      </c>
      <c r="H23" s="90">
        <v>13.7978287</v>
      </c>
      <c r="I23" s="90">
        <v>14.849802</v>
      </c>
      <c r="J23" s="90">
        <v>32.55939</v>
      </c>
      <c r="K23" s="90">
        <v>40.706974000000002</v>
      </c>
      <c r="L23" s="90">
        <v>45.642482800000003</v>
      </c>
      <c r="M23" s="90">
        <v>43.105217000000003</v>
      </c>
      <c r="N23" s="90">
        <v>38.459069999999997</v>
      </c>
      <c r="O23" s="90">
        <v>45.970314000000002</v>
      </c>
      <c r="P23" s="90">
        <v>32.394096999999995</v>
      </c>
      <c r="Q23" s="105">
        <f t="shared" si="0"/>
        <v>2.5862884690231791E-2</v>
      </c>
    </row>
    <row r="24" spans="2:17" ht="15.6" thickBot="1" x14ac:dyDescent="0.3">
      <c r="B24" s="295">
        <v>19</v>
      </c>
      <c r="C24" s="89">
        <v>2037</v>
      </c>
      <c r="D24" s="90">
        <v>32.876655599999999</v>
      </c>
      <c r="E24" s="90">
        <v>41.045902300000002</v>
      </c>
      <c r="F24" s="90">
        <v>21.1209545</v>
      </c>
      <c r="G24" s="90">
        <v>22.423902500000001</v>
      </c>
      <c r="H24" s="90">
        <v>14.173310000000001</v>
      </c>
      <c r="I24" s="90">
        <v>15.152365700000001</v>
      </c>
      <c r="J24" s="90">
        <v>33.710735300000003</v>
      </c>
      <c r="K24" s="90">
        <v>41.554012299999997</v>
      </c>
      <c r="L24" s="90">
        <v>47.789585099999996</v>
      </c>
      <c r="M24" s="90">
        <v>43.598156000000003</v>
      </c>
      <c r="N24" s="90">
        <v>36.4467049</v>
      </c>
      <c r="O24" s="90">
        <v>48.2832565</v>
      </c>
      <c r="P24" s="90">
        <v>33.181295058333333</v>
      </c>
      <c r="Q24" s="105">
        <f t="shared" si="0"/>
        <v>2.4300663739240447E-2</v>
      </c>
    </row>
    <row r="25" spans="2:17" ht="15.6" thickBot="1" x14ac:dyDescent="0.3">
      <c r="B25" s="87">
        <v>20</v>
      </c>
      <c r="C25" s="89">
        <v>2038</v>
      </c>
      <c r="D25" s="90">
        <v>35.520767200000002</v>
      </c>
      <c r="E25" s="90">
        <v>43.488025700000001</v>
      </c>
      <c r="F25" s="90">
        <v>23.278907799999999</v>
      </c>
      <c r="G25" s="90">
        <v>25.764497800000001</v>
      </c>
      <c r="H25" s="90">
        <v>16.864635499999999</v>
      </c>
      <c r="I25" s="90">
        <v>15.7759447</v>
      </c>
      <c r="J25" s="90">
        <v>37.4147873</v>
      </c>
      <c r="K25" s="90">
        <v>43.409393299999998</v>
      </c>
      <c r="L25" s="90">
        <v>51.693653099999999</v>
      </c>
      <c r="M25" s="90">
        <v>47.168697399999999</v>
      </c>
      <c r="N25" s="90">
        <v>40.274146999999999</v>
      </c>
      <c r="O25" s="90">
        <v>50.5421944</v>
      </c>
      <c r="P25" s="90">
        <v>35.93297093333333</v>
      </c>
      <c r="Q25" s="105">
        <f t="shared" si="0"/>
        <v>8.2928525549183618E-2</v>
      </c>
    </row>
    <row r="26" spans="2:17" ht="15.6" thickBot="1" x14ac:dyDescent="0.3">
      <c r="B26" s="87">
        <v>21</v>
      </c>
      <c r="C26" s="89">
        <v>2039</v>
      </c>
      <c r="D26" s="90">
        <v>36.875250000000001</v>
      </c>
      <c r="E26" s="90">
        <v>45.294296299999999</v>
      </c>
      <c r="F26" s="90">
        <v>22.841344800000002</v>
      </c>
      <c r="G26" s="90">
        <v>24.740310000000001</v>
      </c>
      <c r="H26" s="90">
        <v>15.3727713</v>
      </c>
      <c r="I26" s="90">
        <v>15.766921999999999</v>
      </c>
      <c r="J26" s="90">
        <v>38.154125200000003</v>
      </c>
      <c r="K26" s="90">
        <v>42.472949999999997</v>
      </c>
      <c r="L26" s="90">
        <v>53.510420000000003</v>
      </c>
      <c r="M26" s="90">
        <v>51.720367400000001</v>
      </c>
      <c r="N26" s="90">
        <v>43.463016500000002</v>
      </c>
      <c r="O26" s="90">
        <v>52.701689999999999</v>
      </c>
      <c r="P26" s="90">
        <v>36.909455291666667</v>
      </c>
      <c r="Q26" s="103"/>
    </row>
    <row r="27" spans="2:17" ht="15.6" thickBot="1" x14ac:dyDescent="0.3">
      <c r="C27" s="91"/>
      <c r="D27" s="92"/>
      <c r="E27" s="92"/>
      <c r="F27" s="92"/>
      <c r="G27" s="92"/>
      <c r="H27" s="92"/>
      <c r="I27" s="92"/>
      <c r="J27" s="92"/>
      <c r="K27" s="92"/>
      <c r="L27" s="92"/>
      <c r="M27" s="92"/>
      <c r="N27" s="92"/>
      <c r="O27" s="92"/>
      <c r="P27" s="93"/>
      <c r="Q27" s="104"/>
    </row>
    <row r="28" spans="2:17" ht="15.6" thickBot="1" x14ac:dyDescent="0.3">
      <c r="O28" s="95" t="s">
        <v>74</v>
      </c>
      <c r="P28" s="96">
        <f>-PMT(Rate_of_Return,20,NPV(Rate_of_Return,P6:P25))</f>
        <v>23.428869446417636</v>
      </c>
      <c r="Q28" s="103"/>
    </row>
    <row r="29" spans="2:17" ht="15.6" thickBot="1" x14ac:dyDescent="0.3">
      <c r="O29" s="95" t="s">
        <v>75</v>
      </c>
      <c r="P29" s="97">
        <f>-PMT(Rate_of_Return,15,NPV(Rate_of_Return,P6:P20))</f>
        <v>22.068261689565677</v>
      </c>
      <c r="Q29" s="103"/>
    </row>
    <row r="33" spans="3:12" ht="15.6" x14ac:dyDescent="0.3">
      <c r="C33" s="291" t="s">
        <v>133</v>
      </c>
    </row>
    <row r="34" spans="3:12" ht="15.6" thickBot="1" x14ac:dyDescent="0.3"/>
    <row r="35" spans="3:12" ht="15.6" thickBot="1" x14ac:dyDescent="0.3">
      <c r="C35" s="322" t="s">
        <v>116</v>
      </c>
      <c r="D35" s="323"/>
      <c r="E35" s="323"/>
      <c r="F35" s="323"/>
      <c r="G35" s="324"/>
      <c r="H35"/>
      <c r="I35"/>
      <c r="J35"/>
      <c r="K35"/>
      <c r="L35"/>
    </row>
    <row r="36" spans="3:12" ht="28.2" thickBot="1" x14ac:dyDescent="0.3">
      <c r="C36" s="284"/>
      <c r="D36" s="285" t="s">
        <v>117</v>
      </c>
      <c r="E36" s="285" t="s">
        <v>118</v>
      </c>
      <c r="F36" s="285" t="s">
        <v>119</v>
      </c>
      <c r="G36" s="285" t="s">
        <v>120</v>
      </c>
      <c r="H36"/>
      <c r="I36"/>
      <c r="J36"/>
      <c r="K36"/>
      <c r="L36"/>
    </row>
    <row r="37" spans="3:12" ht="132.6" thickBot="1" x14ac:dyDescent="0.3">
      <c r="C37" s="286">
        <v>1</v>
      </c>
      <c r="D37" s="287" t="s">
        <v>121</v>
      </c>
      <c r="E37" s="287" t="s">
        <v>122</v>
      </c>
      <c r="F37" s="287" t="s">
        <v>122</v>
      </c>
      <c r="G37" s="287" t="s">
        <v>123</v>
      </c>
      <c r="H37"/>
      <c r="I37"/>
      <c r="J37"/>
      <c r="K37"/>
      <c r="L37"/>
    </row>
    <row r="38" spans="3:12" x14ac:dyDescent="0.25">
      <c r="C38"/>
      <c r="D38"/>
      <c r="E38"/>
      <c r="F38"/>
      <c r="G38"/>
      <c r="H38"/>
      <c r="I38"/>
      <c r="J38"/>
      <c r="K38"/>
      <c r="L38"/>
    </row>
    <row r="39" spans="3:12" x14ac:dyDescent="0.25">
      <c r="C39"/>
      <c r="D39"/>
      <c r="E39"/>
      <c r="F39"/>
      <c r="G39"/>
      <c r="H39"/>
      <c r="I39"/>
      <c r="J39"/>
      <c r="K39"/>
      <c r="L39"/>
    </row>
    <row r="40" spans="3:12" x14ac:dyDescent="0.25">
      <c r="C40"/>
      <c r="D40"/>
      <c r="E40"/>
      <c r="F40"/>
      <c r="G40"/>
      <c r="H40"/>
      <c r="I40"/>
      <c r="J40"/>
      <c r="K40"/>
      <c r="L40"/>
    </row>
    <row r="41" spans="3:12" ht="20.399999999999999" x14ac:dyDescent="0.25">
      <c r="C41" s="288" t="s">
        <v>124</v>
      </c>
      <c r="D41"/>
      <c r="E41"/>
      <c r="F41"/>
      <c r="G41"/>
      <c r="H41"/>
      <c r="I41"/>
      <c r="J41"/>
      <c r="K41"/>
      <c r="L41"/>
    </row>
    <row r="42" spans="3:12" x14ac:dyDescent="0.25">
      <c r="C42" s="325" t="s">
        <v>125</v>
      </c>
      <c r="D42" s="325"/>
      <c r="E42" s="325"/>
      <c r="F42" s="325"/>
      <c r="G42" s="325"/>
      <c r="H42" s="325"/>
      <c r="I42" s="325"/>
      <c r="J42" s="325"/>
      <c r="K42" s="325"/>
      <c r="L42" s="325"/>
    </row>
    <row r="43" spans="3:12" x14ac:dyDescent="0.25">
      <c r="C43" s="326" t="s">
        <v>126</v>
      </c>
      <c r="D43" s="326"/>
      <c r="E43" s="326"/>
      <c r="F43" s="326"/>
      <c r="G43" s="326"/>
      <c r="H43" s="326"/>
      <c r="I43" s="326"/>
      <c r="J43" s="326"/>
      <c r="K43" s="326"/>
      <c r="L43" s="326"/>
    </row>
    <row r="44" spans="3:12" x14ac:dyDescent="0.25">
      <c r="C44"/>
      <c r="D44"/>
      <c r="E44"/>
      <c r="F44"/>
      <c r="G44"/>
      <c r="H44"/>
      <c r="I44"/>
      <c r="J44"/>
      <c r="K44"/>
      <c r="L44"/>
    </row>
    <row r="45" spans="3:12" ht="17.399999999999999" x14ac:dyDescent="0.25">
      <c r="C45" s="289" t="s">
        <v>127</v>
      </c>
      <c r="D45"/>
      <c r="E45"/>
      <c r="F45"/>
      <c r="G45"/>
      <c r="H45"/>
      <c r="I45"/>
      <c r="J45"/>
      <c r="K45"/>
      <c r="L45"/>
    </row>
    <row r="46" spans="3:12" x14ac:dyDescent="0.25">
      <c r="C46"/>
      <c r="D46"/>
      <c r="E46"/>
      <c r="F46"/>
      <c r="G46"/>
      <c r="H46"/>
      <c r="I46"/>
      <c r="J46"/>
      <c r="K46"/>
      <c r="L46"/>
    </row>
    <row r="47" spans="3:12" x14ac:dyDescent="0.25">
      <c r="C47" s="290" t="s">
        <v>128</v>
      </c>
      <c r="D47"/>
      <c r="E47"/>
      <c r="F47"/>
      <c r="G47"/>
      <c r="H47"/>
      <c r="I47"/>
      <c r="J47"/>
      <c r="K47"/>
      <c r="L47"/>
    </row>
    <row r="48" spans="3:12" x14ac:dyDescent="0.25">
      <c r="C48" s="290" t="s">
        <v>129</v>
      </c>
      <c r="D48"/>
      <c r="E48"/>
      <c r="F48"/>
      <c r="G48"/>
      <c r="H48"/>
      <c r="I48"/>
      <c r="J48"/>
      <c r="K48"/>
      <c r="L48"/>
    </row>
    <row r="49" spans="3:12" x14ac:dyDescent="0.25">
      <c r="C49" s="290" t="s">
        <v>130</v>
      </c>
      <c r="D49"/>
      <c r="E49"/>
      <c r="F49"/>
      <c r="G49"/>
      <c r="H49"/>
      <c r="I49"/>
      <c r="J49"/>
      <c r="K49"/>
      <c r="L49"/>
    </row>
    <row r="50" spans="3:12" x14ac:dyDescent="0.25">
      <c r="C50" s="290" t="s">
        <v>131</v>
      </c>
      <c r="D50"/>
      <c r="E50"/>
      <c r="F50"/>
      <c r="G50"/>
      <c r="H50"/>
      <c r="I50"/>
      <c r="J50"/>
      <c r="K50"/>
      <c r="L50"/>
    </row>
    <row r="51" spans="3:12" x14ac:dyDescent="0.25">
      <c r="C51" s="290" t="s">
        <v>132</v>
      </c>
      <c r="D51"/>
      <c r="E51"/>
      <c r="F51"/>
      <c r="G51"/>
      <c r="H51"/>
      <c r="I51"/>
      <c r="J51"/>
      <c r="K51"/>
      <c r="L51"/>
    </row>
  </sheetData>
  <mergeCells count="3">
    <mergeCell ref="C35:G35"/>
    <mergeCell ref="C42:L42"/>
    <mergeCell ref="C43:L43"/>
  </mergeCells>
  <pageMargins left="0.75" right="0.5" top="0.76" bottom="0.79" header="0.5" footer="0.26"/>
  <pageSetup scale="57" orientation="landscape" r:id="rId1"/>
  <headerFooter alignWithMargins="0">
    <oddFooter>&amp;L&amp;F&amp;C&amp;A&amp;RPSE Advice No. 2018-48 &amp;D
Page &amp;P of &amp;N</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O48"/>
  <sheetViews>
    <sheetView workbookViewId="0">
      <selection activeCell="M7" sqref="M7"/>
    </sheetView>
  </sheetViews>
  <sheetFormatPr defaultColWidth="8.88671875" defaultRowHeight="15" x14ac:dyDescent="0.25"/>
  <cols>
    <col min="1" max="1" width="2.6640625" style="87" customWidth="1"/>
    <col min="2" max="2" width="3.88671875" style="87" bestFit="1" customWidth="1"/>
    <col min="3" max="3" width="9" style="87" bestFit="1" customWidth="1"/>
    <col min="4" max="4" width="23" style="87" customWidth="1"/>
    <col min="5" max="6" width="24.6640625" style="87" customWidth="1"/>
    <col min="7" max="7" width="2.109375" style="81" customWidth="1"/>
    <col min="8" max="8" width="14.109375" style="87" customWidth="1"/>
    <col min="9" max="9" width="14.33203125" style="87" customWidth="1"/>
    <col min="10" max="10" width="14.5546875" style="87" customWidth="1"/>
    <col min="11" max="16384" width="8.88671875" style="87"/>
  </cols>
  <sheetData>
    <row r="2" spans="1:15" x14ac:dyDescent="0.25">
      <c r="C2" s="87" t="s">
        <v>49</v>
      </c>
      <c r="K2"/>
      <c r="L2"/>
      <c r="M2"/>
      <c r="N2"/>
      <c r="O2"/>
    </row>
    <row r="3" spans="1:15" ht="15.6" thickBot="1" x14ac:dyDescent="0.3">
      <c r="H3" s="327" t="s">
        <v>50</v>
      </c>
      <c r="I3" s="327"/>
      <c r="J3" s="327"/>
      <c r="K3"/>
      <c r="L3"/>
      <c r="M3"/>
      <c r="N3"/>
      <c r="O3"/>
    </row>
    <row r="4" spans="1:15" ht="63.75" customHeight="1" x14ac:dyDescent="0.25">
      <c r="D4" s="245" t="s">
        <v>51</v>
      </c>
      <c r="E4" s="245" t="s">
        <v>147</v>
      </c>
      <c r="F4" s="246" t="s">
        <v>52</v>
      </c>
      <c r="H4" s="247" t="s">
        <v>108</v>
      </c>
      <c r="I4" s="248" t="s">
        <v>109</v>
      </c>
      <c r="J4" s="249" t="s">
        <v>110</v>
      </c>
      <c r="K4" s="245" t="s">
        <v>148</v>
      </c>
      <c r="L4" s="328" t="s">
        <v>152</v>
      </c>
      <c r="M4" s="329"/>
      <c r="N4" s="329"/>
      <c r="O4" s="330"/>
    </row>
    <row r="5" spans="1:15" ht="27" thickBot="1" x14ac:dyDescent="0.3">
      <c r="B5" s="94"/>
      <c r="C5" s="250"/>
      <c r="D5" s="251"/>
      <c r="E5" s="252"/>
      <c r="F5" s="253"/>
      <c r="H5" s="254">
        <v>1</v>
      </c>
      <c r="I5" s="255">
        <v>0.16</v>
      </c>
      <c r="J5" s="256">
        <v>0.02</v>
      </c>
      <c r="K5" s="251"/>
      <c r="L5" s="302"/>
      <c r="M5" s="303" t="s">
        <v>149</v>
      </c>
      <c r="N5" s="303" t="s">
        <v>150</v>
      </c>
      <c r="O5" s="303" t="s">
        <v>151</v>
      </c>
    </row>
    <row r="6" spans="1:15" ht="15.6" thickBot="1" x14ac:dyDescent="0.3">
      <c r="A6" s="94"/>
      <c r="B6" s="298">
        <v>1</v>
      </c>
      <c r="C6" s="296">
        <v>2019</v>
      </c>
      <c r="D6" s="257" t="s">
        <v>53</v>
      </c>
      <c r="E6" s="258">
        <v>0.10236603221083454</v>
      </c>
      <c r="F6" s="259">
        <v>0.10236603221083454</v>
      </c>
      <c r="H6" s="260">
        <f>H$5*$E6</f>
        <v>0.10236603221083454</v>
      </c>
      <c r="I6" s="261">
        <f>I$5*$E6</f>
        <v>1.6378565153733527E-2</v>
      </c>
      <c r="J6" s="262">
        <f>J$5*$E6</f>
        <v>2.0473206442166909E-3</v>
      </c>
      <c r="K6" s="302">
        <v>8760</v>
      </c>
      <c r="L6" s="302">
        <v>2019</v>
      </c>
      <c r="M6" s="304">
        <f t="shared" ref="M6:M26" si="0">(+H6*1000)/$K6</f>
        <v>1.1685620115392072E-2</v>
      </c>
      <c r="N6" s="304">
        <f t="shared" ref="N6:N26" si="1">(+I6*1000)/$K6</f>
        <v>1.8696992184627313E-3</v>
      </c>
      <c r="O6" s="304">
        <f t="shared" ref="O6:O26" si="2">(+J6*1000)/$K6</f>
        <v>2.3371240230784141E-4</v>
      </c>
    </row>
    <row r="7" spans="1:15" ht="15.6" thickBot="1" x14ac:dyDescent="0.3">
      <c r="A7" s="94"/>
      <c r="B7" s="299">
        <v>2</v>
      </c>
      <c r="C7" s="297">
        <f>+C6+1</f>
        <v>2020</v>
      </c>
      <c r="D7" s="263"/>
      <c r="E7" s="258">
        <v>0.10236603221083454</v>
      </c>
      <c r="F7" s="259">
        <v>0.10236603221083454</v>
      </c>
      <c r="H7" s="264">
        <f t="shared" ref="H7:J25" si="3">H$5*$E7</f>
        <v>0.10236603221083454</v>
      </c>
      <c r="I7" s="261">
        <f t="shared" si="3"/>
        <v>1.6378565153733527E-2</v>
      </c>
      <c r="J7" s="265">
        <f t="shared" si="3"/>
        <v>2.0473206442166909E-3</v>
      </c>
      <c r="K7" s="302">
        <v>8784</v>
      </c>
      <c r="L7" s="302">
        <v>2020</v>
      </c>
      <c r="M7" s="304">
        <f t="shared" si="0"/>
        <v>1.1653692191579525E-2</v>
      </c>
      <c r="N7" s="304">
        <f t="shared" si="1"/>
        <v>1.8645907506527237E-3</v>
      </c>
      <c r="O7" s="304">
        <f t="shared" si="2"/>
        <v>2.3307384383159047E-4</v>
      </c>
    </row>
    <row r="8" spans="1:15" ht="15.6" thickBot="1" x14ac:dyDescent="0.3">
      <c r="A8" s="94"/>
      <c r="B8" s="299">
        <v>3</v>
      </c>
      <c r="C8" s="297">
        <f t="shared" ref="C8:C25" si="4">+C7+1</f>
        <v>2021</v>
      </c>
      <c r="D8" s="263"/>
      <c r="E8" s="258">
        <v>0.10236603221083454</v>
      </c>
      <c r="F8" s="259">
        <v>0.10236603221083454</v>
      </c>
      <c r="H8" s="264">
        <f t="shared" si="3"/>
        <v>0.10236603221083454</v>
      </c>
      <c r="I8" s="261">
        <f t="shared" si="3"/>
        <v>1.6378565153733527E-2</v>
      </c>
      <c r="J8" s="265">
        <f t="shared" si="3"/>
        <v>2.0473206442166909E-3</v>
      </c>
      <c r="K8" s="302">
        <v>8760</v>
      </c>
      <c r="L8" s="302">
        <v>2021</v>
      </c>
      <c r="M8" s="304">
        <f t="shared" si="0"/>
        <v>1.1685620115392072E-2</v>
      </c>
      <c r="N8" s="304">
        <f t="shared" si="1"/>
        <v>1.8696992184627313E-3</v>
      </c>
      <c r="O8" s="304">
        <f t="shared" si="2"/>
        <v>2.3371240230784141E-4</v>
      </c>
    </row>
    <row r="9" spans="1:15" ht="15.6" thickBot="1" x14ac:dyDescent="0.3">
      <c r="A9" s="94"/>
      <c r="B9" s="299">
        <v>4</v>
      </c>
      <c r="C9" s="297">
        <f t="shared" si="4"/>
        <v>2022</v>
      </c>
      <c r="D9" s="267" t="s">
        <v>54</v>
      </c>
      <c r="E9" s="266">
        <v>3.26</v>
      </c>
      <c r="F9" s="259">
        <v>0.10236603221083454</v>
      </c>
      <c r="H9" s="264">
        <f t="shared" si="3"/>
        <v>3.26</v>
      </c>
      <c r="I9" s="261">
        <f t="shared" si="3"/>
        <v>0.52159999999999995</v>
      </c>
      <c r="J9" s="265">
        <f t="shared" si="3"/>
        <v>6.5199999999999994E-2</v>
      </c>
      <c r="K9" s="302">
        <v>8760</v>
      </c>
      <c r="L9" s="302">
        <v>2022</v>
      </c>
      <c r="M9" s="304">
        <f t="shared" si="0"/>
        <v>0.37214611872146119</v>
      </c>
      <c r="N9" s="304">
        <f t="shared" si="1"/>
        <v>5.9543378995433778E-2</v>
      </c>
      <c r="O9" s="304">
        <f t="shared" si="2"/>
        <v>7.4429223744292223E-3</v>
      </c>
    </row>
    <row r="10" spans="1:15" ht="15.6" thickBot="1" x14ac:dyDescent="0.3">
      <c r="A10" s="94"/>
      <c r="B10" s="299">
        <v>5</v>
      </c>
      <c r="C10" s="297">
        <f t="shared" si="4"/>
        <v>2023</v>
      </c>
      <c r="D10" s="268" t="s">
        <v>55</v>
      </c>
      <c r="E10" s="266">
        <v>93</v>
      </c>
      <c r="F10" s="259">
        <v>0.10236603221083454</v>
      </c>
      <c r="H10" s="264">
        <f>H$5*$E10</f>
        <v>93</v>
      </c>
      <c r="I10" s="261">
        <f t="shared" si="3"/>
        <v>14.88</v>
      </c>
      <c r="J10" s="265">
        <f t="shared" si="3"/>
        <v>1.86</v>
      </c>
      <c r="K10" s="302">
        <v>8760</v>
      </c>
      <c r="L10" s="302">
        <v>2023</v>
      </c>
      <c r="M10" s="304">
        <f t="shared" si="0"/>
        <v>10.616438356164384</v>
      </c>
      <c r="N10" s="304">
        <f t="shared" si="1"/>
        <v>1.6986301369863013</v>
      </c>
      <c r="O10" s="304">
        <f t="shared" si="2"/>
        <v>0.21232876712328766</v>
      </c>
    </row>
    <row r="11" spans="1:15" ht="15.6" thickBot="1" x14ac:dyDescent="0.3">
      <c r="A11" s="94"/>
      <c r="B11" s="299">
        <v>6</v>
      </c>
      <c r="C11" s="297">
        <f t="shared" si="4"/>
        <v>2024</v>
      </c>
      <c r="D11" s="268" t="s">
        <v>55</v>
      </c>
      <c r="E11" s="266">
        <v>93</v>
      </c>
      <c r="F11" s="259">
        <v>0.10236603221083454</v>
      </c>
      <c r="H11" s="264">
        <f t="shared" si="3"/>
        <v>93</v>
      </c>
      <c r="I11" s="261">
        <f t="shared" si="3"/>
        <v>14.88</v>
      </c>
      <c r="J11" s="265">
        <f>J$5*$E11</f>
        <v>1.86</v>
      </c>
      <c r="K11" s="302">
        <v>8784</v>
      </c>
      <c r="L11" s="302">
        <v>2024</v>
      </c>
      <c r="M11" s="304">
        <f t="shared" si="0"/>
        <v>10.587431693989071</v>
      </c>
      <c r="N11" s="304">
        <f t="shared" si="1"/>
        <v>1.6939890710382515</v>
      </c>
      <c r="O11" s="304">
        <f t="shared" si="2"/>
        <v>0.21174863387978143</v>
      </c>
    </row>
    <row r="12" spans="1:15" ht="15.6" thickBot="1" x14ac:dyDescent="0.3">
      <c r="A12" s="94"/>
      <c r="B12" s="299">
        <v>7</v>
      </c>
      <c r="C12" s="297">
        <f t="shared" si="4"/>
        <v>2025</v>
      </c>
      <c r="D12" s="268" t="s">
        <v>56</v>
      </c>
      <c r="E12" s="269">
        <v>80</v>
      </c>
      <c r="F12" s="259">
        <v>0.10236603221083454</v>
      </c>
      <c r="H12" s="264">
        <f t="shared" si="3"/>
        <v>80</v>
      </c>
      <c r="I12" s="261">
        <f t="shared" si="3"/>
        <v>12.8</v>
      </c>
      <c r="J12" s="265">
        <f t="shared" si="3"/>
        <v>1.6</v>
      </c>
      <c r="K12" s="302">
        <v>8760</v>
      </c>
      <c r="L12" s="302">
        <v>2025</v>
      </c>
      <c r="M12" s="304">
        <f t="shared" si="0"/>
        <v>9.1324200913242013</v>
      </c>
      <c r="N12" s="304">
        <f t="shared" si="1"/>
        <v>1.4611872146118721</v>
      </c>
      <c r="O12" s="304">
        <f t="shared" si="2"/>
        <v>0.18264840182648401</v>
      </c>
    </row>
    <row r="13" spans="1:15" ht="15.6" thickBot="1" x14ac:dyDescent="0.3">
      <c r="A13" s="94"/>
      <c r="B13" s="299">
        <v>8</v>
      </c>
      <c r="C13" s="297">
        <f t="shared" si="4"/>
        <v>2026</v>
      </c>
      <c r="D13" s="268" t="s">
        <v>56</v>
      </c>
      <c r="E13" s="266">
        <v>80</v>
      </c>
      <c r="F13" s="259">
        <v>0.10236603221083454</v>
      </c>
      <c r="H13" s="264">
        <f t="shared" si="3"/>
        <v>80</v>
      </c>
      <c r="I13" s="261">
        <f t="shared" si="3"/>
        <v>12.8</v>
      </c>
      <c r="J13" s="265">
        <f t="shared" si="3"/>
        <v>1.6</v>
      </c>
      <c r="K13" s="302">
        <v>8760</v>
      </c>
      <c r="L13" s="302">
        <v>2026</v>
      </c>
      <c r="M13" s="304">
        <f t="shared" si="0"/>
        <v>9.1324200913242013</v>
      </c>
      <c r="N13" s="304">
        <f t="shared" si="1"/>
        <v>1.4611872146118721</v>
      </c>
      <c r="O13" s="304">
        <f t="shared" si="2"/>
        <v>0.18264840182648401</v>
      </c>
    </row>
    <row r="14" spans="1:15" ht="15.6" thickBot="1" x14ac:dyDescent="0.3">
      <c r="A14" s="94"/>
      <c r="B14" s="299">
        <v>9</v>
      </c>
      <c r="C14" s="297">
        <f t="shared" si="4"/>
        <v>2027</v>
      </c>
      <c r="D14" s="268" t="s">
        <v>56</v>
      </c>
      <c r="E14" s="266">
        <v>80.477938899565444</v>
      </c>
      <c r="F14" s="259">
        <v>0.10236603221083454</v>
      </c>
      <c r="H14" s="264">
        <f t="shared" si="3"/>
        <v>80.477938899565444</v>
      </c>
      <c r="I14" s="261">
        <f t="shared" si="3"/>
        <v>12.876470223930472</v>
      </c>
      <c r="J14" s="265">
        <f t="shared" si="3"/>
        <v>1.609558777991309</v>
      </c>
      <c r="K14" s="302">
        <v>8760</v>
      </c>
      <c r="L14" s="302">
        <v>2027</v>
      </c>
      <c r="M14" s="304">
        <f t="shared" si="0"/>
        <v>9.1869793264344111</v>
      </c>
      <c r="N14" s="304">
        <f t="shared" si="1"/>
        <v>1.4699166922295059</v>
      </c>
      <c r="O14" s="304">
        <f t="shared" si="2"/>
        <v>0.18373958652868824</v>
      </c>
    </row>
    <row r="15" spans="1:15" ht="15.6" thickBot="1" x14ac:dyDescent="0.3">
      <c r="A15" s="94"/>
      <c r="B15" s="299">
        <v>10</v>
      </c>
      <c r="C15" s="297">
        <f t="shared" si="4"/>
        <v>2028</v>
      </c>
      <c r="D15" s="268"/>
      <c r="E15" s="266">
        <v>80.477938899565444</v>
      </c>
      <c r="F15" s="259">
        <v>0.10236603221083454</v>
      </c>
      <c r="H15" s="264">
        <f t="shared" si="3"/>
        <v>80.477938899565444</v>
      </c>
      <c r="I15" s="261">
        <f t="shared" si="3"/>
        <v>12.876470223930472</v>
      </c>
      <c r="J15" s="265">
        <f t="shared" si="3"/>
        <v>1.609558777991309</v>
      </c>
      <c r="K15" s="302">
        <v>8784</v>
      </c>
      <c r="L15" s="302">
        <v>2028</v>
      </c>
      <c r="M15" s="304">
        <f t="shared" si="0"/>
        <v>9.1618782900233882</v>
      </c>
      <c r="N15" s="304">
        <f t="shared" si="1"/>
        <v>1.4659005264037421</v>
      </c>
      <c r="O15" s="304">
        <f t="shared" si="2"/>
        <v>0.18323756580046777</v>
      </c>
    </row>
    <row r="16" spans="1:15" ht="15.6" thickBot="1" x14ac:dyDescent="0.3">
      <c r="A16" s="94"/>
      <c r="B16" s="299">
        <v>11</v>
      </c>
      <c r="C16" s="297">
        <f t="shared" si="4"/>
        <v>2029</v>
      </c>
      <c r="D16" s="268"/>
      <c r="E16" s="266">
        <v>80.477938899565444</v>
      </c>
      <c r="F16" s="259">
        <v>0.10236603221083454</v>
      </c>
      <c r="H16" s="264">
        <f t="shared" si="3"/>
        <v>80.477938899565444</v>
      </c>
      <c r="I16" s="261">
        <f t="shared" si="3"/>
        <v>12.876470223930472</v>
      </c>
      <c r="J16" s="265">
        <f t="shared" si="3"/>
        <v>1.609558777991309</v>
      </c>
      <c r="K16" s="302">
        <v>8760</v>
      </c>
      <c r="L16" s="302">
        <v>2029</v>
      </c>
      <c r="M16" s="304">
        <f t="shared" si="0"/>
        <v>9.1869793264344111</v>
      </c>
      <c r="N16" s="304">
        <f t="shared" si="1"/>
        <v>1.4699166922295059</v>
      </c>
      <c r="O16" s="304">
        <f t="shared" si="2"/>
        <v>0.18373958652868824</v>
      </c>
    </row>
    <row r="17" spans="1:15" ht="15.6" thickBot="1" x14ac:dyDescent="0.3">
      <c r="A17" s="94"/>
      <c r="B17" s="299">
        <v>12</v>
      </c>
      <c r="C17" s="297">
        <f t="shared" si="4"/>
        <v>2030</v>
      </c>
      <c r="D17" s="268"/>
      <c r="E17" s="266">
        <v>80.477938899565444</v>
      </c>
      <c r="F17" s="259">
        <v>0.10236603221083454</v>
      </c>
      <c r="H17" s="264">
        <f t="shared" si="3"/>
        <v>80.477938899565444</v>
      </c>
      <c r="I17" s="261">
        <f t="shared" si="3"/>
        <v>12.876470223930472</v>
      </c>
      <c r="J17" s="265">
        <f t="shared" si="3"/>
        <v>1.609558777991309</v>
      </c>
      <c r="K17" s="302">
        <v>8760</v>
      </c>
      <c r="L17" s="302">
        <v>2030</v>
      </c>
      <c r="M17" s="304">
        <f t="shared" si="0"/>
        <v>9.1869793264344111</v>
      </c>
      <c r="N17" s="304">
        <f t="shared" si="1"/>
        <v>1.4699166922295059</v>
      </c>
      <c r="O17" s="304">
        <f t="shared" si="2"/>
        <v>0.18373958652868824</v>
      </c>
    </row>
    <row r="18" spans="1:15" ht="15.6" thickBot="1" x14ac:dyDescent="0.3">
      <c r="A18" s="94"/>
      <c r="B18" s="299">
        <v>13</v>
      </c>
      <c r="C18" s="297">
        <f t="shared" si="4"/>
        <v>2031</v>
      </c>
      <c r="D18" s="268" t="s">
        <v>56</v>
      </c>
      <c r="E18" s="266">
        <v>84.157096346974001</v>
      </c>
      <c r="F18" s="259">
        <v>0.10236603221083454</v>
      </c>
      <c r="H18" s="264">
        <f t="shared" si="3"/>
        <v>84.157096346974001</v>
      </c>
      <c r="I18" s="261">
        <f t="shared" si="3"/>
        <v>13.46513541551584</v>
      </c>
      <c r="J18" s="265">
        <f t="shared" si="3"/>
        <v>1.6831419269394801</v>
      </c>
      <c r="K18" s="302">
        <v>8760</v>
      </c>
      <c r="L18" s="302">
        <v>2031</v>
      </c>
      <c r="M18" s="304">
        <f t="shared" si="0"/>
        <v>9.6069744688326484</v>
      </c>
      <c r="N18" s="304">
        <f t="shared" si="1"/>
        <v>1.5371159150132239</v>
      </c>
      <c r="O18" s="304">
        <f t="shared" si="2"/>
        <v>0.19213948937665298</v>
      </c>
    </row>
    <row r="19" spans="1:15" ht="15.6" thickBot="1" x14ac:dyDescent="0.3">
      <c r="A19" s="94"/>
      <c r="B19" s="299">
        <v>14</v>
      </c>
      <c r="C19" s="297">
        <f t="shared" si="4"/>
        <v>2032</v>
      </c>
      <c r="D19" s="268"/>
      <c r="E19" s="266">
        <v>84.157096346974001</v>
      </c>
      <c r="F19" s="259">
        <v>0.10236603221083454</v>
      </c>
      <c r="H19" s="264">
        <f t="shared" si="3"/>
        <v>84.157096346974001</v>
      </c>
      <c r="I19" s="261">
        <f t="shared" si="3"/>
        <v>13.46513541551584</v>
      </c>
      <c r="J19" s="265">
        <f t="shared" si="3"/>
        <v>1.6831419269394801</v>
      </c>
      <c r="K19" s="302">
        <v>8784</v>
      </c>
      <c r="L19" s="302">
        <v>2032</v>
      </c>
      <c r="M19" s="304">
        <f t="shared" si="0"/>
        <v>9.5807259047101549</v>
      </c>
      <c r="N19" s="304">
        <f t="shared" si="1"/>
        <v>1.5329161447536248</v>
      </c>
      <c r="O19" s="304">
        <f t="shared" si="2"/>
        <v>0.1916145180942031</v>
      </c>
    </row>
    <row r="20" spans="1:15" ht="15.6" thickBot="1" x14ac:dyDescent="0.3">
      <c r="A20" s="94"/>
      <c r="B20" s="299">
        <v>15</v>
      </c>
      <c r="C20" s="297">
        <f t="shared" si="4"/>
        <v>2033</v>
      </c>
      <c r="D20" s="268"/>
      <c r="E20" s="266">
        <v>84.157096346974001</v>
      </c>
      <c r="F20" s="259">
        <v>0.10236603221083454</v>
      </c>
      <c r="H20" s="264">
        <f t="shared" si="3"/>
        <v>84.157096346974001</v>
      </c>
      <c r="I20" s="261">
        <f t="shared" si="3"/>
        <v>13.46513541551584</v>
      </c>
      <c r="J20" s="265">
        <f t="shared" si="3"/>
        <v>1.6831419269394801</v>
      </c>
      <c r="K20" s="302">
        <v>8760</v>
      </c>
      <c r="L20" s="302">
        <v>2033</v>
      </c>
      <c r="M20" s="304">
        <f t="shared" si="0"/>
        <v>9.6069744688326484</v>
      </c>
      <c r="N20" s="304">
        <f t="shared" si="1"/>
        <v>1.5371159150132239</v>
      </c>
      <c r="O20" s="304">
        <f t="shared" si="2"/>
        <v>0.19213948937665298</v>
      </c>
    </row>
    <row r="21" spans="1:15" ht="15.6" thickBot="1" x14ac:dyDescent="0.3">
      <c r="A21" s="94"/>
      <c r="B21" s="299">
        <v>16</v>
      </c>
      <c r="C21" s="297">
        <f t="shared" si="4"/>
        <v>2034</v>
      </c>
      <c r="D21" s="268" t="s">
        <v>56</v>
      </c>
      <c r="E21" s="266">
        <v>88.306829270347322</v>
      </c>
      <c r="F21" s="259">
        <v>0.10236603221083454</v>
      </c>
      <c r="H21" s="264">
        <f t="shared" si="3"/>
        <v>88.306829270347322</v>
      </c>
      <c r="I21" s="261">
        <f t="shared" si="3"/>
        <v>14.129092683255571</v>
      </c>
      <c r="J21" s="265">
        <f t="shared" si="3"/>
        <v>1.7661365854069464</v>
      </c>
      <c r="K21" s="302">
        <v>8760</v>
      </c>
      <c r="L21" s="302">
        <v>2034</v>
      </c>
      <c r="M21" s="304">
        <f t="shared" si="0"/>
        <v>10.080688272870699</v>
      </c>
      <c r="N21" s="304">
        <f t="shared" si="1"/>
        <v>1.6129101236593117</v>
      </c>
      <c r="O21" s="304">
        <f t="shared" si="2"/>
        <v>0.20161376545741397</v>
      </c>
    </row>
    <row r="22" spans="1:15" ht="15.6" thickBot="1" x14ac:dyDescent="0.3">
      <c r="A22" s="94"/>
      <c r="B22" s="299">
        <v>17</v>
      </c>
      <c r="C22" s="297">
        <f t="shared" si="4"/>
        <v>2035</v>
      </c>
      <c r="D22" s="268"/>
      <c r="E22" s="266">
        <v>88.306829270347322</v>
      </c>
      <c r="F22" s="259">
        <v>0.10236603221083454</v>
      </c>
      <c r="H22" s="264">
        <f t="shared" si="3"/>
        <v>88.306829270347322</v>
      </c>
      <c r="I22" s="261">
        <f t="shared" si="3"/>
        <v>14.129092683255571</v>
      </c>
      <c r="J22" s="265">
        <f t="shared" si="3"/>
        <v>1.7661365854069464</v>
      </c>
      <c r="K22" s="302">
        <v>8760</v>
      </c>
      <c r="L22" s="302">
        <v>2035</v>
      </c>
      <c r="M22" s="304">
        <f t="shared" si="0"/>
        <v>10.080688272870699</v>
      </c>
      <c r="N22" s="304">
        <f t="shared" si="1"/>
        <v>1.6129101236593117</v>
      </c>
      <c r="O22" s="304">
        <f t="shared" si="2"/>
        <v>0.20161376545741397</v>
      </c>
    </row>
    <row r="23" spans="1:15" ht="15.6" thickBot="1" x14ac:dyDescent="0.3">
      <c r="A23" s="94"/>
      <c r="B23" s="299">
        <v>18</v>
      </c>
      <c r="C23" s="297">
        <f t="shared" si="4"/>
        <v>2036</v>
      </c>
      <c r="D23" s="268" t="s">
        <v>56</v>
      </c>
      <c r="E23" s="270">
        <v>91.089450907608253</v>
      </c>
      <c r="F23" s="259">
        <v>0.10236603221083454</v>
      </c>
      <c r="H23" s="264">
        <f t="shared" si="3"/>
        <v>91.089450907608253</v>
      </c>
      <c r="I23" s="261">
        <f t="shared" si="3"/>
        <v>14.57431214521732</v>
      </c>
      <c r="J23" s="265">
        <f t="shared" si="3"/>
        <v>1.821789018152165</v>
      </c>
      <c r="K23" s="302">
        <v>8784</v>
      </c>
      <c r="L23" s="302">
        <v>2036</v>
      </c>
      <c r="M23" s="304">
        <f t="shared" si="0"/>
        <v>10.36992838201369</v>
      </c>
      <c r="N23" s="304">
        <f t="shared" si="1"/>
        <v>1.6591885411221903</v>
      </c>
      <c r="O23" s="304">
        <f t="shared" si="2"/>
        <v>0.20739856764027378</v>
      </c>
    </row>
    <row r="24" spans="1:15" ht="15.6" thickBot="1" x14ac:dyDescent="0.3">
      <c r="A24" s="94"/>
      <c r="B24" s="299">
        <v>19</v>
      </c>
      <c r="C24" s="297">
        <f t="shared" si="4"/>
        <v>2037</v>
      </c>
      <c r="D24" s="268"/>
      <c r="E24" s="271">
        <v>91.089450907608253</v>
      </c>
      <c r="F24" s="272">
        <v>0.10236603221083454</v>
      </c>
      <c r="H24" s="273">
        <f t="shared" si="3"/>
        <v>91.089450907608253</v>
      </c>
      <c r="I24" s="274">
        <f t="shared" si="3"/>
        <v>14.57431214521732</v>
      </c>
      <c r="J24" s="275">
        <f t="shared" si="3"/>
        <v>1.821789018152165</v>
      </c>
      <c r="K24" s="302">
        <v>8760</v>
      </c>
      <c r="L24" s="302">
        <v>2037</v>
      </c>
      <c r="M24" s="304">
        <f t="shared" si="0"/>
        <v>10.398339144704138</v>
      </c>
      <c r="N24" s="304">
        <f t="shared" si="1"/>
        <v>1.6637342631526622</v>
      </c>
      <c r="O24" s="304">
        <f t="shared" si="2"/>
        <v>0.20796678289408277</v>
      </c>
    </row>
    <row r="25" spans="1:15" ht="15.6" thickBot="1" x14ac:dyDescent="0.3">
      <c r="A25" s="94"/>
      <c r="B25" s="306">
        <v>20</v>
      </c>
      <c r="C25" s="307">
        <f t="shared" si="4"/>
        <v>2038</v>
      </c>
      <c r="D25" s="308"/>
      <c r="E25" s="309">
        <v>91.089450907608253</v>
      </c>
      <c r="F25" s="310">
        <v>0.10236603221083454</v>
      </c>
      <c r="H25" s="273">
        <f t="shared" si="3"/>
        <v>91.089450907608253</v>
      </c>
      <c r="I25" s="311">
        <f t="shared" si="3"/>
        <v>14.57431214521732</v>
      </c>
      <c r="J25" s="275">
        <f t="shared" si="3"/>
        <v>1.821789018152165</v>
      </c>
      <c r="K25" s="302">
        <v>8760</v>
      </c>
      <c r="L25" s="302">
        <v>2038</v>
      </c>
      <c r="M25" s="304">
        <f t="shared" si="0"/>
        <v>10.398339144704138</v>
      </c>
      <c r="N25" s="304">
        <f t="shared" si="1"/>
        <v>1.6637342631526622</v>
      </c>
      <c r="O25" s="304">
        <f t="shared" si="2"/>
        <v>0.20796678289408277</v>
      </c>
    </row>
    <row r="26" spans="1:15" ht="15.6" thickBot="1" x14ac:dyDescent="0.3">
      <c r="B26" s="313">
        <v>21</v>
      </c>
      <c r="C26" s="313">
        <v>2039</v>
      </c>
      <c r="D26" s="312"/>
      <c r="E26" s="314">
        <f>E25</f>
        <v>91.089450907608253</v>
      </c>
      <c r="F26" s="314">
        <f>F25</f>
        <v>0.10236603221083454</v>
      </c>
      <c r="G26" s="315"/>
      <c r="H26" s="316">
        <f>H25</f>
        <v>91.089450907608253</v>
      </c>
      <c r="I26" s="316">
        <f>I25</f>
        <v>14.57431214521732</v>
      </c>
      <c r="J26" s="316">
        <f>J25</f>
        <v>1.821789018152165</v>
      </c>
      <c r="K26" s="305">
        <v>8760</v>
      </c>
      <c r="L26" s="302">
        <v>2039</v>
      </c>
      <c r="M26" s="304">
        <f t="shared" si="0"/>
        <v>10.398339144704138</v>
      </c>
      <c r="N26" s="304">
        <f t="shared" si="1"/>
        <v>1.6637342631526622</v>
      </c>
      <c r="O26" s="304">
        <f t="shared" si="2"/>
        <v>0.20796678289408277</v>
      </c>
    </row>
    <row r="28" spans="1:15" x14ac:dyDescent="0.25">
      <c r="D28" s="276"/>
    </row>
    <row r="29" spans="1:15" x14ac:dyDescent="0.25">
      <c r="D29" s="277"/>
    </row>
    <row r="30" spans="1:15" x14ac:dyDescent="0.25">
      <c r="D30" s="277"/>
    </row>
    <row r="31" spans="1:15" x14ac:dyDescent="0.25">
      <c r="D31" s="277"/>
    </row>
    <row r="32" spans="1:15" x14ac:dyDescent="0.25">
      <c r="D32" s="277"/>
    </row>
    <row r="33" spans="4:4" x14ac:dyDescent="0.25">
      <c r="D33" s="277"/>
    </row>
    <row r="34" spans="4:4" x14ac:dyDescent="0.25">
      <c r="D34" s="277"/>
    </row>
    <row r="35" spans="4:4" x14ac:dyDescent="0.25">
      <c r="D35" s="277"/>
    </row>
    <row r="36" spans="4:4" x14ac:dyDescent="0.25">
      <c r="D36" s="277"/>
    </row>
    <row r="37" spans="4:4" x14ac:dyDescent="0.25">
      <c r="D37" s="277"/>
    </row>
    <row r="38" spans="4:4" x14ac:dyDescent="0.25">
      <c r="D38" s="277"/>
    </row>
    <row r="39" spans="4:4" x14ac:dyDescent="0.25">
      <c r="D39" s="277"/>
    </row>
    <row r="40" spans="4:4" x14ac:dyDescent="0.25">
      <c r="D40" s="277"/>
    </row>
    <row r="41" spans="4:4" x14ac:dyDescent="0.25">
      <c r="D41" s="277"/>
    </row>
    <row r="42" spans="4:4" x14ac:dyDescent="0.25">
      <c r="D42" s="277"/>
    </row>
    <row r="43" spans="4:4" x14ac:dyDescent="0.25">
      <c r="D43" s="277"/>
    </row>
    <row r="44" spans="4:4" x14ac:dyDescent="0.25">
      <c r="D44" s="277"/>
    </row>
    <row r="45" spans="4:4" x14ac:dyDescent="0.25">
      <c r="D45" s="277"/>
    </row>
    <row r="46" spans="4:4" x14ac:dyDescent="0.25">
      <c r="D46" s="277"/>
    </row>
    <row r="47" spans="4:4" x14ac:dyDescent="0.25">
      <c r="D47" s="277"/>
    </row>
    <row r="48" spans="4:4" x14ac:dyDescent="0.25">
      <c r="D48" s="277"/>
    </row>
  </sheetData>
  <mergeCells count="2">
    <mergeCell ref="H3:J3"/>
    <mergeCell ref="L4:O4"/>
  </mergeCells>
  <pageMargins left="0.75" right="0.5" top="0.76" bottom="0.79" header="0.5" footer="0.26"/>
  <pageSetup scale="71" orientation="landscape" r:id="rId1"/>
  <headerFooter alignWithMargins="0">
    <oddFooter>&amp;L&amp;F&amp;C&amp;A&amp;RPSE Advice No. 2018-48 &amp;D
Page &amp;P of &amp;N</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workbookViewId="0">
      <selection activeCell="F18" sqref="F18"/>
    </sheetView>
  </sheetViews>
  <sheetFormatPr defaultColWidth="9.109375" defaultRowHeight="14.4" x14ac:dyDescent="0.3"/>
  <cols>
    <col min="1" max="1" width="2.6640625" style="106" customWidth="1"/>
    <col min="2" max="2" width="41.33203125" style="106" bestFit="1" customWidth="1"/>
    <col min="3" max="3" width="32.88671875" style="106" bestFit="1" customWidth="1"/>
    <col min="4" max="4" width="11.5546875" style="106" bestFit="1" customWidth="1"/>
    <col min="5" max="5" width="7.5546875" style="106" bestFit="1" customWidth="1"/>
    <col min="6" max="6" width="19.88671875" style="106" bestFit="1" customWidth="1"/>
    <col min="7" max="16384" width="9.109375" style="106"/>
  </cols>
  <sheetData>
    <row r="1" spans="2:6" ht="15" thickBot="1" x14ac:dyDescent="0.35"/>
    <row r="2" spans="2:6" x14ac:dyDescent="0.3">
      <c r="B2" s="107"/>
      <c r="C2" s="108"/>
      <c r="D2" s="108"/>
      <c r="E2" s="108"/>
      <c r="F2" s="109" t="s">
        <v>80</v>
      </c>
    </row>
    <row r="3" spans="2:6" x14ac:dyDescent="0.3">
      <c r="B3" s="110"/>
      <c r="C3" s="111"/>
      <c r="D3" s="111"/>
      <c r="E3" s="111"/>
      <c r="F3" s="112"/>
    </row>
    <row r="4" spans="2:6" x14ac:dyDescent="0.3">
      <c r="B4" s="113"/>
      <c r="C4" s="111"/>
      <c r="D4" s="111"/>
      <c r="E4" s="111"/>
      <c r="F4" s="112" t="s">
        <v>81</v>
      </c>
    </row>
    <row r="5" spans="2:6" x14ac:dyDescent="0.3">
      <c r="B5" s="114" t="s">
        <v>82</v>
      </c>
      <c r="C5" s="111"/>
      <c r="D5" s="111"/>
      <c r="E5" s="111"/>
      <c r="F5" s="115"/>
    </row>
    <row r="6" spans="2:6" x14ac:dyDescent="0.3">
      <c r="B6" s="331" t="s">
        <v>83</v>
      </c>
      <c r="C6" s="332"/>
      <c r="D6" s="332"/>
      <c r="E6" s="332"/>
      <c r="F6" s="333"/>
    </row>
    <row r="7" spans="2:6" x14ac:dyDescent="0.3">
      <c r="B7" s="331" t="s">
        <v>84</v>
      </c>
      <c r="C7" s="332"/>
      <c r="D7" s="332"/>
      <c r="E7" s="332"/>
      <c r="F7" s="333"/>
    </row>
    <row r="8" spans="2:6" x14ac:dyDescent="0.3">
      <c r="B8" s="114" t="s">
        <v>85</v>
      </c>
      <c r="C8" s="111"/>
      <c r="D8" s="111"/>
      <c r="E8" s="111"/>
      <c r="F8" s="115"/>
    </row>
    <row r="9" spans="2:6" x14ac:dyDescent="0.3">
      <c r="B9" s="114" t="s">
        <v>86</v>
      </c>
      <c r="C9" s="111"/>
      <c r="D9" s="111"/>
      <c r="E9" s="111"/>
      <c r="F9" s="115"/>
    </row>
    <row r="10" spans="2:6" x14ac:dyDescent="0.3">
      <c r="B10" s="113"/>
      <c r="C10" s="111"/>
      <c r="D10" s="111"/>
      <c r="E10" s="111"/>
      <c r="F10" s="116"/>
    </row>
    <row r="11" spans="2:6" x14ac:dyDescent="0.3">
      <c r="B11" s="114" t="s">
        <v>87</v>
      </c>
      <c r="C11" s="111"/>
      <c r="D11" s="117" t="s">
        <v>88</v>
      </c>
      <c r="E11" s="111"/>
      <c r="F11" s="118" t="s">
        <v>89</v>
      </c>
    </row>
    <row r="12" spans="2:6" ht="15" thickBot="1" x14ac:dyDescent="0.35">
      <c r="B12" s="119" t="s">
        <v>90</v>
      </c>
      <c r="C12" s="120" t="s">
        <v>91</v>
      </c>
      <c r="D12" s="121" t="s">
        <v>92</v>
      </c>
      <c r="E12" s="121" t="s">
        <v>93</v>
      </c>
      <c r="F12" s="122" t="s">
        <v>94</v>
      </c>
    </row>
    <row r="13" spans="2:6" x14ac:dyDescent="0.3">
      <c r="B13" s="113"/>
      <c r="C13" s="111"/>
      <c r="D13" s="111"/>
      <c r="E13" s="111"/>
      <c r="F13" s="116"/>
    </row>
    <row r="14" spans="2:6" x14ac:dyDescent="0.3">
      <c r="B14" s="123">
        <v>1</v>
      </c>
      <c r="C14" s="124" t="s">
        <v>95</v>
      </c>
      <c r="D14" s="125">
        <v>0.51500000000000001</v>
      </c>
      <c r="E14" s="125">
        <v>5.8099999999999999E-2</v>
      </c>
      <c r="F14" s="126">
        <f>ROUND(D14*E14,4)</f>
        <v>2.9899999999999999E-2</v>
      </c>
    </row>
    <row r="15" spans="2:6" ht="15" thickBot="1" x14ac:dyDescent="0.35">
      <c r="B15" s="123">
        <v>2</v>
      </c>
      <c r="C15" s="124" t="s">
        <v>96</v>
      </c>
      <c r="D15" s="125">
        <v>0.48499999999999999</v>
      </c>
      <c r="E15" s="127">
        <v>9.5000000000000001E-2</v>
      </c>
      <c r="F15" s="126">
        <f>ROUND(D15*E15,4)</f>
        <v>4.6100000000000002E-2</v>
      </c>
    </row>
    <row r="16" spans="2:6" x14ac:dyDescent="0.3">
      <c r="B16" s="123">
        <v>3</v>
      </c>
      <c r="C16" s="124" t="s">
        <v>97</v>
      </c>
      <c r="D16" s="128">
        <v>1</v>
      </c>
      <c r="E16" s="129"/>
      <c r="F16" s="139">
        <f>SUM(F14:F15)</f>
        <v>7.5999999999999998E-2</v>
      </c>
    </row>
    <row r="17" spans="2:7" x14ac:dyDescent="0.3">
      <c r="B17" s="123">
        <v>4</v>
      </c>
      <c r="C17" s="111"/>
      <c r="D17" s="111"/>
      <c r="E17" s="111"/>
      <c r="F17" s="116"/>
    </row>
    <row r="18" spans="2:7" x14ac:dyDescent="0.3">
      <c r="B18" s="123">
        <v>5</v>
      </c>
      <c r="C18" s="124" t="s">
        <v>98</v>
      </c>
      <c r="D18" s="130">
        <v>0.51500000000000001</v>
      </c>
      <c r="E18" s="130">
        <f>E14</f>
        <v>5.8099999999999999E-2</v>
      </c>
      <c r="F18" s="131">
        <f>ROUND(D18*E18*0.79,4)</f>
        <v>2.3599999999999999E-2</v>
      </c>
      <c r="G18" s="132"/>
    </row>
    <row r="19" spans="2:7" ht="15" thickBot="1" x14ac:dyDescent="0.35">
      <c r="B19" s="123">
        <v>6</v>
      </c>
      <c r="C19" s="124" t="s">
        <v>96</v>
      </c>
      <c r="D19" s="130">
        <v>0.48499999999999999</v>
      </c>
      <c r="E19" s="133">
        <v>9.5000000000000001E-2</v>
      </c>
      <c r="F19" s="131">
        <f>ROUND(D19*E19,4)</f>
        <v>4.6100000000000002E-2</v>
      </c>
    </row>
    <row r="20" spans="2:7" x14ac:dyDescent="0.3">
      <c r="B20" s="123">
        <v>7</v>
      </c>
      <c r="C20" s="124" t="s">
        <v>99</v>
      </c>
      <c r="D20" s="134">
        <v>1</v>
      </c>
      <c r="E20" s="111"/>
      <c r="F20" s="135">
        <f>SUM(F18:F19)</f>
        <v>6.9699999999999998E-2</v>
      </c>
    </row>
    <row r="21" spans="2:7" ht="15" thickBot="1" x14ac:dyDescent="0.35">
      <c r="B21" s="136"/>
      <c r="C21" s="137"/>
      <c r="D21" s="137"/>
      <c r="E21" s="137"/>
      <c r="F21" s="138"/>
    </row>
  </sheetData>
  <mergeCells count="2">
    <mergeCell ref="B6:F6"/>
    <mergeCell ref="B7:F7"/>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zoomScale="70" zoomScaleNormal="70" workbookViewId="0">
      <selection activeCell="F38" sqref="F38"/>
    </sheetView>
  </sheetViews>
  <sheetFormatPr defaultColWidth="9.109375" defaultRowHeight="15" x14ac:dyDescent="0.25"/>
  <cols>
    <col min="1" max="1" width="2.6640625" style="81" customWidth="1"/>
    <col min="2" max="2" width="5" style="81" customWidth="1"/>
    <col min="3" max="3" width="46.6640625" style="81" customWidth="1"/>
    <col min="4" max="4" width="2.6640625" style="81" customWidth="1"/>
    <col min="5" max="22" width="12.6640625" style="81" customWidth="1"/>
    <col min="23" max="23" width="2.6640625" style="81" customWidth="1"/>
    <col min="24" max="25" width="12.6640625" style="81" customWidth="1"/>
    <col min="26" max="29" width="12.33203125" style="81" customWidth="1"/>
    <col min="30" max="16384" width="9.109375" style="81"/>
  </cols>
  <sheetData>
    <row r="2" spans="2:30" ht="19.5" customHeight="1" x14ac:dyDescent="0.3">
      <c r="C2" s="301" t="s">
        <v>145</v>
      </c>
      <c r="D2" s="301"/>
      <c r="E2" s="301"/>
      <c r="F2" s="301"/>
      <c r="G2" s="301"/>
      <c r="H2" s="301"/>
      <c r="I2" s="301"/>
      <c r="J2" s="301"/>
      <c r="K2" s="301"/>
      <c r="L2" s="301"/>
    </row>
    <row r="3" spans="2:30" ht="15.6" x14ac:dyDescent="0.3">
      <c r="C3" s="67" t="s">
        <v>146</v>
      </c>
    </row>
    <row r="4" spans="2:30" s="141" customFormat="1" ht="45" x14ac:dyDescent="0.25">
      <c r="B4" s="140"/>
      <c r="C4" s="176" t="s">
        <v>0</v>
      </c>
      <c r="D4" s="176"/>
      <c r="E4" s="176" t="s">
        <v>1</v>
      </c>
      <c r="F4" s="176" t="s">
        <v>2</v>
      </c>
      <c r="G4" s="176" t="s">
        <v>3</v>
      </c>
      <c r="H4" s="176" t="s">
        <v>4</v>
      </c>
      <c r="I4" s="176" t="s">
        <v>5</v>
      </c>
      <c r="J4" s="176" t="s">
        <v>6</v>
      </c>
      <c r="K4" s="176" t="s">
        <v>7</v>
      </c>
      <c r="L4" s="177" t="s">
        <v>14</v>
      </c>
      <c r="M4" s="177"/>
    </row>
    <row r="5" spans="2:30" x14ac:dyDescent="0.25">
      <c r="C5" s="179"/>
      <c r="D5" s="180"/>
      <c r="E5" s="181">
        <v>10</v>
      </c>
      <c r="F5" s="182">
        <v>1</v>
      </c>
      <c r="G5" s="183" t="s">
        <v>8</v>
      </c>
      <c r="H5" s="184">
        <f>'Electric EES CE Std Energy'!D18</f>
        <v>2.1784188702760568E-2</v>
      </c>
      <c r="I5" s="185">
        <f>'Electric EES CE Std Capacity'!E18</f>
        <v>9.1030845038049969E-3</v>
      </c>
      <c r="J5" s="185">
        <f>H5+I5</f>
        <v>3.0887273206565563E-2</v>
      </c>
      <c r="K5" s="186">
        <f>J5</f>
        <v>3.0887273206565563E-2</v>
      </c>
      <c r="L5" s="187">
        <f>K5*1000</f>
        <v>30.887273206565563</v>
      </c>
      <c r="M5" s="170"/>
    </row>
    <row r="6" spans="2:30" ht="15.6" x14ac:dyDescent="0.3">
      <c r="C6" s="178"/>
      <c r="D6" s="178"/>
      <c r="E6" s="144"/>
      <c r="F6" s="144"/>
      <c r="G6" s="144"/>
      <c r="H6" s="47"/>
      <c r="I6" s="146"/>
      <c r="J6" s="47"/>
      <c r="K6" s="146"/>
      <c r="L6" s="146">
        <f>L5*(1-M6)</f>
        <v>29.960655010368594</v>
      </c>
      <c r="M6" s="147">
        <v>0.03</v>
      </c>
      <c r="N6" s="148" t="s">
        <v>46</v>
      </c>
    </row>
    <row r="7" spans="2:30" x14ac:dyDescent="0.25">
      <c r="C7" s="149"/>
      <c r="D7" s="145"/>
      <c r="H7" s="63"/>
      <c r="I7" s="143"/>
      <c r="J7" s="63"/>
      <c r="K7" s="143"/>
      <c r="L7" s="143"/>
      <c r="M7" s="144"/>
    </row>
    <row r="8" spans="2:30" ht="15.6" x14ac:dyDescent="0.3">
      <c r="C8" s="144"/>
      <c r="D8" s="144"/>
      <c r="E8" s="144"/>
      <c r="F8" s="144"/>
      <c r="G8" s="144"/>
      <c r="H8" s="150"/>
      <c r="I8" s="150"/>
      <c r="J8" s="150"/>
      <c r="K8" s="150"/>
      <c r="L8" s="150"/>
      <c r="M8" s="150"/>
      <c r="N8" s="150"/>
      <c r="O8" s="150"/>
      <c r="P8" s="150"/>
      <c r="Q8" s="150"/>
      <c r="R8" s="150"/>
      <c r="U8" s="151"/>
      <c r="V8" s="151"/>
      <c r="X8" s="243" t="s">
        <v>105</v>
      </c>
      <c r="Y8" s="151"/>
      <c r="Z8" s="151"/>
      <c r="AA8" s="151"/>
      <c r="AB8" s="150"/>
      <c r="AC8" s="144"/>
    </row>
    <row r="9" spans="2:30" x14ac:dyDescent="0.25">
      <c r="C9" s="152" t="s">
        <v>9</v>
      </c>
      <c r="D9" s="152"/>
      <c r="E9" s="152"/>
      <c r="F9" s="153">
        <f>+L6</f>
        <v>29.960655010368594</v>
      </c>
      <c r="G9" s="153">
        <f t="shared" ref="G9:O9" si="0">F9</f>
        <v>29.960655010368594</v>
      </c>
      <c r="H9" s="153">
        <f t="shared" si="0"/>
        <v>29.960655010368594</v>
      </c>
      <c r="I9" s="153">
        <f t="shared" si="0"/>
        <v>29.960655010368594</v>
      </c>
      <c r="J9" s="153">
        <f t="shared" si="0"/>
        <v>29.960655010368594</v>
      </c>
      <c r="K9" s="153">
        <f t="shared" si="0"/>
        <v>29.960655010368594</v>
      </c>
      <c r="L9" s="153">
        <f t="shared" si="0"/>
        <v>29.960655010368594</v>
      </c>
      <c r="M9" s="153">
        <f t="shared" si="0"/>
        <v>29.960655010368594</v>
      </c>
      <c r="N9" s="153">
        <f t="shared" si="0"/>
        <v>29.960655010368594</v>
      </c>
      <c r="O9" s="153">
        <f t="shared" si="0"/>
        <v>29.960655010368594</v>
      </c>
      <c r="P9" s="150"/>
      <c r="Q9" s="150"/>
      <c r="R9" s="150"/>
      <c r="U9" s="151"/>
      <c r="V9" s="63"/>
      <c r="X9" s="242">
        <f>NPV(Rate_of_Return,F9:O9)</f>
        <v>204.71662109227742</v>
      </c>
      <c r="Y9" s="242">
        <f>-PMT(Rate_of_Return,10,X9)</f>
        <v>29.960655010368583</v>
      </c>
      <c r="Z9" s="63"/>
      <c r="AA9" s="63"/>
    </row>
    <row r="10" spans="2:30" x14ac:dyDescent="0.25">
      <c r="C10" s="144"/>
      <c r="D10" s="144"/>
      <c r="E10" s="144"/>
      <c r="F10" s="154"/>
      <c r="G10" s="154"/>
      <c r="H10" s="154"/>
      <c r="I10" s="154"/>
      <c r="J10" s="154"/>
      <c r="K10" s="154"/>
      <c r="L10" s="154"/>
      <c r="M10" s="154"/>
      <c r="N10" s="154"/>
      <c r="O10" s="154"/>
      <c r="P10" s="150"/>
      <c r="Q10" s="150"/>
      <c r="R10" s="150"/>
      <c r="U10" s="151"/>
      <c r="V10" s="63"/>
      <c r="X10" s="47"/>
      <c r="Y10" s="47"/>
      <c r="Z10" s="63"/>
      <c r="AA10" s="63"/>
    </row>
    <row r="11" spans="2:30" x14ac:dyDescent="0.25">
      <c r="C11" s="81" t="s">
        <v>76</v>
      </c>
      <c r="F11" s="292">
        <v>1</v>
      </c>
      <c r="G11" s="292">
        <v>2</v>
      </c>
      <c r="H11" s="292">
        <v>3</v>
      </c>
      <c r="I11" s="292">
        <v>4</v>
      </c>
      <c r="J11" s="292">
        <v>5</v>
      </c>
      <c r="K11" s="292">
        <v>6</v>
      </c>
      <c r="L11" s="292">
        <v>7</v>
      </c>
      <c r="M11" s="292">
        <v>8</v>
      </c>
      <c r="N11" s="292">
        <v>9</v>
      </c>
      <c r="O11" s="292">
        <v>10</v>
      </c>
      <c r="P11" s="292">
        <v>11</v>
      </c>
      <c r="Q11" s="292">
        <v>12</v>
      </c>
      <c r="R11" s="150"/>
      <c r="U11" s="151"/>
      <c r="V11" s="63"/>
      <c r="X11" s="63"/>
      <c r="Y11" s="63"/>
      <c r="Z11" s="63"/>
      <c r="AA11" s="63"/>
    </row>
    <row r="12" spans="2:30" ht="15.6" x14ac:dyDescent="0.3">
      <c r="C12" s="144"/>
      <c r="D12" s="142"/>
      <c r="E12" s="144"/>
      <c r="F12" s="155">
        <f>'Energy Prices'!$C$6</f>
        <v>2019</v>
      </c>
      <c r="G12" s="155">
        <f>F12+1</f>
        <v>2020</v>
      </c>
      <c r="H12" s="155">
        <f>G12+1</f>
        <v>2021</v>
      </c>
      <c r="I12" s="155">
        <f t="shared" ref="I12:O12" si="1">H12+1</f>
        <v>2022</v>
      </c>
      <c r="J12" s="155">
        <f t="shared" si="1"/>
        <v>2023</v>
      </c>
      <c r="K12" s="155">
        <f t="shared" si="1"/>
        <v>2024</v>
      </c>
      <c r="L12" s="155">
        <f t="shared" si="1"/>
        <v>2025</v>
      </c>
      <c r="M12" s="155">
        <f t="shared" si="1"/>
        <v>2026</v>
      </c>
      <c r="N12" s="155">
        <f t="shared" si="1"/>
        <v>2027</v>
      </c>
      <c r="O12" s="155">
        <f t="shared" si="1"/>
        <v>2028</v>
      </c>
      <c r="P12" s="155">
        <f t="shared" ref="P12:Q12" si="2">O12+1</f>
        <v>2029</v>
      </c>
      <c r="Q12" s="155">
        <f t="shared" si="2"/>
        <v>2030</v>
      </c>
      <c r="R12" s="150"/>
      <c r="U12" s="151"/>
      <c r="V12" s="282"/>
      <c r="X12" s="243" t="s">
        <v>105</v>
      </c>
      <c r="Y12" s="47"/>
      <c r="Z12" s="151"/>
      <c r="AA12" s="151"/>
    </row>
    <row r="13" spans="2:30" ht="52.95" customHeight="1" x14ac:dyDescent="0.25">
      <c r="B13" s="144"/>
      <c r="C13" s="293" t="s">
        <v>111</v>
      </c>
      <c r="D13" s="144"/>
      <c r="F13" s="192">
        <f>F$9*F$20</f>
        <v>27.142354776961451</v>
      </c>
      <c r="G13" s="193">
        <f t="shared" ref="G13:O13" si="3">G$9*G$20</f>
        <v>27.820913646385488</v>
      </c>
      <c r="H13" s="194">
        <f t="shared" si="3"/>
        <v>28.516436487545121</v>
      </c>
      <c r="I13" s="194">
        <f t="shared" si="3"/>
        <v>29.229347399733744</v>
      </c>
      <c r="J13" s="194">
        <f t="shared" si="3"/>
        <v>29.960081084727086</v>
      </c>
      <c r="K13" s="194">
        <f t="shared" si="3"/>
        <v>30.709083111845263</v>
      </c>
      <c r="L13" s="194">
        <f t="shared" si="3"/>
        <v>31.476810189641391</v>
      </c>
      <c r="M13" s="194">
        <f t="shared" si="3"/>
        <v>32.263730444382418</v>
      </c>
      <c r="N13" s="194">
        <f t="shared" si="3"/>
        <v>33.07032370549198</v>
      </c>
      <c r="O13" s="194">
        <f t="shared" si="3"/>
        <v>33.897081798129278</v>
      </c>
      <c r="P13" s="281">
        <f>O13*1.025</f>
        <v>34.744508843082507</v>
      </c>
      <c r="Q13" s="281">
        <f>P13*1.025</f>
        <v>35.613121564159563</v>
      </c>
      <c r="R13" s="150"/>
      <c r="U13" s="151"/>
      <c r="V13" s="157"/>
      <c r="X13" s="242">
        <f>NPV(Rate_of_Return,F13:O13)</f>
        <v>204.71662109227753</v>
      </c>
      <c r="Y13" s="242">
        <f>-PMT(Rate_of_Return,10,X13)</f>
        <v>29.960655010368601</v>
      </c>
      <c r="Z13" s="157"/>
      <c r="AA13" s="157"/>
      <c r="AD13" s="158"/>
    </row>
    <row r="14" spans="2:30" x14ac:dyDescent="0.25">
      <c r="C14" s="156"/>
      <c r="E14" s="159"/>
      <c r="F14" s="157"/>
      <c r="G14" s="157"/>
      <c r="H14" s="157"/>
      <c r="I14" s="157"/>
      <c r="J14" s="157"/>
      <c r="K14" s="157"/>
      <c r="L14" s="157"/>
      <c r="M14" s="157"/>
      <c r="N14" s="157"/>
      <c r="O14" s="157"/>
      <c r="P14" s="150"/>
      <c r="Q14" s="150"/>
      <c r="R14" s="150"/>
      <c r="U14" s="151"/>
      <c r="V14" s="157"/>
      <c r="X14" s="151"/>
      <c r="Y14" s="151"/>
      <c r="Z14" s="151"/>
      <c r="AA14" s="151"/>
      <c r="AB14" s="150"/>
      <c r="AC14" s="144"/>
    </row>
    <row r="15" spans="2:30" x14ac:dyDescent="0.25">
      <c r="C15" s="160"/>
      <c r="E15" s="159"/>
      <c r="F15" s="157"/>
      <c r="G15" s="157"/>
      <c r="H15" s="157"/>
      <c r="I15" s="157"/>
      <c r="J15" s="157"/>
      <c r="K15" s="157"/>
      <c r="L15" s="157"/>
      <c r="M15" s="157"/>
      <c r="N15" s="157"/>
      <c r="O15" s="157"/>
      <c r="P15" s="150"/>
      <c r="Q15" s="150"/>
      <c r="R15" s="150"/>
      <c r="U15" s="151"/>
      <c r="V15" s="157"/>
      <c r="X15" s="151"/>
      <c r="Y15" s="151"/>
      <c r="Z15" s="151"/>
      <c r="AA15" s="151"/>
      <c r="AB15" s="151"/>
    </row>
    <row r="16" spans="2:30" x14ac:dyDescent="0.25">
      <c r="C16" s="81" t="s">
        <v>10</v>
      </c>
      <c r="P16" s="150"/>
      <c r="Q16" s="150"/>
      <c r="R16" s="150"/>
      <c r="U16" s="151"/>
    </row>
    <row r="17" spans="2:27" x14ac:dyDescent="0.25">
      <c r="P17" s="150"/>
      <c r="Q17" s="150"/>
      <c r="R17" s="150"/>
      <c r="U17" s="151"/>
    </row>
    <row r="18" spans="2:27" ht="15.6" x14ac:dyDescent="0.3">
      <c r="C18" s="144"/>
      <c r="D18" s="144"/>
      <c r="E18" s="144"/>
      <c r="F18" s="144"/>
      <c r="G18" s="144"/>
      <c r="H18" s="144"/>
      <c r="I18" s="144"/>
      <c r="J18" s="144"/>
      <c r="K18" s="144"/>
      <c r="L18" s="144"/>
      <c r="M18" s="144"/>
      <c r="N18" s="144"/>
      <c r="O18" s="144"/>
      <c r="P18" s="150"/>
      <c r="Q18" s="150"/>
      <c r="R18" s="150"/>
      <c r="U18" s="151"/>
      <c r="X18" s="243" t="s">
        <v>105</v>
      </c>
      <c r="Y18" s="144"/>
    </row>
    <row r="19" spans="2:27" x14ac:dyDescent="0.25">
      <c r="C19" s="152" t="s">
        <v>11</v>
      </c>
      <c r="D19" s="152"/>
      <c r="E19" s="152"/>
      <c r="F19" s="171">
        <v>100</v>
      </c>
      <c r="G19" s="171">
        <f t="shared" ref="G19:O19" si="4">F19*1.025</f>
        <v>102.49999999999999</v>
      </c>
      <c r="H19" s="171">
        <f t="shared" si="4"/>
        <v>105.06249999999997</v>
      </c>
      <c r="I19" s="171">
        <f t="shared" si="4"/>
        <v>107.68906249999996</v>
      </c>
      <c r="J19" s="171">
        <f t="shared" si="4"/>
        <v>110.38128906249996</v>
      </c>
      <c r="K19" s="171">
        <f t="shared" si="4"/>
        <v>113.14082128906244</v>
      </c>
      <c r="L19" s="171">
        <f t="shared" si="4"/>
        <v>115.96934182128899</v>
      </c>
      <c r="M19" s="171">
        <f t="shared" si="4"/>
        <v>118.8685753668212</v>
      </c>
      <c r="N19" s="171">
        <f t="shared" si="4"/>
        <v>121.84028975099173</v>
      </c>
      <c r="O19" s="171">
        <f t="shared" si="4"/>
        <v>124.88629699476651</v>
      </c>
      <c r="P19" s="150"/>
      <c r="Q19" s="150"/>
      <c r="R19" s="150"/>
      <c r="U19" s="151"/>
      <c r="V19" s="161"/>
      <c r="X19" s="196">
        <f>NPV(Rate_of_Return,F19:O19)</f>
        <v>754.23308984982339</v>
      </c>
      <c r="Y19" s="196">
        <f>-PMT(Rate_of_Return,10,X19)</f>
        <v>110.38340356452538</v>
      </c>
      <c r="Z19" s="151"/>
      <c r="AA19" s="151"/>
    </row>
    <row r="20" spans="2:27" x14ac:dyDescent="0.25">
      <c r="C20" s="174" t="s">
        <v>12</v>
      </c>
      <c r="D20" s="174"/>
      <c r="E20" s="174"/>
      <c r="F20" s="175">
        <f t="shared" ref="F20:O20" si="5">F19/$Y$19</f>
        <v>0.90593329042933801</v>
      </c>
      <c r="G20" s="175">
        <f t="shared" si="5"/>
        <v>0.92858162269007138</v>
      </c>
      <c r="H20" s="175">
        <f t="shared" si="5"/>
        <v>0.95179616325732308</v>
      </c>
      <c r="I20" s="175">
        <f t="shared" si="5"/>
        <v>0.975591067338756</v>
      </c>
      <c r="J20" s="175">
        <f t="shared" si="5"/>
        <v>0.99998084402222487</v>
      </c>
      <c r="K20" s="175">
        <f t="shared" si="5"/>
        <v>1.0249803651227805</v>
      </c>
      <c r="L20" s="175">
        <f t="shared" si="5"/>
        <v>1.0506048742508498</v>
      </c>
      <c r="M20" s="175">
        <f t="shared" si="5"/>
        <v>1.0768699961071209</v>
      </c>
      <c r="N20" s="175">
        <f t="shared" si="5"/>
        <v>1.1037917460097988</v>
      </c>
      <c r="O20" s="175">
        <f t="shared" si="5"/>
        <v>1.1313865396600438</v>
      </c>
      <c r="P20" s="150"/>
      <c r="Q20" s="150"/>
      <c r="R20" s="150"/>
      <c r="U20" s="151"/>
      <c r="V20" s="162"/>
      <c r="X20" s="195">
        <f>NPV(Rate_of_Return,F20:O20)</f>
        <v>6.8328486483833712</v>
      </c>
      <c r="Y20" s="195">
        <f>-PMT(Rate_of_Return,10,X20)</f>
        <v>1.0000000000000002</v>
      </c>
      <c r="Z20" s="151"/>
      <c r="AA20" s="151"/>
    </row>
    <row r="21" spans="2:27" x14ac:dyDescent="0.25">
      <c r="C21" s="144"/>
      <c r="D21" s="144"/>
      <c r="E21" s="172"/>
      <c r="F21" s="172"/>
      <c r="G21" s="172"/>
      <c r="H21" s="172"/>
      <c r="I21" s="172"/>
      <c r="J21" s="172"/>
      <c r="K21" s="172"/>
      <c r="L21" s="172"/>
      <c r="M21" s="173"/>
      <c r="N21" s="173"/>
      <c r="O21" s="173"/>
      <c r="P21" s="150"/>
      <c r="Q21" s="150"/>
      <c r="R21" s="150"/>
      <c r="S21" s="150"/>
      <c r="T21" s="150"/>
      <c r="U21" s="151"/>
      <c r="W21" s="144"/>
      <c r="X21" s="144"/>
    </row>
    <row r="22" spans="2:27" x14ac:dyDescent="0.25">
      <c r="B22" s="163" t="s">
        <v>13</v>
      </c>
      <c r="C22" s="164"/>
      <c r="D22" s="165"/>
      <c r="E22" s="165"/>
      <c r="F22" s="165"/>
      <c r="G22" s="165"/>
      <c r="H22" s="165"/>
      <c r="I22" s="165"/>
      <c r="J22" s="165"/>
      <c r="K22" s="165"/>
      <c r="L22" s="165"/>
      <c r="M22" s="165"/>
      <c r="N22" s="165"/>
      <c r="O22" s="165"/>
      <c r="Y22" s="160"/>
    </row>
    <row r="23" spans="2:27" x14ac:dyDescent="0.25">
      <c r="B23" s="166">
        <v>1</v>
      </c>
      <c r="C23" s="165" t="s">
        <v>60</v>
      </c>
      <c r="D23" s="165"/>
      <c r="E23" s="165"/>
      <c r="F23" s="165"/>
      <c r="G23" s="165"/>
      <c r="H23" s="165"/>
      <c r="I23" s="165"/>
      <c r="J23" s="165"/>
      <c r="K23" s="165"/>
      <c r="L23" s="165"/>
      <c r="M23" s="165"/>
      <c r="N23" s="165"/>
      <c r="O23" s="165"/>
      <c r="Y23" s="156"/>
    </row>
    <row r="24" spans="2:27" x14ac:dyDescent="0.25">
      <c r="B24" s="166">
        <v>2</v>
      </c>
      <c r="C24" s="165" t="s">
        <v>138</v>
      </c>
      <c r="D24" s="165"/>
      <c r="E24" s="165"/>
      <c r="F24" s="165"/>
      <c r="G24" s="165"/>
      <c r="H24" s="165"/>
      <c r="I24" s="165"/>
      <c r="J24" s="165"/>
      <c r="K24" s="165"/>
      <c r="L24" s="165"/>
      <c r="M24" s="165"/>
      <c r="N24" s="165"/>
      <c r="O24" s="165"/>
      <c r="Y24" s="157"/>
    </row>
    <row r="25" spans="2:27" x14ac:dyDescent="0.25">
      <c r="B25" s="166">
        <v>3</v>
      </c>
      <c r="C25" s="165" t="s">
        <v>59</v>
      </c>
      <c r="D25" s="165"/>
      <c r="E25" s="165"/>
      <c r="F25" s="165"/>
      <c r="G25" s="165"/>
      <c r="H25" s="165"/>
      <c r="I25" s="165"/>
      <c r="J25" s="165"/>
      <c r="K25" s="165"/>
      <c r="L25" s="165"/>
      <c r="M25" s="165"/>
      <c r="N25" s="165"/>
      <c r="O25" s="165"/>
      <c r="Y25" s="167"/>
    </row>
    <row r="26" spans="2:27" x14ac:dyDescent="0.25">
      <c r="B26" s="166">
        <v>4</v>
      </c>
      <c r="C26" s="165" t="s">
        <v>70</v>
      </c>
      <c r="D26" s="165"/>
      <c r="E26" s="165"/>
      <c r="F26" s="165"/>
      <c r="G26" s="165"/>
      <c r="H26" s="165"/>
      <c r="I26" s="165"/>
      <c r="J26" s="165"/>
      <c r="K26" s="165"/>
      <c r="L26" s="165"/>
      <c r="M26" s="165"/>
      <c r="N26" s="165"/>
      <c r="O26" s="165"/>
      <c r="Y26" s="167"/>
    </row>
    <row r="27" spans="2:27" x14ac:dyDescent="0.25">
      <c r="B27" s="166">
        <v>5</v>
      </c>
      <c r="C27" s="165" t="s">
        <v>139</v>
      </c>
      <c r="D27" s="165"/>
      <c r="E27" s="165"/>
      <c r="F27" s="165"/>
      <c r="G27" s="165"/>
      <c r="H27" s="165"/>
      <c r="I27" s="165"/>
      <c r="J27" s="165"/>
      <c r="K27" s="165"/>
      <c r="L27" s="165"/>
      <c r="M27" s="165"/>
      <c r="N27" s="165"/>
      <c r="O27" s="165"/>
      <c r="Y27" s="156"/>
    </row>
    <row r="28" spans="2:27" x14ac:dyDescent="0.25">
      <c r="B28" s="166">
        <v>6</v>
      </c>
      <c r="C28" s="165" t="s">
        <v>140</v>
      </c>
      <c r="D28" s="165"/>
      <c r="E28" s="165"/>
      <c r="F28" s="165"/>
      <c r="G28" s="165"/>
      <c r="H28" s="165"/>
      <c r="I28" s="165"/>
      <c r="J28" s="165"/>
      <c r="K28" s="165"/>
      <c r="L28" s="165"/>
      <c r="M28" s="165"/>
      <c r="N28" s="165"/>
      <c r="O28" s="165"/>
      <c r="Y28" s="157"/>
    </row>
    <row r="29" spans="2:27" x14ac:dyDescent="0.25">
      <c r="B29" s="166">
        <v>7</v>
      </c>
      <c r="C29" s="165" t="s">
        <v>141</v>
      </c>
      <c r="D29" s="165"/>
      <c r="E29" s="165"/>
      <c r="F29" s="165"/>
      <c r="G29" s="165"/>
      <c r="H29" s="165"/>
      <c r="I29" s="165"/>
      <c r="J29" s="165"/>
      <c r="K29" s="165"/>
      <c r="L29" s="165"/>
      <c r="M29" s="165"/>
      <c r="N29" s="165"/>
      <c r="O29" s="165"/>
      <c r="P29" s="165"/>
      <c r="Q29" s="165"/>
    </row>
    <row r="30" spans="2:27" x14ac:dyDescent="0.25">
      <c r="B30" s="166">
        <v>8</v>
      </c>
      <c r="C30" s="165" t="s">
        <v>69</v>
      </c>
      <c r="D30" s="165"/>
      <c r="E30" s="165"/>
      <c r="F30" s="165"/>
      <c r="G30" s="165"/>
      <c r="H30" s="165"/>
      <c r="I30" s="165"/>
      <c r="J30" s="165"/>
      <c r="K30" s="165"/>
      <c r="L30" s="165"/>
      <c r="M30" s="165"/>
      <c r="N30" s="165"/>
      <c r="O30" s="165"/>
      <c r="P30" s="165"/>
      <c r="Q30" s="165"/>
    </row>
    <row r="31" spans="2:27" x14ac:dyDescent="0.25">
      <c r="B31" s="166">
        <v>9</v>
      </c>
      <c r="C31" s="165" t="s">
        <v>142</v>
      </c>
      <c r="D31" s="165"/>
      <c r="E31" s="165"/>
      <c r="F31" s="165"/>
      <c r="G31" s="165"/>
      <c r="H31" s="165"/>
      <c r="I31" s="165"/>
      <c r="J31" s="165"/>
      <c r="K31" s="165"/>
      <c r="L31" s="165"/>
      <c r="M31" s="165"/>
      <c r="N31" s="165"/>
      <c r="O31" s="165"/>
      <c r="P31" s="165"/>
      <c r="Q31" s="165"/>
    </row>
    <row r="32" spans="2:27" x14ac:dyDescent="0.25">
      <c r="B32" s="166">
        <v>10</v>
      </c>
      <c r="C32" s="81" t="s">
        <v>143</v>
      </c>
    </row>
    <row r="33" spans="2:20" x14ac:dyDescent="0.25">
      <c r="B33" s="166">
        <v>11</v>
      </c>
      <c r="C33" s="81" t="s">
        <v>144</v>
      </c>
    </row>
    <row r="34" spans="2:20" ht="15.6" x14ac:dyDescent="0.3">
      <c r="B34" s="168"/>
      <c r="C34" s="5"/>
      <c r="D34" s="5"/>
      <c r="E34" s="5"/>
      <c r="F34" s="5"/>
    </row>
    <row r="35" spans="2:20" ht="15.6" x14ac:dyDescent="0.3">
      <c r="B35" s="168"/>
      <c r="C35" s="5"/>
      <c r="D35" s="5"/>
      <c r="E35" s="5"/>
      <c r="F35" s="5"/>
    </row>
    <row r="37" spans="2:20" x14ac:dyDescent="0.25">
      <c r="F37" s="151"/>
      <c r="G37" s="169"/>
      <c r="H37" s="169"/>
      <c r="I37" s="169"/>
      <c r="J37" s="169"/>
      <c r="K37" s="169"/>
      <c r="L37" s="169"/>
      <c r="M37" s="169"/>
      <c r="N37" s="169"/>
      <c r="O37" s="169"/>
      <c r="P37" s="169"/>
      <c r="Q37" s="169"/>
      <c r="R37" s="169"/>
      <c r="S37" s="169"/>
      <c r="T37" s="169"/>
    </row>
    <row r="38" spans="2:20" x14ac:dyDescent="0.25">
      <c r="G38" s="169"/>
      <c r="H38" s="169"/>
      <c r="I38" s="169"/>
      <c r="J38" s="169"/>
      <c r="K38" s="169"/>
      <c r="L38" s="169"/>
      <c r="M38" s="169"/>
      <c r="N38" s="169"/>
      <c r="O38" s="169"/>
      <c r="P38" s="169"/>
      <c r="Q38" s="169"/>
      <c r="R38" s="169"/>
      <c r="S38" s="169"/>
      <c r="T38" s="169"/>
    </row>
    <row r="39" spans="2:20" x14ac:dyDescent="0.25">
      <c r="F39" s="151"/>
      <c r="G39" s="151"/>
      <c r="H39" s="151"/>
      <c r="I39" s="151"/>
      <c r="J39" s="151"/>
      <c r="K39" s="151"/>
      <c r="L39" s="151"/>
      <c r="M39" s="151"/>
      <c r="N39" s="151"/>
      <c r="O39" s="151"/>
      <c r="P39" s="151"/>
      <c r="Q39" s="151"/>
      <c r="R39" s="151"/>
      <c r="S39" s="151"/>
      <c r="T39" s="151"/>
    </row>
    <row r="40" spans="2:20" x14ac:dyDescent="0.25">
      <c r="D40" s="161"/>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zoomScale="70" zoomScaleNormal="70" workbookViewId="0">
      <selection activeCell="Y13" sqref="Y13"/>
    </sheetView>
  </sheetViews>
  <sheetFormatPr defaultColWidth="9.109375" defaultRowHeight="15" x14ac:dyDescent="0.25"/>
  <cols>
    <col min="1" max="1" width="2.6640625" style="81" customWidth="1"/>
    <col min="2" max="2" width="5" style="81" customWidth="1"/>
    <col min="3" max="3" width="46.6640625" style="81" customWidth="1"/>
    <col min="4" max="4" width="2.6640625" style="81" customWidth="1"/>
    <col min="5" max="22" width="12.6640625" style="81" customWidth="1"/>
    <col min="23" max="23" width="2.6640625" style="81" customWidth="1"/>
    <col min="24" max="25" width="12.6640625" style="81" customWidth="1"/>
    <col min="26" max="30" width="12.33203125" style="81" customWidth="1"/>
    <col min="31" max="16384" width="9.109375" style="81"/>
  </cols>
  <sheetData>
    <row r="2" spans="2:31" ht="19.5" customHeight="1" x14ac:dyDescent="0.3">
      <c r="C2" s="301" t="s">
        <v>145</v>
      </c>
      <c r="D2" s="301"/>
      <c r="E2" s="301"/>
      <c r="F2" s="301"/>
      <c r="G2" s="301"/>
      <c r="H2" s="301"/>
      <c r="I2" s="301"/>
      <c r="J2" s="301"/>
      <c r="K2" s="301"/>
      <c r="L2" s="301"/>
    </row>
    <row r="3" spans="2:31" ht="15.6" x14ac:dyDescent="0.3">
      <c r="C3" s="67" t="s">
        <v>146</v>
      </c>
    </row>
    <row r="4" spans="2:31" s="141" customFormat="1" ht="45" x14ac:dyDescent="0.25">
      <c r="B4" s="140"/>
      <c r="C4" s="176" t="s">
        <v>0</v>
      </c>
      <c r="D4" s="176"/>
      <c r="E4" s="176" t="s">
        <v>1</v>
      </c>
      <c r="F4" s="176" t="s">
        <v>2</v>
      </c>
      <c r="G4" s="176" t="s">
        <v>3</v>
      </c>
      <c r="H4" s="176" t="s">
        <v>4</v>
      </c>
      <c r="I4" s="176" t="s">
        <v>5</v>
      </c>
      <c r="J4" s="176" t="s">
        <v>6</v>
      </c>
      <c r="K4" s="176" t="s">
        <v>7</v>
      </c>
      <c r="L4" s="177" t="s">
        <v>14</v>
      </c>
      <c r="M4" s="177"/>
    </row>
    <row r="5" spans="2:31" x14ac:dyDescent="0.25">
      <c r="C5" s="179"/>
      <c r="D5" s="180"/>
      <c r="E5" s="181">
        <v>15</v>
      </c>
      <c r="F5" s="182">
        <v>1</v>
      </c>
      <c r="G5" s="183" t="s">
        <v>8</v>
      </c>
      <c r="H5" s="184">
        <f>'Electric EES CE Std Energy'!D23</f>
        <v>2.2664104755183958E-2</v>
      </c>
      <c r="I5" s="185">
        <f>'Electric EES CE Std Capacity'!E23</f>
        <v>1.0272736787701207E-2</v>
      </c>
      <c r="J5" s="185">
        <f>H5+I5</f>
        <v>3.2936841542885162E-2</v>
      </c>
      <c r="K5" s="186">
        <f>J5</f>
        <v>3.2936841542885162E-2</v>
      </c>
      <c r="L5" s="187">
        <f>K5*1000</f>
        <v>32.936841542885162</v>
      </c>
      <c r="M5" s="170"/>
    </row>
    <row r="6" spans="2:31" ht="15.6" x14ac:dyDescent="0.3">
      <c r="C6" s="178"/>
      <c r="D6" s="178"/>
      <c r="E6" s="144"/>
      <c r="F6" s="144"/>
      <c r="G6" s="144"/>
      <c r="H6" s="47"/>
      <c r="I6" s="146"/>
      <c r="J6" s="47"/>
      <c r="K6" s="146"/>
      <c r="L6" s="146">
        <f>L5*(1-M6)</f>
        <v>31.948736296598607</v>
      </c>
      <c r="M6" s="147">
        <v>0.03</v>
      </c>
      <c r="N6" s="148" t="s">
        <v>46</v>
      </c>
    </row>
    <row r="7" spans="2:31" x14ac:dyDescent="0.25">
      <c r="C7" s="149"/>
      <c r="D7" s="145"/>
      <c r="H7" s="63"/>
      <c r="I7" s="143"/>
      <c r="J7" s="63"/>
      <c r="K7" s="143"/>
      <c r="L7" s="143"/>
      <c r="M7" s="144"/>
    </row>
    <row r="8" spans="2:31" ht="15.6" x14ac:dyDescent="0.3">
      <c r="C8" s="144"/>
      <c r="D8" s="144"/>
      <c r="E8" s="144"/>
      <c r="F8" s="144"/>
      <c r="G8" s="144"/>
      <c r="H8" s="150"/>
      <c r="I8" s="150"/>
      <c r="J8" s="150"/>
      <c r="K8" s="150"/>
      <c r="L8" s="150"/>
      <c r="M8" s="150"/>
      <c r="N8" s="150"/>
      <c r="O8" s="150"/>
      <c r="P8" s="150"/>
      <c r="Q8" s="150"/>
      <c r="R8" s="150"/>
      <c r="S8" s="150"/>
      <c r="T8" s="150"/>
      <c r="U8" s="151"/>
      <c r="V8" s="151"/>
      <c r="W8" s="151"/>
      <c r="X8" s="243" t="s">
        <v>105</v>
      </c>
      <c r="Y8" s="151"/>
      <c r="Z8" s="151"/>
      <c r="AA8" s="151"/>
      <c r="AB8" s="151"/>
      <c r="AC8" s="150"/>
      <c r="AD8" s="144"/>
    </row>
    <row r="9" spans="2:31" x14ac:dyDescent="0.25">
      <c r="C9" s="152" t="s">
        <v>9</v>
      </c>
      <c r="D9" s="152"/>
      <c r="E9" s="152"/>
      <c r="F9" s="153">
        <f>+L6</f>
        <v>31.948736296598607</v>
      </c>
      <c r="G9" s="153">
        <f t="shared" ref="G9:T9" si="0">F9</f>
        <v>31.948736296598607</v>
      </c>
      <c r="H9" s="153">
        <f t="shared" si="0"/>
        <v>31.948736296598607</v>
      </c>
      <c r="I9" s="153">
        <f t="shared" si="0"/>
        <v>31.948736296598607</v>
      </c>
      <c r="J9" s="153">
        <f t="shared" si="0"/>
        <v>31.948736296598607</v>
      </c>
      <c r="K9" s="153">
        <f t="shared" si="0"/>
        <v>31.948736296598607</v>
      </c>
      <c r="L9" s="153">
        <f t="shared" si="0"/>
        <v>31.948736296598607</v>
      </c>
      <c r="M9" s="153">
        <f t="shared" si="0"/>
        <v>31.948736296598607</v>
      </c>
      <c r="N9" s="153">
        <f t="shared" si="0"/>
        <v>31.948736296598607</v>
      </c>
      <c r="O9" s="153">
        <f t="shared" si="0"/>
        <v>31.948736296598607</v>
      </c>
      <c r="P9" s="153">
        <f t="shared" si="0"/>
        <v>31.948736296598607</v>
      </c>
      <c r="Q9" s="153">
        <f t="shared" si="0"/>
        <v>31.948736296598607</v>
      </c>
      <c r="R9" s="153">
        <f t="shared" si="0"/>
        <v>31.948736296598607</v>
      </c>
      <c r="S9" s="153">
        <f t="shared" si="0"/>
        <v>31.948736296598607</v>
      </c>
      <c r="T9" s="153">
        <f t="shared" si="0"/>
        <v>31.948736296598607</v>
      </c>
      <c r="U9" s="63"/>
      <c r="V9" s="63"/>
      <c r="W9" s="63"/>
      <c r="X9" s="242">
        <f>NPV(Rate_of_Return,F9:T9)</f>
        <v>280.27233878072201</v>
      </c>
      <c r="Y9" s="242">
        <f>-PMT(Rate_of_Return,15,X9)</f>
        <v>31.948736296598586</v>
      </c>
      <c r="Z9" s="63"/>
      <c r="AA9" s="63"/>
      <c r="AB9" s="63"/>
    </row>
    <row r="10" spans="2:31" x14ac:dyDescent="0.25">
      <c r="C10" s="144"/>
      <c r="D10" s="144"/>
      <c r="E10" s="144"/>
      <c r="F10" s="154"/>
      <c r="G10" s="154"/>
      <c r="H10" s="154"/>
      <c r="I10" s="154"/>
      <c r="J10" s="154"/>
      <c r="K10" s="154"/>
      <c r="L10" s="154"/>
      <c r="M10" s="154"/>
      <c r="N10" s="154"/>
      <c r="O10" s="154"/>
      <c r="P10" s="154"/>
      <c r="Q10" s="154"/>
      <c r="R10" s="154"/>
      <c r="S10" s="154"/>
      <c r="T10" s="154"/>
      <c r="U10" s="63"/>
      <c r="V10" s="63"/>
      <c r="W10" s="63"/>
      <c r="X10" s="47"/>
      <c r="Y10" s="47"/>
      <c r="Z10" s="63"/>
      <c r="AA10" s="63"/>
      <c r="AB10" s="63"/>
    </row>
    <row r="11" spans="2:31" x14ac:dyDescent="0.25">
      <c r="C11" s="81" t="s">
        <v>76</v>
      </c>
      <c r="F11" s="292">
        <v>1</v>
      </c>
      <c r="G11" s="292">
        <v>2</v>
      </c>
      <c r="H11" s="292">
        <v>3</v>
      </c>
      <c r="I11" s="292">
        <v>4</v>
      </c>
      <c r="J11" s="292">
        <v>5</v>
      </c>
      <c r="K11" s="292">
        <v>6</v>
      </c>
      <c r="L11" s="292">
        <v>7</v>
      </c>
      <c r="M11" s="292">
        <v>8</v>
      </c>
      <c r="N11" s="292">
        <v>9</v>
      </c>
      <c r="O11" s="292">
        <v>10</v>
      </c>
      <c r="P11" s="292">
        <v>11</v>
      </c>
      <c r="Q11" s="292">
        <v>12</v>
      </c>
      <c r="R11" s="292">
        <v>13</v>
      </c>
      <c r="S11" s="292">
        <v>14</v>
      </c>
      <c r="T11" s="292">
        <v>15</v>
      </c>
      <c r="U11" s="292">
        <v>16</v>
      </c>
      <c r="V11" s="292">
        <v>17</v>
      </c>
      <c r="W11" s="63"/>
      <c r="X11" s="63"/>
      <c r="Y11" s="63"/>
      <c r="Z11" s="63"/>
      <c r="AA11" s="63"/>
      <c r="AB11" s="63"/>
    </row>
    <row r="12" spans="2:31" ht="15.6" x14ac:dyDescent="0.3">
      <c r="C12" s="144"/>
      <c r="D12" s="142"/>
      <c r="E12" s="144"/>
      <c r="F12" s="155">
        <f>'Energy Prices'!$C$6</f>
        <v>2019</v>
      </c>
      <c r="G12" s="155">
        <f>F12+1</f>
        <v>2020</v>
      </c>
      <c r="H12" s="155">
        <f>G12+1</f>
        <v>2021</v>
      </c>
      <c r="I12" s="155">
        <f t="shared" ref="I12:T12" si="1">H12+1</f>
        <v>2022</v>
      </c>
      <c r="J12" s="155">
        <f t="shared" si="1"/>
        <v>2023</v>
      </c>
      <c r="K12" s="155">
        <f t="shared" si="1"/>
        <v>2024</v>
      </c>
      <c r="L12" s="155">
        <f t="shared" si="1"/>
        <v>2025</v>
      </c>
      <c r="M12" s="155">
        <f t="shared" si="1"/>
        <v>2026</v>
      </c>
      <c r="N12" s="155">
        <f t="shared" si="1"/>
        <v>2027</v>
      </c>
      <c r="O12" s="155">
        <f t="shared" si="1"/>
        <v>2028</v>
      </c>
      <c r="P12" s="155">
        <f t="shared" si="1"/>
        <v>2029</v>
      </c>
      <c r="Q12" s="155">
        <f t="shared" si="1"/>
        <v>2030</v>
      </c>
      <c r="R12" s="155">
        <f t="shared" si="1"/>
        <v>2031</v>
      </c>
      <c r="S12" s="155">
        <f t="shared" si="1"/>
        <v>2032</v>
      </c>
      <c r="T12" s="155">
        <f t="shared" si="1"/>
        <v>2033</v>
      </c>
      <c r="U12" s="155">
        <f>T12+1</f>
        <v>2034</v>
      </c>
      <c r="V12" s="155">
        <f>U12+1</f>
        <v>2035</v>
      </c>
      <c r="W12" s="282"/>
      <c r="X12" s="243" t="s">
        <v>105</v>
      </c>
      <c r="Y12" s="47"/>
      <c r="Z12" s="151"/>
      <c r="AA12" s="151"/>
      <c r="AB12" s="151"/>
    </row>
    <row r="13" spans="2:31" ht="52.5" customHeight="1" x14ac:dyDescent="0.25">
      <c r="B13" s="144"/>
      <c r="C13" s="293" t="s">
        <v>111</v>
      </c>
      <c r="D13" s="144"/>
      <c r="F13" s="192">
        <f>F$9*F$20</f>
        <v>27.631519875481711</v>
      </c>
      <c r="G13" s="193">
        <f t="shared" ref="G13:T13" si="2">G$9*G$20</f>
        <v>28.322307872368754</v>
      </c>
      <c r="H13" s="194">
        <f t="shared" si="2"/>
        <v>29.03036556917797</v>
      </c>
      <c r="I13" s="194">
        <f t="shared" si="2"/>
        <v>29.756124708407416</v>
      </c>
      <c r="J13" s="194">
        <f t="shared" si="2"/>
        <v>30.500027826117599</v>
      </c>
      <c r="K13" s="194">
        <f t="shared" si="2"/>
        <v>31.262528521770538</v>
      </c>
      <c r="L13" s="194">
        <f t="shared" si="2"/>
        <v>32.044091734814792</v>
      </c>
      <c r="M13" s="194">
        <f t="shared" si="2"/>
        <v>32.845194028185162</v>
      </c>
      <c r="N13" s="194">
        <f t="shared" si="2"/>
        <v>33.666323878889784</v>
      </c>
      <c r="O13" s="194">
        <f t="shared" si="2"/>
        <v>34.50798197586203</v>
      </c>
      <c r="P13" s="194">
        <f t="shared" si="2"/>
        <v>35.370681525258576</v>
      </c>
      <c r="Q13" s="194">
        <f t="shared" si="2"/>
        <v>36.254948563390037</v>
      </c>
      <c r="R13" s="194">
        <f t="shared" si="2"/>
        <v>37.161322277474788</v>
      </c>
      <c r="S13" s="194">
        <f t="shared" si="2"/>
        <v>38.090355334411647</v>
      </c>
      <c r="T13" s="194">
        <f t="shared" si="2"/>
        <v>39.042614217771934</v>
      </c>
      <c r="U13" s="281">
        <f>T13*1.025</f>
        <v>40.018679573216232</v>
      </c>
      <c r="V13" s="281">
        <f>U13*1.025</f>
        <v>41.019146562546638</v>
      </c>
      <c r="W13" s="157"/>
      <c r="X13" s="242">
        <f>NPV(Rate_of_Return,F13:T13)</f>
        <v>280.27233878072218</v>
      </c>
      <c r="Y13" s="242">
        <f>-PMT(Rate_of_Return,15,X13)</f>
        <v>31.948736296598604</v>
      </c>
      <c r="Z13" s="157"/>
      <c r="AA13" s="157"/>
      <c r="AB13" s="157"/>
      <c r="AE13" s="158"/>
    </row>
    <row r="14" spans="2:31" x14ac:dyDescent="0.25">
      <c r="C14" s="156"/>
      <c r="E14" s="159"/>
      <c r="F14" s="157"/>
      <c r="G14" s="157"/>
      <c r="H14" s="157"/>
      <c r="I14" s="157"/>
      <c r="J14" s="157"/>
      <c r="K14" s="157"/>
      <c r="L14" s="157"/>
      <c r="M14" s="157"/>
      <c r="N14" s="157"/>
      <c r="O14" s="157"/>
      <c r="P14" s="157"/>
      <c r="Q14" s="157"/>
      <c r="R14" s="157"/>
      <c r="S14" s="157"/>
      <c r="T14" s="157"/>
      <c r="U14" s="157"/>
      <c r="V14" s="157"/>
      <c r="W14" s="157"/>
      <c r="X14" s="151"/>
      <c r="Y14" s="151"/>
      <c r="Z14" s="151"/>
      <c r="AA14" s="151"/>
      <c r="AB14" s="151"/>
      <c r="AC14" s="150"/>
      <c r="AD14" s="144"/>
    </row>
    <row r="15" spans="2:31" x14ac:dyDescent="0.25">
      <c r="C15" s="160"/>
      <c r="E15" s="159"/>
      <c r="F15" s="157"/>
      <c r="G15" s="157"/>
      <c r="H15" s="157"/>
      <c r="I15" s="157"/>
      <c r="J15" s="157"/>
      <c r="K15" s="157"/>
      <c r="L15" s="157"/>
      <c r="M15" s="157"/>
      <c r="N15" s="157"/>
      <c r="O15" s="157"/>
      <c r="P15" s="157"/>
      <c r="Q15" s="157"/>
      <c r="R15" s="157"/>
      <c r="S15" s="157"/>
      <c r="T15" s="157"/>
      <c r="U15" s="157"/>
      <c r="V15" s="157"/>
      <c r="W15" s="157"/>
      <c r="X15" s="151"/>
      <c r="Y15" s="151"/>
      <c r="Z15" s="151"/>
      <c r="AA15" s="151"/>
      <c r="AB15" s="151"/>
      <c r="AC15" s="151"/>
    </row>
    <row r="16" spans="2:31" x14ac:dyDescent="0.25">
      <c r="C16" s="81" t="s">
        <v>10</v>
      </c>
      <c r="Q16" s="151"/>
      <c r="R16" s="151"/>
    </row>
    <row r="17" spans="2:28" x14ac:dyDescent="0.25">
      <c r="Q17" s="151"/>
      <c r="R17" s="151"/>
    </row>
    <row r="18" spans="2:28" ht="15.6" x14ac:dyDescent="0.3">
      <c r="C18" s="144"/>
      <c r="D18" s="144"/>
      <c r="E18" s="144"/>
      <c r="F18" s="144"/>
      <c r="G18" s="144"/>
      <c r="H18" s="144"/>
      <c r="I18" s="144"/>
      <c r="J18" s="144"/>
      <c r="K18" s="144"/>
      <c r="L18" s="144"/>
      <c r="M18" s="144"/>
      <c r="N18" s="144"/>
      <c r="O18" s="144"/>
      <c r="P18" s="144"/>
      <c r="Q18" s="150"/>
      <c r="R18" s="150"/>
      <c r="S18" s="144"/>
      <c r="T18" s="144"/>
      <c r="X18" s="243" t="s">
        <v>105</v>
      </c>
      <c r="Y18" s="144"/>
    </row>
    <row r="19" spans="2:28" x14ac:dyDescent="0.25">
      <c r="C19" s="152" t="s">
        <v>11</v>
      </c>
      <c r="D19" s="152"/>
      <c r="E19" s="152"/>
      <c r="F19" s="171">
        <v>100</v>
      </c>
      <c r="G19" s="171">
        <f t="shared" ref="G19:T19" si="3">F19*1.025</f>
        <v>102.49999999999999</v>
      </c>
      <c r="H19" s="171">
        <f t="shared" si="3"/>
        <v>105.06249999999997</v>
      </c>
      <c r="I19" s="171">
        <f t="shared" si="3"/>
        <v>107.68906249999996</v>
      </c>
      <c r="J19" s="171">
        <f t="shared" si="3"/>
        <v>110.38128906249996</v>
      </c>
      <c r="K19" s="171">
        <f t="shared" si="3"/>
        <v>113.14082128906244</v>
      </c>
      <c r="L19" s="171">
        <f t="shared" si="3"/>
        <v>115.96934182128899</v>
      </c>
      <c r="M19" s="171">
        <f t="shared" si="3"/>
        <v>118.8685753668212</v>
      </c>
      <c r="N19" s="171">
        <f t="shared" si="3"/>
        <v>121.84028975099173</v>
      </c>
      <c r="O19" s="171">
        <f t="shared" si="3"/>
        <v>124.88629699476651</v>
      </c>
      <c r="P19" s="171">
        <f t="shared" si="3"/>
        <v>128.00845441963565</v>
      </c>
      <c r="Q19" s="171">
        <f t="shared" si="3"/>
        <v>131.20866578012652</v>
      </c>
      <c r="R19" s="171">
        <f t="shared" si="3"/>
        <v>134.48888242462968</v>
      </c>
      <c r="S19" s="171">
        <f t="shared" si="3"/>
        <v>137.8511044852454</v>
      </c>
      <c r="T19" s="171">
        <f t="shared" si="3"/>
        <v>141.29738209737653</v>
      </c>
      <c r="U19" s="161"/>
      <c r="V19" s="161"/>
      <c r="W19" s="161"/>
      <c r="X19" s="196">
        <f>NPV(Rate_of_Return,F19:T19)</f>
        <v>1014.3211088052249</v>
      </c>
      <c r="Y19" s="196">
        <f>-PMT(Rate_of_Return,15,X19)</f>
        <v>115.62424521188822</v>
      </c>
      <c r="Z19" s="151"/>
      <c r="AA19" s="151"/>
      <c r="AB19" s="151"/>
    </row>
    <row r="20" spans="2:28" x14ac:dyDescent="0.25">
      <c r="C20" s="174" t="s">
        <v>12</v>
      </c>
      <c r="D20" s="174"/>
      <c r="E20" s="174"/>
      <c r="F20" s="175">
        <f>F19/$Y$19</f>
        <v>0.86487051065063492</v>
      </c>
      <c r="G20" s="175">
        <f t="shared" ref="G20:T20" si="4">G19/$Y$19</f>
        <v>0.88649227341690073</v>
      </c>
      <c r="H20" s="175">
        <f t="shared" si="4"/>
        <v>0.90865458025232315</v>
      </c>
      <c r="I20" s="175">
        <f t="shared" si="4"/>
        <v>0.93137094475863114</v>
      </c>
      <c r="J20" s="175">
        <f t="shared" si="4"/>
        <v>0.95465521837759681</v>
      </c>
      <c r="K20" s="175">
        <f t="shared" si="4"/>
        <v>0.97852159883703671</v>
      </c>
      <c r="L20" s="175">
        <f t="shared" si="4"/>
        <v>1.0029846388079624</v>
      </c>
      <c r="M20" s="175">
        <f t="shared" si="4"/>
        <v>1.0280592547781615</v>
      </c>
      <c r="N20" s="175">
        <f t="shared" si="4"/>
        <v>1.0537607361476153</v>
      </c>
      <c r="O20" s="175">
        <f t="shared" si="4"/>
        <v>1.0801047545513056</v>
      </c>
      <c r="P20" s="175">
        <f t="shared" si="4"/>
        <v>1.1071073734150882</v>
      </c>
      <c r="Q20" s="175">
        <f t="shared" si="4"/>
        <v>1.1347850577504652</v>
      </c>
      <c r="R20" s="175">
        <f t="shared" si="4"/>
        <v>1.1631546841942269</v>
      </c>
      <c r="S20" s="175">
        <f t="shared" si="4"/>
        <v>1.1922335512990823</v>
      </c>
      <c r="T20" s="175">
        <f t="shared" si="4"/>
        <v>1.2220393900815592</v>
      </c>
      <c r="U20" s="162"/>
      <c r="V20" s="162"/>
      <c r="W20" s="162"/>
      <c r="X20" s="195">
        <f>NPV(Rate_of_Return,F20:T20)</f>
        <v>8.7725641533609284</v>
      </c>
      <c r="Y20" s="195">
        <f>-PMT(Rate_of_Return,15,X20)</f>
        <v>0.99999999999999967</v>
      </c>
      <c r="Z20" s="151"/>
      <c r="AA20" s="151"/>
      <c r="AB20" s="151"/>
    </row>
    <row r="21" spans="2:28" x14ac:dyDescent="0.25">
      <c r="C21" s="144"/>
      <c r="D21" s="144"/>
      <c r="E21" s="172"/>
      <c r="F21" s="172"/>
      <c r="G21" s="172"/>
      <c r="H21" s="172"/>
      <c r="I21" s="172"/>
      <c r="J21" s="172"/>
      <c r="K21" s="172"/>
      <c r="L21" s="172"/>
      <c r="M21" s="173"/>
      <c r="N21" s="173"/>
      <c r="O21" s="173"/>
      <c r="P21" s="173"/>
      <c r="Q21" s="173"/>
      <c r="R21" s="173"/>
      <c r="S21" s="173"/>
      <c r="T21" s="173"/>
      <c r="X21" s="144"/>
      <c r="Y21" s="144"/>
    </row>
    <row r="22" spans="2:28" x14ac:dyDescent="0.25">
      <c r="B22" s="163" t="s">
        <v>13</v>
      </c>
      <c r="C22" s="164"/>
      <c r="D22" s="165"/>
      <c r="E22" s="165"/>
      <c r="F22" s="165"/>
      <c r="G22" s="165"/>
      <c r="H22" s="165"/>
      <c r="I22" s="165"/>
      <c r="J22" s="165"/>
      <c r="K22" s="165"/>
      <c r="L22" s="165"/>
      <c r="M22" s="165"/>
      <c r="N22" s="165"/>
      <c r="O22" s="165"/>
      <c r="Z22" s="160"/>
    </row>
    <row r="23" spans="2:28" x14ac:dyDescent="0.25">
      <c r="B23" s="166">
        <v>1</v>
      </c>
      <c r="C23" s="165" t="s">
        <v>60</v>
      </c>
      <c r="D23" s="165"/>
      <c r="E23" s="165"/>
      <c r="F23" s="165"/>
      <c r="G23" s="165"/>
      <c r="H23" s="165"/>
      <c r="I23" s="165"/>
      <c r="J23" s="165"/>
      <c r="K23" s="165"/>
      <c r="L23" s="165"/>
      <c r="M23" s="165"/>
      <c r="N23" s="165"/>
      <c r="O23" s="165"/>
      <c r="Z23" s="156"/>
    </row>
    <row r="24" spans="2:28" x14ac:dyDescent="0.25">
      <c r="B24" s="166">
        <v>2</v>
      </c>
      <c r="C24" s="165" t="s">
        <v>138</v>
      </c>
      <c r="D24" s="165"/>
      <c r="E24" s="165"/>
      <c r="F24" s="165"/>
      <c r="G24" s="165"/>
      <c r="H24" s="165"/>
      <c r="I24" s="165"/>
      <c r="J24" s="165"/>
      <c r="K24" s="165"/>
      <c r="L24" s="165"/>
      <c r="M24" s="165"/>
      <c r="N24" s="165"/>
      <c r="O24" s="165"/>
      <c r="Z24" s="157"/>
    </row>
    <row r="25" spans="2:28" x14ac:dyDescent="0.25">
      <c r="B25" s="166">
        <v>3</v>
      </c>
      <c r="C25" s="165" t="s">
        <v>59</v>
      </c>
      <c r="D25" s="165"/>
      <c r="E25" s="165"/>
      <c r="F25" s="165"/>
      <c r="G25" s="165"/>
      <c r="H25" s="165"/>
      <c r="I25" s="165"/>
      <c r="J25" s="165"/>
      <c r="K25" s="165"/>
      <c r="L25" s="165"/>
      <c r="M25" s="165"/>
      <c r="N25" s="165"/>
      <c r="O25" s="165"/>
      <c r="Z25" s="167"/>
    </row>
    <row r="26" spans="2:28" x14ac:dyDescent="0.25">
      <c r="B26" s="166">
        <v>4</v>
      </c>
      <c r="C26" s="165" t="s">
        <v>70</v>
      </c>
      <c r="D26" s="165"/>
      <c r="E26" s="165"/>
      <c r="F26" s="165"/>
      <c r="G26" s="165"/>
      <c r="H26" s="165"/>
      <c r="I26" s="165"/>
      <c r="J26" s="165"/>
      <c r="K26" s="165"/>
      <c r="L26" s="165"/>
      <c r="M26" s="165"/>
      <c r="N26" s="165"/>
      <c r="O26" s="165"/>
      <c r="Z26" s="167"/>
    </row>
    <row r="27" spans="2:28" x14ac:dyDescent="0.25">
      <c r="B27" s="166">
        <v>5</v>
      </c>
      <c r="C27" s="165" t="s">
        <v>139</v>
      </c>
      <c r="D27" s="165"/>
      <c r="E27" s="165"/>
      <c r="F27" s="165"/>
      <c r="G27" s="165"/>
      <c r="H27" s="165"/>
      <c r="I27" s="165"/>
      <c r="J27" s="165"/>
      <c r="K27" s="165"/>
      <c r="L27" s="165"/>
      <c r="M27" s="165"/>
      <c r="N27" s="165"/>
      <c r="O27" s="165"/>
      <c r="Z27" s="156"/>
    </row>
    <row r="28" spans="2:28" x14ac:dyDescent="0.25">
      <c r="B28" s="166">
        <v>6</v>
      </c>
      <c r="C28" s="165" t="s">
        <v>140</v>
      </c>
      <c r="D28" s="165"/>
      <c r="E28" s="165"/>
      <c r="F28" s="165"/>
      <c r="G28" s="165"/>
      <c r="H28" s="165"/>
      <c r="I28" s="165"/>
      <c r="J28" s="165"/>
      <c r="K28" s="165"/>
      <c r="L28" s="165"/>
      <c r="M28" s="165"/>
      <c r="N28" s="165"/>
      <c r="O28" s="165"/>
      <c r="Z28" s="157"/>
    </row>
    <row r="29" spans="2:28" x14ac:dyDescent="0.25">
      <c r="B29" s="166">
        <v>7</v>
      </c>
      <c r="C29" s="165" t="s">
        <v>141</v>
      </c>
      <c r="D29" s="165"/>
      <c r="E29" s="165"/>
      <c r="F29" s="165"/>
      <c r="G29" s="165"/>
      <c r="H29" s="165"/>
      <c r="I29" s="165"/>
      <c r="J29" s="165"/>
      <c r="K29" s="165"/>
      <c r="L29" s="165"/>
      <c r="M29" s="165"/>
      <c r="N29" s="165"/>
      <c r="O29" s="165"/>
      <c r="P29" s="165"/>
      <c r="Q29" s="165"/>
    </row>
    <row r="30" spans="2:28" x14ac:dyDescent="0.25">
      <c r="B30" s="166">
        <v>8</v>
      </c>
      <c r="C30" s="165" t="s">
        <v>69</v>
      </c>
      <c r="D30" s="165"/>
      <c r="E30" s="165"/>
      <c r="F30" s="165"/>
      <c r="G30" s="165"/>
      <c r="H30" s="165"/>
      <c r="I30" s="165"/>
      <c r="J30" s="165"/>
      <c r="K30" s="165"/>
      <c r="L30" s="165"/>
      <c r="M30" s="165"/>
      <c r="N30" s="165"/>
      <c r="O30" s="165"/>
      <c r="P30" s="165"/>
      <c r="Q30" s="165"/>
    </row>
    <row r="31" spans="2:28" x14ac:dyDescent="0.25">
      <c r="B31" s="166">
        <v>9</v>
      </c>
      <c r="C31" s="165" t="s">
        <v>142</v>
      </c>
      <c r="D31" s="165"/>
      <c r="E31" s="165"/>
      <c r="F31" s="165"/>
      <c r="G31" s="165"/>
      <c r="H31" s="165"/>
      <c r="I31" s="165"/>
      <c r="J31" s="165"/>
      <c r="K31" s="165"/>
      <c r="L31" s="165"/>
      <c r="M31" s="165"/>
      <c r="N31" s="165"/>
      <c r="O31" s="165"/>
      <c r="P31" s="165"/>
      <c r="Q31" s="165"/>
    </row>
    <row r="32" spans="2:28" x14ac:dyDescent="0.25">
      <c r="B32" s="166">
        <v>10</v>
      </c>
      <c r="C32" s="81" t="s">
        <v>143</v>
      </c>
    </row>
    <row r="33" spans="2:20" x14ac:dyDescent="0.25">
      <c r="B33" s="166">
        <v>11</v>
      </c>
      <c r="C33" s="81" t="s">
        <v>144</v>
      </c>
    </row>
    <row r="34" spans="2:20" ht="15.6" x14ac:dyDescent="0.3">
      <c r="B34" s="168"/>
      <c r="C34" s="5"/>
      <c r="D34" s="5"/>
      <c r="E34" s="5"/>
      <c r="F34" s="5"/>
    </row>
    <row r="35" spans="2:20" ht="15.6" x14ac:dyDescent="0.3">
      <c r="B35" s="168"/>
      <c r="C35" s="5"/>
      <c r="D35" s="5"/>
      <c r="E35" s="5"/>
      <c r="F35" s="5"/>
    </row>
    <row r="37" spans="2:20" x14ac:dyDescent="0.25">
      <c r="F37" s="151"/>
      <c r="G37" s="169"/>
      <c r="H37" s="169"/>
      <c r="I37" s="169"/>
      <c r="J37" s="169"/>
      <c r="K37" s="169"/>
      <c r="L37" s="169"/>
      <c r="M37" s="169"/>
      <c r="N37" s="169"/>
      <c r="O37" s="169"/>
      <c r="P37" s="169"/>
      <c r="Q37" s="169"/>
      <c r="R37" s="169"/>
      <c r="S37" s="169"/>
      <c r="T37" s="169"/>
    </row>
    <row r="38" spans="2:20" x14ac:dyDescent="0.25">
      <c r="G38" s="169"/>
      <c r="H38" s="169"/>
      <c r="I38" s="169"/>
      <c r="J38" s="169"/>
      <c r="K38" s="169"/>
      <c r="L38" s="169"/>
      <c r="M38" s="169"/>
      <c r="N38" s="169"/>
      <c r="O38" s="169"/>
      <c r="P38" s="169"/>
      <c r="Q38" s="169"/>
      <c r="R38" s="169"/>
      <c r="S38" s="169"/>
      <c r="T38" s="169"/>
    </row>
    <row r="39" spans="2:20" x14ac:dyDescent="0.25">
      <c r="F39" s="151"/>
      <c r="G39" s="151"/>
      <c r="H39" s="151"/>
      <c r="I39" s="151"/>
      <c r="J39" s="151"/>
      <c r="K39" s="151"/>
      <c r="L39" s="151"/>
      <c r="M39" s="151"/>
      <c r="N39" s="151"/>
      <c r="O39" s="151"/>
      <c r="P39" s="151"/>
      <c r="Q39" s="151"/>
      <c r="R39" s="151"/>
      <c r="S39" s="151"/>
      <c r="T39" s="151"/>
    </row>
    <row r="40" spans="2:20" x14ac:dyDescent="0.25">
      <c r="D40" s="161"/>
    </row>
  </sheetData>
  <phoneticPr fontId="7"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zoomScale="70" zoomScaleNormal="70" workbookViewId="0">
      <selection activeCell="C2" sqref="C2"/>
    </sheetView>
  </sheetViews>
  <sheetFormatPr defaultColWidth="9.109375" defaultRowHeight="15" x14ac:dyDescent="0.25"/>
  <cols>
    <col min="1" max="1" width="2.6640625" style="81" customWidth="1"/>
    <col min="2" max="2" width="5" style="81" customWidth="1"/>
    <col min="3" max="3" width="46.6640625" style="81" customWidth="1"/>
    <col min="4" max="4" width="2.6640625" style="81" customWidth="1"/>
    <col min="5" max="22" width="12.6640625" style="81" customWidth="1"/>
    <col min="23" max="23" width="2.6640625" style="81" customWidth="1"/>
    <col min="24" max="25" width="12.6640625" style="81" customWidth="1"/>
    <col min="26" max="29" width="12.33203125" style="81" customWidth="1"/>
    <col min="30" max="16384" width="9.109375" style="81"/>
  </cols>
  <sheetData>
    <row r="2" spans="2:30" ht="19.5" customHeight="1" x14ac:dyDescent="0.3">
      <c r="C2" s="301" t="s">
        <v>145</v>
      </c>
      <c r="D2" s="301"/>
      <c r="E2" s="301"/>
      <c r="F2" s="301"/>
      <c r="G2" s="301"/>
      <c r="H2" s="301"/>
      <c r="I2" s="301"/>
      <c r="J2" s="301"/>
      <c r="K2" s="301"/>
      <c r="L2" s="301"/>
    </row>
    <row r="3" spans="2:30" ht="15.6" x14ac:dyDescent="0.3">
      <c r="C3" s="67" t="s">
        <v>57</v>
      </c>
    </row>
    <row r="4" spans="2:30" s="141" customFormat="1" ht="45" x14ac:dyDescent="0.25">
      <c r="B4" s="140"/>
      <c r="C4" s="176" t="s">
        <v>0</v>
      </c>
      <c r="D4" s="176"/>
      <c r="E4" s="176" t="s">
        <v>1</v>
      </c>
      <c r="F4" s="176" t="s">
        <v>2</v>
      </c>
      <c r="G4" s="176" t="s">
        <v>3</v>
      </c>
      <c r="H4" s="176" t="s">
        <v>4</v>
      </c>
      <c r="I4" s="176" t="s">
        <v>5</v>
      </c>
      <c r="J4" s="176" t="s">
        <v>6</v>
      </c>
      <c r="K4" s="176" t="s">
        <v>7</v>
      </c>
      <c r="L4" s="177" t="s">
        <v>14</v>
      </c>
      <c r="M4" s="177"/>
    </row>
    <row r="5" spans="2:30" x14ac:dyDescent="0.25">
      <c r="C5" s="179"/>
      <c r="D5" s="180"/>
      <c r="E5" s="181">
        <v>10</v>
      </c>
      <c r="F5" s="182">
        <v>0.16</v>
      </c>
      <c r="G5" s="183" t="s">
        <v>8</v>
      </c>
      <c r="H5" s="184">
        <f>'Electric EES CE Std Energy'!D18</f>
        <v>2.1784188702760568E-2</v>
      </c>
      <c r="I5" s="185">
        <f>'Electric EES CE Std Capacity'!I18</f>
        <v>4.8951251238903322E-3</v>
      </c>
      <c r="J5" s="185">
        <f>H5+I5</f>
        <v>2.66793138266509E-2</v>
      </c>
      <c r="K5" s="186">
        <f>J5</f>
        <v>2.66793138266509E-2</v>
      </c>
      <c r="L5" s="187">
        <f>K5*1000</f>
        <v>26.679313826650901</v>
      </c>
      <c r="M5" s="170"/>
    </row>
    <row r="6" spans="2:30" ht="15.6" x14ac:dyDescent="0.3">
      <c r="C6" s="178"/>
      <c r="D6" s="178"/>
      <c r="E6" s="144"/>
      <c r="F6" s="144"/>
      <c r="G6" s="144"/>
      <c r="H6" s="47"/>
      <c r="I6" s="146"/>
      <c r="J6" s="47"/>
      <c r="K6" s="146"/>
      <c r="L6" s="146">
        <f>L5*(1-M6)</f>
        <v>25.878934411851372</v>
      </c>
      <c r="M6" s="147">
        <v>0.03</v>
      </c>
      <c r="N6" s="148" t="s">
        <v>46</v>
      </c>
    </row>
    <row r="7" spans="2:30" x14ac:dyDescent="0.25">
      <c r="C7" s="149"/>
      <c r="D7" s="145"/>
      <c r="H7" s="63"/>
      <c r="I7" s="143"/>
      <c r="J7" s="63"/>
      <c r="K7" s="143"/>
      <c r="L7" s="143"/>
      <c r="M7" s="144"/>
    </row>
    <row r="8" spans="2:30" ht="15.6" x14ac:dyDescent="0.3">
      <c r="C8" s="144"/>
      <c r="D8" s="144"/>
      <c r="E8" s="144"/>
      <c r="F8" s="144"/>
      <c r="G8" s="144"/>
      <c r="H8" s="150"/>
      <c r="I8" s="150"/>
      <c r="J8" s="150"/>
      <c r="K8" s="150"/>
      <c r="L8" s="150"/>
      <c r="M8" s="150"/>
      <c r="N8" s="150"/>
      <c r="O8" s="150"/>
      <c r="P8" s="150"/>
      <c r="Q8" s="150"/>
      <c r="R8" s="150"/>
      <c r="U8" s="151"/>
      <c r="V8" s="151"/>
      <c r="X8" s="243" t="s">
        <v>105</v>
      </c>
      <c r="Y8" s="151"/>
      <c r="Z8" s="151"/>
      <c r="AA8" s="151"/>
      <c r="AB8" s="151"/>
    </row>
    <row r="9" spans="2:30" x14ac:dyDescent="0.25">
      <c r="C9" s="152" t="s">
        <v>9</v>
      </c>
      <c r="D9" s="152"/>
      <c r="E9" s="152"/>
      <c r="F9" s="153">
        <f>+L6</f>
        <v>25.878934411851372</v>
      </c>
      <c r="G9" s="153">
        <f t="shared" ref="G9:O9" si="0">F9</f>
        <v>25.878934411851372</v>
      </c>
      <c r="H9" s="153">
        <f t="shared" si="0"/>
        <v>25.878934411851372</v>
      </c>
      <c r="I9" s="153">
        <f t="shared" si="0"/>
        <v>25.878934411851372</v>
      </c>
      <c r="J9" s="153">
        <f t="shared" si="0"/>
        <v>25.878934411851372</v>
      </c>
      <c r="K9" s="153">
        <f t="shared" si="0"/>
        <v>25.878934411851372</v>
      </c>
      <c r="L9" s="153">
        <f t="shared" si="0"/>
        <v>25.878934411851372</v>
      </c>
      <c r="M9" s="153">
        <f t="shared" si="0"/>
        <v>25.878934411851372</v>
      </c>
      <c r="N9" s="153">
        <f t="shared" si="0"/>
        <v>25.878934411851372</v>
      </c>
      <c r="O9" s="153">
        <f t="shared" si="0"/>
        <v>25.878934411851372</v>
      </c>
      <c r="P9" s="150"/>
      <c r="Q9" s="150"/>
      <c r="R9" s="150"/>
      <c r="U9" s="151"/>
      <c r="V9" s="63"/>
      <c r="X9" s="242">
        <f>NPV(Rate_of_Return,F9:O9)</f>
        <v>176.82684201762049</v>
      </c>
      <c r="Y9" s="242">
        <f>-PMT(Rate_of_Return,$E$5,X9)</f>
        <v>25.878934411851365</v>
      </c>
      <c r="Z9" s="63"/>
      <c r="AA9" s="63"/>
    </row>
    <row r="10" spans="2:30" x14ac:dyDescent="0.25">
      <c r="C10" s="144"/>
      <c r="D10" s="144"/>
      <c r="E10" s="144"/>
      <c r="F10" s="154"/>
      <c r="G10" s="154"/>
      <c r="H10" s="154"/>
      <c r="I10" s="154"/>
      <c r="J10" s="154"/>
      <c r="K10" s="154"/>
      <c r="L10" s="154"/>
      <c r="M10" s="154"/>
      <c r="N10" s="154"/>
      <c r="O10" s="154"/>
      <c r="P10" s="150"/>
      <c r="Q10" s="150"/>
      <c r="R10" s="150"/>
      <c r="U10" s="151"/>
      <c r="V10" s="63"/>
      <c r="X10" s="47"/>
      <c r="Y10" s="47"/>
      <c r="Z10" s="63"/>
      <c r="AA10" s="63"/>
    </row>
    <row r="11" spans="2:30" x14ac:dyDescent="0.25">
      <c r="C11" s="81" t="s">
        <v>76</v>
      </c>
      <c r="F11" s="292">
        <v>1</v>
      </c>
      <c r="G11" s="292">
        <v>2</v>
      </c>
      <c r="H11" s="292">
        <v>3</v>
      </c>
      <c r="I11" s="292">
        <v>4</v>
      </c>
      <c r="J11" s="292">
        <v>5</v>
      </c>
      <c r="K11" s="292">
        <v>6</v>
      </c>
      <c r="L11" s="292">
        <v>7</v>
      </c>
      <c r="M11" s="292">
        <v>8</v>
      </c>
      <c r="N11" s="292">
        <v>9</v>
      </c>
      <c r="O11" s="292">
        <v>10</v>
      </c>
      <c r="P11" s="292">
        <v>11</v>
      </c>
      <c r="Q11" s="292">
        <v>12</v>
      </c>
      <c r="R11" s="150"/>
      <c r="U11" s="151"/>
      <c r="V11" s="63"/>
      <c r="X11" s="63"/>
      <c r="Y11" s="63"/>
      <c r="Z11" s="63"/>
      <c r="AA11" s="63"/>
    </row>
    <row r="12" spans="2:30" ht="15.6" x14ac:dyDescent="0.3">
      <c r="C12" s="144"/>
      <c r="D12" s="142"/>
      <c r="E12" s="144"/>
      <c r="F12" s="155">
        <f>'Energy Prices'!$C$6</f>
        <v>2019</v>
      </c>
      <c r="G12" s="155">
        <f>F12+1</f>
        <v>2020</v>
      </c>
      <c r="H12" s="155">
        <f>G12+1</f>
        <v>2021</v>
      </c>
      <c r="I12" s="155">
        <f t="shared" ref="I12:O12" si="1">H12+1</f>
        <v>2022</v>
      </c>
      <c r="J12" s="155">
        <f t="shared" si="1"/>
        <v>2023</v>
      </c>
      <c r="K12" s="155">
        <f t="shared" si="1"/>
        <v>2024</v>
      </c>
      <c r="L12" s="155">
        <f t="shared" si="1"/>
        <v>2025</v>
      </c>
      <c r="M12" s="155">
        <f t="shared" si="1"/>
        <v>2026</v>
      </c>
      <c r="N12" s="155">
        <f t="shared" si="1"/>
        <v>2027</v>
      </c>
      <c r="O12" s="155">
        <f t="shared" si="1"/>
        <v>2028</v>
      </c>
      <c r="P12" s="155">
        <f>O12+1</f>
        <v>2029</v>
      </c>
      <c r="Q12" s="155">
        <f>P12+1</f>
        <v>2030</v>
      </c>
      <c r="R12" s="150"/>
      <c r="U12" s="151"/>
      <c r="V12" s="282"/>
      <c r="X12" s="243" t="s">
        <v>105</v>
      </c>
      <c r="Y12" s="47"/>
      <c r="Z12" s="151"/>
      <c r="AA12" s="151"/>
    </row>
    <row r="13" spans="2:30" ht="52.95" customHeight="1" x14ac:dyDescent="0.25">
      <c r="B13" s="144"/>
      <c r="C13" s="294" t="s">
        <v>136</v>
      </c>
      <c r="D13" s="144"/>
      <c r="F13" s="192">
        <f t="shared" ref="F13:O13" si="2">F$9*F$20</f>
        <v>23.444588204533538</v>
      </c>
      <c r="G13" s="193">
        <f t="shared" si="2"/>
        <v>24.030702909646873</v>
      </c>
      <c r="H13" s="194">
        <f t="shared" si="2"/>
        <v>24.631470482388046</v>
      </c>
      <c r="I13" s="194">
        <f t="shared" si="2"/>
        <v>25.247257244447741</v>
      </c>
      <c r="J13" s="194">
        <f t="shared" si="2"/>
        <v>25.878438675558936</v>
      </c>
      <c r="K13" s="194">
        <f t="shared" si="2"/>
        <v>26.525399642447908</v>
      </c>
      <c r="L13" s="194">
        <f t="shared" si="2"/>
        <v>27.1885346335091</v>
      </c>
      <c r="M13" s="194">
        <f t="shared" si="2"/>
        <v>27.868247999346824</v>
      </c>
      <c r="N13" s="194">
        <f t="shared" si="2"/>
        <v>28.56495419933049</v>
      </c>
      <c r="O13" s="194">
        <f t="shared" si="2"/>
        <v>29.279078054313754</v>
      </c>
      <c r="P13" s="281">
        <f>O13*1.025</f>
        <v>30.011055005671594</v>
      </c>
      <c r="Q13" s="281">
        <f>P13*1.025</f>
        <v>30.761331380813381</v>
      </c>
      <c r="R13" s="150"/>
      <c r="U13" s="151"/>
      <c r="V13" s="157"/>
      <c r="X13" s="242">
        <f>NPV(Rate_of_Return,F13:O13)</f>
        <v>176.82684201762055</v>
      </c>
      <c r="Y13" s="242">
        <f>-PMT(Rate_of_Return,$E$5,X13)</f>
        <v>25.878934411851375</v>
      </c>
      <c r="Z13" s="157"/>
      <c r="AA13" s="157"/>
      <c r="AD13" s="158"/>
    </row>
    <row r="14" spans="2:30" x14ac:dyDescent="0.25">
      <c r="C14" s="156"/>
      <c r="E14" s="159"/>
      <c r="F14" s="157"/>
      <c r="G14" s="157"/>
      <c r="H14" s="157"/>
      <c r="I14" s="157"/>
      <c r="J14" s="157"/>
      <c r="K14" s="157"/>
      <c r="L14" s="157"/>
      <c r="M14" s="157"/>
      <c r="N14" s="157"/>
      <c r="O14" s="157"/>
      <c r="P14" s="150"/>
      <c r="Q14" s="150"/>
      <c r="R14" s="150"/>
      <c r="U14" s="151"/>
      <c r="V14" s="157"/>
      <c r="X14" s="151"/>
      <c r="Y14" s="151"/>
      <c r="Z14" s="151"/>
      <c r="AA14" s="151"/>
      <c r="AB14" s="151"/>
    </row>
    <row r="15" spans="2:30" x14ac:dyDescent="0.25">
      <c r="C15" s="160"/>
      <c r="E15" s="159"/>
      <c r="F15" s="157"/>
      <c r="G15" s="157"/>
      <c r="H15" s="157"/>
      <c r="I15" s="157"/>
      <c r="J15" s="157"/>
      <c r="K15" s="157"/>
      <c r="L15" s="157"/>
      <c r="M15" s="157"/>
      <c r="N15" s="157"/>
      <c r="O15" s="157"/>
      <c r="P15" s="150"/>
      <c r="Q15" s="150"/>
      <c r="R15" s="150"/>
      <c r="U15" s="151"/>
      <c r="V15" s="157"/>
      <c r="X15" s="151"/>
      <c r="Y15" s="151"/>
      <c r="Z15" s="151"/>
      <c r="AA15" s="151"/>
      <c r="AB15" s="151"/>
    </row>
    <row r="16" spans="2:30" x14ac:dyDescent="0.25">
      <c r="C16" s="81" t="s">
        <v>10</v>
      </c>
      <c r="P16" s="150"/>
      <c r="Q16" s="150"/>
      <c r="R16" s="150"/>
      <c r="U16" s="151"/>
    </row>
    <row r="17" spans="2:27" x14ac:dyDescent="0.25">
      <c r="P17" s="150"/>
      <c r="Q17" s="150"/>
      <c r="R17" s="150"/>
      <c r="U17" s="151"/>
    </row>
    <row r="18" spans="2:27" ht="15.6" x14ac:dyDescent="0.3">
      <c r="C18" s="144"/>
      <c r="D18" s="144"/>
      <c r="E18" s="144"/>
      <c r="F18" s="144"/>
      <c r="G18" s="144"/>
      <c r="H18" s="144"/>
      <c r="I18" s="144"/>
      <c r="J18" s="144"/>
      <c r="K18" s="144"/>
      <c r="L18" s="144"/>
      <c r="M18" s="144"/>
      <c r="N18" s="144"/>
      <c r="O18" s="144"/>
      <c r="P18" s="150"/>
      <c r="Q18" s="150"/>
      <c r="R18" s="150"/>
      <c r="U18" s="151"/>
      <c r="X18" s="243" t="s">
        <v>105</v>
      </c>
      <c r="Y18" s="144"/>
    </row>
    <row r="19" spans="2:27" x14ac:dyDescent="0.25">
      <c r="C19" s="152" t="s">
        <v>11</v>
      </c>
      <c r="D19" s="152"/>
      <c r="E19" s="152"/>
      <c r="F19" s="171">
        <v>100</v>
      </c>
      <c r="G19" s="171">
        <f t="shared" ref="G19:O19" si="3">F19*1.025</f>
        <v>102.49999999999999</v>
      </c>
      <c r="H19" s="171">
        <f t="shared" si="3"/>
        <v>105.06249999999997</v>
      </c>
      <c r="I19" s="171">
        <f t="shared" si="3"/>
        <v>107.68906249999996</v>
      </c>
      <c r="J19" s="171">
        <f t="shared" si="3"/>
        <v>110.38128906249996</v>
      </c>
      <c r="K19" s="171">
        <f t="shared" si="3"/>
        <v>113.14082128906244</v>
      </c>
      <c r="L19" s="171">
        <f>K19*1.025</f>
        <v>115.96934182128899</v>
      </c>
      <c r="M19" s="171">
        <f t="shared" si="3"/>
        <v>118.8685753668212</v>
      </c>
      <c r="N19" s="171">
        <f t="shared" si="3"/>
        <v>121.84028975099173</v>
      </c>
      <c r="O19" s="171">
        <f t="shared" si="3"/>
        <v>124.88629699476651</v>
      </c>
      <c r="P19" s="150"/>
      <c r="Q19" s="150"/>
      <c r="R19" s="150"/>
      <c r="U19" s="151"/>
      <c r="V19" s="161"/>
      <c r="X19" s="242">
        <f>NPV(Rate_of_Return,F19:O19)</f>
        <v>754.23308984982339</v>
      </c>
      <c r="Y19" s="242">
        <f>-PMT(Rate_of_Return,$E$5,X19)</f>
        <v>110.38340356452538</v>
      </c>
      <c r="Z19" s="151"/>
      <c r="AA19" s="151"/>
    </row>
    <row r="20" spans="2:27" x14ac:dyDescent="0.25">
      <c r="C20" s="174" t="s">
        <v>12</v>
      </c>
      <c r="D20" s="174"/>
      <c r="E20" s="174"/>
      <c r="F20" s="175">
        <f t="shared" ref="F20:O20" si="4">F19/$Y$19</f>
        <v>0.90593329042933801</v>
      </c>
      <c r="G20" s="175">
        <f t="shared" si="4"/>
        <v>0.92858162269007138</v>
      </c>
      <c r="H20" s="175">
        <f t="shared" si="4"/>
        <v>0.95179616325732308</v>
      </c>
      <c r="I20" s="175">
        <f t="shared" si="4"/>
        <v>0.975591067338756</v>
      </c>
      <c r="J20" s="175">
        <f t="shared" si="4"/>
        <v>0.99998084402222487</v>
      </c>
      <c r="K20" s="175">
        <f t="shared" si="4"/>
        <v>1.0249803651227805</v>
      </c>
      <c r="L20" s="175">
        <f t="shared" si="4"/>
        <v>1.0506048742508498</v>
      </c>
      <c r="M20" s="175">
        <f t="shared" si="4"/>
        <v>1.0768699961071209</v>
      </c>
      <c r="N20" s="175">
        <f t="shared" si="4"/>
        <v>1.1037917460097988</v>
      </c>
      <c r="O20" s="175">
        <f t="shared" si="4"/>
        <v>1.1313865396600438</v>
      </c>
      <c r="P20" s="150"/>
      <c r="Q20" s="150"/>
      <c r="R20" s="150"/>
      <c r="U20" s="151"/>
      <c r="V20" s="162"/>
      <c r="X20" s="242">
        <f>NPV(Rate_of_Return,F20:O20)</f>
        <v>6.8328486483833712</v>
      </c>
      <c r="Y20" s="242">
        <f>-PMT(Rate_of_Return,$E$5,X20)</f>
        <v>1.0000000000000002</v>
      </c>
      <c r="Z20" s="151"/>
      <c r="AA20" s="151"/>
    </row>
    <row r="21" spans="2:27" x14ac:dyDescent="0.25">
      <c r="C21" s="144"/>
      <c r="D21" s="144"/>
      <c r="E21" s="172"/>
      <c r="F21" s="172"/>
      <c r="G21" s="172"/>
      <c r="H21" s="172"/>
      <c r="I21" s="172"/>
      <c r="J21" s="172"/>
      <c r="K21" s="172"/>
      <c r="L21" s="172"/>
      <c r="M21" s="173"/>
      <c r="N21" s="173"/>
      <c r="O21" s="173"/>
      <c r="P21" s="173"/>
      <c r="Q21" s="173"/>
      <c r="R21" s="173"/>
      <c r="S21" s="173"/>
      <c r="T21" s="173"/>
      <c r="W21" s="144"/>
      <c r="X21" s="144"/>
    </row>
    <row r="22" spans="2:27" x14ac:dyDescent="0.25">
      <c r="B22" s="163" t="s">
        <v>13</v>
      </c>
      <c r="C22" s="164"/>
      <c r="D22" s="165"/>
      <c r="E22" s="165"/>
      <c r="F22" s="165"/>
      <c r="G22" s="165"/>
      <c r="H22" s="165"/>
      <c r="I22" s="165"/>
      <c r="J22" s="165"/>
      <c r="K22" s="165"/>
      <c r="L22" s="165"/>
      <c r="M22" s="165"/>
      <c r="N22" s="165"/>
      <c r="O22" s="165"/>
      <c r="Y22" s="160"/>
    </row>
    <row r="23" spans="2:27" x14ac:dyDescent="0.25">
      <c r="B23" s="166">
        <v>1</v>
      </c>
      <c r="C23" s="165" t="s">
        <v>60</v>
      </c>
      <c r="D23" s="165"/>
      <c r="E23" s="165"/>
      <c r="F23" s="165"/>
      <c r="G23" s="165"/>
      <c r="H23" s="165"/>
      <c r="I23" s="165"/>
      <c r="J23" s="165"/>
      <c r="K23" s="165"/>
      <c r="L23" s="165"/>
      <c r="M23" s="165"/>
      <c r="N23" s="165"/>
      <c r="O23" s="165"/>
      <c r="Y23" s="156"/>
    </row>
    <row r="24" spans="2:27" x14ac:dyDescent="0.25">
      <c r="B24" s="166">
        <v>2</v>
      </c>
      <c r="C24" s="165" t="s">
        <v>138</v>
      </c>
      <c r="D24" s="165"/>
      <c r="E24" s="165"/>
      <c r="F24" s="165"/>
      <c r="G24" s="165"/>
      <c r="H24" s="165"/>
      <c r="I24" s="165"/>
      <c r="J24" s="165"/>
      <c r="K24" s="165"/>
      <c r="L24" s="165"/>
      <c r="M24" s="165"/>
      <c r="N24" s="165"/>
      <c r="O24" s="165"/>
      <c r="Y24" s="157"/>
    </row>
    <row r="25" spans="2:27" x14ac:dyDescent="0.25">
      <c r="B25" s="166">
        <v>3</v>
      </c>
      <c r="C25" s="165" t="s">
        <v>59</v>
      </c>
      <c r="D25" s="165"/>
      <c r="E25" s="165"/>
      <c r="F25" s="165"/>
      <c r="G25" s="165"/>
      <c r="H25" s="165"/>
      <c r="I25" s="165"/>
      <c r="J25" s="165"/>
      <c r="K25" s="165"/>
      <c r="L25" s="165"/>
      <c r="M25" s="165"/>
      <c r="N25" s="165"/>
      <c r="O25" s="165"/>
      <c r="Y25" s="167"/>
    </row>
    <row r="26" spans="2:27" x14ac:dyDescent="0.25">
      <c r="B26" s="166">
        <v>4</v>
      </c>
      <c r="C26" s="165" t="s">
        <v>70</v>
      </c>
      <c r="D26" s="165"/>
      <c r="E26" s="165"/>
      <c r="F26" s="165"/>
      <c r="G26" s="165"/>
      <c r="H26" s="165"/>
      <c r="I26" s="165"/>
      <c r="J26" s="165"/>
      <c r="K26" s="165"/>
      <c r="L26" s="165"/>
      <c r="M26" s="165"/>
      <c r="N26" s="165"/>
      <c r="O26" s="165"/>
      <c r="Y26" s="167"/>
    </row>
    <row r="27" spans="2:27" x14ac:dyDescent="0.25">
      <c r="B27" s="166">
        <v>5</v>
      </c>
      <c r="C27" s="165" t="s">
        <v>139</v>
      </c>
      <c r="D27" s="165"/>
      <c r="E27" s="165"/>
      <c r="F27" s="165"/>
      <c r="G27" s="165"/>
      <c r="H27" s="165"/>
      <c r="I27" s="165"/>
      <c r="J27" s="165"/>
      <c r="K27" s="165"/>
      <c r="L27" s="165"/>
      <c r="M27" s="165"/>
      <c r="N27" s="165"/>
      <c r="O27" s="165"/>
      <c r="Y27" s="156"/>
    </row>
    <row r="28" spans="2:27" x14ac:dyDescent="0.25">
      <c r="B28" s="166">
        <v>6</v>
      </c>
      <c r="C28" s="165" t="s">
        <v>140</v>
      </c>
      <c r="D28" s="165"/>
      <c r="E28" s="165"/>
      <c r="F28" s="165"/>
      <c r="G28" s="165"/>
      <c r="H28" s="165"/>
      <c r="I28" s="165"/>
      <c r="J28" s="165"/>
      <c r="K28" s="165"/>
      <c r="L28" s="165"/>
      <c r="M28" s="165"/>
      <c r="N28" s="165"/>
      <c r="O28" s="165"/>
      <c r="Y28" s="157"/>
    </row>
    <row r="29" spans="2:27" x14ac:dyDescent="0.25">
      <c r="B29" s="166">
        <v>7</v>
      </c>
      <c r="C29" s="165" t="s">
        <v>141</v>
      </c>
      <c r="D29" s="165"/>
      <c r="E29" s="165"/>
      <c r="F29" s="165"/>
      <c r="G29" s="165"/>
      <c r="H29" s="165"/>
      <c r="I29" s="165"/>
      <c r="J29" s="165"/>
      <c r="K29" s="165"/>
      <c r="L29" s="165"/>
      <c r="M29" s="165"/>
      <c r="N29" s="165"/>
      <c r="O29" s="165"/>
      <c r="P29" s="165"/>
      <c r="Q29" s="165"/>
    </row>
    <row r="30" spans="2:27" x14ac:dyDescent="0.25">
      <c r="B30" s="166">
        <v>8</v>
      </c>
      <c r="C30" s="165" t="s">
        <v>69</v>
      </c>
      <c r="D30" s="165"/>
      <c r="E30" s="165"/>
      <c r="F30" s="165"/>
      <c r="G30" s="165"/>
      <c r="H30" s="165"/>
      <c r="I30" s="165"/>
      <c r="J30" s="165"/>
      <c r="K30" s="165"/>
      <c r="L30" s="165"/>
      <c r="M30" s="165"/>
      <c r="N30" s="165"/>
      <c r="O30" s="165"/>
      <c r="P30" s="165"/>
      <c r="Q30" s="165"/>
    </row>
    <row r="31" spans="2:27" x14ac:dyDescent="0.25">
      <c r="B31" s="166">
        <v>9</v>
      </c>
      <c r="C31" s="165" t="s">
        <v>142</v>
      </c>
      <c r="D31" s="165"/>
      <c r="E31" s="165"/>
      <c r="F31" s="165"/>
      <c r="G31" s="165"/>
      <c r="H31" s="165"/>
      <c r="I31" s="165"/>
      <c r="J31" s="165"/>
      <c r="K31" s="165"/>
      <c r="L31" s="165"/>
      <c r="M31" s="165"/>
      <c r="N31" s="165"/>
      <c r="O31" s="165"/>
      <c r="P31" s="165"/>
      <c r="Q31" s="165"/>
    </row>
    <row r="32" spans="2:27" x14ac:dyDescent="0.25">
      <c r="B32" s="166">
        <v>10</v>
      </c>
      <c r="C32" s="81" t="s">
        <v>143</v>
      </c>
    </row>
    <row r="33" spans="2:20" x14ac:dyDescent="0.25">
      <c r="B33" s="166">
        <v>11</v>
      </c>
      <c r="C33" s="81" t="s">
        <v>144</v>
      </c>
    </row>
    <row r="34" spans="2:20" ht="15.6" x14ac:dyDescent="0.3">
      <c r="B34" s="168"/>
      <c r="C34" s="5"/>
      <c r="D34" s="5"/>
      <c r="E34" s="5"/>
      <c r="F34" s="5"/>
    </row>
    <row r="35" spans="2:20" ht="15.6" x14ac:dyDescent="0.3">
      <c r="B35" s="168"/>
      <c r="C35" s="283"/>
      <c r="D35" s="5"/>
      <c r="E35" s="5"/>
      <c r="F35" s="5"/>
    </row>
    <row r="37" spans="2:20" x14ac:dyDescent="0.25">
      <c r="F37" s="151"/>
      <c r="G37" s="169"/>
      <c r="H37" s="169"/>
      <c r="I37" s="169"/>
      <c r="J37" s="169"/>
      <c r="K37" s="169"/>
      <c r="L37" s="169"/>
      <c r="M37" s="169"/>
      <c r="N37" s="169"/>
      <c r="O37" s="169"/>
      <c r="P37" s="169"/>
      <c r="Q37" s="169"/>
      <c r="R37" s="169"/>
      <c r="S37" s="169"/>
      <c r="T37" s="169"/>
    </row>
    <row r="38" spans="2:20" x14ac:dyDescent="0.25">
      <c r="G38" s="169"/>
      <c r="H38" s="169"/>
      <c r="I38" s="169"/>
      <c r="J38" s="169"/>
      <c r="K38" s="169"/>
      <c r="L38" s="169"/>
      <c r="M38" s="169"/>
      <c r="N38" s="169"/>
      <c r="O38" s="169"/>
      <c r="P38" s="169"/>
      <c r="Q38" s="169"/>
      <c r="R38" s="169"/>
      <c r="S38" s="169"/>
      <c r="T38" s="169"/>
    </row>
    <row r="39" spans="2:20" x14ac:dyDescent="0.25">
      <c r="F39" s="151"/>
      <c r="G39" s="151"/>
      <c r="H39" s="151"/>
      <c r="I39" s="151"/>
      <c r="J39" s="151"/>
      <c r="K39" s="151"/>
      <c r="L39" s="151"/>
      <c r="M39" s="151"/>
      <c r="N39" s="151"/>
      <c r="O39" s="151"/>
      <c r="P39" s="151"/>
      <c r="Q39" s="151"/>
      <c r="R39" s="151"/>
      <c r="S39" s="151"/>
      <c r="T39" s="151"/>
    </row>
    <row r="40" spans="2:20" x14ac:dyDescent="0.25">
      <c r="D40" s="161"/>
    </row>
  </sheetData>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zoomScale="60" zoomScaleNormal="60" workbookViewId="0">
      <selection activeCell="C2" sqref="C2"/>
    </sheetView>
  </sheetViews>
  <sheetFormatPr defaultColWidth="9.109375" defaultRowHeight="15" x14ac:dyDescent="0.25"/>
  <cols>
    <col min="1" max="1" width="2.6640625" style="81" customWidth="1"/>
    <col min="2" max="2" width="5" style="81" customWidth="1"/>
    <col min="3" max="3" width="46.6640625" style="81" customWidth="1"/>
    <col min="4" max="4" width="2.6640625" style="81" customWidth="1"/>
    <col min="5" max="22" width="12.6640625" style="81" customWidth="1"/>
    <col min="23" max="23" width="2.6640625" style="81" customWidth="1"/>
    <col min="24" max="25" width="12.6640625" style="81" customWidth="1"/>
    <col min="26" max="30" width="12.33203125" style="81" customWidth="1"/>
    <col min="31" max="16384" width="9.109375" style="81"/>
  </cols>
  <sheetData>
    <row r="2" spans="2:31" ht="19.5" customHeight="1" x14ac:dyDescent="0.3">
      <c r="C2" s="301" t="s">
        <v>145</v>
      </c>
      <c r="D2" s="301"/>
      <c r="E2" s="301"/>
      <c r="F2" s="301"/>
      <c r="G2" s="301"/>
      <c r="H2" s="301"/>
      <c r="I2" s="301"/>
      <c r="J2" s="301"/>
      <c r="K2" s="301"/>
      <c r="L2" s="301"/>
    </row>
    <row r="3" spans="2:31" ht="15.6" x14ac:dyDescent="0.3">
      <c r="C3" s="67" t="s">
        <v>57</v>
      </c>
    </row>
    <row r="4" spans="2:31" s="141" customFormat="1" ht="45" x14ac:dyDescent="0.25">
      <c r="B4" s="140"/>
      <c r="C4" s="176" t="s">
        <v>0</v>
      </c>
      <c r="D4" s="176"/>
      <c r="E4" s="176" t="s">
        <v>1</v>
      </c>
      <c r="F4" s="176" t="s">
        <v>2</v>
      </c>
      <c r="G4" s="176" t="s">
        <v>3</v>
      </c>
      <c r="H4" s="176" t="s">
        <v>4</v>
      </c>
      <c r="I4" s="176" t="s">
        <v>5</v>
      </c>
      <c r="J4" s="176" t="s">
        <v>6</v>
      </c>
      <c r="K4" s="176" t="s">
        <v>7</v>
      </c>
      <c r="L4" s="177" t="s">
        <v>14</v>
      </c>
      <c r="M4" s="177"/>
    </row>
    <row r="5" spans="2:31" x14ac:dyDescent="0.25">
      <c r="C5" s="179"/>
      <c r="D5" s="180"/>
      <c r="E5" s="181">
        <v>15</v>
      </c>
      <c r="F5" s="182">
        <v>0.16</v>
      </c>
      <c r="G5" s="183" t="s">
        <v>8</v>
      </c>
      <c r="H5" s="184">
        <f>'Electric EES CE Std Energy'!D23</f>
        <v>2.2664104755183958E-2</v>
      </c>
      <c r="I5" s="185">
        <f>'Electric EES CE Std Capacity'!I23</f>
        <v>5.245530660236775E-3</v>
      </c>
      <c r="J5" s="185">
        <f>H5+I5</f>
        <v>2.7909635415420735E-2</v>
      </c>
      <c r="K5" s="186">
        <f>J5</f>
        <v>2.7909635415420735E-2</v>
      </c>
      <c r="L5" s="187">
        <f>K5*1000</f>
        <v>27.909635415420734</v>
      </c>
      <c r="M5" s="170"/>
    </row>
    <row r="6" spans="2:31" ht="15.6" x14ac:dyDescent="0.3">
      <c r="C6" s="178"/>
      <c r="D6" s="178"/>
      <c r="E6" s="144"/>
      <c r="F6" s="144"/>
      <c r="G6" s="144"/>
      <c r="H6" s="47"/>
      <c r="I6" s="146"/>
      <c r="J6" s="47"/>
      <c r="K6" s="146"/>
      <c r="L6" s="146">
        <f>L5*(1-M6)</f>
        <v>27.07234635295811</v>
      </c>
      <c r="M6" s="147">
        <v>0.03</v>
      </c>
      <c r="N6" s="148" t="s">
        <v>46</v>
      </c>
    </row>
    <row r="7" spans="2:31" x14ac:dyDescent="0.25">
      <c r="C7" s="149"/>
      <c r="D7" s="145"/>
      <c r="H7" s="63"/>
      <c r="I7" s="143"/>
      <c r="J7" s="63"/>
      <c r="K7" s="143"/>
      <c r="L7" s="143"/>
      <c r="M7" s="144"/>
    </row>
    <row r="8" spans="2:31" ht="15.6" x14ac:dyDescent="0.3">
      <c r="C8" s="144"/>
      <c r="D8" s="144"/>
      <c r="E8" s="144"/>
      <c r="F8" s="144"/>
      <c r="G8" s="144"/>
      <c r="H8" s="150"/>
      <c r="I8" s="150"/>
      <c r="J8" s="150"/>
      <c r="K8" s="150"/>
      <c r="L8" s="150"/>
      <c r="M8" s="150"/>
      <c r="N8" s="150"/>
      <c r="O8" s="150"/>
      <c r="P8" s="150"/>
      <c r="Q8" s="150"/>
      <c r="R8" s="150"/>
      <c r="S8" s="150"/>
      <c r="T8" s="150"/>
      <c r="U8" s="151"/>
      <c r="V8" s="151"/>
      <c r="W8" s="151"/>
      <c r="X8" s="243" t="s">
        <v>105</v>
      </c>
      <c r="Y8" s="151"/>
      <c r="Z8" s="151"/>
      <c r="AA8" s="151"/>
      <c r="AB8" s="151"/>
      <c r="AC8" s="151"/>
    </row>
    <row r="9" spans="2:31" x14ac:dyDescent="0.25">
      <c r="C9" s="152" t="s">
        <v>9</v>
      </c>
      <c r="D9" s="152"/>
      <c r="E9" s="152"/>
      <c r="F9" s="153">
        <f>+L6</f>
        <v>27.07234635295811</v>
      </c>
      <c r="G9" s="153">
        <f t="shared" ref="G9:T9" si="0">F9</f>
        <v>27.07234635295811</v>
      </c>
      <c r="H9" s="153">
        <f t="shared" si="0"/>
        <v>27.07234635295811</v>
      </c>
      <c r="I9" s="153">
        <f t="shared" si="0"/>
        <v>27.07234635295811</v>
      </c>
      <c r="J9" s="153">
        <f t="shared" si="0"/>
        <v>27.07234635295811</v>
      </c>
      <c r="K9" s="153">
        <f t="shared" si="0"/>
        <v>27.07234635295811</v>
      </c>
      <c r="L9" s="153">
        <f t="shared" si="0"/>
        <v>27.07234635295811</v>
      </c>
      <c r="M9" s="153">
        <f t="shared" si="0"/>
        <v>27.07234635295811</v>
      </c>
      <c r="N9" s="153">
        <f t="shared" si="0"/>
        <v>27.07234635295811</v>
      </c>
      <c r="O9" s="153">
        <f t="shared" si="0"/>
        <v>27.07234635295811</v>
      </c>
      <c r="P9" s="153">
        <f t="shared" si="0"/>
        <v>27.07234635295811</v>
      </c>
      <c r="Q9" s="153">
        <f t="shared" si="0"/>
        <v>27.07234635295811</v>
      </c>
      <c r="R9" s="153">
        <f t="shared" si="0"/>
        <v>27.07234635295811</v>
      </c>
      <c r="S9" s="153">
        <f t="shared" si="0"/>
        <v>27.07234635295811</v>
      </c>
      <c r="T9" s="153">
        <f t="shared" si="0"/>
        <v>27.07234635295811</v>
      </c>
      <c r="U9" s="63"/>
      <c r="V9" s="63"/>
      <c r="W9" s="63"/>
      <c r="X9" s="242">
        <f>NPV(Rate_of_Return,F9:T9)</f>
        <v>237.49389516333176</v>
      </c>
      <c r="Y9" s="242">
        <f>-PMT(Rate_of_Return,15,X9)</f>
        <v>27.0723463529581</v>
      </c>
      <c r="Z9" s="63"/>
      <c r="AA9" s="63"/>
      <c r="AB9" s="63"/>
    </row>
    <row r="10" spans="2:31" x14ac:dyDescent="0.25">
      <c r="C10" s="144"/>
      <c r="D10" s="144"/>
      <c r="E10" s="144"/>
      <c r="F10" s="154"/>
      <c r="G10" s="154"/>
      <c r="H10" s="154"/>
      <c r="I10" s="154"/>
      <c r="J10" s="154"/>
      <c r="K10" s="154"/>
      <c r="L10" s="154"/>
      <c r="M10" s="154"/>
      <c r="N10" s="154"/>
      <c r="O10" s="154"/>
      <c r="P10" s="154"/>
      <c r="Q10" s="154"/>
      <c r="R10" s="154"/>
      <c r="S10" s="154"/>
      <c r="T10" s="154"/>
      <c r="U10" s="63"/>
      <c r="V10" s="63"/>
      <c r="W10" s="63"/>
      <c r="X10" s="47"/>
      <c r="Y10" s="47"/>
      <c r="Z10" s="63"/>
      <c r="AA10" s="63"/>
      <c r="AB10" s="63"/>
    </row>
    <row r="11" spans="2:31" x14ac:dyDescent="0.25">
      <c r="C11" s="81" t="s">
        <v>76</v>
      </c>
      <c r="F11" s="292">
        <v>1</v>
      </c>
      <c r="G11" s="292">
        <v>2</v>
      </c>
      <c r="H11" s="292">
        <v>3</v>
      </c>
      <c r="I11" s="292">
        <v>4</v>
      </c>
      <c r="J11" s="292">
        <v>5</v>
      </c>
      <c r="K11" s="292">
        <v>6</v>
      </c>
      <c r="L11" s="292">
        <v>7</v>
      </c>
      <c r="M11" s="292">
        <v>8</v>
      </c>
      <c r="N11" s="292">
        <v>9</v>
      </c>
      <c r="O11" s="292">
        <v>10</v>
      </c>
      <c r="P11" s="292">
        <v>11</v>
      </c>
      <c r="Q11" s="292">
        <v>12</v>
      </c>
      <c r="R11" s="292">
        <v>13</v>
      </c>
      <c r="S11" s="292">
        <v>14</v>
      </c>
      <c r="T11" s="292">
        <v>15</v>
      </c>
      <c r="U11" s="292">
        <v>16</v>
      </c>
      <c r="V11" s="292">
        <v>17</v>
      </c>
      <c r="W11" s="63"/>
      <c r="X11" s="63"/>
      <c r="Y11" s="63"/>
      <c r="Z11" s="63"/>
      <c r="AA11" s="63"/>
      <c r="AB11" s="63"/>
    </row>
    <row r="12" spans="2:31" ht="15.6" x14ac:dyDescent="0.3">
      <c r="C12" s="144"/>
      <c r="D12" s="142"/>
      <c r="E12" s="144"/>
      <c r="F12" s="155">
        <f>'Energy Prices'!$C$6</f>
        <v>2019</v>
      </c>
      <c r="G12" s="155">
        <f>F12+1</f>
        <v>2020</v>
      </c>
      <c r="H12" s="155">
        <f>G12+1</f>
        <v>2021</v>
      </c>
      <c r="I12" s="155">
        <f t="shared" ref="I12:T12" si="1">H12+1</f>
        <v>2022</v>
      </c>
      <c r="J12" s="155">
        <f t="shared" si="1"/>
        <v>2023</v>
      </c>
      <c r="K12" s="155">
        <f t="shared" si="1"/>
        <v>2024</v>
      </c>
      <c r="L12" s="155">
        <f t="shared" si="1"/>
        <v>2025</v>
      </c>
      <c r="M12" s="155">
        <f t="shared" si="1"/>
        <v>2026</v>
      </c>
      <c r="N12" s="155">
        <f t="shared" si="1"/>
        <v>2027</v>
      </c>
      <c r="O12" s="155">
        <f t="shared" si="1"/>
        <v>2028</v>
      </c>
      <c r="P12" s="155">
        <f t="shared" si="1"/>
        <v>2029</v>
      </c>
      <c r="Q12" s="155">
        <f t="shared" si="1"/>
        <v>2030</v>
      </c>
      <c r="R12" s="155">
        <f t="shared" si="1"/>
        <v>2031</v>
      </c>
      <c r="S12" s="155">
        <f t="shared" si="1"/>
        <v>2032</v>
      </c>
      <c r="T12" s="155">
        <f t="shared" si="1"/>
        <v>2033</v>
      </c>
      <c r="U12" s="155">
        <f>T12+1</f>
        <v>2034</v>
      </c>
      <c r="V12" s="155">
        <f>U12+1</f>
        <v>2035</v>
      </c>
      <c r="W12" s="282"/>
      <c r="X12" s="243" t="s">
        <v>105</v>
      </c>
      <c r="Y12" s="47"/>
      <c r="Z12" s="151"/>
      <c r="AA12" s="151"/>
      <c r="AB12" s="151"/>
    </row>
    <row r="13" spans="2:31" ht="52.95" customHeight="1" x14ac:dyDescent="0.25">
      <c r="B13" s="144"/>
      <c r="C13" s="294" t="s">
        <v>136</v>
      </c>
      <c r="D13" s="144"/>
      <c r="F13" s="192">
        <f t="shared" ref="F13:T13" si="2">F$9*F$20</f>
        <v>23.414074014793734</v>
      </c>
      <c r="G13" s="193">
        <f t="shared" si="2"/>
        <v>23.999425865163577</v>
      </c>
      <c r="H13" s="194">
        <f t="shared" si="2"/>
        <v>24.599411511792663</v>
      </c>
      <c r="I13" s="194">
        <f t="shared" si="2"/>
        <v>25.214396799587476</v>
      </c>
      <c r="J13" s="194">
        <f t="shared" si="2"/>
        <v>25.844756719577163</v>
      </c>
      <c r="K13" s="194">
        <f t="shared" si="2"/>
        <v>26.490875637566589</v>
      </c>
      <c r="L13" s="194">
        <f t="shared" si="2"/>
        <v>27.153147528505748</v>
      </c>
      <c r="M13" s="194">
        <f t="shared" si="2"/>
        <v>27.831976216718395</v>
      </c>
      <c r="N13" s="194">
        <f t="shared" si="2"/>
        <v>28.527775622136346</v>
      </c>
      <c r="O13" s="194">
        <f t="shared" si="2"/>
        <v>29.240970012689754</v>
      </c>
      <c r="P13" s="194">
        <f t="shared" si="2"/>
        <v>29.971994263006998</v>
      </c>
      <c r="Q13" s="194">
        <f t="shared" si="2"/>
        <v>30.721294119582165</v>
      </c>
      <c r="R13" s="194">
        <f t="shared" si="2"/>
        <v>31.489326472571719</v>
      </c>
      <c r="S13" s="194">
        <f t="shared" si="2"/>
        <v>32.276559634386004</v>
      </c>
      <c r="T13" s="194">
        <f t="shared" si="2"/>
        <v>33.083473625245652</v>
      </c>
      <c r="U13" s="281">
        <f>T13*1.025</f>
        <v>33.910560465876792</v>
      </c>
      <c r="V13" s="281">
        <f>U13*1.025</f>
        <v>34.758324477523708</v>
      </c>
      <c r="W13" s="157"/>
      <c r="X13" s="242">
        <f>NPV(Rate_of_Return,F13:T13)</f>
        <v>237.49389516333181</v>
      </c>
      <c r="Y13" s="242">
        <f>-PMT(Rate_of_Return,15,X13)</f>
        <v>27.072346352958107</v>
      </c>
      <c r="Z13" s="157"/>
      <c r="AA13" s="157"/>
      <c r="AB13" s="157"/>
      <c r="AE13" s="158"/>
    </row>
    <row r="14" spans="2:31" x14ac:dyDescent="0.25">
      <c r="C14" s="156"/>
      <c r="E14" s="159"/>
      <c r="F14" s="157"/>
      <c r="G14" s="157"/>
      <c r="H14" s="157"/>
      <c r="I14" s="157"/>
      <c r="J14" s="157"/>
      <c r="K14" s="157"/>
      <c r="L14" s="157"/>
      <c r="M14" s="157"/>
      <c r="N14" s="157"/>
      <c r="O14" s="157"/>
      <c r="P14" s="157"/>
      <c r="Q14" s="157"/>
      <c r="R14" s="157"/>
      <c r="S14" s="157"/>
      <c r="T14" s="157"/>
      <c r="U14" s="157"/>
      <c r="V14" s="157"/>
      <c r="W14" s="157"/>
      <c r="X14" s="151"/>
      <c r="Y14" s="151"/>
      <c r="Z14" s="151"/>
      <c r="AA14" s="151"/>
      <c r="AB14" s="151"/>
      <c r="AC14" s="151"/>
    </row>
    <row r="15" spans="2:31" x14ac:dyDescent="0.25">
      <c r="C15" s="160"/>
      <c r="E15" s="159"/>
      <c r="F15" s="157"/>
      <c r="G15" s="157"/>
      <c r="H15" s="157"/>
      <c r="I15" s="157"/>
      <c r="J15" s="157"/>
      <c r="K15" s="157"/>
      <c r="L15" s="157"/>
      <c r="M15" s="157"/>
      <c r="N15" s="157"/>
      <c r="O15" s="157"/>
      <c r="P15" s="157"/>
      <c r="Q15" s="157"/>
      <c r="R15" s="157"/>
      <c r="S15" s="157"/>
      <c r="T15" s="157"/>
      <c r="U15" s="157"/>
      <c r="V15" s="157"/>
      <c r="W15" s="157"/>
      <c r="X15" s="151"/>
      <c r="Y15" s="151"/>
      <c r="Z15" s="151"/>
      <c r="AA15" s="151"/>
      <c r="AB15" s="151"/>
      <c r="AC15" s="151"/>
    </row>
    <row r="16" spans="2:31" x14ac:dyDescent="0.25">
      <c r="C16" s="81" t="s">
        <v>10</v>
      </c>
      <c r="Q16" s="151"/>
      <c r="R16" s="151"/>
    </row>
    <row r="17" spans="2:28" x14ac:dyDescent="0.25">
      <c r="Q17" s="151"/>
      <c r="R17" s="151"/>
    </row>
    <row r="18" spans="2:28" ht="15.6" x14ac:dyDescent="0.3">
      <c r="C18" s="144"/>
      <c r="D18" s="144"/>
      <c r="E18" s="144"/>
      <c r="F18" s="144"/>
      <c r="G18" s="144"/>
      <c r="H18" s="144"/>
      <c r="I18" s="144"/>
      <c r="J18" s="144"/>
      <c r="K18" s="144"/>
      <c r="L18" s="144"/>
      <c r="M18" s="144"/>
      <c r="N18" s="144"/>
      <c r="O18" s="144"/>
      <c r="P18" s="144"/>
      <c r="Q18" s="150"/>
      <c r="R18" s="150"/>
      <c r="S18" s="144"/>
      <c r="T18" s="144"/>
      <c r="X18" s="243" t="s">
        <v>105</v>
      </c>
      <c r="Y18" s="144"/>
    </row>
    <row r="19" spans="2:28" x14ac:dyDescent="0.25">
      <c r="C19" s="152" t="s">
        <v>11</v>
      </c>
      <c r="D19" s="152"/>
      <c r="E19" s="152"/>
      <c r="F19" s="171">
        <v>100</v>
      </c>
      <c r="G19" s="171">
        <f t="shared" ref="G19:T19" si="3">F19*1.025</f>
        <v>102.49999999999999</v>
      </c>
      <c r="H19" s="171">
        <f t="shared" si="3"/>
        <v>105.06249999999997</v>
      </c>
      <c r="I19" s="171">
        <f t="shared" si="3"/>
        <v>107.68906249999996</v>
      </c>
      <c r="J19" s="171">
        <f t="shared" si="3"/>
        <v>110.38128906249996</v>
      </c>
      <c r="K19" s="171">
        <f t="shared" si="3"/>
        <v>113.14082128906244</v>
      </c>
      <c r="L19" s="171">
        <f>K19*1.025</f>
        <v>115.96934182128899</v>
      </c>
      <c r="M19" s="171">
        <f t="shared" si="3"/>
        <v>118.8685753668212</v>
      </c>
      <c r="N19" s="171">
        <f t="shared" si="3"/>
        <v>121.84028975099173</v>
      </c>
      <c r="O19" s="171">
        <f t="shared" si="3"/>
        <v>124.88629699476651</v>
      </c>
      <c r="P19" s="171">
        <f t="shared" si="3"/>
        <v>128.00845441963565</v>
      </c>
      <c r="Q19" s="171">
        <f t="shared" si="3"/>
        <v>131.20866578012652</v>
      </c>
      <c r="R19" s="171">
        <f t="shared" si="3"/>
        <v>134.48888242462968</v>
      </c>
      <c r="S19" s="171">
        <f t="shared" si="3"/>
        <v>137.8511044852454</v>
      </c>
      <c r="T19" s="171">
        <f t="shared" si="3"/>
        <v>141.29738209737653</v>
      </c>
      <c r="U19" s="161"/>
      <c r="V19" s="161"/>
      <c r="W19" s="161"/>
      <c r="X19" s="196">
        <f>NPV(Rate_of_Return,F19:T19)</f>
        <v>1014.3211088052249</v>
      </c>
      <c r="Y19" s="196">
        <f>-PMT(Rate_of_Return,15,X19)</f>
        <v>115.62424521188822</v>
      </c>
      <c r="Z19" s="151"/>
      <c r="AA19" s="151"/>
      <c r="AB19" s="151"/>
    </row>
    <row r="20" spans="2:28" x14ac:dyDescent="0.25">
      <c r="C20" s="174" t="s">
        <v>12</v>
      </c>
      <c r="D20" s="174"/>
      <c r="E20" s="174"/>
      <c r="F20" s="175">
        <f>F19/$Y$19</f>
        <v>0.86487051065063492</v>
      </c>
      <c r="G20" s="175">
        <f t="shared" ref="G20:T20" si="4">G19/$Y$19</f>
        <v>0.88649227341690073</v>
      </c>
      <c r="H20" s="175">
        <f t="shared" si="4"/>
        <v>0.90865458025232315</v>
      </c>
      <c r="I20" s="175">
        <f t="shared" si="4"/>
        <v>0.93137094475863114</v>
      </c>
      <c r="J20" s="175">
        <f t="shared" si="4"/>
        <v>0.95465521837759681</v>
      </c>
      <c r="K20" s="175">
        <f t="shared" si="4"/>
        <v>0.97852159883703671</v>
      </c>
      <c r="L20" s="175">
        <f t="shared" si="4"/>
        <v>1.0029846388079624</v>
      </c>
      <c r="M20" s="175">
        <f t="shared" si="4"/>
        <v>1.0280592547781615</v>
      </c>
      <c r="N20" s="175">
        <f t="shared" si="4"/>
        <v>1.0537607361476153</v>
      </c>
      <c r="O20" s="175">
        <f t="shared" si="4"/>
        <v>1.0801047545513056</v>
      </c>
      <c r="P20" s="175">
        <f t="shared" si="4"/>
        <v>1.1071073734150882</v>
      </c>
      <c r="Q20" s="175">
        <f t="shared" si="4"/>
        <v>1.1347850577504652</v>
      </c>
      <c r="R20" s="175">
        <f t="shared" si="4"/>
        <v>1.1631546841942269</v>
      </c>
      <c r="S20" s="175">
        <f t="shared" si="4"/>
        <v>1.1922335512990823</v>
      </c>
      <c r="T20" s="175">
        <f t="shared" si="4"/>
        <v>1.2220393900815592</v>
      </c>
      <c r="U20" s="162"/>
      <c r="V20" s="162"/>
      <c r="W20" s="162"/>
      <c r="X20" s="195">
        <f>NPV(Rate_of_Return,F20:T20)</f>
        <v>8.7725641533609284</v>
      </c>
      <c r="Y20" s="195">
        <f>-PMT(Rate_of_Return,15,X20)</f>
        <v>0.99999999999999967</v>
      </c>
      <c r="Z20" s="151"/>
      <c r="AA20" s="151"/>
      <c r="AB20" s="151"/>
    </row>
    <row r="21" spans="2:28" x14ac:dyDescent="0.25">
      <c r="C21" s="144"/>
      <c r="D21" s="144"/>
      <c r="E21" s="172"/>
      <c r="F21" s="172"/>
      <c r="G21" s="172"/>
      <c r="H21" s="172"/>
      <c r="I21" s="172"/>
      <c r="J21" s="172"/>
      <c r="K21" s="172"/>
      <c r="L21" s="172"/>
      <c r="M21" s="173"/>
      <c r="N21" s="173"/>
      <c r="O21" s="173"/>
      <c r="P21" s="173"/>
      <c r="Q21" s="173"/>
      <c r="R21" s="173"/>
      <c r="S21" s="173"/>
      <c r="T21" s="173"/>
      <c r="X21" s="144"/>
      <c r="Y21" s="144"/>
    </row>
    <row r="22" spans="2:28" x14ac:dyDescent="0.25">
      <c r="B22" s="163" t="s">
        <v>13</v>
      </c>
      <c r="C22" s="164"/>
      <c r="D22" s="165"/>
      <c r="E22" s="165"/>
      <c r="F22" s="165"/>
      <c r="G22" s="165"/>
      <c r="H22" s="165"/>
      <c r="I22" s="165"/>
      <c r="J22" s="165"/>
      <c r="K22" s="165"/>
      <c r="L22" s="165"/>
      <c r="M22" s="165"/>
      <c r="N22" s="165"/>
      <c r="O22" s="165"/>
      <c r="Z22" s="160"/>
    </row>
    <row r="23" spans="2:28" x14ac:dyDescent="0.25">
      <c r="B23" s="166">
        <v>1</v>
      </c>
      <c r="C23" s="165" t="s">
        <v>60</v>
      </c>
      <c r="D23" s="165"/>
      <c r="E23" s="165"/>
      <c r="F23" s="165"/>
      <c r="G23" s="165"/>
      <c r="H23" s="165"/>
      <c r="I23" s="165"/>
      <c r="J23" s="165"/>
      <c r="K23" s="165"/>
      <c r="L23" s="165"/>
      <c r="M23" s="165"/>
      <c r="N23" s="165"/>
      <c r="O23" s="165"/>
      <c r="Z23" s="156"/>
    </row>
    <row r="24" spans="2:28" x14ac:dyDescent="0.25">
      <c r="B24" s="166">
        <v>2</v>
      </c>
      <c r="C24" s="165" t="s">
        <v>138</v>
      </c>
      <c r="D24" s="165"/>
      <c r="E24" s="165"/>
      <c r="F24" s="165"/>
      <c r="G24" s="165"/>
      <c r="H24" s="165"/>
      <c r="I24" s="165"/>
      <c r="J24" s="165"/>
      <c r="K24" s="165"/>
      <c r="L24" s="165"/>
      <c r="M24" s="165"/>
      <c r="N24" s="165"/>
      <c r="O24" s="165"/>
      <c r="Z24" s="157"/>
    </row>
    <row r="25" spans="2:28" x14ac:dyDescent="0.25">
      <c r="B25" s="166">
        <v>3</v>
      </c>
      <c r="C25" s="165" t="s">
        <v>59</v>
      </c>
      <c r="D25" s="165"/>
      <c r="E25" s="165"/>
      <c r="F25" s="165"/>
      <c r="G25" s="165"/>
      <c r="H25" s="165"/>
      <c r="I25" s="165"/>
      <c r="J25" s="165"/>
      <c r="K25" s="165"/>
      <c r="L25" s="165"/>
      <c r="M25" s="165"/>
      <c r="N25" s="165"/>
      <c r="O25" s="165"/>
      <c r="Z25" s="167"/>
    </row>
    <row r="26" spans="2:28" x14ac:dyDescent="0.25">
      <c r="B26" s="166">
        <v>4</v>
      </c>
      <c r="C26" s="165" t="s">
        <v>70</v>
      </c>
      <c r="D26" s="165"/>
      <c r="E26" s="165"/>
      <c r="F26" s="165"/>
      <c r="G26" s="165"/>
      <c r="H26" s="165"/>
      <c r="I26" s="165"/>
      <c r="J26" s="165"/>
      <c r="K26" s="165"/>
      <c r="L26" s="165"/>
      <c r="M26" s="165"/>
      <c r="N26" s="165"/>
      <c r="O26" s="165"/>
      <c r="Z26" s="167"/>
    </row>
    <row r="27" spans="2:28" x14ac:dyDescent="0.25">
      <c r="B27" s="166">
        <v>5</v>
      </c>
      <c r="C27" s="165" t="s">
        <v>139</v>
      </c>
      <c r="D27" s="165"/>
      <c r="E27" s="165"/>
      <c r="F27" s="165"/>
      <c r="G27" s="165"/>
      <c r="H27" s="165"/>
      <c r="I27" s="165"/>
      <c r="J27" s="165"/>
      <c r="K27" s="165"/>
      <c r="L27" s="165"/>
      <c r="M27" s="165"/>
      <c r="N27" s="165"/>
      <c r="O27" s="165"/>
      <c r="Z27" s="156"/>
    </row>
    <row r="28" spans="2:28" x14ac:dyDescent="0.25">
      <c r="B28" s="166">
        <v>6</v>
      </c>
      <c r="C28" s="165" t="s">
        <v>140</v>
      </c>
      <c r="D28" s="165"/>
      <c r="E28" s="165"/>
      <c r="F28" s="165"/>
      <c r="G28" s="165"/>
      <c r="H28" s="165"/>
      <c r="I28" s="165"/>
      <c r="J28" s="165"/>
      <c r="K28" s="165"/>
      <c r="L28" s="165"/>
      <c r="M28" s="165"/>
      <c r="N28" s="165"/>
      <c r="O28" s="165"/>
      <c r="Z28" s="157"/>
    </row>
    <row r="29" spans="2:28" x14ac:dyDescent="0.25">
      <c r="B29" s="166">
        <v>7</v>
      </c>
      <c r="C29" s="165" t="s">
        <v>141</v>
      </c>
      <c r="D29" s="165"/>
      <c r="E29" s="165"/>
      <c r="F29" s="165"/>
      <c r="G29" s="165"/>
      <c r="H29" s="165"/>
      <c r="I29" s="165"/>
      <c r="J29" s="165"/>
      <c r="K29" s="165"/>
      <c r="L29" s="165"/>
      <c r="M29" s="165"/>
      <c r="N29" s="165"/>
      <c r="O29" s="165"/>
      <c r="P29" s="165"/>
      <c r="Q29" s="165"/>
    </row>
    <row r="30" spans="2:28" x14ac:dyDescent="0.25">
      <c r="B30" s="166">
        <v>8</v>
      </c>
      <c r="C30" s="165" t="s">
        <v>69</v>
      </c>
      <c r="D30" s="165"/>
      <c r="E30" s="165"/>
      <c r="F30" s="165"/>
      <c r="G30" s="165"/>
      <c r="H30" s="165"/>
      <c r="I30" s="165"/>
      <c r="J30" s="165"/>
      <c r="K30" s="165"/>
      <c r="L30" s="165"/>
      <c r="M30" s="165"/>
      <c r="N30" s="165"/>
      <c r="O30" s="165"/>
      <c r="P30" s="165"/>
      <c r="Q30" s="165"/>
    </row>
    <row r="31" spans="2:28" x14ac:dyDescent="0.25">
      <c r="B31" s="166">
        <v>9</v>
      </c>
      <c r="C31" s="165" t="s">
        <v>142</v>
      </c>
      <c r="D31" s="165"/>
      <c r="E31" s="165"/>
      <c r="F31" s="165"/>
      <c r="G31" s="165"/>
      <c r="H31" s="165"/>
      <c r="I31" s="165"/>
      <c r="J31" s="165"/>
      <c r="K31" s="165"/>
      <c r="L31" s="165"/>
      <c r="M31" s="165"/>
      <c r="N31" s="165"/>
      <c r="O31" s="165"/>
      <c r="P31" s="165"/>
      <c r="Q31" s="165"/>
    </row>
    <row r="32" spans="2:28" x14ac:dyDescent="0.25">
      <c r="B32" s="166">
        <v>10</v>
      </c>
      <c r="C32" s="81" t="s">
        <v>143</v>
      </c>
    </row>
    <row r="33" spans="2:20" x14ac:dyDescent="0.25">
      <c r="B33" s="166">
        <v>11</v>
      </c>
      <c r="C33" s="81" t="s">
        <v>144</v>
      </c>
    </row>
    <row r="34" spans="2:20" ht="15.6" x14ac:dyDescent="0.3">
      <c r="B34" s="168"/>
      <c r="C34" s="5"/>
      <c r="D34" s="5"/>
      <c r="E34" s="5"/>
      <c r="F34" s="5"/>
    </row>
    <row r="35" spans="2:20" ht="15.6" x14ac:dyDescent="0.3">
      <c r="B35" s="168"/>
      <c r="C35" s="283"/>
      <c r="D35" s="5"/>
      <c r="E35" s="5"/>
      <c r="F35" s="5"/>
    </row>
    <row r="37" spans="2:20" x14ac:dyDescent="0.25">
      <c r="F37" s="151"/>
      <c r="G37" s="169"/>
      <c r="H37" s="169"/>
      <c r="I37" s="169"/>
      <c r="J37" s="169"/>
      <c r="K37" s="169"/>
      <c r="L37" s="169"/>
      <c r="M37" s="169"/>
      <c r="N37" s="169"/>
      <c r="O37" s="169"/>
      <c r="P37" s="169"/>
      <c r="Q37" s="169"/>
      <c r="R37" s="169"/>
      <c r="S37" s="169"/>
      <c r="T37" s="169"/>
    </row>
    <row r="38" spans="2:20" x14ac:dyDescent="0.25">
      <c r="G38" s="169"/>
      <c r="H38" s="169"/>
      <c r="I38" s="169"/>
      <c r="J38" s="169"/>
      <c r="K38" s="169"/>
      <c r="L38" s="169"/>
      <c r="M38" s="169"/>
      <c r="N38" s="169"/>
      <c r="O38" s="169"/>
      <c r="P38" s="169"/>
      <c r="Q38" s="169"/>
      <c r="R38" s="169"/>
      <c r="S38" s="169"/>
      <c r="T38" s="169"/>
    </row>
    <row r="39" spans="2:20" x14ac:dyDescent="0.25">
      <c r="F39" s="151"/>
      <c r="G39" s="151"/>
      <c r="H39" s="151"/>
      <c r="I39" s="151"/>
      <c r="J39" s="151"/>
      <c r="K39" s="151"/>
      <c r="L39" s="151"/>
      <c r="M39" s="151"/>
      <c r="N39" s="151"/>
      <c r="O39" s="151"/>
      <c r="P39" s="151"/>
      <c r="Q39" s="151"/>
      <c r="R39" s="151"/>
      <c r="S39" s="151"/>
      <c r="T39" s="151"/>
    </row>
    <row r="40" spans="2:20" x14ac:dyDescent="0.25">
      <c r="D40" s="161"/>
    </row>
  </sheetData>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zoomScale="70" zoomScaleNormal="70" workbookViewId="0">
      <selection activeCell="C2" sqref="C2"/>
    </sheetView>
  </sheetViews>
  <sheetFormatPr defaultColWidth="9.109375" defaultRowHeight="15" x14ac:dyDescent="0.25"/>
  <cols>
    <col min="1" max="1" width="2.6640625" style="81" customWidth="1"/>
    <col min="2" max="2" width="5" style="81" customWidth="1"/>
    <col min="3" max="3" width="46.6640625" style="81" customWidth="1"/>
    <col min="4" max="4" width="2.6640625" style="81" customWidth="1"/>
    <col min="5" max="17" width="12.6640625" style="81" customWidth="1"/>
    <col min="18" max="20" width="12.6640625" customWidth="1"/>
    <col min="21" max="22" width="12.6640625" style="81" customWidth="1"/>
    <col min="23" max="23" width="2.6640625" style="81" customWidth="1"/>
    <col min="24" max="25" width="12.6640625" style="81" customWidth="1"/>
    <col min="26" max="29" width="12.33203125" style="81" customWidth="1"/>
    <col min="30" max="16384" width="9.109375" style="81"/>
  </cols>
  <sheetData>
    <row r="2" spans="2:30" ht="19.5" customHeight="1" x14ac:dyDescent="0.3">
      <c r="C2" s="301" t="s">
        <v>145</v>
      </c>
      <c r="D2" s="301"/>
      <c r="E2" s="301"/>
      <c r="F2" s="301"/>
      <c r="G2" s="301"/>
      <c r="H2" s="301"/>
      <c r="I2" s="301"/>
      <c r="J2" s="301"/>
      <c r="K2" s="301"/>
      <c r="L2" s="301"/>
    </row>
    <row r="3" spans="2:30" ht="15.6" x14ac:dyDescent="0.3">
      <c r="C3" s="67" t="s">
        <v>58</v>
      </c>
    </row>
    <row r="4" spans="2:30" s="141" customFormat="1" ht="45" x14ac:dyDescent="0.25">
      <c r="B4" s="140"/>
      <c r="C4" s="176" t="s">
        <v>0</v>
      </c>
      <c r="D4" s="176"/>
      <c r="E4" s="176" t="s">
        <v>1</v>
      </c>
      <c r="F4" s="176" t="s">
        <v>2</v>
      </c>
      <c r="G4" s="176" t="s">
        <v>3</v>
      </c>
      <c r="H4" s="176" t="s">
        <v>4</v>
      </c>
      <c r="I4" s="176" t="s">
        <v>5</v>
      </c>
      <c r="J4" s="176" t="s">
        <v>6</v>
      </c>
      <c r="K4" s="176" t="s">
        <v>7</v>
      </c>
      <c r="L4" s="177" t="s">
        <v>14</v>
      </c>
      <c r="M4" s="177"/>
    </row>
    <row r="5" spans="2:30" x14ac:dyDescent="0.25">
      <c r="C5" s="179"/>
      <c r="D5" s="180"/>
      <c r="E5" s="181">
        <v>10</v>
      </c>
      <c r="F5" s="182">
        <v>0.02</v>
      </c>
      <c r="G5" s="183" t="s">
        <v>8</v>
      </c>
      <c r="H5" s="184">
        <f>'Electric EES CE Std Energy'!D18</f>
        <v>2.1784188702760568E-2</v>
      </c>
      <c r="I5" s="185">
        <f>'Electric EES CE Std Capacity'!M18</f>
        <v>4.1937985605712208E-3</v>
      </c>
      <c r="J5" s="185">
        <f>H5+I5</f>
        <v>2.5977987263331788E-2</v>
      </c>
      <c r="K5" s="186">
        <f>J5</f>
        <v>2.5977987263331788E-2</v>
      </c>
      <c r="L5" s="187">
        <f>K5*1000</f>
        <v>25.977987263331787</v>
      </c>
      <c r="M5" s="170"/>
    </row>
    <row r="6" spans="2:30" ht="15.6" x14ac:dyDescent="0.3">
      <c r="C6" s="178"/>
      <c r="D6" s="178"/>
      <c r="E6" s="144"/>
      <c r="F6" s="144"/>
      <c r="G6" s="144"/>
      <c r="H6" s="47"/>
      <c r="I6" s="146"/>
      <c r="J6" s="47"/>
      <c r="K6" s="146"/>
      <c r="L6" s="146">
        <f>L5*(1-M6)</f>
        <v>25.198647645431834</v>
      </c>
      <c r="M6" s="147">
        <v>0.03</v>
      </c>
      <c r="N6" s="148" t="s">
        <v>46</v>
      </c>
    </row>
    <row r="7" spans="2:30" x14ac:dyDescent="0.25">
      <c r="C7" s="149"/>
      <c r="D7" s="145"/>
      <c r="H7" s="63"/>
      <c r="I7" s="143"/>
      <c r="J7" s="63"/>
      <c r="K7" s="143"/>
      <c r="L7" s="143"/>
      <c r="M7" s="144"/>
    </row>
    <row r="8" spans="2:30" ht="15.6" x14ac:dyDescent="0.3">
      <c r="C8" s="144"/>
      <c r="D8" s="144"/>
      <c r="E8" s="144"/>
      <c r="F8" s="144"/>
      <c r="G8" s="144"/>
      <c r="H8" s="150"/>
      <c r="I8" s="150"/>
      <c r="J8" s="150"/>
      <c r="K8" s="150"/>
      <c r="L8" s="150"/>
      <c r="M8" s="150"/>
      <c r="N8" s="150"/>
      <c r="O8" s="150"/>
      <c r="P8" s="150"/>
      <c r="Q8" s="150"/>
      <c r="U8" s="151"/>
      <c r="V8" s="151"/>
      <c r="W8" s="150"/>
      <c r="X8" s="243" t="s">
        <v>105</v>
      </c>
      <c r="Y8" s="151"/>
      <c r="Z8" s="151"/>
    </row>
    <row r="9" spans="2:30" x14ac:dyDescent="0.25">
      <c r="C9" s="152" t="s">
        <v>9</v>
      </c>
      <c r="D9" s="152"/>
      <c r="E9" s="152"/>
      <c r="F9" s="153">
        <f>+L6</f>
        <v>25.198647645431834</v>
      </c>
      <c r="G9" s="153">
        <f t="shared" ref="G9:O9" si="0">F9</f>
        <v>25.198647645431834</v>
      </c>
      <c r="H9" s="153">
        <f t="shared" si="0"/>
        <v>25.198647645431834</v>
      </c>
      <c r="I9" s="153">
        <f t="shared" si="0"/>
        <v>25.198647645431834</v>
      </c>
      <c r="J9" s="153">
        <f t="shared" si="0"/>
        <v>25.198647645431834</v>
      </c>
      <c r="K9" s="153">
        <f t="shared" si="0"/>
        <v>25.198647645431834</v>
      </c>
      <c r="L9" s="153">
        <f t="shared" si="0"/>
        <v>25.198647645431834</v>
      </c>
      <c r="M9" s="153">
        <f t="shared" si="0"/>
        <v>25.198647645431834</v>
      </c>
      <c r="N9" s="153">
        <f t="shared" si="0"/>
        <v>25.198647645431834</v>
      </c>
      <c r="O9" s="153">
        <f t="shared" si="0"/>
        <v>25.198647645431834</v>
      </c>
      <c r="V9" s="63"/>
      <c r="X9" s="242">
        <f>NPV(Rate_of_Return,F9:O9)</f>
        <v>172.17854550517771</v>
      </c>
      <c r="Y9" s="242">
        <f>-PMT(Rate_of_Return,$E$5,X9)</f>
        <v>25.198647645431834</v>
      </c>
      <c r="Z9" s="63"/>
    </row>
    <row r="10" spans="2:30" x14ac:dyDescent="0.25">
      <c r="C10" s="144"/>
      <c r="D10" s="144"/>
      <c r="E10" s="144"/>
      <c r="F10" s="154"/>
      <c r="G10" s="154"/>
      <c r="H10" s="154"/>
      <c r="I10" s="154"/>
      <c r="J10" s="154"/>
      <c r="K10" s="154"/>
      <c r="L10" s="154"/>
      <c r="M10" s="154"/>
      <c r="N10" s="154"/>
      <c r="O10" s="154"/>
      <c r="P10" s="150"/>
      <c r="Q10" s="150"/>
      <c r="U10" s="151"/>
      <c r="V10" s="63"/>
      <c r="W10" s="150"/>
      <c r="X10" s="47"/>
      <c r="Y10" s="47"/>
      <c r="Z10" s="63"/>
    </row>
    <row r="11" spans="2:30" x14ac:dyDescent="0.25">
      <c r="C11" s="81" t="s">
        <v>76</v>
      </c>
      <c r="F11" s="292">
        <v>1</v>
      </c>
      <c r="G11" s="292">
        <v>2</v>
      </c>
      <c r="H11" s="292">
        <v>3</v>
      </c>
      <c r="I11" s="292">
        <v>4</v>
      </c>
      <c r="J11" s="292">
        <v>5</v>
      </c>
      <c r="K11" s="292">
        <v>6</v>
      </c>
      <c r="L11" s="292">
        <v>7</v>
      </c>
      <c r="M11" s="292">
        <v>8</v>
      </c>
      <c r="N11" s="292">
        <v>9</v>
      </c>
      <c r="O11" s="292">
        <v>10</v>
      </c>
      <c r="P11" s="292">
        <v>11</v>
      </c>
      <c r="Q11" s="292">
        <v>12</v>
      </c>
      <c r="V11" s="63"/>
      <c r="X11" s="63"/>
      <c r="Y11" s="63"/>
      <c r="Z11" s="63"/>
    </row>
    <row r="12" spans="2:30" ht="15.6" x14ac:dyDescent="0.3">
      <c r="C12" s="144"/>
      <c r="D12" s="142"/>
      <c r="E12" s="144"/>
      <c r="F12" s="155">
        <f>'Energy Prices'!$C$6</f>
        <v>2019</v>
      </c>
      <c r="G12" s="155">
        <f>F12+1</f>
        <v>2020</v>
      </c>
      <c r="H12" s="155">
        <f>G12+1</f>
        <v>2021</v>
      </c>
      <c r="I12" s="155">
        <f t="shared" ref="I12:O12" si="1">H12+1</f>
        <v>2022</v>
      </c>
      <c r="J12" s="155">
        <f t="shared" si="1"/>
        <v>2023</v>
      </c>
      <c r="K12" s="155">
        <f t="shared" si="1"/>
        <v>2024</v>
      </c>
      <c r="L12" s="155">
        <f t="shared" si="1"/>
        <v>2025</v>
      </c>
      <c r="M12" s="155">
        <f t="shared" si="1"/>
        <v>2026</v>
      </c>
      <c r="N12" s="155">
        <f t="shared" si="1"/>
        <v>2027</v>
      </c>
      <c r="O12" s="155">
        <f t="shared" si="1"/>
        <v>2028</v>
      </c>
      <c r="P12" s="155">
        <f>O12+1</f>
        <v>2029</v>
      </c>
      <c r="Q12" s="155">
        <f>P12+1</f>
        <v>2030</v>
      </c>
      <c r="U12" s="151"/>
      <c r="V12" s="282"/>
      <c r="W12" s="150"/>
      <c r="X12" s="243" t="s">
        <v>105</v>
      </c>
      <c r="Y12" s="47"/>
      <c r="Z12" s="151"/>
    </row>
    <row r="13" spans="2:30" ht="52.95" customHeight="1" x14ac:dyDescent="0.25">
      <c r="B13" s="144"/>
      <c r="C13" s="293" t="s">
        <v>137</v>
      </c>
      <c r="D13" s="144"/>
      <c r="F13" s="192">
        <f t="shared" ref="F13:O13" si="2">F$9*F$20</f>
        <v>22.828293775795551</v>
      </c>
      <c r="G13" s="193">
        <f t="shared" si="2"/>
        <v>23.399001120190437</v>
      </c>
      <c r="H13" s="194">
        <f t="shared" si="2"/>
        <v>23.983976148195197</v>
      </c>
      <c r="I13" s="194">
        <f t="shared" si="2"/>
        <v>24.583575551900072</v>
      </c>
      <c r="J13" s="194">
        <f t="shared" si="2"/>
        <v>25.198164940697573</v>
      </c>
      <c r="K13" s="194">
        <f t="shared" si="2"/>
        <v>25.828119064215013</v>
      </c>
      <c r="L13" s="194">
        <f t="shared" si="2"/>
        <v>26.473822040820384</v>
      </c>
      <c r="M13" s="194">
        <f t="shared" si="2"/>
        <v>27.135667591840889</v>
      </c>
      <c r="N13" s="194">
        <f t="shared" si="2"/>
        <v>27.814059281636908</v>
      </c>
      <c r="O13" s="194">
        <f t="shared" si="2"/>
        <v>28.509410763677831</v>
      </c>
      <c r="P13" s="281">
        <f>O13*1.025</f>
        <v>29.222146032769775</v>
      </c>
      <c r="Q13" s="281">
        <f>P13*1.025</f>
        <v>29.952699683589017</v>
      </c>
      <c r="V13" s="157"/>
      <c r="X13" s="242">
        <f>NPV(Rate_of_Return,F13:O13)</f>
        <v>172.17854550517774</v>
      </c>
      <c r="Y13" s="242">
        <f>-PMT(Rate_of_Return,$E$5,X13)</f>
        <v>25.198647645431841</v>
      </c>
      <c r="Z13" s="157"/>
      <c r="AD13" s="158"/>
    </row>
    <row r="14" spans="2:30" x14ac:dyDescent="0.25">
      <c r="C14" s="156"/>
      <c r="E14" s="159"/>
      <c r="F14" s="157"/>
      <c r="G14" s="157"/>
      <c r="H14" s="157"/>
      <c r="I14" s="157"/>
      <c r="J14" s="157"/>
      <c r="K14" s="157"/>
      <c r="L14" s="157"/>
      <c r="M14" s="157"/>
      <c r="N14" s="157"/>
      <c r="O14" s="157"/>
      <c r="P14" s="150"/>
      <c r="Q14" s="150"/>
      <c r="U14" s="151"/>
      <c r="V14" s="157"/>
      <c r="W14" s="150"/>
      <c r="X14" s="151"/>
      <c r="Y14" s="151"/>
      <c r="Z14" s="151"/>
    </row>
    <row r="15" spans="2:30" x14ac:dyDescent="0.25">
      <c r="C15" s="160"/>
      <c r="E15" s="159"/>
      <c r="F15" s="157"/>
      <c r="G15" s="157"/>
      <c r="H15" s="157"/>
      <c r="I15" s="157"/>
      <c r="J15" s="157"/>
      <c r="K15" s="157"/>
      <c r="L15" s="157"/>
      <c r="M15" s="157"/>
      <c r="N15" s="157"/>
      <c r="O15" s="157"/>
      <c r="V15" s="157"/>
      <c r="X15" s="151"/>
      <c r="Y15" s="151"/>
      <c r="Z15" s="151"/>
    </row>
    <row r="16" spans="2:30" x14ac:dyDescent="0.25">
      <c r="C16" s="81" t="s">
        <v>10</v>
      </c>
      <c r="P16" s="150"/>
      <c r="Q16" s="150"/>
      <c r="U16" s="151"/>
      <c r="W16" s="150"/>
    </row>
    <row r="18" spans="2:26" ht="15.6" x14ac:dyDescent="0.3">
      <c r="C18" s="144"/>
      <c r="D18" s="144"/>
      <c r="E18" s="144"/>
      <c r="F18" s="144"/>
      <c r="G18" s="144"/>
      <c r="H18" s="144"/>
      <c r="I18" s="144"/>
      <c r="J18" s="144"/>
      <c r="K18" s="144"/>
      <c r="L18" s="144"/>
      <c r="M18" s="144"/>
      <c r="N18" s="144"/>
      <c r="O18" s="144"/>
      <c r="P18" s="150"/>
      <c r="Q18" s="150"/>
      <c r="U18" s="151"/>
      <c r="W18" s="150"/>
      <c r="X18" s="243" t="s">
        <v>105</v>
      </c>
      <c r="Y18" s="144"/>
    </row>
    <row r="19" spans="2:26" x14ac:dyDescent="0.25">
      <c r="C19" s="152" t="s">
        <v>11</v>
      </c>
      <c r="D19" s="152"/>
      <c r="E19" s="152"/>
      <c r="F19" s="171">
        <v>100</v>
      </c>
      <c r="G19" s="171">
        <f t="shared" ref="G19:O19" si="3">F19*1.025</f>
        <v>102.49999999999999</v>
      </c>
      <c r="H19" s="171">
        <f t="shared" si="3"/>
        <v>105.06249999999997</v>
      </c>
      <c r="I19" s="171">
        <f t="shared" si="3"/>
        <v>107.68906249999996</v>
      </c>
      <c r="J19" s="171">
        <f t="shared" si="3"/>
        <v>110.38128906249996</v>
      </c>
      <c r="K19" s="171">
        <f t="shared" si="3"/>
        <v>113.14082128906244</v>
      </c>
      <c r="L19" s="171">
        <f t="shared" si="3"/>
        <v>115.96934182128899</v>
      </c>
      <c r="M19" s="171">
        <f t="shared" si="3"/>
        <v>118.8685753668212</v>
      </c>
      <c r="N19" s="171">
        <f t="shared" si="3"/>
        <v>121.84028975099173</v>
      </c>
      <c r="O19" s="171">
        <f t="shared" si="3"/>
        <v>124.88629699476651</v>
      </c>
      <c r="V19" s="161"/>
      <c r="X19" s="242">
        <f>NPV(Rate_of_Return,F19:O19)</f>
        <v>754.23308984982339</v>
      </c>
      <c r="Y19" s="242">
        <f>-PMT(Rate_of_Return,$E$5,X19)</f>
        <v>110.38340356452538</v>
      </c>
      <c r="Z19" s="151"/>
    </row>
    <row r="20" spans="2:26" x14ac:dyDescent="0.25">
      <c r="C20" s="174" t="s">
        <v>12</v>
      </c>
      <c r="D20" s="174"/>
      <c r="E20" s="174"/>
      <c r="F20" s="175">
        <f t="shared" ref="F20:O20" si="4">F19/$Y$19</f>
        <v>0.90593329042933801</v>
      </c>
      <c r="G20" s="175">
        <f t="shared" si="4"/>
        <v>0.92858162269007138</v>
      </c>
      <c r="H20" s="175">
        <f t="shared" si="4"/>
        <v>0.95179616325732308</v>
      </c>
      <c r="I20" s="175">
        <f t="shared" si="4"/>
        <v>0.975591067338756</v>
      </c>
      <c r="J20" s="175">
        <f t="shared" si="4"/>
        <v>0.99998084402222487</v>
      </c>
      <c r="K20" s="175">
        <f t="shared" si="4"/>
        <v>1.0249803651227805</v>
      </c>
      <c r="L20" s="175">
        <f t="shared" si="4"/>
        <v>1.0506048742508498</v>
      </c>
      <c r="M20" s="175">
        <f t="shared" si="4"/>
        <v>1.0768699961071209</v>
      </c>
      <c r="N20" s="175">
        <f t="shared" si="4"/>
        <v>1.1037917460097988</v>
      </c>
      <c r="O20" s="175">
        <f t="shared" si="4"/>
        <v>1.1313865396600438</v>
      </c>
      <c r="P20" s="150"/>
      <c r="Q20" s="150"/>
      <c r="U20" s="151"/>
      <c r="V20" s="162"/>
      <c r="W20" s="150"/>
      <c r="X20" s="242">
        <f>NPV(Rate_of_Return,F20:O20)</f>
        <v>6.8328486483833712</v>
      </c>
      <c r="Y20" s="242">
        <f>-PMT(Rate_of_Return,$E$5,X20)</f>
        <v>1.0000000000000002</v>
      </c>
      <c r="Z20" s="151"/>
    </row>
    <row r="21" spans="2:26" x14ac:dyDescent="0.25">
      <c r="C21" s="144"/>
      <c r="D21" s="144"/>
      <c r="E21" s="172"/>
      <c r="F21" s="172"/>
      <c r="G21" s="172"/>
      <c r="H21" s="172"/>
      <c r="I21" s="172"/>
      <c r="J21" s="172"/>
      <c r="K21" s="172"/>
      <c r="L21" s="172"/>
      <c r="M21" s="173"/>
      <c r="N21" s="173"/>
      <c r="O21" s="173"/>
      <c r="P21" s="173"/>
      <c r="Q21" s="173"/>
      <c r="W21" s="173"/>
      <c r="X21" s="173"/>
      <c r="Y21" s="173"/>
    </row>
    <row r="22" spans="2:26" x14ac:dyDescent="0.25">
      <c r="B22" s="163" t="s">
        <v>13</v>
      </c>
      <c r="C22" s="164"/>
      <c r="D22" s="165"/>
      <c r="E22" s="165"/>
      <c r="F22" s="165"/>
      <c r="G22" s="165"/>
      <c r="H22" s="165"/>
      <c r="I22" s="165"/>
      <c r="J22" s="165"/>
      <c r="K22" s="165"/>
      <c r="L22" s="165"/>
      <c r="M22" s="165"/>
      <c r="N22" s="165"/>
      <c r="O22" s="165"/>
    </row>
    <row r="23" spans="2:26" x14ac:dyDescent="0.25">
      <c r="B23" s="166">
        <v>1</v>
      </c>
      <c r="C23" s="165" t="s">
        <v>60</v>
      </c>
      <c r="D23" s="165"/>
      <c r="E23" s="165"/>
      <c r="F23" s="165"/>
      <c r="G23" s="165"/>
      <c r="H23" s="165"/>
      <c r="I23" s="165"/>
      <c r="J23" s="165"/>
      <c r="K23" s="165"/>
      <c r="L23" s="165"/>
      <c r="M23" s="165"/>
      <c r="N23" s="165"/>
      <c r="O23" s="165"/>
    </row>
    <row r="24" spans="2:26" x14ac:dyDescent="0.25">
      <c r="B24" s="166">
        <v>2</v>
      </c>
      <c r="C24" s="165" t="s">
        <v>138</v>
      </c>
      <c r="D24" s="165"/>
      <c r="E24" s="165"/>
      <c r="F24" s="165"/>
      <c r="G24" s="165"/>
      <c r="H24" s="165"/>
      <c r="I24" s="165"/>
      <c r="J24" s="165"/>
      <c r="K24" s="165"/>
      <c r="L24" s="165"/>
      <c r="M24" s="165"/>
      <c r="N24" s="165"/>
      <c r="O24" s="165"/>
    </row>
    <row r="25" spans="2:26" x14ac:dyDescent="0.25">
      <c r="B25" s="166">
        <v>3</v>
      </c>
      <c r="C25" s="165" t="s">
        <v>59</v>
      </c>
      <c r="D25" s="165"/>
      <c r="E25" s="165"/>
      <c r="F25" s="165"/>
      <c r="G25" s="165"/>
      <c r="H25" s="165"/>
      <c r="I25" s="165"/>
      <c r="J25" s="165"/>
      <c r="K25" s="165"/>
      <c r="L25" s="165"/>
      <c r="M25" s="165"/>
      <c r="N25" s="165"/>
      <c r="O25" s="165"/>
    </row>
    <row r="26" spans="2:26" x14ac:dyDescent="0.25">
      <c r="B26" s="166">
        <v>4</v>
      </c>
      <c r="C26" s="165" t="s">
        <v>70</v>
      </c>
      <c r="D26" s="165"/>
      <c r="E26" s="165"/>
      <c r="F26" s="165"/>
      <c r="G26" s="165"/>
      <c r="H26" s="165"/>
      <c r="I26" s="165"/>
      <c r="J26" s="165"/>
      <c r="K26" s="165"/>
      <c r="L26" s="165"/>
      <c r="M26" s="165"/>
      <c r="N26" s="165"/>
      <c r="O26" s="165"/>
    </row>
    <row r="27" spans="2:26" x14ac:dyDescent="0.25">
      <c r="B27" s="166">
        <v>5</v>
      </c>
      <c r="C27" s="165" t="s">
        <v>139</v>
      </c>
      <c r="D27" s="165"/>
      <c r="E27" s="165"/>
      <c r="F27" s="165"/>
      <c r="G27" s="165"/>
      <c r="H27" s="165"/>
      <c r="I27" s="165"/>
      <c r="J27" s="165"/>
      <c r="K27" s="165"/>
      <c r="L27" s="165"/>
      <c r="M27" s="165"/>
      <c r="N27" s="165"/>
      <c r="O27" s="165"/>
    </row>
    <row r="28" spans="2:26" x14ac:dyDescent="0.25">
      <c r="B28" s="166">
        <v>6</v>
      </c>
      <c r="C28" s="165" t="s">
        <v>140</v>
      </c>
      <c r="D28" s="165"/>
      <c r="E28" s="165"/>
      <c r="F28" s="165"/>
      <c r="G28" s="165"/>
      <c r="H28" s="165"/>
      <c r="I28" s="165"/>
      <c r="J28" s="165"/>
      <c r="K28" s="165"/>
      <c r="L28" s="165"/>
      <c r="M28" s="165"/>
      <c r="N28" s="165"/>
      <c r="O28" s="165"/>
    </row>
    <row r="29" spans="2:26" x14ac:dyDescent="0.25">
      <c r="B29" s="166">
        <v>7</v>
      </c>
      <c r="C29" s="165" t="s">
        <v>141</v>
      </c>
      <c r="D29" s="165"/>
      <c r="E29" s="165"/>
      <c r="F29" s="165"/>
      <c r="G29" s="165"/>
      <c r="H29" s="165"/>
      <c r="I29" s="165"/>
      <c r="J29" s="165"/>
      <c r="K29" s="165"/>
      <c r="L29" s="165"/>
      <c r="M29" s="165"/>
      <c r="N29" s="165"/>
      <c r="O29" s="165"/>
      <c r="P29" s="165"/>
      <c r="Q29" s="165"/>
    </row>
    <row r="30" spans="2:26" x14ac:dyDescent="0.25">
      <c r="B30" s="166">
        <v>8</v>
      </c>
      <c r="C30" s="165" t="s">
        <v>69</v>
      </c>
      <c r="D30" s="165"/>
      <c r="E30" s="165"/>
      <c r="F30" s="165"/>
      <c r="G30" s="165"/>
      <c r="H30" s="165"/>
      <c r="I30" s="165"/>
      <c r="J30" s="165"/>
      <c r="K30" s="165"/>
      <c r="L30" s="165"/>
      <c r="M30" s="165"/>
      <c r="N30" s="165"/>
      <c r="O30" s="165"/>
      <c r="P30" s="165"/>
      <c r="Q30" s="165"/>
    </row>
    <row r="31" spans="2:26" x14ac:dyDescent="0.25">
      <c r="B31" s="166">
        <v>9</v>
      </c>
      <c r="C31" s="165" t="s">
        <v>142</v>
      </c>
      <c r="D31" s="165"/>
      <c r="E31" s="165"/>
      <c r="F31" s="165"/>
      <c r="G31" s="165"/>
      <c r="H31" s="165"/>
      <c r="I31" s="165"/>
      <c r="J31" s="165"/>
      <c r="K31" s="165"/>
      <c r="L31" s="165"/>
      <c r="M31" s="165"/>
      <c r="N31" s="165"/>
      <c r="O31" s="165"/>
      <c r="P31" s="165"/>
      <c r="Q31" s="165"/>
    </row>
    <row r="32" spans="2:26" x14ac:dyDescent="0.25">
      <c r="B32" s="166">
        <v>10</v>
      </c>
      <c r="C32" s="81" t="s">
        <v>143</v>
      </c>
    </row>
    <row r="33" spans="2:25" x14ac:dyDescent="0.25">
      <c r="B33" s="166">
        <v>11</v>
      </c>
      <c r="C33" s="81" t="s">
        <v>144</v>
      </c>
    </row>
    <row r="34" spans="2:25" ht="15.6" x14ac:dyDescent="0.3">
      <c r="B34" s="168"/>
      <c r="C34" s="5"/>
      <c r="D34" s="5"/>
      <c r="E34" s="5"/>
      <c r="F34" s="5"/>
    </row>
    <row r="35" spans="2:25" ht="15.6" x14ac:dyDescent="0.3">
      <c r="B35" s="168"/>
      <c r="C35" s="5"/>
      <c r="D35" s="5"/>
      <c r="E35" s="5"/>
      <c r="F35" s="5"/>
    </row>
    <row r="37" spans="2:25" x14ac:dyDescent="0.25">
      <c r="F37" s="151"/>
      <c r="G37" s="169"/>
      <c r="H37" s="169"/>
      <c r="I37" s="169"/>
      <c r="J37" s="169"/>
      <c r="K37" s="169"/>
      <c r="L37" s="169"/>
      <c r="M37" s="169"/>
      <c r="N37" s="169"/>
      <c r="O37" s="169"/>
      <c r="P37" s="169"/>
      <c r="Q37" s="169"/>
      <c r="W37" s="169"/>
      <c r="X37" s="169"/>
      <c r="Y37" s="169"/>
    </row>
    <row r="38" spans="2:25" x14ac:dyDescent="0.25">
      <c r="G38" s="169"/>
      <c r="H38" s="169"/>
      <c r="I38" s="169"/>
      <c r="J38" s="169"/>
      <c r="K38" s="169"/>
      <c r="L38" s="169"/>
      <c r="M38" s="169"/>
      <c r="N38" s="169"/>
      <c r="O38" s="169"/>
      <c r="P38" s="169"/>
      <c r="Q38" s="169"/>
      <c r="W38" s="169"/>
      <c r="X38" s="169"/>
      <c r="Y38" s="169"/>
    </row>
    <row r="39" spans="2:25" x14ac:dyDescent="0.25">
      <c r="F39" s="151"/>
      <c r="G39" s="151"/>
      <c r="H39" s="151"/>
      <c r="I39" s="151"/>
      <c r="J39" s="151"/>
      <c r="K39" s="151"/>
      <c r="L39" s="151"/>
      <c r="M39" s="151"/>
      <c r="N39" s="151"/>
      <c r="O39" s="151"/>
      <c r="P39" s="151"/>
      <c r="Q39" s="151"/>
      <c r="W39" s="151"/>
      <c r="X39" s="151"/>
      <c r="Y39" s="151"/>
    </row>
    <row r="40" spans="2:25" x14ac:dyDescent="0.25">
      <c r="D40" s="161"/>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4" zoomScale="70" zoomScaleNormal="70" workbookViewId="0">
      <selection activeCell="C2" sqref="C2"/>
    </sheetView>
  </sheetViews>
  <sheetFormatPr defaultColWidth="9.109375" defaultRowHeight="15" x14ac:dyDescent="0.25"/>
  <cols>
    <col min="1" max="1" width="2.6640625" style="81" customWidth="1"/>
    <col min="2" max="2" width="5" style="81" customWidth="1"/>
    <col min="3" max="3" width="46.6640625" style="81" customWidth="1"/>
    <col min="4" max="4" width="2.6640625" style="81" customWidth="1"/>
    <col min="5" max="22" width="12.6640625" style="81" customWidth="1"/>
    <col min="23" max="23" width="2.6640625" style="81" customWidth="1"/>
    <col min="24" max="25" width="12.6640625" style="81" customWidth="1"/>
    <col min="26" max="30" width="12.33203125" style="81" customWidth="1"/>
    <col min="31" max="16384" width="9.109375" style="81"/>
  </cols>
  <sheetData>
    <row r="2" spans="2:31" ht="19.5" customHeight="1" x14ac:dyDescent="0.3">
      <c r="C2" s="301" t="s">
        <v>145</v>
      </c>
      <c r="D2" s="301"/>
      <c r="E2" s="301"/>
      <c r="F2" s="301"/>
      <c r="G2" s="301"/>
      <c r="H2" s="301"/>
      <c r="I2" s="301"/>
      <c r="J2" s="301"/>
      <c r="K2" s="301"/>
      <c r="L2" s="301"/>
    </row>
    <row r="3" spans="2:31" ht="15.6" x14ac:dyDescent="0.3">
      <c r="C3" s="67" t="s">
        <v>58</v>
      </c>
    </row>
    <row r="4" spans="2:31" s="141" customFormat="1" ht="45" x14ac:dyDescent="0.25">
      <c r="B4" s="140"/>
      <c r="C4" s="176" t="s">
        <v>0</v>
      </c>
      <c r="D4" s="176"/>
      <c r="E4" s="176" t="s">
        <v>1</v>
      </c>
      <c r="F4" s="176" t="s">
        <v>2</v>
      </c>
      <c r="G4" s="176" t="s">
        <v>3</v>
      </c>
      <c r="H4" s="176" t="s">
        <v>4</v>
      </c>
      <c r="I4" s="176" t="s">
        <v>5</v>
      </c>
      <c r="J4" s="176" t="s">
        <v>6</v>
      </c>
      <c r="K4" s="176" t="s">
        <v>7</v>
      </c>
      <c r="L4" s="177" t="s">
        <v>14</v>
      </c>
      <c r="M4" s="177"/>
    </row>
    <row r="5" spans="2:31" x14ac:dyDescent="0.25">
      <c r="C5" s="179"/>
      <c r="D5" s="180"/>
      <c r="E5" s="181">
        <v>15</v>
      </c>
      <c r="F5" s="182">
        <v>0.02</v>
      </c>
      <c r="G5" s="183" t="s">
        <v>8</v>
      </c>
      <c r="H5" s="184">
        <f>'Electric EES CE Std Energy'!D23</f>
        <v>2.2664104755183958E-2</v>
      </c>
      <c r="I5" s="185">
        <f>'Electric EES CE Std Capacity'!M23</f>
        <v>4.4076629723260362E-3</v>
      </c>
      <c r="J5" s="185">
        <f>H5+I5</f>
        <v>2.7071767727509993E-2</v>
      </c>
      <c r="K5" s="186">
        <f>J5</f>
        <v>2.7071767727509993E-2</v>
      </c>
      <c r="L5" s="187">
        <f>K5*1000</f>
        <v>27.071767727509993</v>
      </c>
      <c r="M5" s="170"/>
    </row>
    <row r="6" spans="2:31" ht="15.6" x14ac:dyDescent="0.3">
      <c r="C6" s="178"/>
      <c r="D6" s="178"/>
      <c r="E6" s="144"/>
      <c r="F6" s="144"/>
      <c r="G6" s="144"/>
      <c r="H6" s="47"/>
      <c r="I6" s="146"/>
      <c r="J6" s="47"/>
      <c r="K6" s="146"/>
      <c r="L6" s="146">
        <f>L5*(1-M6)</f>
        <v>26.259614695684693</v>
      </c>
      <c r="M6" s="147">
        <v>0.03</v>
      </c>
      <c r="N6" s="148" t="s">
        <v>46</v>
      </c>
    </row>
    <row r="7" spans="2:31" x14ac:dyDescent="0.25">
      <c r="C7" s="149"/>
      <c r="D7" s="145"/>
      <c r="H7" s="63"/>
      <c r="I7" s="143"/>
      <c r="J7" s="63"/>
      <c r="K7" s="143"/>
      <c r="L7" s="143"/>
      <c r="M7" s="144"/>
    </row>
    <row r="8" spans="2:31" ht="15.6" x14ac:dyDescent="0.3">
      <c r="C8" s="144"/>
      <c r="D8" s="144"/>
      <c r="E8" s="144"/>
      <c r="F8" s="144"/>
      <c r="G8" s="144"/>
      <c r="H8" s="150"/>
      <c r="I8" s="150"/>
      <c r="J8" s="150"/>
      <c r="K8" s="150"/>
      <c r="L8" s="150"/>
      <c r="M8" s="150"/>
      <c r="N8" s="150"/>
      <c r="O8" s="150"/>
      <c r="P8" s="150"/>
      <c r="Q8" s="150"/>
      <c r="R8" s="150"/>
      <c r="S8" s="150"/>
      <c r="T8" s="150"/>
      <c r="U8" s="151"/>
      <c r="V8" s="151"/>
      <c r="W8" s="151"/>
      <c r="X8" s="243" t="s">
        <v>105</v>
      </c>
      <c r="Y8" s="151"/>
      <c r="Z8" s="151"/>
      <c r="AA8" s="151"/>
    </row>
    <row r="9" spans="2:31" x14ac:dyDescent="0.25">
      <c r="C9" s="152" t="s">
        <v>9</v>
      </c>
      <c r="D9" s="152"/>
      <c r="E9" s="152"/>
      <c r="F9" s="153">
        <f>+L6</f>
        <v>26.259614695684693</v>
      </c>
      <c r="G9" s="153">
        <f t="shared" ref="G9:T9" si="0">F9</f>
        <v>26.259614695684693</v>
      </c>
      <c r="H9" s="153">
        <f t="shared" si="0"/>
        <v>26.259614695684693</v>
      </c>
      <c r="I9" s="153">
        <f t="shared" si="0"/>
        <v>26.259614695684693</v>
      </c>
      <c r="J9" s="153">
        <f t="shared" si="0"/>
        <v>26.259614695684693</v>
      </c>
      <c r="K9" s="153">
        <f t="shared" si="0"/>
        <v>26.259614695684693</v>
      </c>
      <c r="L9" s="153">
        <f t="shared" si="0"/>
        <v>26.259614695684693</v>
      </c>
      <c r="M9" s="153">
        <f t="shared" si="0"/>
        <v>26.259614695684693</v>
      </c>
      <c r="N9" s="153">
        <f t="shared" si="0"/>
        <v>26.259614695684693</v>
      </c>
      <c r="O9" s="153">
        <f t="shared" si="0"/>
        <v>26.259614695684693</v>
      </c>
      <c r="P9" s="153">
        <f t="shared" si="0"/>
        <v>26.259614695684693</v>
      </c>
      <c r="Q9" s="153">
        <f t="shared" si="0"/>
        <v>26.259614695684693</v>
      </c>
      <c r="R9" s="153">
        <f t="shared" si="0"/>
        <v>26.259614695684693</v>
      </c>
      <c r="S9" s="153">
        <f t="shared" si="0"/>
        <v>26.259614695684693</v>
      </c>
      <c r="T9" s="153">
        <f t="shared" si="0"/>
        <v>26.259614695684693</v>
      </c>
      <c r="U9" s="63"/>
      <c r="V9" s="63"/>
      <c r="W9" s="63"/>
      <c r="X9" s="242">
        <f>NPV(Rate_of_Return,F9:T9)</f>
        <v>230.36415456043338</v>
      </c>
      <c r="Y9" s="242">
        <f>-PMT(Rate_of_Return,15,X9)</f>
        <v>26.259614695684686</v>
      </c>
      <c r="Z9" s="63"/>
      <c r="AA9" s="63"/>
    </row>
    <row r="10" spans="2:31" x14ac:dyDescent="0.25">
      <c r="C10" s="144"/>
      <c r="D10" s="144"/>
      <c r="E10" s="144"/>
      <c r="F10" s="154"/>
      <c r="G10" s="154"/>
      <c r="H10" s="154"/>
      <c r="I10" s="154"/>
      <c r="J10" s="154"/>
      <c r="K10" s="154"/>
      <c r="L10" s="154"/>
      <c r="M10" s="154"/>
      <c r="N10" s="154"/>
      <c r="O10" s="154"/>
      <c r="P10" s="154"/>
      <c r="Q10" s="154"/>
      <c r="R10" s="154"/>
      <c r="S10" s="154"/>
      <c r="T10" s="154"/>
      <c r="U10" s="63"/>
      <c r="V10" s="63"/>
      <c r="W10" s="63"/>
      <c r="X10" s="47"/>
      <c r="Y10" s="47"/>
      <c r="Z10" s="63"/>
      <c r="AA10" s="63"/>
    </row>
    <row r="11" spans="2:31" x14ac:dyDescent="0.25">
      <c r="C11" s="81" t="s">
        <v>76</v>
      </c>
      <c r="F11" s="292">
        <v>1</v>
      </c>
      <c r="G11" s="292">
        <v>2</v>
      </c>
      <c r="H11" s="292">
        <v>3</v>
      </c>
      <c r="I11" s="292">
        <v>4</v>
      </c>
      <c r="J11" s="292">
        <v>5</v>
      </c>
      <c r="K11" s="292">
        <v>6</v>
      </c>
      <c r="L11" s="292">
        <v>7</v>
      </c>
      <c r="M11" s="292">
        <v>8</v>
      </c>
      <c r="N11" s="292">
        <v>9</v>
      </c>
      <c r="O11" s="292">
        <v>10</v>
      </c>
      <c r="P11" s="292">
        <v>11</v>
      </c>
      <c r="Q11" s="292">
        <v>12</v>
      </c>
      <c r="R11" s="292">
        <v>13</v>
      </c>
      <c r="S11" s="292">
        <v>14</v>
      </c>
      <c r="T11" s="292">
        <v>15</v>
      </c>
      <c r="U11" s="292">
        <v>16</v>
      </c>
      <c r="V11" s="292">
        <v>17</v>
      </c>
      <c r="W11" s="63"/>
      <c r="X11" s="63"/>
      <c r="Y11" s="63"/>
      <c r="Z11" s="63"/>
      <c r="AA11" s="63"/>
    </row>
    <row r="12" spans="2:31" ht="15.6" x14ac:dyDescent="0.3">
      <c r="C12" s="144"/>
      <c r="D12" s="142"/>
      <c r="E12" s="144"/>
      <c r="F12" s="155">
        <f>'Energy Prices'!$C$6</f>
        <v>2019</v>
      </c>
      <c r="G12" s="155">
        <f>F12+1</f>
        <v>2020</v>
      </c>
      <c r="H12" s="155">
        <f>G12+1</f>
        <v>2021</v>
      </c>
      <c r="I12" s="155">
        <f t="shared" ref="I12:T12" si="1">H12+1</f>
        <v>2022</v>
      </c>
      <c r="J12" s="155">
        <f t="shared" si="1"/>
        <v>2023</v>
      </c>
      <c r="K12" s="155">
        <f t="shared" si="1"/>
        <v>2024</v>
      </c>
      <c r="L12" s="155">
        <f t="shared" si="1"/>
        <v>2025</v>
      </c>
      <c r="M12" s="155">
        <f t="shared" si="1"/>
        <v>2026</v>
      </c>
      <c r="N12" s="155">
        <f t="shared" si="1"/>
        <v>2027</v>
      </c>
      <c r="O12" s="155">
        <f t="shared" si="1"/>
        <v>2028</v>
      </c>
      <c r="P12" s="155">
        <f t="shared" si="1"/>
        <v>2029</v>
      </c>
      <c r="Q12" s="155">
        <f t="shared" si="1"/>
        <v>2030</v>
      </c>
      <c r="R12" s="155">
        <f t="shared" si="1"/>
        <v>2031</v>
      </c>
      <c r="S12" s="155">
        <f t="shared" si="1"/>
        <v>2032</v>
      </c>
      <c r="T12" s="155">
        <f t="shared" si="1"/>
        <v>2033</v>
      </c>
      <c r="U12" s="155">
        <f>T12+1</f>
        <v>2034</v>
      </c>
      <c r="V12" s="155">
        <f>U12+1</f>
        <v>2035</v>
      </c>
      <c r="W12" s="282"/>
      <c r="X12" s="243" t="s">
        <v>105</v>
      </c>
      <c r="Y12" s="47"/>
      <c r="Z12" s="151"/>
      <c r="AA12" s="151"/>
    </row>
    <row r="13" spans="2:31" ht="52.95" customHeight="1" x14ac:dyDescent="0.25">
      <c r="B13" s="144"/>
      <c r="C13" s="293" t="s">
        <v>137</v>
      </c>
      <c r="D13" s="144"/>
      <c r="F13" s="192">
        <f t="shared" ref="F13:T13" si="2">F$9*F$20</f>
        <v>22.711166371345737</v>
      </c>
      <c r="G13" s="193">
        <f>G$9*G$20</f>
        <v>23.278945530629379</v>
      </c>
      <c r="H13" s="194">
        <f t="shared" si="2"/>
        <v>23.860919168895112</v>
      </c>
      <c r="I13" s="194">
        <f t="shared" si="2"/>
        <v>24.457442148117487</v>
      </c>
      <c r="J13" s="194">
        <f t="shared" si="2"/>
        <v>25.068878201820421</v>
      </c>
      <c r="K13" s="194">
        <f t="shared" si="2"/>
        <v>25.695600156865932</v>
      </c>
      <c r="L13" s="194">
        <f t="shared" si="2"/>
        <v>26.337990160787573</v>
      </c>
      <c r="M13" s="194">
        <f t="shared" si="2"/>
        <v>26.996439914807265</v>
      </c>
      <c r="N13" s="194">
        <f t="shared" si="2"/>
        <v>27.67135091267744</v>
      </c>
      <c r="O13" s="194">
        <f t="shared" si="2"/>
        <v>28.363134685494373</v>
      </c>
      <c r="P13" s="194">
        <f t="shared" si="2"/>
        <v>29.072213052631732</v>
      </c>
      <c r="Q13" s="194">
        <f t="shared" si="2"/>
        <v>29.799018378947519</v>
      </c>
      <c r="R13" s="194">
        <f t="shared" si="2"/>
        <v>30.543993838421208</v>
      </c>
      <c r="S13" s="194">
        <f t="shared" si="2"/>
        <v>31.307593684381732</v>
      </c>
      <c r="T13" s="194">
        <f t="shared" si="2"/>
        <v>32.09028352649127</v>
      </c>
      <c r="U13" s="281">
        <f>T13*1.025</f>
        <v>32.892540614653548</v>
      </c>
      <c r="V13" s="281">
        <f>U13*1.025</f>
        <v>33.714854130019887</v>
      </c>
      <c r="W13" s="157"/>
      <c r="X13" s="242">
        <f>NPV(Rate_of_Return,F13:T13)</f>
        <v>230.36415456043343</v>
      </c>
      <c r="Y13" s="242">
        <f>-PMT(Rate_of_Return,15,X13)</f>
        <v>26.259614695684689</v>
      </c>
      <c r="Z13" s="157"/>
      <c r="AA13" s="157"/>
      <c r="AE13" s="158"/>
    </row>
    <row r="14" spans="2:31" x14ac:dyDescent="0.25">
      <c r="C14" s="156"/>
      <c r="E14" s="159"/>
      <c r="F14" s="157"/>
      <c r="G14" s="157"/>
      <c r="H14" s="157"/>
      <c r="I14" s="157"/>
      <c r="J14" s="157"/>
      <c r="K14" s="157"/>
      <c r="L14" s="157"/>
      <c r="M14" s="157"/>
      <c r="N14" s="157"/>
      <c r="O14" s="157"/>
      <c r="P14" s="157"/>
      <c r="Q14" s="157"/>
      <c r="R14" s="157"/>
      <c r="S14" s="157"/>
      <c r="T14" s="157"/>
      <c r="U14" s="157"/>
      <c r="V14" s="157"/>
      <c r="W14" s="157"/>
      <c r="X14" s="151"/>
      <c r="Y14" s="151"/>
      <c r="Z14" s="151"/>
      <c r="AA14" s="151"/>
    </row>
    <row r="15" spans="2:31" x14ac:dyDescent="0.25">
      <c r="C15" s="160"/>
      <c r="E15" s="159"/>
      <c r="F15" s="157"/>
      <c r="G15" s="300"/>
      <c r="H15" s="157"/>
      <c r="I15" s="157"/>
      <c r="J15" s="157"/>
      <c r="K15" s="157"/>
      <c r="L15" s="157"/>
      <c r="M15" s="157"/>
      <c r="N15" s="157"/>
      <c r="O15" s="157"/>
      <c r="P15" s="157"/>
      <c r="Q15" s="157"/>
      <c r="R15" s="157"/>
      <c r="S15" s="157"/>
      <c r="T15" s="157"/>
      <c r="U15" s="157"/>
      <c r="V15" s="157"/>
      <c r="W15" s="157"/>
      <c r="X15" s="151"/>
      <c r="Y15" s="151"/>
      <c r="Z15" s="151"/>
      <c r="AA15" s="151"/>
    </row>
    <row r="16" spans="2:31" x14ac:dyDescent="0.25">
      <c r="C16" s="81" t="s">
        <v>10</v>
      </c>
      <c r="Q16" s="151"/>
      <c r="R16" s="151"/>
    </row>
    <row r="17" spans="2:27" x14ac:dyDescent="0.25">
      <c r="Q17" s="151"/>
      <c r="R17" s="151"/>
    </row>
    <row r="18" spans="2:27" ht="15.6" x14ac:dyDescent="0.3">
      <c r="C18" s="144"/>
      <c r="D18" s="144"/>
      <c r="E18" s="144"/>
      <c r="F18" s="144"/>
      <c r="G18" s="144"/>
      <c r="H18" s="144"/>
      <c r="I18" s="144"/>
      <c r="J18" s="144"/>
      <c r="K18" s="144"/>
      <c r="L18" s="144"/>
      <c r="M18" s="144"/>
      <c r="N18" s="144"/>
      <c r="O18" s="144"/>
      <c r="P18" s="144"/>
      <c r="Q18" s="150"/>
      <c r="R18" s="150"/>
      <c r="S18" s="144"/>
      <c r="T18" s="144"/>
      <c r="X18" s="243" t="s">
        <v>105</v>
      </c>
      <c r="Y18" s="144"/>
    </row>
    <row r="19" spans="2:27" x14ac:dyDescent="0.25">
      <c r="C19" s="152" t="s">
        <v>11</v>
      </c>
      <c r="D19" s="152"/>
      <c r="E19" s="152"/>
      <c r="F19" s="171">
        <v>100</v>
      </c>
      <c r="G19" s="171">
        <f t="shared" ref="G19:T19" si="3">F19*1.025</f>
        <v>102.49999999999999</v>
      </c>
      <c r="H19" s="171">
        <f t="shared" si="3"/>
        <v>105.06249999999997</v>
      </c>
      <c r="I19" s="171">
        <f t="shared" si="3"/>
        <v>107.68906249999996</v>
      </c>
      <c r="J19" s="171">
        <f t="shared" si="3"/>
        <v>110.38128906249996</v>
      </c>
      <c r="K19" s="171">
        <f t="shared" si="3"/>
        <v>113.14082128906244</v>
      </c>
      <c r="L19" s="171">
        <f t="shared" si="3"/>
        <v>115.96934182128899</v>
      </c>
      <c r="M19" s="171">
        <f t="shared" si="3"/>
        <v>118.8685753668212</v>
      </c>
      <c r="N19" s="171">
        <f t="shared" si="3"/>
        <v>121.84028975099173</v>
      </c>
      <c r="O19" s="171">
        <f t="shared" si="3"/>
        <v>124.88629699476651</v>
      </c>
      <c r="P19" s="171">
        <f t="shared" si="3"/>
        <v>128.00845441963565</v>
      </c>
      <c r="Q19" s="171">
        <f t="shared" si="3"/>
        <v>131.20866578012652</v>
      </c>
      <c r="R19" s="171">
        <f t="shared" si="3"/>
        <v>134.48888242462968</v>
      </c>
      <c r="S19" s="171">
        <f t="shared" si="3"/>
        <v>137.8511044852454</v>
      </c>
      <c r="T19" s="171">
        <f t="shared" si="3"/>
        <v>141.29738209737653</v>
      </c>
      <c r="U19" s="161"/>
      <c r="V19" s="161"/>
      <c r="W19" s="161"/>
      <c r="X19" s="196">
        <f>NPV(Rate_of_Return,F19:T19)</f>
        <v>1014.3211088052249</v>
      </c>
      <c r="Y19" s="196">
        <f>-PMT(Rate_of_Return,15,X19)</f>
        <v>115.62424521188822</v>
      </c>
      <c r="Z19" s="151"/>
      <c r="AA19" s="151"/>
    </row>
    <row r="20" spans="2:27" x14ac:dyDescent="0.25">
      <c r="C20" s="174" t="s">
        <v>12</v>
      </c>
      <c r="D20" s="174"/>
      <c r="E20" s="174"/>
      <c r="F20" s="175">
        <f>F19/$Y$19</f>
        <v>0.86487051065063492</v>
      </c>
      <c r="G20" s="175">
        <f t="shared" ref="G20:T20" si="4">G19/$Y$19</f>
        <v>0.88649227341690073</v>
      </c>
      <c r="H20" s="175">
        <f t="shared" si="4"/>
        <v>0.90865458025232315</v>
      </c>
      <c r="I20" s="175">
        <f t="shared" si="4"/>
        <v>0.93137094475863114</v>
      </c>
      <c r="J20" s="175">
        <f t="shared" si="4"/>
        <v>0.95465521837759681</v>
      </c>
      <c r="K20" s="175">
        <f t="shared" si="4"/>
        <v>0.97852159883703671</v>
      </c>
      <c r="L20" s="175">
        <f t="shared" si="4"/>
        <v>1.0029846388079624</v>
      </c>
      <c r="M20" s="175">
        <f t="shared" si="4"/>
        <v>1.0280592547781615</v>
      </c>
      <c r="N20" s="175">
        <f t="shared" si="4"/>
        <v>1.0537607361476153</v>
      </c>
      <c r="O20" s="175">
        <f t="shared" si="4"/>
        <v>1.0801047545513056</v>
      </c>
      <c r="P20" s="175">
        <f t="shared" si="4"/>
        <v>1.1071073734150882</v>
      </c>
      <c r="Q20" s="175">
        <f t="shared" si="4"/>
        <v>1.1347850577504652</v>
      </c>
      <c r="R20" s="175">
        <f t="shared" si="4"/>
        <v>1.1631546841942269</v>
      </c>
      <c r="S20" s="175">
        <f t="shared" si="4"/>
        <v>1.1922335512990823</v>
      </c>
      <c r="T20" s="175">
        <f t="shared" si="4"/>
        <v>1.2220393900815592</v>
      </c>
      <c r="U20" s="162"/>
      <c r="V20" s="162"/>
      <c r="W20" s="162"/>
      <c r="X20" s="195">
        <f>NPV(Rate_of_Return,F20:T20)</f>
        <v>8.7725641533609284</v>
      </c>
      <c r="Y20" s="195">
        <f>-PMT(Rate_of_Return,15,X20)</f>
        <v>0.99999999999999967</v>
      </c>
      <c r="Z20" s="151"/>
      <c r="AA20" s="151"/>
    </row>
    <row r="21" spans="2:27" x14ac:dyDescent="0.25">
      <c r="C21" s="144"/>
      <c r="D21" s="144"/>
      <c r="E21" s="172"/>
      <c r="F21" s="172"/>
      <c r="G21" s="172"/>
      <c r="H21" s="172"/>
      <c r="I21" s="172"/>
      <c r="J21" s="172"/>
      <c r="K21" s="172"/>
      <c r="L21" s="172"/>
      <c r="M21" s="173"/>
      <c r="N21" s="173"/>
      <c r="O21" s="173"/>
      <c r="P21" s="173"/>
      <c r="Q21" s="173"/>
      <c r="R21" s="173"/>
      <c r="S21" s="173"/>
      <c r="T21" s="173"/>
      <c r="X21" s="144"/>
      <c r="Y21" s="144"/>
    </row>
    <row r="22" spans="2:27" x14ac:dyDescent="0.25">
      <c r="B22" s="163" t="s">
        <v>13</v>
      </c>
      <c r="C22" s="164"/>
      <c r="D22" s="165"/>
      <c r="E22" s="165"/>
      <c r="F22" s="165"/>
      <c r="G22" s="165"/>
      <c r="H22" s="165"/>
      <c r="I22" s="165"/>
      <c r="J22" s="165"/>
      <c r="K22" s="165"/>
      <c r="L22" s="165"/>
      <c r="M22" s="165"/>
      <c r="N22" s="165"/>
      <c r="O22" s="165"/>
      <c r="Z22" s="160"/>
    </row>
    <row r="23" spans="2:27" x14ac:dyDescent="0.25">
      <c r="B23" s="166">
        <v>1</v>
      </c>
      <c r="C23" s="165" t="s">
        <v>60</v>
      </c>
      <c r="D23" s="165"/>
      <c r="E23" s="165"/>
      <c r="F23" s="165"/>
      <c r="G23" s="165"/>
      <c r="H23" s="165"/>
      <c r="I23" s="165"/>
      <c r="J23" s="165"/>
      <c r="K23" s="165"/>
      <c r="L23" s="165"/>
      <c r="M23" s="165"/>
      <c r="N23" s="165"/>
      <c r="O23" s="165"/>
      <c r="Z23" s="156"/>
    </row>
    <row r="24" spans="2:27" x14ac:dyDescent="0.25">
      <c r="B24" s="166">
        <v>2</v>
      </c>
      <c r="C24" s="165" t="s">
        <v>138</v>
      </c>
      <c r="D24" s="165"/>
      <c r="E24" s="165"/>
      <c r="F24" s="165"/>
      <c r="G24" s="165"/>
      <c r="H24" s="165"/>
      <c r="I24" s="165"/>
      <c r="J24" s="165"/>
      <c r="K24" s="165"/>
      <c r="L24" s="165"/>
      <c r="M24" s="165"/>
      <c r="N24" s="165"/>
      <c r="O24" s="165"/>
      <c r="Z24" s="157"/>
    </row>
    <row r="25" spans="2:27" x14ac:dyDescent="0.25">
      <c r="B25" s="166">
        <v>3</v>
      </c>
      <c r="C25" s="165" t="s">
        <v>59</v>
      </c>
      <c r="D25" s="165"/>
      <c r="E25" s="165"/>
      <c r="F25" s="165"/>
      <c r="G25" s="165"/>
      <c r="H25" s="165"/>
      <c r="I25" s="165"/>
      <c r="J25" s="165"/>
      <c r="K25" s="165"/>
      <c r="L25" s="165"/>
      <c r="M25" s="165"/>
      <c r="N25" s="165"/>
      <c r="O25" s="165"/>
      <c r="Z25" s="167"/>
    </row>
    <row r="26" spans="2:27" x14ac:dyDescent="0.25">
      <c r="B26" s="166">
        <v>4</v>
      </c>
      <c r="C26" s="165" t="s">
        <v>70</v>
      </c>
      <c r="D26" s="165"/>
      <c r="E26" s="165"/>
      <c r="F26" s="165"/>
      <c r="G26" s="165"/>
      <c r="H26" s="165"/>
      <c r="I26" s="165"/>
      <c r="J26" s="165"/>
      <c r="K26" s="165"/>
      <c r="L26" s="165"/>
      <c r="M26" s="165"/>
      <c r="N26" s="165"/>
      <c r="O26" s="165"/>
      <c r="Z26" s="167"/>
    </row>
    <row r="27" spans="2:27" x14ac:dyDescent="0.25">
      <c r="B27" s="166">
        <v>5</v>
      </c>
      <c r="C27" s="165" t="s">
        <v>139</v>
      </c>
      <c r="D27" s="165"/>
      <c r="E27" s="165"/>
      <c r="F27" s="165"/>
      <c r="G27" s="165"/>
      <c r="H27" s="165"/>
      <c r="I27" s="165"/>
      <c r="J27" s="165"/>
      <c r="K27" s="165"/>
      <c r="L27" s="165"/>
      <c r="M27" s="165"/>
      <c r="N27" s="165"/>
      <c r="O27" s="165"/>
      <c r="Z27" s="156"/>
    </row>
    <row r="28" spans="2:27" x14ac:dyDescent="0.25">
      <c r="B28" s="166">
        <v>6</v>
      </c>
      <c r="C28" s="165" t="s">
        <v>140</v>
      </c>
      <c r="D28" s="165"/>
      <c r="E28" s="165"/>
      <c r="F28" s="165"/>
      <c r="G28" s="165"/>
      <c r="H28" s="165"/>
      <c r="I28" s="165"/>
      <c r="J28" s="165"/>
      <c r="K28" s="165"/>
      <c r="L28" s="165"/>
      <c r="M28" s="165"/>
      <c r="N28" s="165"/>
      <c r="O28" s="165"/>
      <c r="Z28" s="157"/>
    </row>
    <row r="29" spans="2:27" x14ac:dyDescent="0.25">
      <c r="B29" s="166">
        <v>7</v>
      </c>
      <c r="C29" s="165" t="s">
        <v>141</v>
      </c>
      <c r="D29" s="165"/>
      <c r="E29" s="165"/>
      <c r="F29" s="165"/>
      <c r="G29" s="165"/>
      <c r="H29" s="165"/>
      <c r="I29" s="165"/>
      <c r="J29" s="165"/>
      <c r="K29" s="165"/>
      <c r="L29" s="165"/>
      <c r="M29" s="165"/>
      <c r="N29" s="165"/>
      <c r="O29" s="165"/>
      <c r="P29" s="165"/>
      <c r="Q29" s="165"/>
    </row>
    <row r="30" spans="2:27" x14ac:dyDescent="0.25">
      <c r="B30" s="166">
        <v>8</v>
      </c>
      <c r="C30" s="165" t="s">
        <v>69</v>
      </c>
      <c r="D30" s="165"/>
      <c r="E30" s="165"/>
      <c r="F30" s="165"/>
      <c r="G30" s="165"/>
      <c r="H30" s="165"/>
      <c r="I30" s="165"/>
      <c r="J30" s="165"/>
      <c r="K30" s="165"/>
      <c r="L30" s="165"/>
      <c r="M30" s="165"/>
      <c r="N30" s="165"/>
      <c r="O30" s="165"/>
      <c r="P30" s="165"/>
      <c r="Q30" s="165"/>
    </row>
    <row r="31" spans="2:27" x14ac:dyDescent="0.25">
      <c r="B31" s="166">
        <v>9</v>
      </c>
      <c r="C31" s="165" t="s">
        <v>142</v>
      </c>
      <c r="D31" s="165"/>
      <c r="E31" s="165"/>
      <c r="F31" s="165"/>
      <c r="G31" s="165"/>
      <c r="H31" s="165"/>
      <c r="I31" s="165"/>
      <c r="J31" s="165"/>
      <c r="K31" s="165"/>
      <c r="L31" s="165"/>
      <c r="M31" s="165"/>
      <c r="N31" s="165"/>
      <c r="O31" s="165"/>
      <c r="P31" s="165"/>
      <c r="Q31" s="165"/>
    </row>
    <row r="32" spans="2:27" x14ac:dyDescent="0.25">
      <c r="B32" s="166">
        <v>10</v>
      </c>
      <c r="C32" s="81" t="s">
        <v>143</v>
      </c>
    </row>
    <row r="33" spans="2:20" x14ac:dyDescent="0.25">
      <c r="B33" s="166">
        <v>11</v>
      </c>
      <c r="C33" s="81" t="s">
        <v>144</v>
      </c>
    </row>
    <row r="34" spans="2:20" ht="15.6" x14ac:dyDescent="0.3">
      <c r="B34" s="168"/>
      <c r="C34" s="5"/>
      <c r="D34" s="5"/>
      <c r="E34" s="5"/>
      <c r="F34" s="5"/>
    </row>
    <row r="35" spans="2:20" ht="15.6" x14ac:dyDescent="0.3">
      <c r="B35" s="168"/>
      <c r="C35" s="5"/>
      <c r="D35" s="5"/>
      <c r="E35" s="5"/>
      <c r="F35" s="5"/>
    </row>
    <row r="37" spans="2:20" x14ac:dyDescent="0.25">
      <c r="F37" s="151"/>
      <c r="G37" s="169"/>
      <c r="H37" s="169"/>
      <c r="I37" s="169"/>
      <c r="J37" s="169"/>
      <c r="K37" s="169"/>
      <c r="L37" s="169"/>
      <c r="M37" s="169"/>
      <c r="N37" s="169"/>
      <c r="O37" s="169"/>
      <c r="P37" s="169"/>
      <c r="Q37" s="169"/>
      <c r="R37" s="169"/>
      <c r="S37" s="169"/>
      <c r="T37" s="169"/>
    </row>
    <row r="38" spans="2:20" x14ac:dyDescent="0.25">
      <c r="G38" s="169"/>
      <c r="H38" s="169"/>
      <c r="I38" s="169"/>
      <c r="J38" s="169"/>
      <c r="K38" s="169"/>
      <c r="L38" s="169"/>
      <c r="M38" s="169"/>
      <c r="N38" s="169"/>
      <c r="O38" s="169"/>
      <c r="P38" s="169"/>
      <c r="Q38" s="169"/>
      <c r="R38" s="169"/>
      <c r="S38" s="169"/>
      <c r="T38" s="169"/>
    </row>
    <row r="39" spans="2:20" x14ac:dyDescent="0.25">
      <c r="F39" s="151"/>
      <c r="G39" s="151"/>
      <c r="H39" s="151"/>
      <c r="I39" s="151"/>
      <c r="J39" s="151"/>
      <c r="K39" s="151"/>
      <c r="L39" s="151"/>
      <c r="M39" s="151"/>
      <c r="N39" s="151"/>
      <c r="O39" s="151"/>
      <c r="P39" s="151"/>
      <c r="Q39" s="151"/>
      <c r="R39" s="151"/>
      <c r="S39" s="151"/>
      <c r="T39" s="151"/>
    </row>
    <row r="40" spans="2:20" x14ac:dyDescent="0.25">
      <c r="D40" s="161"/>
    </row>
  </sheetData>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pane ySplit="8" topLeftCell="A9" activePane="bottomLeft" state="frozen"/>
      <selection activeCell="F13" sqref="F13"/>
      <selection pane="bottomLeft" activeCell="B13" sqref="B13"/>
    </sheetView>
  </sheetViews>
  <sheetFormatPr defaultRowHeight="13.2" x14ac:dyDescent="0.25"/>
  <cols>
    <col min="1" max="1" width="2.6640625" customWidth="1"/>
    <col min="2" max="2" width="12.44140625" customWidth="1"/>
    <col min="3" max="4" width="14.6640625" customWidth="1"/>
    <col min="5" max="5" width="12.44140625" customWidth="1"/>
  </cols>
  <sheetData>
    <row r="2" spans="2:6" ht="15.6" x14ac:dyDescent="0.3">
      <c r="B2" s="5" t="str">
        <f>+FlatLoadShapeEnergy_perMWh!P4</f>
        <v>Levelized Cost Effectiveness Standard-Energy</v>
      </c>
    </row>
    <row r="3" spans="2:6" ht="13.8" x14ac:dyDescent="0.25">
      <c r="B3" s="317" t="s">
        <v>71</v>
      </c>
      <c r="C3" s="317"/>
      <c r="D3" s="52"/>
    </row>
    <row r="4" spans="2:6" x14ac:dyDescent="0.25">
      <c r="B4" s="318" t="str">
        <f>+FlatLoadShapeEnergy_perMWh!C6</f>
        <v xml:space="preserve"> T&amp;D Line Loss Reduction [4]</v>
      </c>
      <c r="C4" s="319"/>
      <c r="D4" s="199">
        <f>+FlatLoadShapeEnergy_perMWh!E6</f>
        <v>2.7E-2</v>
      </c>
      <c r="E4" s="52"/>
    </row>
    <row r="5" spans="2:6" x14ac:dyDescent="0.25">
      <c r="B5" s="320" t="s">
        <v>63</v>
      </c>
      <c r="C5" s="320"/>
      <c r="D5" s="200">
        <f>Rate_of_Return</f>
        <v>7.5999999999999998E-2</v>
      </c>
      <c r="E5" s="70"/>
    </row>
    <row r="6" spans="2:6" x14ac:dyDescent="0.25">
      <c r="B6" s="7"/>
      <c r="C6" s="32"/>
      <c r="D6" s="70"/>
      <c r="E6" s="1"/>
    </row>
    <row r="7" spans="2:6" x14ac:dyDescent="0.25">
      <c r="C7" s="2"/>
      <c r="D7" s="2"/>
    </row>
    <row r="8" spans="2:6" s="7" customFormat="1" ht="45.75" customHeight="1" x14ac:dyDescent="0.25">
      <c r="B8" s="6" t="s">
        <v>1</v>
      </c>
      <c r="C8" s="6" t="s">
        <v>134</v>
      </c>
      <c r="D8" s="38" t="s">
        <v>135</v>
      </c>
      <c r="E8"/>
      <c r="F8"/>
    </row>
    <row r="9" spans="2:6" x14ac:dyDescent="0.25">
      <c r="B9" s="8">
        <v>1</v>
      </c>
      <c r="C9" s="55">
        <f>+FlatLoadShapeEnergy_perMWh!P7</f>
        <v>24.62902768126666</v>
      </c>
      <c r="D9" s="197">
        <f t="shared" ref="D9:D27" si="0">C9/1000</f>
        <v>2.4629027681266659E-2</v>
      </c>
    </row>
    <row r="10" spans="2:6" x14ac:dyDescent="0.25">
      <c r="B10" s="8">
        <v>2</v>
      </c>
      <c r="C10" s="55">
        <f>+FlatLoadShapeEnergy_perMWh!P8</f>
        <v>23.441374197415506</v>
      </c>
      <c r="D10" s="197">
        <f t="shared" si="0"/>
        <v>2.3441374197415505E-2</v>
      </c>
    </row>
    <row r="11" spans="2:6" x14ac:dyDescent="0.25">
      <c r="B11" s="8">
        <v>3</v>
      </c>
      <c r="C11" s="55">
        <f>+FlatLoadShapeEnergy_perMWh!P9</f>
        <v>22.638309555742577</v>
      </c>
      <c r="D11" s="197">
        <f t="shared" si="0"/>
        <v>2.2638309555742576E-2</v>
      </c>
    </row>
    <row r="12" spans="2:6" x14ac:dyDescent="0.25">
      <c r="B12" s="8">
        <v>4</v>
      </c>
      <c r="C12" s="55">
        <f>+FlatLoadShapeEnergy_perMWh!P10</f>
        <v>21.958969325419218</v>
      </c>
      <c r="D12" s="197">
        <f t="shared" si="0"/>
        <v>2.1958969325419218E-2</v>
      </c>
    </row>
    <row r="13" spans="2:6" x14ac:dyDescent="0.25">
      <c r="B13" s="8">
        <v>5</v>
      </c>
      <c r="C13" s="55">
        <f>+FlatLoadShapeEnergy_perMWh!P11</f>
        <v>21.48959418736375</v>
      </c>
      <c r="D13" s="197">
        <f t="shared" si="0"/>
        <v>2.148959418736375E-2</v>
      </c>
    </row>
    <row r="14" spans="2:6" x14ac:dyDescent="0.25">
      <c r="B14" s="8">
        <v>6</v>
      </c>
      <c r="C14" s="55">
        <f>+FlatLoadShapeEnergy_perMWh!P12</f>
        <v>21.298215985256455</v>
      </c>
      <c r="D14" s="197">
        <f t="shared" si="0"/>
        <v>2.1298215985256455E-2</v>
      </c>
    </row>
    <row r="15" spans="2:6" x14ac:dyDescent="0.25">
      <c r="B15" s="8">
        <v>7</v>
      </c>
      <c r="C15" s="55">
        <f>+FlatLoadShapeEnergy_perMWh!P13</f>
        <v>21.284804532058018</v>
      </c>
      <c r="D15" s="197">
        <f t="shared" si="0"/>
        <v>2.128480453205802E-2</v>
      </c>
    </row>
    <row r="16" spans="2:6" x14ac:dyDescent="0.25">
      <c r="B16" s="8">
        <v>8</v>
      </c>
      <c r="C16" s="55">
        <f>+FlatLoadShapeEnergy_perMWh!P14</f>
        <v>21.414279544753249</v>
      </c>
      <c r="D16" s="197">
        <f t="shared" si="0"/>
        <v>2.1414279544753251E-2</v>
      </c>
    </row>
    <row r="17" spans="2:4" x14ac:dyDescent="0.25">
      <c r="B17" s="8">
        <v>9</v>
      </c>
      <c r="C17" s="55">
        <f>+FlatLoadShapeEnergy_perMWh!P15</f>
        <v>21.608196468444284</v>
      </c>
      <c r="D17" s="197">
        <f t="shared" si="0"/>
        <v>2.1608196468444283E-2</v>
      </c>
    </row>
    <row r="18" spans="2:4" x14ac:dyDescent="0.25">
      <c r="B18" s="8">
        <v>10</v>
      </c>
      <c r="C18" s="55">
        <f>+FlatLoadShapeEnergy_perMWh!P16</f>
        <v>21.784188702760567</v>
      </c>
      <c r="D18" s="197">
        <f t="shared" si="0"/>
        <v>2.1784188702760568E-2</v>
      </c>
    </row>
    <row r="19" spans="2:4" x14ac:dyDescent="0.25">
      <c r="B19" s="8">
        <v>11</v>
      </c>
      <c r="C19" s="55">
        <f>+FlatLoadShapeEnergy_perMWh!P17</f>
        <v>21.94200272948823</v>
      </c>
      <c r="D19" s="197">
        <f t="shared" si="0"/>
        <v>2.1942002729488229E-2</v>
      </c>
    </row>
    <row r="20" spans="2:4" x14ac:dyDescent="0.25">
      <c r="B20" s="8">
        <v>12</v>
      </c>
      <c r="C20" s="55">
        <f>+FlatLoadShapeEnergy_perMWh!P18</f>
        <v>22.095684821163388</v>
      </c>
      <c r="D20" s="197">
        <f t="shared" si="0"/>
        <v>2.2095684821163388E-2</v>
      </c>
    </row>
    <row r="21" spans="2:4" x14ac:dyDescent="0.25">
      <c r="B21" s="8">
        <v>13</v>
      </c>
      <c r="C21" s="55">
        <f>+FlatLoadShapeEnergy_perMWh!P19</f>
        <v>22.244690955186421</v>
      </c>
      <c r="D21" s="197">
        <f t="shared" si="0"/>
        <v>2.2244690955186421E-2</v>
      </c>
    </row>
    <row r="22" spans="2:4" x14ac:dyDescent="0.25">
      <c r="B22" s="8">
        <v>14</v>
      </c>
      <c r="C22" s="55">
        <f>+FlatLoadShapeEnergy_perMWh!P20</f>
        <v>22.437916040197152</v>
      </c>
      <c r="D22" s="197">
        <f t="shared" si="0"/>
        <v>2.2437916040197153E-2</v>
      </c>
    </row>
    <row r="23" spans="2:4" x14ac:dyDescent="0.25">
      <c r="B23" s="44">
        <v>15</v>
      </c>
      <c r="C23" s="56">
        <f>+FlatLoadShapeEnergy_perMWh!P21</f>
        <v>22.664104755183956</v>
      </c>
      <c r="D23" s="198">
        <f>C23/1000</f>
        <v>2.2664104755183958E-2</v>
      </c>
    </row>
    <row r="24" spans="2:4" x14ac:dyDescent="0.25">
      <c r="B24" s="8">
        <v>16</v>
      </c>
      <c r="C24" s="55">
        <f>+FlatLoadShapeEnergy_perMWh!P22</f>
        <v>22.924073860773518</v>
      </c>
      <c r="D24" s="197">
        <f t="shared" si="0"/>
        <v>2.2924073860773518E-2</v>
      </c>
    </row>
    <row r="25" spans="2:4" x14ac:dyDescent="0.25">
      <c r="B25" s="8">
        <v>17</v>
      </c>
      <c r="C25" s="55">
        <f>+FlatLoadShapeEnergy_perMWh!P23</f>
        <v>23.216111140296942</v>
      </c>
      <c r="D25" s="197">
        <f t="shared" si="0"/>
        <v>2.3216111140296942E-2</v>
      </c>
    </row>
    <row r="26" spans="2:4" x14ac:dyDescent="0.25">
      <c r="B26" s="8">
        <v>18</v>
      </c>
      <c r="C26" s="55">
        <f>+FlatLoadShapeEnergy_perMWh!P24</f>
        <v>23.495162943190117</v>
      </c>
      <c r="D26" s="197">
        <f t="shared" si="0"/>
        <v>2.3495162943190116E-2</v>
      </c>
    </row>
    <row r="27" spans="2:4" x14ac:dyDescent="0.25">
      <c r="B27" s="8">
        <v>19</v>
      </c>
      <c r="C27" s="55">
        <f>+FlatLoadShapeEnergy_perMWh!P25</f>
        <v>23.761296636294222</v>
      </c>
      <c r="D27" s="197">
        <f t="shared" si="0"/>
        <v>2.3761296636294223E-2</v>
      </c>
    </row>
    <row r="28" spans="2:4" x14ac:dyDescent="0.25">
      <c r="B28" s="8">
        <v>20</v>
      </c>
      <c r="C28" s="55">
        <f>+FlatLoadShapeEnergy_perMWh!P26</f>
        <v>24.06144892147092</v>
      </c>
      <c r="D28" s="197">
        <f t="shared" ref="D28:D29" si="1">C28/1000</f>
        <v>2.406144892147092E-2</v>
      </c>
    </row>
    <row r="29" spans="2:4" x14ac:dyDescent="0.25">
      <c r="B29" s="8">
        <v>21</v>
      </c>
      <c r="C29" s="55">
        <f>+FlatLoadShapeEnergy_perMWh!P27</f>
        <v>24.349208412079477</v>
      </c>
      <c r="D29" s="197">
        <f t="shared" si="1"/>
        <v>2.4349208412079479E-2</v>
      </c>
    </row>
    <row r="39" spans="2:3" x14ac:dyDescent="0.25">
      <c r="C39" s="9"/>
    </row>
    <row r="40" spans="2:3" x14ac:dyDescent="0.25">
      <c r="C40" s="10"/>
    </row>
    <row r="41" spans="2:3" s="13" customFormat="1" x14ac:dyDescent="0.25">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topLeftCell="A4" zoomScale="80" zoomScaleNormal="80" workbookViewId="0">
      <selection activeCell="P28" sqref="P28"/>
    </sheetView>
  </sheetViews>
  <sheetFormatPr defaultColWidth="14.44140625" defaultRowHeight="15" x14ac:dyDescent="0.25"/>
  <cols>
    <col min="1" max="1" width="2.6640625" style="240" customWidth="1"/>
    <col min="2" max="2" width="4" style="240" bestFit="1" customWidth="1"/>
    <col min="3" max="3" width="30.88671875" style="240" customWidth="1"/>
    <col min="4" max="4" width="2.6640625" style="240" customWidth="1"/>
    <col min="5" max="5" width="10.44140625" style="240" customWidth="1"/>
    <col min="6" max="6" width="2.6640625" style="240" customWidth="1"/>
    <col min="7" max="7" width="9.44140625" style="240" customWidth="1"/>
    <col min="8" max="8" width="12.5546875" style="240" customWidth="1"/>
    <col min="9" max="9" width="17.6640625" style="240" customWidth="1"/>
    <col min="10" max="10" width="14.44140625" style="240" customWidth="1"/>
    <col min="11" max="11" width="17" style="240" customWidth="1"/>
    <col min="12" max="12" width="14.44140625" style="240" customWidth="1"/>
    <col min="13" max="13" width="16.33203125" style="240" bestFit="1" customWidth="1"/>
    <col min="14" max="14" width="15.6640625" style="240" customWidth="1"/>
    <col min="15" max="16" width="16.109375" style="240" customWidth="1"/>
    <col min="17" max="16384" width="14.44140625" style="240"/>
  </cols>
  <sheetData>
    <row r="1" spans="2:21" s="234" customFormat="1" x14ac:dyDescent="0.25"/>
    <row r="2" spans="2:21" s="234" customFormat="1" ht="15.6" x14ac:dyDescent="0.3">
      <c r="B2" s="235"/>
      <c r="C2" s="235"/>
      <c r="D2" s="235"/>
      <c r="E2" s="235"/>
      <c r="F2" s="235"/>
      <c r="G2" s="235"/>
      <c r="H2" s="235"/>
      <c r="I2" s="235"/>
      <c r="J2" s="236"/>
      <c r="K2" s="235"/>
      <c r="L2" s="235"/>
      <c r="M2" s="237"/>
      <c r="N2" s="235"/>
      <c r="O2" s="235"/>
      <c r="P2" s="235"/>
      <c r="Q2" s="235"/>
      <c r="R2" s="235"/>
      <c r="S2" s="235"/>
      <c r="T2" s="235"/>
      <c r="U2" s="235"/>
    </row>
    <row r="3" spans="2:21" ht="15.6" x14ac:dyDescent="0.3">
      <c r="B3" s="238"/>
      <c r="C3" s="238"/>
      <c r="D3" s="238"/>
      <c r="E3" s="238"/>
      <c r="F3" s="238"/>
      <c r="G3" s="238"/>
      <c r="H3" s="238"/>
      <c r="I3" s="238"/>
      <c r="J3" s="25"/>
      <c r="K3" s="235"/>
      <c r="L3" s="235"/>
      <c r="M3" s="239"/>
      <c r="N3" s="238"/>
      <c r="O3" s="238"/>
      <c r="P3" s="238"/>
      <c r="Q3" s="238"/>
      <c r="R3" s="238"/>
      <c r="S3" s="238"/>
      <c r="T3" s="238"/>
      <c r="U3" s="238"/>
    </row>
    <row r="4" spans="2:21" ht="66" customHeight="1" x14ac:dyDescent="0.3">
      <c r="B4" s="238"/>
      <c r="C4" s="238"/>
      <c r="D4" s="238"/>
      <c r="E4" s="238"/>
      <c r="F4" s="238"/>
      <c r="G4" s="26" t="s">
        <v>15</v>
      </c>
      <c r="H4" s="27" t="s">
        <v>1</v>
      </c>
      <c r="I4" s="28" t="s">
        <v>30</v>
      </c>
      <c r="J4" s="27" t="s">
        <v>65</v>
      </c>
      <c r="K4" s="28" t="s">
        <v>66</v>
      </c>
      <c r="L4" s="28" t="s">
        <v>67</v>
      </c>
      <c r="M4" s="27" t="s">
        <v>68</v>
      </c>
      <c r="N4" s="27" t="s">
        <v>36</v>
      </c>
      <c r="O4" s="27" t="s">
        <v>37</v>
      </c>
      <c r="P4" s="27" t="s">
        <v>31</v>
      </c>
      <c r="Q4" s="27"/>
      <c r="R4" s="26"/>
      <c r="S4" s="27"/>
      <c r="T4" s="27"/>
      <c r="U4" s="27"/>
    </row>
    <row r="5" spans="2:21" ht="15.6" x14ac:dyDescent="0.3">
      <c r="B5" s="220"/>
      <c r="C5" s="220"/>
      <c r="D5" s="220"/>
      <c r="E5" s="220"/>
      <c r="F5" s="220"/>
      <c r="G5" s="29"/>
      <c r="H5" s="29" t="s">
        <v>20</v>
      </c>
      <c r="I5" s="29" t="s">
        <v>72</v>
      </c>
      <c r="J5" s="29" t="s">
        <v>72</v>
      </c>
      <c r="K5" s="29" t="s">
        <v>72</v>
      </c>
      <c r="L5" s="29" t="s">
        <v>72</v>
      </c>
      <c r="M5" s="29" t="s">
        <v>72</v>
      </c>
      <c r="N5" s="29" t="s">
        <v>72</v>
      </c>
      <c r="O5" s="29" t="s">
        <v>72</v>
      </c>
      <c r="P5" s="29" t="s">
        <v>72</v>
      </c>
      <c r="Q5" s="26"/>
      <c r="R5" s="26"/>
      <c r="S5" s="26"/>
      <c r="T5" s="26"/>
      <c r="U5" s="26"/>
    </row>
    <row r="6" spans="2:21" ht="15.6" x14ac:dyDescent="0.3">
      <c r="B6" s="220"/>
      <c r="C6" s="31" t="s">
        <v>102</v>
      </c>
      <c r="D6" s="31"/>
      <c r="E6" s="221">
        <v>2.7E-2</v>
      </c>
      <c r="F6" s="79"/>
      <c r="G6" s="201" t="s">
        <v>22</v>
      </c>
      <c r="H6" s="201" t="s">
        <v>23</v>
      </c>
      <c r="I6" s="201" t="s">
        <v>24</v>
      </c>
      <c r="J6" s="201" t="s">
        <v>25</v>
      </c>
      <c r="K6" s="201" t="s">
        <v>26</v>
      </c>
      <c r="L6" s="201" t="s">
        <v>32</v>
      </c>
      <c r="M6" s="201" t="s">
        <v>27</v>
      </c>
      <c r="N6" s="201" t="s">
        <v>28</v>
      </c>
      <c r="O6" s="201" t="s">
        <v>42</v>
      </c>
      <c r="P6" s="201" t="s">
        <v>100</v>
      </c>
      <c r="Q6" s="30"/>
      <c r="R6" s="26"/>
      <c r="S6" s="238"/>
      <c r="T6" s="30"/>
      <c r="U6" s="26"/>
    </row>
    <row r="7" spans="2:21" ht="15.6" x14ac:dyDescent="0.3">
      <c r="B7" s="51"/>
      <c r="C7" s="31" t="s">
        <v>63</v>
      </c>
      <c r="D7" s="31"/>
      <c r="E7" s="222">
        <f>Rate_of_Return</f>
        <v>7.5999999999999998E-2</v>
      </c>
      <c r="F7" s="223"/>
      <c r="G7" s="211">
        <v>2019</v>
      </c>
      <c r="H7" s="205">
        <v>1</v>
      </c>
      <c r="I7" s="224">
        <f>'Energy Prices'!P6</f>
        <v>23.981526466666661</v>
      </c>
      <c r="J7" s="224">
        <f>I7*$E$6</f>
        <v>0.64750121459999987</v>
      </c>
      <c r="K7" s="224">
        <v>0</v>
      </c>
      <c r="L7" s="224">
        <v>0</v>
      </c>
      <c r="M7" s="224">
        <v>0</v>
      </c>
      <c r="N7" s="224">
        <f>(I7+J7+K7+L7+M7)/((1+$E$7)^H7)</f>
        <v>22.88943093054522</v>
      </c>
      <c r="O7" s="224">
        <f>N7</f>
        <v>22.88943093054522</v>
      </c>
      <c r="P7" s="224">
        <f>(-PMT($E$7,H7,(O7)))</f>
        <v>24.62902768126666</v>
      </c>
      <c r="Q7" s="225"/>
      <c r="R7" s="226"/>
      <c r="S7" s="227"/>
      <c r="T7" s="228"/>
      <c r="U7" s="228"/>
    </row>
    <row r="8" spans="2:21" ht="15.6" x14ac:dyDescent="0.3">
      <c r="B8" s="220"/>
      <c r="C8" s="31" t="s">
        <v>64</v>
      </c>
      <c r="D8" s="31"/>
      <c r="E8" s="222">
        <v>2.5000000000000001E-2</v>
      </c>
      <c r="F8" s="223"/>
      <c r="G8" s="59">
        <f>G7+1</f>
        <v>2020</v>
      </c>
      <c r="H8" s="60">
        <v>2</v>
      </c>
      <c r="I8" s="229">
        <f>'Energy Prices'!P7</f>
        <v>21.580778041666665</v>
      </c>
      <c r="J8" s="229">
        <f t="shared" ref="J8:J25" si="0">I8*$E$6</f>
        <v>0.58268100712499993</v>
      </c>
      <c r="K8" s="229">
        <f>+$K$7</f>
        <v>0</v>
      </c>
      <c r="L8" s="229">
        <v>0</v>
      </c>
      <c r="M8" s="229">
        <v>0</v>
      </c>
      <c r="N8" s="229">
        <f t="shared" ref="N8:N25" si="1">(I8+J8+K8+L8+M8)/((1+$E$7)^H8)</f>
        <v>19.143132219696785</v>
      </c>
      <c r="O8" s="229">
        <f t="shared" ref="O8:O25" si="2">N8+O7</f>
        <v>42.032563150242005</v>
      </c>
      <c r="P8" s="229">
        <f t="shared" ref="P8:P25" si="3">(-PMT($E$7,H8,(O8)))</f>
        <v>23.441374197415506</v>
      </c>
      <c r="Q8" s="225"/>
      <c r="R8" s="226"/>
      <c r="S8" s="227"/>
      <c r="T8" s="228"/>
      <c r="U8" s="228"/>
    </row>
    <row r="9" spans="2:21" ht="15.6" x14ac:dyDescent="0.3">
      <c r="B9" s="220"/>
      <c r="C9" s="31"/>
      <c r="D9" s="31"/>
      <c r="E9" s="223"/>
      <c r="F9" s="230"/>
      <c r="G9" s="59">
        <f t="shared" ref="G9:G27" si="4">G8+1</f>
        <v>2021</v>
      </c>
      <c r="H9" s="60">
        <v>3</v>
      </c>
      <c r="I9" s="229">
        <f>'Energy Prices'!P8</f>
        <v>20.296439175</v>
      </c>
      <c r="J9" s="229">
        <f t="shared" si="0"/>
        <v>0.54800385772499993</v>
      </c>
      <c r="K9" s="229">
        <f t="shared" ref="K9:K27" si="5">+$K$7</f>
        <v>0</v>
      </c>
      <c r="L9" s="229">
        <v>0</v>
      </c>
      <c r="M9" s="229">
        <v>0</v>
      </c>
      <c r="N9" s="229">
        <f t="shared" si="1"/>
        <v>16.732216726160026</v>
      </c>
      <c r="O9" s="229">
        <f t="shared" si="2"/>
        <v>58.764779876402031</v>
      </c>
      <c r="P9" s="229">
        <f t="shared" si="3"/>
        <v>22.638309555742577</v>
      </c>
      <c r="Q9" s="225"/>
      <c r="R9" s="226"/>
      <c r="S9" s="227"/>
      <c r="T9" s="228"/>
      <c r="U9" s="228"/>
    </row>
    <row r="10" spans="2:21" x14ac:dyDescent="0.25">
      <c r="B10" s="220"/>
      <c r="C10" s="220"/>
      <c r="D10" s="220"/>
      <c r="E10" s="220"/>
      <c r="F10" s="223"/>
      <c r="G10" s="59">
        <f t="shared" si="4"/>
        <v>2022</v>
      </c>
      <c r="H10" s="60">
        <v>4</v>
      </c>
      <c r="I10" s="229">
        <f>'Energy Prices'!P9</f>
        <v>19.080015383333336</v>
      </c>
      <c r="J10" s="229">
        <f t="shared" si="0"/>
        <v>0.51516041535000012</v>
      </c>
      <c r="K10" s="229">
        <f t="shared" si="5"/>
        <v>0</v>
      </c>
      <c r="L10" s="229">
        <v>0</v>
      </c>
      <c r="M10" s="229">
        <v>0</v>
      </c>
      <c r="N10" s="229">
        <f t="shared" si="1"/>
        <v>14.618407997056176</v>
      </c>
      <c r="O10" s="229">
        <f t="shared" si="2"/>
        <v>73.383187873458212</v>
      </c>
      <c r="P10" s="229">
        <f t="shared" si="3"/>
        <v>21.958969325419218</v>
      </c>
      <c r="Q10" s="225"/>
      <c r="R10" s="226"/>
      <c r="S10" s="227"/>
      <c r="T10" s="228"/>
      <c r="U10" s="228"/>
    </row>
    <row r="11" spans="2:21" x14ac:dyDescent="0.25">
      <c r="B11" s="220"/>
      <c r="C11" s="220"/>
      <c r="D11" s="220"/>
      <c r="E11" s="220"/>
      <c r="F11" s="223"/>
      <c r="G11" s="59">
        <f t="shared" si="4"/>
        <v>2023</v>
      </c>
      <c r="H11" s="60">
        <v>5</v>
      </c>
      <c r="I11" s="229">
        <f>'Energy Prices'!P10</f>
        <v>18.721724966666667</v>
      </c>
      <c r="J11" s="229">
        <f t="shared" si="0"/>
        <v>0.50548657409999997</v>
      </c>
      <c r="K11" s="229">
        <f t="shared" si="5"/>
        <v>0</v>
      </c>
      <c r="L11" s="229">
        <v>0</v>
      </c>
      <c r="M11" s="229">
        <v>0</v>
      </c>
      <c r="N11" s="229">
        <f t="shared" si="1"/>
        <v>13.330761171628472</v>
      </c>
      <c r="O11" s="229">
        <f t="shared" si="2"/>
        <v>86.713949045086679</v>
      </c>
      <c r="P11" s="229">
        <f t="shared" si="3"/>
        <v>21.48959418736375</v>
      </c>
      <c r="Q11" s="225"/>
      <c r="R11" s="226"/>
      <c r="S11" s="227"/>
      <c r="T11" s="228"/>
      <c r="U11" s="228"/>
    </row>
    <row r="12" spans="2:21" x14ac:dyDescent="0.25">
      <c r="B12" s="238"/>
      <c r="C12" s="238"/>
      <c r="D12" s="238"/>
      <c r="E12" s="238"/>
      <c r="F12" s="220"/>
      <c r="G12" s="59">
        <f t="shared" si="4"/>
        <v>2024</v>
      </c>
      <c r="H12" s="60">
        <v>6</v>
      </c>
      <c r="I12" s="229">
        <f>'Energy Prices'!P11</f>
        <v>19.571321191666669</v>
      </c>
      <c r="J12" s="229">
        <f t="shared" si="0"/>
        <v>0.52842567217500003</v>
      </c>
      <c r="K12" s="229">
        <f t="shared" si="5"/>
        <v>0</v>
      </c>
      <c r="L12" s="229">
        <v>0</v>
      </c>
      <c r="M12" s="229">
        <v>0</v>
      </c>
      <c r="N12" s="229">
        <f>(I12+J12+K12+L12+M12)/((1+$E$7)^H12)</f>
        <v>12.951407256659191</v>
      </c>
      <c r="O12" s="229">
        <f t="shared" si="2"/>
        <v>99.665356301745874</v>
      </c>
      <c r="P12" s="229">
        <f>(-PMT($E$7,H12,(O12)))</f>
        <v>21.298215985256455</v>
      </c>
      <c r="Q12" s="225"/>
      <c r="R12" s="226"/>
      <c r="S12" s="227"/>
      <c r="T12" s="228"/>
      <c r="U12" s="228"/>
    </row>
    <row r="13" spans="2:21" x14ac:dyDescent="0.25">
      <c r="B13" s="238"/>
      <c r="C13" s="238"/>
      <c r="D13" s="238"/>
      <c r="E13" s="238"/>
      <c r="F13" s="220"/>
      <c r="G13" s="59">
        <f t="shared" si="4"/>
        <v>2025</v>
      </c>
      <c r="H13" s="60">
        <v>7</v>
      </c>
      <c r="I13" s="229">
        <f>'Energy Prices'!P12</f>
        <v>20.623178365833336</v>
      </c>
      <c r="J13" s="229">
        <f t="shared" si="0"/>
        <v>0.55682581587750002</v>
      </c>
      <c r="K13" s="229">
        <f t="shared" si="5"/>
        <v>0</v>
      </c>
      <c r="L13" s="229">
        <v>0</v>
      </c>
      <c r="M13" s="229">
        <v>0</v>
      </c>
      <c r="N13" s="229">
        <f t="shared" si="1"/>
        <v>12.683530050736939</v>
      </c>
      <c r="O13" s="229">
        <f t="shared" si="2"/>
        <v>112.34888635248281</v>
      </c>
      <c r="P13" s="229">
        <f>(-PMT($E$7,H13,(O13)))</f>
        <v>21.284804532058018</v>
      </c>
      <c r="Q13" s="225"/>
      <c r="R13" s="226"/>
      <c r="S13" s="227"/>
      <c r="T13" s="228"/>
      <c r="U13" s="228"/>
    </row>
    <row r="14" spans="2:21" x14ac:dyDescent="0.25">
      <c r="B14" s="238"/>
      <c r="C14" s="238"/>
      <c r="D14" s="238"/>
      <c r="E14" s="238"/>
      <c r="F14" s="223"/>
      <c r="G14" s="59">
        <f t="shared" si="4"/>
        <v>2026</v>
      </c>
      <c r="H14" s="60">
        <v>8</v>
      </c>
      <c r="I14" s="229">
        <f>'Energy Prices'!P13</f>
        <v>22.046968616666671</v>
      </c>
      <c r="J14" s="229">
        <f t="shared" si="0"/>
        <v>0.5952681526500001</v>
      </c>
      <c r="K14" s="229">
        <f t="shared" si="5"/>
        <v>0</v>
      </c>
      <c r="L14" s="229">
        <v>0</v>
      </c>
      <c r="M14" s="229">
        <v>0</v>
      </c>
      <c r="N14" s="229">
        <f>(I14+J14+K14+L14+M14)/((1+$E$7)^H14)</f>
        <v>12.601468461995021</v>
      </c>
      <c r="O14" s="229">
        <f t="shared" si="2"/>
        <v>124.95035481447783</v>
      </c>
      <c r="P14" s="229">
        <f t="shared" si="3"/>
        <v>21.414279544753249</v>
      </c>
      <c r="Q14" s="225"/>
      <c r="R14" s="226"/>
      <c r="S14" s="227"/>
      <c r="T14" s="228"/>
      <c r="U14" s="228"/>
    </row>
    <row r="15" spans="2:21" x14ac:dyDescent="0.25">
      <c r="B15" s="238"/>
      <c r="C15" s="238"/>
      <c r="D15" s="238"/>
      <c r="E15" s="238"/>
      <c r="F15" s="220"/>
      <c r="G15" s="59">
        <f t="shared" si="4"/>
        <v>2027</v>
      </c>
      <c r="H15" s="60">
        <v>9</v>
      </c>
      <c r="I15" s="229">
        <f>'Energy Prices'!P14</f>
        <v>23.17016310833333</v>
      </c>
      <c r="J15" s="229">
        <f t="shared" si="0"/>
        <v>0.62559440392499988</v>
      </c>
      <c r="K15" s="229">
        <f t="shared" si="5"/>
        <v>0</v>
      </c>
      <c r="L15" s="229">
        <v>0</v>
      </c>
      <c r="M15" s="229">
        <v>0</v>
      </c>
      <c r="N15" s="229">
        <f t="shared" si="1"/>
        <v>12.308045489029045</v>
      </c>
      <c r="O15" s="229">
        <f t="shared" si="2"/>
        <v>137.25840030350687</v>
      </c>
      <c r="P15" s="229">
        <f t="shared" si="3"/>
        <v>21.608196468444284</v>
      </c>
      <c r="Q15" s="225"/>
      <c r="R15" s="226"/>
      <c r="S15" s="227"/>
      <c r="T15" s="228"/>
      <c r="U15" s="228"/>
    </row>
    <row r="16" spans="2:21" x14ac:dyDescent="0.25">
      <c r="B16" s="238"/>
      <c r="C16" s="238"/>
      <c r="D16" s="238"/>
      <c r="E16" s="238"/>
      <c r="F16" s="231"/>
      <c r="G16" s="59">
        <f t="shared" si="4"/>
        <v>2028</v>
      </c>
      <c r="H16" s="60">
        <v>10</v>
      </c>
      <c r="I16" s="229">
        <f>'Energy Prices'!P15</f>
        <v>23.475946774999997</v>
      </c>
      <c r="J16" s="229">
        <f t="shared" si="0"/>
        <v>0.63385056292499986</v>
      </c>
      <c r="K16" s="229">
        <f t="shared" si="5"/>
        <v>0</v>
      </c>
      <c r="L16" s="229">
        <v>0</v>
      </c>
      <c r="M16" s="229">
        <v>0</v>
      </c>
      <c r="N16" s="229">
        <f t="shared" si="1"/>
        <v>11.589664030278918</v>
      </c>
      <c r="O16" s="229">
        <f t="shared" si="2"/>
        <v>148.8480643337858</v>
      </c>
      <c r="P16" s="229">
        <f t="shared" si="3"/>
        <v>21.784188702760567</v>
      </c>
      <c r="Q16" s="225"/>
      <c r="R16" s="226"/>
      <c r="S16" s="227"/>
      <c r="T16" s="228"/>
      <c r="U16" s="228"/>
    </row>
    <row r="17" spans="2:21" x14ac:dyDescent="0.25">
      <c r="B17" s="238"/>
      <c r="C17" s="238"/>
      <c r="D17" s="238"/>
      <c r="E17" s="238"/>
      <c r="F17" s="232"/>
      <c r="G17" s="59">
        <f t="shared" si="4"/>
        <v>2029</v>
      </c>
      <c r="H17" s="60">
        <v>11</v>
      </c>
      <c r="I17" s="229">
        <f>'Energy Prices'!P16</f>
        <v>23.715382383333335</v>
      </c>
      <c r="J17" s="229">
        <f t="shared" si="0"/>
        <v>0.64031532435000005</v>
      </c>
      <c r="K17" s="229">
        <f t="shared" si="5"/>
        <v>0</v>
      </c>
      <c r="L17" s="229">
        <v>0</v>
      </c>
      <c r="M17" s="229">
        <v>0</v>
      </c>
      <c r="N17" s="229">
        <f t="shared" si="1"/>
        <v>10.880919330244046</v>
      </c>
      <c r="O17" s="229">
        <f t="shared" si="2"/>
        <v>159.72898366402984</v>
      </c>
      <c r="P17" s="229">
        <f t="shared" si="3"/>
        <v>21.94200272948823</v>
      </c>
      <c r="Q17" s="225"/>
      <c r="R17" s="226"/>
      <c r="S17" s="227"/>
      <c r="T17" s="228"/>
      <c r="U17" s="228"/>
    </row>
    <row r="18" spans="2:21" x14ac:dyDescent="0.25">
      <c r="B18" s="238"/>
      <c r="C18" s="238"/>
      <c r="D18" s="238"/>
      <c r="E18" s="238"/>
      <c r="F18" s="232"/>
      <c r="G18" s="59">
        <f t="shared" si="4"/>
        <v>2030</v>
      </c>
      <c r="H18" s="60">
        <v>12</v>
      </c>
      <c r="I18" s="229">
        <f>'Energy Prices'!P17</f>
        <v>24.138445516666668</v>
      </c>
      <c r="J18" s="229">
        <f t="shared" si="0"/>
        <v>0.65173802894999999</v>
      </c>
      <c r="K18" s="229">
        <f t="shared" si="5"/>
        <v>0</v>
      </c>
      <c r="L18" s="229">
        <v>0</v>
      </c>
      <c r="M18" s="229">
        <v>0</v>
      </c>
      <c r="N18" s="229">
        <f t="shared" si="1"/>
        <v>10.29277516853055</v>
      </c>
      <c r="O18" s="229">
        <f t="shared" si="2"/>
        <v>170.02175883256038</v>
      </c>
      <c r="P18" s="229">
        <f t="shared" si="3"/>
        <v>22.095684821163388</v>
      </c>
      <c r="Q18" s="225"/>
      <c r="R18" s="226"/>
      <c r="S18" s="227"/>
      <c r="T18" s="228"/>
      <c r="U18" s="228"/>
    </row>
    <row r="19" spans="2:21" x14ac:dyDescent="0.25">
      <c r="B19" s="238"/>
      <c r="C19" s="238"/>
      <c r="D19" s="238"/>
      <c r="E19" s="238"/>
      <c r="F19" s="232"/>
      <c r="G19" s="59">
        <f t="shared" si="4"/>
        <v>2031</v>
      </c>
      <c r="H19" s="60">
        <v>13</v>
      </c>
      <c r="I19" s="229">
        <f>'Energy Prices'!P18</f>
        <v>24.553153041666665</v>
      </c>
      <c r="J19" s="229">
        <f>I19*$E$6</f>
        <v>0.66293513212499999</v>
      </c>
      <c r="K19" s="229">
        <f t="shared" si="5"/>
        <v>0</v>
      </c>
      <c r="L19" s="229">
        <v>0</v>
      </c>
      <c r="M19" s="229">
        <v>0</v>
      </c>
      <c r="N19" s="229">
        <f t="shared" si="1"/>
        <v>9.7301197925720473</v>
      </c>
      <c r="O19" s="229">
        <f t="shared" si="2"/>
        <v>179.75187862513243</v>
      </c>
      <c r="P19" s="229">
        <f t="shared" si="3"/>
        <v>22.244690955186421</v>
      </c>
      <c r="Q19" s="225"/>
      <c r="R19" s="226"/>
      <c r="S19" s="227"/>
      <c r="T19" s="228"/>
      <c r="U19" s="228"/>
    </row>
    <row r="20" spans="2:21" x14ac:dyDescent="0.25">
      <c r="B20" s="238"/>
      <c r="C20" s="238"/>
      <c r="D20" s="238"/>
      <c r="E20" s="238"/>
      <c r="F20" s="232"/>
      <c r="G20" s="59">
        <f t="shared" si="4"/>
        <v>2032</v>
      </c>
      <c r="H20" s="60">
        <v>14</v>
      </c>
      <c r="I20" s="229">
        <f>'Energy Prices'!P19</f>
        <v>26.087492999999995</v>
      </c>
      <c r="J20" s="229">
        <f t="shared" si="0"/>
        <v>0.70436231099999991</v>
      </c>
      <c r="K20" s="229">
        <f t="shared" si="5"/>
        <v>0</v>
      </c>
      <c r="L20" s="229">
        <v>0</v>
      </c>
      <c r="M20" s="229">
        <v>0</v>
      </c>
      <c r="N20" s="229">
        <f t="shared" si="1"/>
        <v>9.6079556677332079</v>
      </c>
      <c r="O20" s="229">
        <f t="shared" si="2"/>
        <v>189.35983429286563</v>
      </c>
      <c r="P20" s="229">
        <f t="shared" si="3"/>
        <v>22.437916040197152</v>
      </c>
      <c r="Q20" s="225"/>
      <c r="R20" s="226"/>
      <c r="S20" s="227"/>
      <c r="T20" s="228"/>
      <c r="U20" s="228"/>
    </row>
    <row r="21" spans="2:21" x14ac:dyDescent="0.25">
      <c r="B21" s="238"/>
      <c r="C21" s="238"/>
      <c r="D21" s="238"/>
      <c r="E21" s="238"/>
      <c r="F21" s="232"/>
      <c r="G21" s="61">
        <f t="shared" si="4"/>
        <v>2033</v>
      </c>
      <c r="H21" s="61">
        <v>15</v>
      </c>
      <c r="I21" s="233">
        <f>'Energy Prices'!P20</f>
        <v>27.645123791666666</v>
      </c>
      <c r="J21" s="233">
        <f t="shared" si="0"/>
        <v>0.74641834237499993</v>
      </c>
      <c r="K21" s="233">
        <f t="shared" si="5"/>
        <v>0</v>
      </c>
      <c r="L21" s="233">
        <v>0</v>
      </c>
      <c r="M21" s="233">
        <v>0</v>
      </c>
      <c r="N21" s="233">
        <f>(I21+J21+K21+L21+M21)/((1+$E$7)^H21)</f>
        <v>9.4624786504781451</v>
      </c>
      <c r="O21" s="233">
        <f>N21+O20</f>
        <v>198.82231294334377</v>
      </c>
      <c r="P21" s="233">
        <f>(-PMT($E$7,H21,(O21)))</f>
        <v>22.664104755183956</v>
      </c>
      <c r="Q21" s="225"/>
      <c r="R21" s="226"/>
      <c r="S21" s="227"/>
      <c r="T21" s="228"/>
      <c r="U21" s="228"/>
    </row>
    <row r="22" spans="2:21" x14ac:dyDescent="0.25">
      <c r="B22" s="238"/>
      <c r="C22" s="238"/>
      <c r="D22" s="238"/>
      <c r="E22" s="238"/>
      <c r="F22" s="232"/>
      <c r="G22" s="59">
        <f t="shared" si="4"/>
        <v>2034</v>
      </c>
      <c r="H22" s="60">
        <v>16</v>
      </c>
      <c r="I22" s="229">
        <f>'Energy Prices'!P21</f>
        <v>29.490653850000001</v>
      </c>
      <c r="J22" s="229">
        <f t="shared" si="0"/>
        <v>0.79624765394999997</v>
      </c>
      <c r="K22" s="229">
        <f t="shared" si="5"/>
        <v>0</v>
      </c>
      <c r="L22" s="229">
        <v>0</v>
      </c>
      <c r="M22" s="229">
        <v>0</v>
      </c>
      <c r="N22" s="229">
        <f t="shared" si="1"/>
        <v>9.3812023547915331</v>
      </c>
      <c r="O22" s="229">
        <f t="shared" si="2"/>
        <v>208.2035152981353</v>
      </c>
      <c r="P22" s="229">
        <f t="shared" si="3"/>
        <v>22.924073860773518</v>
      </c>
      <c r="Q22" s="225"/>
      <c r="R22" s="226"/>
      <c r="S22" s="227"/>
      <c r="T22" s="228"/>
      <c r="U22" s="228"/>
    </row>
    <row r="23" spans="2:21" x14ac:dyDescent="0.25">
      <c r="B23" s="238"/>
      <c r="C23" s="238"/>
      <c r="D23" s="238"/>
      <c r="E23" s="238"/>
      <c r="F23" s="232"/>
      <c r="G23" s="59">
        <f t="shared" si="4"/>
        <v>2035</v>
      </c>
      <c r="H23" s="60">
        <v>17</v>
      </c>
      <c r="I23" s="229">
        <f>'Energy Prices'!P22</f>
        <v>31.577413983333333</v>
      </c>
      <c r="J23" s="229">
        <f t="shared" si="0"/>
        <v>0.85259017754999999</v>
      </c>
      <c r="K23" s="229">
        <f t="shared" si="5"/>
        <v>0</v>
      </c>
      <c r="L23" s="229">
        <v>0</v>
      </c>
      <c r="M23" s="229">
        <v>0</v>
      </c>
      <c r="N23" s="229">
        <f t="shared" si="1"/>
        <v>9.335517379229568</v>
      </c>
      <c r="O23" s="229">
        <f t="shared" si="2"/>
        <v>217.53903267736487</v>
      </c>
      <c r="P23" s="229">
        <f t="shared" si="3"/>
        <v>23.216111140296942</v>
      </c>
      <c r="Q23" s="225"/>
      <c r="R23" s="226"/>
      <c r="S23" s="227"/>
      <c r="T23" s="228"/>
      <c r="U23" s="228"/>
    </row>
    <row r="24" spans="2:21" x14ac:dyDescent="0.25">
      <c r="B24" s="238"/>
      <c r="C24" s="238"/>
      <c r="D24" s="238"/>
      <c r="E24" s="238"/>
      <c r="F24" s="232"/>
      <c r="G24" s="59">
        <f t="shared" si="4"/>
        <v>2036</v>
      </c>
      <c r="H24" s="60">
        <v>18</v>
      </c>
      <c r="I24" s="229">
        <f>'Energy Prices'!P23</f>
        <v>32.394096999999995</v>
      </c>
      <c r="J24" s="229">
        <f t="shared" si="0"/>
        <v>0.8746406189999999</v>
      </c>
      <c r="K24" s="229">
        <f t="shared" si="5"/>
        <v>0</v>
      </c>
      <c r="L24" s="229">
        <v>0</v>
      </c>
      <c r="M24" s="229">
        <v>0</v>
      </c>
      <c r="N24" s="229">
        <f t="shared" si="1"/>
        <v>8.9005211791191776</v>
      </c>
      <c r="O24" s="229">
        <f t="shared" si="2"/>
        <v>226.43955385648405</v>
      </c>
      <c r="P24" s="229">
        <f t="shared" si="3"/>
        <v>23.495162943190117</v>
      </c>
      <c r="Q24" s="225"/>
      <c r="R24" s="226"/>
      <c r="S24" s="227"/>
      <c r="T24" s="228"/>
      <c r="U24" s="228"/>
    </row>
    <row r="25" spans="2:21" x14ac:dyDescent="0.25">
      <c r="B25" s="238"/>
      <c r="C25" s="238"/>
      <c r="D25" s="238"/>
      <c r="E25" s="238"/>
      <c r="F25" s="232"/>
      <c r="G25" s="59">
        <f t="shared" si="4"/>
        <v>2037</v>
      </c>
      <c r="H25" s="60">
        <v>19</v>
      </c>
      <c r="I25" s="229">
        <f>'Energy Prices'!P24</f>
        <v>33.181295058333333</v>
      </c>
      <c r="J25" s="229">
        <f t="shared" si="0"/>
        <v>0.89589496657500001</v>
      </c>
      <c r="K25" s="229">
        <f t="shared" si="5"/>
        <v>0</v>
      </c>
      <c r="L25" s="229">
        <v>0</v>
      </c>
      <c r="M25" s="229">
        <v>0</v>
      </c>
      <c r="N25" s="229">
        <f t="shared" si="1"/>
        <v>8.4728715161681603</v>
      </c>
      <c r="O25" s="229">
        <f t="shared" si="2"/>
        <v>234.91242537265222</v>
      </c>
      <c r="P25" s="229">
        <f t="shared" si="3"/>
        <v>23.761296636294222</v>
      </c>
      <c r="Q25" s="225"/>
      <c r="R25" s="226"/>
      <c r="S25" s="227"/>
      <c r="T25" s="228"/>
      <c r="U25" s="228"/>
    </row>
    <row r="26" spans="2:21" x14ac:dyDescent="0.25">
      <c r="B26" s="238"/>
      <c r="C26" s="238"/>
      <c r="D26" s="238"/>
      <c r="E26" s="238"/>
      <c r="F26" s="232"/>
      <c r="G26" s="59">
        <f t="shared" si="4"/>
        <v>2038</v>
      </c>
      <c r="H26" s="60">
        <v>20</v>
      </c>
      <c r="I26" s="229">
        <f>'Energy Prices'!P25</f>
        <v>35.93297093333333</v>
      </c>
      <c r="J26" s="229">
        <f t="shared" ref="J26" si="6">I26*$E$6</f>
        <v>0.97019021519999993</v>
      </c>
      <c r="K26" s="229">
        <f t="shared" si="5"/>
        <v>0</v>
      </c>
      <c r="L26" s="229">
        <v>0</v>
      </c>
      <c r="M26" s="229">
        <v>0</v>
      </c>
      <c r="N26" s="229">
        <f t="shared" ref="N26" si="7">(I26+J26+K26+L26+M26)/((1+$E$7)^H26)</f>
        <v>8.5274296079662282</v>
      </c>
      <c r="O26" s="229">
        <f t="shared" ref="O26" si="8">N26+O25</f>
        <v>243.43985498061846</v>
      </c>
      <c r="P26" s="229">
        <f t="shared" ref="P26" si="9">(-PMT($E$7,H26,(O26)))</f>
        <v>24.06144892147092</v>
      </c>
      <c r="Q26" s="225"/>
      <c r="R26" s="226"/>
      <c r="S26" s="227"/>
      <c r="T26" s="228"/>
      <c r="U26" s="228"/>
    </row>
    <row r="27" spans="2:21" x14ac:dyDescent="0.25">
      <c r="C27" s="238"/>
      <c r="D27" s="238"/>
      <c r="E27" s="241"/>
      <c r="F27" s="238"/>
      <c r="G27" s="59">
        <f t="shared" si="4"/>
        <v>2039</v>
      </c>
      <c r="H27" s="58">
        <v>21</v>
      </c>
      <c r="I27" s="229">
        <f>'Energy Prices'!P26</f>
        <v>36.909455291666667</v>
      </c>
      <c r="J27" s="229">
        <f>I27*$E$6</f>
        <v>0.996555292875</v>
      </c>
      <c r="K27" s="229">
        <f t="shared" si="5"/>
        <v>0</v>
      </c>
      <c r="L27" s="229">
        <v>0</v>
      </c>
      <c r="M27" s="229">
        <v>0</v>
      </c>
      <c r="N27" s="229">
        <f>(I27+J27+K27+L27+M27)/((1+$E$7)^H27)</f>
        <v>8.140486897179704</v>
      </c>
      <c r="O27" s="229">
        <f>N27+O26</f>
        <v>251.58034187779816</v>
      </c>
      <c r="P27" s="229">
        <f>(-PMT($E$7,H27,(O27)))</f>
        <v>24.349208412079477</v>
      </c>
      <c r="Q27" s="225"/>
      <c r="R27" s="226"/>
      <c r="S27" s="227"/>
      <c r="T27" s="228"/>
      <c r="U27" s="228"/>
    </row>
    <row r="28" spans="2:21" x14ac:dyDescent="0.25">
      <c r="C28" s="238"/>
      <c r="D28" s="238"/>
      <c r="E28" s="241"/>
      <c r="F28" s="238"/>
      <c r="G28" s="59"/>
      <c r="H28" s="58"/>
      <c r="I28" s="238"/>
      <c r="J28" s="238"/>
      <c r="K28" s="238"/>
      <c r="L28" s="238"/>
      <c r="M28" s="238"/>
      <c r="N28" s="238"/>
      <c r="O28" s="238"/>
      <c r="P28" s="238"/>
      <c r="Q28" s="225"/>
      <c r="R28" s="226"/>
      <c r="S28" s="227"/>
      <c r="T28" s="228"/>
      <c r="U28" s="228"/>
    </row>
    <row r="29" spans="2:21" ht="15.6" x14ac:dyDescent="0.3">
      <c r="B29" s="31" t="s">
        <v>25</v>
      </c>
      <c r="C29" s="81" t="s">
        <v>103</v>
      </c>
      <c r="D29" s="238"/>
      <c r="E29" s="241"/>
      <c r="F29" s="238"/>
      <c r="H29" s="238"/>
      <c r="I29" s="238"/>
      <c r="J29" s="238"/>
      <c r="K29" s="238"/>
      <c r="L29" s="238"/>
      <c r="M29" s="238"/>
      <c r="N29" s="238"/>
      <c r="O29" s="238"/>
      <c r="P29" s="238"/>
      <c r="Q29" s="225"/>
      <c r="R29" s="226"/>
      <c r="S29" s="227"/>
      <c r="T29" s="228"/>
      <c r="U29" s="228"/>
    </row>
    <row r="30" spans="2:21" ht="15.6" x14ac:dyDescent="0.3">
      <c r="B30" s="31"/>
      <c r="C30" s="85" t="s">
        <v>104</v>
      </c>
      <c r="D30" s="238"/>
      <c r="E30" s="241"/>
      <c r="F30" s="238"/>
      <c r="H30" s="238"/>
      <c r="I30" s="238"/>
      <c r="J30" s="238"/>
      <c r="K30" s="238"/>
      <c r="L30" s="238"/>
      <c r="M30" s="238"/>
      <c r="N30" s="238"/>
      <c r="O30" s="238"/>
      <c r="P30" s="238"/>
      <c r="Q30" s="225"/>
      <c r="R30" s="226"/>
      <c r="S30" s="227"/>
      <c r="T30" s="228"/>
      <c r="U30" s="228"/>
    </row>
    <row r="31" spans="2:21" ht="15.6" x14ac:dyDescent="0.3">
      <c r="B31" s="31" t="s">
        <v>26</v>
      </c>
      <c r="C31" s="81" t="s">
        <v>44</v>
      </c>
      <c r="D31" s="81"/>
      <c r="F31" s="238"/>
      <c r="Q31" s="238"/>
      <c r="R31" s="238"/>
      <c r="S31" s="238"/>
      <c r="T31" s="238"/>
      <c r="U31" s="238"/>
    </row>
    <row r="32" spans="2:21" ht="15.6" x14ac:dyDescent="0.3">
      <c r="B32" s="25" t="s">
        <v>32</v>
      </c>
      <c r="C32" s="240" t="s">
        <v>45</v>
      </c>
    </row>
    <row r="33" spans="2:3" ht="15.6" x14ac:dyDescent="0.3">
      <c r="B33" s="31" t="s">
        <v>27</v>
      </c>
      <c r="C33" s="240" t="s">
        <v>73</v>
      </c>
    </row>
  </sheetData>
  <phoneticPr fontId="13" type="noConversion"/>
  <hyperlinks>
    <hyperlink ref="C30" r:id="rId1"/>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1C975A9AA97448711F499A0B4ED62" ma:contentTypeVersion="56" ma:contentTypeDescription="" ma:contentTypeScope="" ma:versionID="1635275def88c02ac089c8c7e3eef0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2019-08-09T07:00:00+00:00</OpenedDate>
    <SignificantOrder xmlns="dc463f71-b30c-4ab2-9473-d307f9d35888">false</SignificantOrder>
    <Date1 xmlns="dc463f71-b30c-4ab2-9473-d307f9d35888">2019-08-09T07:00:00+00:00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190665</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6D57121A-55FE-4D00-B7C9-F8FF09E3E2ED}"/>
</file>

<file path=customXml/itemProps2.xml><?xml version="1.0" encoding="utf-8"?>
<ds:datastoreItem xmlns:ds="http://schemas.openxmlformats.org/officeDocument/2006/customXml" ds:itemID="{03E0F919-B37F-4217-AEE8-BC978C1FFF41}">
  <ds:schemaRefs>
    <ds:schemaRef ds:uri="http://purl.org/dc/elements/1.1/"/>
    <ds:schemaRef ds:uri="http://schemas.microsoft.com/office/2006/metadata/properties"/>
    <ds:schemaRef ds:uri="dc463f71-b30c-4ab2-9473-d307f9d35888"/>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4.xml><?xml version="1.0" encoding="utf-8"?>
<ds:datastoreItem xmlns:ds="http://schemas.openxmlformats.org/officeDocument/2006/customXml" ds:itemID="{F1528F8B-479F-4FCB-8967-D9DD8FBB88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Electric EES CE Std Capacity</vt:lpstr>
      <vt:lpstr>Firm Avoided Capacity Calcs</vt:lpstr>
      <vt:lpstr>Wind Avoided Capacity Calcs</vt:lpstr>
      <vt:lpstr>Solar Avoided Capacity Calcs</vt:lpstr>
      <vt:lpstr>Inputs-----&gt;</vt:lpstr>
      <vt:lpstr>Energy Prices</vt:lpstr>
      <vt:lpstr>Capacity Delivered</vt:lpstr>
      <vt:lpstr>Cost of Capital</vt:lpstr>
      <vt:lpstr>'Electric EES CE Std Capacity'!Print_Area</vt:lpstr>
      <vt:lpstr>'Electric EES CE Std Energy'!Print_Area</vt:lpstr>
      <vt:lpstr>'Firm Avoided Capacity Calcs'!Print_Area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Mei Cass</cp:lastModifiedBy>
  <cp:lastPrinted>2019-08-09T22:03:58Z</cp:lastPrinted>
  <dcterms:created xsi:type="dcterms:W3CDTF">2011-10-18T17:21:29Z</dcterms:created>
  <dcterms:modified xsi:type="dcterms:W3CDTF">2019-08-09T22:04:10Z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0x0101006E56B4D1795A2E4DB2F0B01679ED314A0076D1C975A9AA97448711F499A0B4ED62</vt:lpwstr>
  </property>
  <property fmtid="{D5CDD505-2E9C-101B-9397-08002B2CF9AE}" pid="3" name="_docset_NoMedatataSyncRequired">
    <vt:lpwstr>False</vt:lpwstr>
  </property>
  <property fmtid="{D5CDD505-2E9C-101B-9397-08002B2CF9AE}" pid="4" name="IsEFSEC">
    <vt:bool>false</vt:bool>
  </property>
</Properties>
</file>