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9-08-01 WUSF Petition\Tenino Telephone Company\"/>
    </mc:Choice>
  </mc:AlternateContent>
  <xr:revisionPtr revIDLastSave="0" documentId="8_{6FD39B42-FAD7-4754-97B2-9B140C54C543}" xr6:coauthVersionLast="43" xr6:coauthVersionMax="43" xr10:uidLastSave="{00000000-0000-0000-0000-000000000000}"/>
  <bookViews>
    <workbookView xWindow="765" yWindow="105" windowWidth="27555" windowHeight="17265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" l="1"/>
  <c r="E19" i="17" l="1"/>
  <c r="E21" i="17"/>
  <c r="E20" i="17"/>
  <c r="D18" i="17"/>
  <c r="E13" i="17" l="1"/>
  <c r="D26" i="1" l="1"/>
  <c r="D26" i="13" l="1"/>
  <c r="C37" i="12"/>
  <c r="E14" i="17" l="1"/>
  <c r="D17" i="17"/>
  <c r="D11" i="8" l="1"/>
  <c r="D10" i="8"/>
  <c r="C38" i="1" l="1"/>
  <c r="C35" i="1"/>
  <c r="D21" i="1"/>
  <c r="C11" i="8"/>
  <c r="C10" i="8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<sst xmlns="http://schemas.openxmlformats.org/spreadsheetml/2006/main" count="657" uniqueCount="279">
  <si>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</si>
  <si>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</si>
  <si>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</si>
  <si>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</si>
  <si>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</si>
  <si>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</si>
  <si>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</si>
  <si>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</si>
  <si>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</si>
  <si>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</si>
  <si>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</si>
  <si>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</si>
  <si>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</si>
  <si>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</si>
  <si>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</si>
  <si>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</si>
  <si>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</si>
  <si>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</si>
  <si>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</si>
  <si>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</si>
  <si>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</si>
  <si>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</si>
  <si>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</si>
  <si>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</si>
  <si>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</si>
  <si>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</si>
  <si>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</si>
  <si>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</si>
  <si>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</si>
  <si>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</si>
  <si>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</si>
  <si>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</si>
  <si>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</si>
  <si>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</si>
  <si>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</si>
  <si>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</si>
  <si>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</si>
  <si>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</si>
  <si>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</si>
  <si>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</si>
  <si>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</si>
  <si>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</si>
  <si>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</si>
  <si>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</si>
  <si>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</si>
  <si>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</si>
  <si>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</si>
  <si>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</si>
  <si>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</si>
  <si>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</si>
  <si>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</si>
  <si>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</si>
  <si>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</si>
  <si>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</si>
  <si>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</si>
  <si>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</si>
  <si>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</si>
  <si>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</si>
  <si>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</si>
  <si>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</si>
  <si>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</si>
  <si>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</si>
  <si>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</si>
  <si>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</si>
  <si>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</si>
  <si>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</si>
  <si>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</si>
  <si>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</si>
  <si>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</si>
  <si>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</si>
  <si>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</si>
  <si>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</si>
  <si>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</si>
  <si>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</si>
  <si>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</si>
  <si>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</si>
  <si>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</si>
  <si>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</si>
  <si>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</si>
  <si>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</si>
  <si>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</si>
  <si>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</si>
  <si>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</si>
  <si>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</si>
  <si>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</si>
  <si>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</si>
  <si>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</si>
  <si>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</si>
  <si>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</si>
  <si>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</si>
  <si>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</si>
  <si>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</si>
  <si>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</si>
  <si>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</si>
  <si>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</si>
  <si>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</si>
  <si>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</si>
  <si>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</si>
  <si>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</si>
  <si>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</si>
  <si>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</si>
  <si>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</si>
  <si>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</si>
  <si>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</si>
  <si>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</si>
  <si>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</si>
  <si>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</si>
  <si>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</si>
  <si>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</si>
  <si>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</si>
  <si>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</si>
  <si>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</si>
  <si>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</si>
  <si>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</si>
  <si>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</si>
  <si>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</si>
  <si>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</si>
  <si>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</si>
  <si>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</si>
  <si>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</si>
  <si>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</si>
  <si>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</si>
  <si>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</si>
  <si>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</si>
  <si>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</si>
  <si>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</si>
  <si>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</si>
  <si>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</si>
  <si>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</si>
  <si>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</si>
  <si>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</si>
  <si>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</si>
  <si>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</si>
  <si>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</si>
  <si>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</si>
  <si>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</si>
  <si>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</si>
  <si>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</si>
  <si>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</si>
  <si>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</si>
  <si>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</si>
  <si>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</si>
  <si>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</si>
  <si>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</si>
  <si>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</si>
  <si>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</si>
  <si>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</si>
  <si>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</si>
  <si>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</si>
  <si>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</si>
  <si>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</si>
  <si>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</si>
  <si>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</si>
  <si>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</si>
  <si>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</si>
  <si>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</si>
  <si>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</si>
  <si>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</si>
  <si>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</si>
  <si>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</si>
  <si>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</si>
  <si>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</si>
  <si>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</si>
  <si>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</si>
  <si>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</si>
  <si>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</si>
  <si>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</si>
  <si>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</si>
  <si>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</si>
  <si>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</si>
  <si>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</si>
  <si>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</si>
  <si>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</si>
  <si>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</si>
  <si>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</si>
  <si>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</si>
  <si>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</si>
  <si>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</si>
  <si>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</si>
  <si>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</si>
  <si>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</si>
  <si>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</si>
  <si>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</si>
  <si>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</si>
  <si>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</si>
  <si>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</si>
  <si>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</si>
  <si>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</si>
  <si>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</si>
  <si>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</si>
  <si>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</si>
  <si>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</si>
  <si>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</si>
  <si>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</si>
  <si>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</si>
  <si>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</si>
  <si>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</si>
  <si>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</si>
  <si>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</si>
  <si>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</si>
  <si>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</si>
  <si>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</si>
  <si>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</si>
  <si>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</si>
  <si>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</si>
  <si>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</si>
  <si>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</si>
  <si>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</si>
  <si>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</si>
  <si>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</si>
  <si>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</si>
  <si>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</si>
  <si>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</si>
  <si>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</si>
  <si>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</si>
  <si>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</si>
  <si>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</si>
  <si>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</si>
  <si>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</si>
  <si>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</si>
  <si>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</si>
  <si>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</si>
  <si>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</si>
  <si>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</si>
  <si>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</si>
  <si>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</si>
  <si>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</si>
  <si>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</si>
  <si>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</si>
  <si>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</si>
  <si>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</si>
  <si>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</si>
  <si>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</si>
  <si>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</si>
  <si>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</si>
  <si>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</si>
  <si>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</si>
  <si>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</si>
  <si>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</si>
  <si>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</si>
  <si>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</si>
  <si>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</si>
  <si>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</si>
  <si>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</si>
  <si>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</si>
  <si>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</si>
  <si>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</si>
  <si>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</si>
  <si>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</si>
  <si>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</si>
  <si>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</si>
  <si>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</si>
  <si>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</si>
  <si>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</si>
  <si>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</si>
  <si>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</si>
  <si>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</si>
  <si>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</si>
  <si>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</si>
  <si>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</si>
  <si>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</si>
  <si>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</si>
  <si>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</si>
  <si>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</si>
  <si>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</si>
  <si>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</si>
  <si>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</si>
  <si>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</si>
  <si>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</si>
  <si>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</si>
  <si>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Tenino Telephone Company</t>
  </si>
  <si>
    <t>Adjustment #1: Remove 2017 Budget Control Refund received in 2018</t>
  </si>
  <si>
    <t>5082.00 CAF-BLS (CCL) Revenue</t>
  </si>
  <si>
    <t>PF</t>
  </si>
  <si>
    <t>5088.00 High Cost Loop (USF) Revenue</t>
  </si>
  <si>
    <t>7200.12 FIT Tax Expense</t>
  </si>
  <si>
    <t>4070.00 Federal Income Tax Payable</t>
  </si>
  <si>
    <t>1190.03 Other Accounts Recievable - NECA</t>
  </si>
  <si>
    <t>Adjustment #2: To Adjust 2018 Budget Control Refund (received in 2019) accrual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</si>
</sst>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8" fontId="0" fillId="0" borderId="0" xfId="0" applyNumberFormat="1"/>
    <xf numFmtId="0" fontId="0" fillId="0" borderId="10" xfId="0" quotePrefix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>
      <selection activeCell="A21" sqref="A2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199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200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201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19" sqref="E1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Tenino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369710</v>
      </c>
      <c r="E9" s="55">
        <v>353599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61203</v>
      </c>
      <c r="E11" s="52">
        <v>45469</v>
      </c>
    </row>
    <row r="12" spans="1:5" x14ac:dyDescent="0.25">
      <c r="A12" s="10" t="s">
        <v>176</v>
      </c>
      <c r="B12" s="17" t="s">
        <v>198</v>
      </c>
      <c r="C12" s="10"/>
      <c r="D12" s="52">
        <v>499839</v>
      </c>
      <c r="E12" s="52">
        <v>284794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4422</v>
      </c>
      <c r="E14" s="52">
        <v>4942</v>
      </c>
    </row>
    <row r="15" spans="1:5" x14ac:dyDescent="0.25">
      <c r="A15" s="10" t="s">
        <v>178</v>
      </c>
      <c r="B15" s="17" t="s">
        <v>142</v>
      </c>
      <c r="C15" s="10"/>
      <c r="D15" s="52">
        <v>438921</v>
      </c>
      <c r="E15" s="52">
        <v>295725</v>
      </c>
    </row>
    <row r="16" spans="1:5" x14ac:dyDescent="0.25">
      <c r="A16" s="10">
        <v>4</v>
      </c>
      <c r="B16" s="17" t="s">
        <v>261</v>
      </c>
      <c r="C16" s="10" t="s">
        <v>144</v>
      </c>
      <c r="D16" s="52">
        <v>36464</v>
      </c>
      <c r="E16" s="52">
        <v>194834</v>
      </c>
    </row>
    <row r="17" spans="1:5" x14ac:dyDescent="0.25">
      <c r="A17" s="10">
        <v>5</v>
      </c>
      <c r="B17" s="17" t="s">
        <v>260</v>
      </c>
      <c r="C17" s="10" t="s">
        <v>144</v>
      </c>
      <c r="D17" s="52">
        <v>703080</v>
      </c>
      <c r="E17" s="52">
        <v>762246</v>
      </c>
    </row>
    <row r="18" spans="1:5" x14ac:dyDescent="0.25">
      <c r="A18" s="10">
        <v>6</v>
      </c>
      <c r="B18" s="17" t="s">
        <v>188</v>
      </c>
      <c r="C18" s="10" t="s">
        <v>144</v>
      </c>
      <c r="D18" s="52">
        <v>255150</v>
      </c>
      <c r="E18" s="52">
        <v>282631</v>
      </c>
    </row>
    <row r="19" spans="1:5" x14ac:dyDescent="0.25">
      <c r="A19" s="10">
        <v>7</v>
      </c>
      <c r="B19" s="17" t="s">
        <v>163</v>
      </c>
      <c r="C19" s="11"/>
      <c r="D19" s="53">
        <v>217</v>
      </c>
      <c r="E19" s="53">
        <v>6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2369006</v>
      </c>
      <c r="E20" s="35">
        <f>E9+E11+E12+E14+E15+E16++E17+E18+E19</f>
        <v>2224246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2369006</v>
      </c>
      <c r="E21" s="37">
        <f>IncomeStmtSummary!D10</f>
        <v>2224246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54"/>
  <sheetViews>
    <sheetView zoomScaleNormal="100" workbookViewId="0">
      <selection activeCell="E20" sqref="E20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Tenino Telephone Company</v>
      </c>
      <c r="B3" s="66"/>
    </row>
    <row r="6" spans="1:5" x14ac:dyDescent="0.25">
      <c r="A6" s="9" t="s">
        <v>269</v>
      </c>
      <c r="B6" s="9" t="s">
        <v>210</v>
      </c>
      <c r="C6" s="6"/>
      <c r="D6" s="126" t="s">
        <v>186</v>
      </c>
      <c r="E6" s="127"/>
    </row>
    <row r="7" spans="1:5" x14ac:dyDescent="0.25">
      <c r="A7" s="11" t="s">
        <v>205</v>
      </c>
      <c r="B7" s="11"/>
      <c r="C7" s="11" t="s">
        <v>204</v>
      </c>
      <c r="D7" s="110" t="s">
        <v>190</v>
      </c>
      <c r="E7" s="5" t="s">
        <v>191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271</v>
      </c>
      <c r="B9" s="17"/>
      <c r="C9" s="17"/>
      <c r="D9" s="114"/>
      <c r="E9" s="114"/>
    </row>
    <row r="10" spans="1:5" x14ac:dyDescent="0.25">
      <c r="A10" s="17" t="s">
        <v>272</v>
      </c>
      <c r="B10" s="17">
        <v>2018</v>
      </c>
      <c r="C10" s="17" t="s">
        <v>273</v>
      </c>
      <c r="D10" s="114">
        <v>99504</v>
      </c>
      <c r="E10" s="114"/>
    </row>
    <row r="11" spans="1:5" x14ac:dyDescent="0.25">
      <c r="A11" s="17" t="s">
        <v>274</v>
      </c>
      <c r="B11" s="17">
        <v>2018</v>
      </c>
      <c r="C11" s="17" t="s">
        <v>273</v>
      </c>
      <c r="D11" s="114">
        <v>52511</v>
      </c>
      <c r="E11" s="114"/>
    </row>
    <row r="12" spans="1:5" x14ac:dyDescent="0.25">
      <c r="A12" s="125" t="s">
        <v>276</v>
      </c>
      <c r="B12" s="17">
        <v>2018</v>
      </c>
      <c r="C12" s="17" t="s">
        <v>273</v>
      </c>
      <c r="D12" s="114">
        <v>31923</v>
      </c>
      <c r="E12" s="114"/>
    </row>
    <row r="13" spans="1:5" x14ac:dyDescent="0.25">
      <c r="A13" s="17" t="s">
        <v>277</v>
      </c>
      <c r="B13" s="17">
        <v>2018</v>
      </c>
      <c r="C13" s="17" t="s">
        <v>273</v>
      </c>
      <c r="D13" s="114"/>
      <c r="E13" s="114">
        <f>99504+52511</f>
        <v>152015</v>
      </c>
    </row>
    <row r="14" spans="1:5" x14ac:dyDescent="0.25">
      <c r="A14" s="17" t="s">
        <v>275</v>
      </c>
      <c r="B14" s="17">
        <v>2018</v>
      </c>
      <c r="C14" s="17" t="s">
        <v>273</v>
      </c>
      <c r="D14" s="114"/>
      <c r="E14" s="114">
        <f>ROUND((52511+99504)*0.21,0)</f>
        <v>31923</v>
      </c>
    </row>
    <row r="15" spans="1:5" x14ac:dyDescent="0.25">
      <c r="A15" s="19"/>
      <c r="B15" s="19"/>
      <c r="C15" s="19"/>
      <c r="D15" s="115"/>
      <c r="E15" s="115"/>
    </row>
    <row r="16" spans="1:5" x14ac:dyDescent="0.25">
      <c r="A16" s="17" t="s">
        <v>278</v>
      </c>
      <c r="B16" s="17"/>
      <c r="C16" s="17"/>
      <c r="D16" s="114"/>
      <c r="E16" s="114"/>
    </row>
    <row r="17" spans="1:7" x14ac:dyDescent="0.25">
      <c r="A17" s="17" t="s">
        <v>275</v>
      </c>
      <c r="B17" s="17">
        <v>2018</v>
      </c>
      <c r="C17" s="17" t="s">
        <v>273</v>
      </c>
      <c r="D17" s="114">
        <f>ROUND((+E20+E21)*0.21,0)</f>
        <v>2585</v>
      </c>
      <c r="E17" s="114"/>
    </row>
    <row r="18" spans="1:7" x14ac:dyDescent="0.25">
      <c r="A18" s="17" t="s">
        <v>277</v>
      </c>
      <c r="B18" s="17">
        <v>2018</v>
      </c>
      <c r="C18" s="17" t="s">
        <v>273</v>
      </c>
      <c r="D18" s="114">
        <f>73174+34572-95436</f>
        <v>12310</v>
      </c>
      <c r="E18" s="114"/>
    </row>
    <row r="19" spans="1:7" x14ac:dyDescent="0.25">
      <c r="A19" s="125" t="s">
        <v>276</v>
      </c>
      <c r="B19" s="17">
        <v>2018</v>
      </c>
      <c r="C19" s="17" t="s">
        <v>273</v>
      </c>
      <c r="D19" s="114"/>
      <c r="E19" s="114">
        <f>+D17</f>
        <v>2585</v>
      </c>
    </row>
    <row r="20" spans="1:7" x14ac:dyDescent="0.25">
      <c r="A20" s="17" t="s">
        <v>272</v>
      </c>
      <c r="B20" s="17">
        <v>2018</v>
      </c>
      <c r="C20" s="17" t="s">
        <v>273</v>
      </c>
      <c r="D20" s="114"/>
      <c r="E20" s="114">
        <f>73174-64992</f>
        <v>8182</v>
      </c>
    </row>
    <row r="21" spans="1:7" x14ac:dyDescent="0.25">
      <c r="A21" s="17" t="s">
        <v>274</v>
      </c>
      <c r="B21" s="17">
        <v>2018</v>
      </c>
      <c r="C21" s="17" t="s">
        <v>273</v>
      </c>
      <c r="D21" s="114"/>
      <c r="E21" s="114">
        <f>34572-30444</f>
        <v>4128</v>
      </c>
      <c r="G21" s="124"/>
    </row>
    <row r="22" spans="1:7" x14ac:dyDescent="0.25">
      <c r="A22" s="19"/>
      <c r="B22" s="19"/>
      <c r="C22" s="19"/>
      <c r="D22" s="115"/>
      <c r="E22" s="115"/>
    </row>
    <row r="23" spans="1:7" x14ac:dyDescent="0.25">
      <c r="A23" s="17" t="s">
        <v>187</v>
      </c>
      <c r="B23" s="17"/>
      <c r="C23" s="17"/>
      <c r="D23" s="114"/>
      <c r="E23" s="114"/>
    </row>
    <row r="24" spans="1:7" x14ac:dyDescent="0.25">
      <c r="A24" s="17"/>
      <c r="B24" s="17"/>
      <c r="C24" s="17"/>
      <c r="D24" s="114"/>
      <c r="E24" s="114"/>
    </row>
    <row r="25" spans="1:7" x14ac:dyDescent="0.25">
      <c r="A25" s="17"/>
      <c r="B25" s="17"/>
      <c r="C25" s="17"/>
      <c r="D25" s="114"/>
      <c r="E25" s="114"/>
    </row>
    <row r="26" spans="1:7" x14ac:dyDescent="0.25">
      <c r="A26" s="17"/>
      <c r="B26" s="17"/>
      <c r="C26" s="17"/>
      <c r="D26" s="114"/>
      <c r="E26" s="114"/>
    </row>
    <row r="27" spans="1:7" x14ac:dyDescent="0.25">
      <c r="A27" s="19"/>
      <c r="B27" s="19"/>
      <c r="C27" s="19"/>
      <c r="D27" s="115"/>
      <c r="E27" s="115"/>
    </row>
    <row r="28" spans="1:7" x14ac:dyDescent="0.25">
      <c r="A28" s="17" t="s">
        <v>192</v>
      </c>
      <c r="B28" s="17"/>
      <c r="C28" s="17"/>
      <c r="D28" s="114"/>
      <c r="E28" s="114"/>
    </row>
    <row r="29" spans="1:7" x14ac:dyDescent="0.25">
      <c r="A29" s="17"/>
      <c r="B29" s="17"/>
      <c r="C29" s="17"/>
      <c r="D29" s="114"/>
      <c r="E29" s="114"/>
    </row>
    <row r="30" spans="1:7" x14ac:dyDescent="0.25">
      <c r="A30" s="17"/>
      <c r="B30" s="17"/>
      <c r="C30" s="17"/>
      <c r="D30" s="114"/>
      <c r="E30" s="114"/>
    </row>
    <row r="31" spans="1:7" x14ac:dyDescent="0.25">
      <c r="A31" s="17"/>
      <c r="B31" s="17"/>
      <c r="C31" s="17"/>
      <c r="D31" s="114"/>
      <c r="E31" s="114"/>
    </row>
    <row r="32" spans="1:7" x14ac:dyDescent="0.25">
      <c r="A32" s="19"/>
      <c r="B32" s="19"/>
      <c r="C32" s="19"/>
      <c r="D32" s="115"/>
      <c r="E32" s="115"/>
    </row>
    <row r="33" spans="1:5" x14ac:dyDescent="0.25">
      <c r="A33" s="17" t="s">
        <v>211</v>
      </c>
      <c r="B33" s="17"/>
      <c r="C33" s="17"/>
      <c r="D33" s="114"/>
      <c r="E33" s="114"/>
    </row>
    <row r="34" spans="1:5" x14ac:dyDescent="0.25">
      <c r="A34" s="17"/>
      <c r="B34" s="17"/>
      <c r="C34" s="17"/>
      <c r="D34" s="114"/>
      <c r="E34" s="114"/>
    </row>
    <row r="35" spans="1:5" x14ac:dyDescent="0.25">
      <c r="A35" s="17"/>
      <c r="B35" s="17"/>
      <c r="C35" s="17"/>
      <c r="D35" s="114"/>
      <c r="E35" s="114"/>
    </row>
    <row r="36" spans="1:5" x14ac:dyDescent="0.25">
      <c r="A36" s="17"/>
      <c r="B36" s="17"/>
      <c r="C36" s="17"/>
      <c r="D36" s="114"/>
      <c r="E36" s="114"/>
    </row>
    <row r="37" spans="1:5" x14ac:dyDescent="0.25">
      <c r="A37" s="19"/>
      <c r="B37" s="19"/>
      <c r="C37" s="19"/>
      <c r="D37" s="115"/>
      <c r="E37" s="115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  <row r="51" spans="4:5" x14ac:dyDescent="0.25">
      <c r="D51" s="108"/>
      <c r="E51" s="108"/>
    </row>
    <row r="52" spans="4:5" x14ac:dyDescent="0.25">
      <c r="D52" s="108"/>
      <c r="E52" s="108"/>
    </row>
    <row r="53" spans="4:5" x14ac:dyDescent="0.25">
      <c r="D53" s="108"/>
      <c r="E53" s="108"/>
    </row>
    <row r="54" spans="4:5" x14ac:dyDescent="0.25">
      <c r="D54" s="108"/>
      <c r="E54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Tenino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250</v>
      </c>
      <c r="D7" s="121" t="s">
        <v>251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202</v>
      </c>
      <c r="C10" s="81">
        <f>'RateBase '!D15</f>
        <v>1760236</v>
      </c>
      <c r="D10" s="81">
        <f>C10</f>
        <v>1760236</v>
      </c>
    </row>
    <row r="11" spans="1:4" x14ac:dyDescent="0.25">
      <c r="A11" s="74">
        <v>2</v>
      </c>
      <c r="B11" s="78" t="s">
        <v>170</v>
      </c>
      <c r="C11" s="93">
        <f>'RateBase '!E15</f>
        <v>1722773</v>
      </c>
      <c r="D11" s="93">
        <f>C11</f>
        <v>1722773</v>
      </c>
    </row>
    <row r="12" spans="1:4" x14ac:dyDescent="0.25">
      <c r="A12" s="74">
        <v>3</v>
      </c>
      <c r="B12" s="89" t="s">
        <v>171</v>
      </c>
      <c r="C12" s="79">
        <f>(C10+C11)/2</f>
        <v>1741504.5</v>
      </c>
      <c r="D12" s="79">
        <f>(D10+D11)/2</f>
        <v>1741504.5</v>
      </c>
    </row>
    <row r="13" spans="1:4" x14ac:dyDescent="0.25">
      <c r="A13" s="74">
        <v>4</v>
      </c>
      <c r="B13" s="78" t="s">
        <v>172</v>
      </c>
      <c r="C13" s="58">
        <f>IncomeStmtSummary!D29</f>
        <v>-328409</v>
      </c>
      <c r="D13" s="58">
        <f>C13</f>
        <v>-328409</v>
      </c>
    </row>
    <row r="14" spans="1:4" x14ac:dyDescent="0.25">
      <c r="A14" s="74">
        <v>5</v>
      </c>
      <c r="B14" s="78" t="s">
        <v>252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-328409</v>
      </c>
      <c r="D15" s="79">
        <f>D13+D14</f>
        <v>-328409</v>
      </c>
    </row>
    <row r="16" spans="1:4" x14ac:dyDescent="0.25">
      <c r="A16" s="74">
        <v>7</v>
      </c>
      <c r="B16" s="89" t="s">
        <v>173</v>
      </c>
      <c r="C16" s="80">
        <f>C15/C12</f>
        <v>-0.18857774987087314</v>
      </c>
      <c r="D16" s="80">
        <f>D15/D12</f>
        <v>-0.18857774987087314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206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212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213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19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270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237</v>
      </c>
      <c r="C8" s="11" t="s">
        <v>238</v>
      </c>
      <c r="D8" s="11" t="s">
        <v>239</v>
      </c>
      <c r="E8" s="11"/>
      <c r="F8" s="8"/>
      <c r="G8" s="11" t="s">
        <v>237</v>
      </c>
      <c r="H8" s="11" t="s">
        <v>238</v>
      </c>
      <c r="I8" s="5" t="s">
        <v>239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3905894</v>
      </c>
      <c r="C10" s="54"/>
      <c r="D10" s="58">
        <f>SUM(B10:C10)</f>
        <v>3905894</v>
      </c>
      <c r="E10" s="17"/>
      <c r="F10" s="17" t="s">
        <v>77</v>
      </c>
      <c r="G10" s="52">
        <v>128668</v>
      </c>
      <c r="H10" s="54"/>
      <c r="I10" s="58">
        <f>SUM(G10:H10)</f>
        <v>128668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168817</v>
      </c>
      <c r="C17" s="54"/>
      <c r="D17" s="58">
        <f>SUM(B17:C17)</f>
        <v>168817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78608</v>
      </c>
      <c r="H18" s="54"/>
      <c r="I18" s="58">
        <f t="shared" si="0"/>
        <v>78608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395623</v>
      </c>
      <c r="H19" s="111"/>
      <c r="I19" s="59">
        <f t="shared" si="0"/>
        <v>395623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602899</v>
      </c>
      <c r="H20" s="58">
        <f>SUM(H10:H19)</f>
        <v>0</v>
      </c>
      <c r="I20" s="58">
        <f t="shared" ref="I20" si="3">SUM(I10:I19)</f>
        <v>602899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54421</v>
      </c>
      <c r="C23" s="54"/>
      <c r="D23" s="58">
        <f t="shared" si="2"/>
        <v>54421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49808</v>
      </c>
      <c r="C24" s="111"/>
      <c r="D24" s="59">
        <f t="shared" si="2"/>
        <v>49808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4178940</v>
      </c>
      <c r="C25" s="58">
        <f>C10+C11+C13+C14+C15+C17+C18+C19+C20+C21+C22+C23+C24</f>
        <v>0</v>
      </c>
      <c r="D25" s="58">
        <f t="shared" ref="D25" si="5">D10+D11+D13+D14+D15+D17+D18+D19+D20+D21+D22+D23+D24</f>
        <v>4178940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146338</v>
      </c>
      <c r="H30" s="54"/>
      <c r="I30" s="58">
        <f t="shared" si="6"/>
        <v>146338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146338</v>
      </c>
      <c r="H32" s="119">
        <f>SUM(H22:H31)</f>
        <v>0</v>
      </c>
      <c r="I32" s="119">
        <f>SUM(I22:I31)</f>
        <v>146338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3000</v>
      </c>
      <c r="C35" s="69">
        <f>-1*(C25+C30+C31+C33+C34+C36+C37+C38+C47)</f>
        <v>-250775</v>
      </c>
      <c r="D35" s="58">
        <f t="shared" si="7"/>
        <v>-247775</v>
      </c>
      <c r="E35" s="17"/>
      <c r="F35" s="18" t="s">
        <v>214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445664</v>
      </c>
      <c r="C37" s="54">
        <f>1+614+251459</f>
        <v>252074</v>
      </c>
      <c r="D37" s="58">
        <f t="shared" si="7"/>
        <v>697738</v>
      </c>
      <c r="E37" s="17"/>
      <c r="F37" s="17" t="s">
        <v>253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448664</v>
      </c>
      <c r="C39" s="58">
        <f>C30+C31+C33+C34+C35+C36+C37+C38</f>
        <v>1299</v>
      </c>
      <c r="D39" s="58">
        <f>D30+D31+D33+D34+D35+D36+D37+D38</f>
        <v>449963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216</v>
      </c>
      <c r="G40" s="52">
        <v>97200</v>
      </c>
      <c r="H40" s="22"/>
      <c r="I40" s="58">
        <f>SUM(G40:H40)</f>
        <v>97200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24247991</v>
      </c>
      <c r="C42" s="52">
        <v>-21438</v>
      </c>
      <c r="D42" s="58">
        <f>SUM(B42:C42)</f>
        <v>24226553</v>
      </c>
      <c r="E42" s="17"/>
      <c r="F42" s="17" t="s">
        <v>218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224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155679</v>
      </c>
      <c r="C44" s="52"/>
      <c r="D44" s="58">
        <f t="shared" si="10"/>
        <v>155679</v>
      </c>
      <c r="E44" s="17"/>
      <c r="F44" s="17" t="s">
        <v>219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220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-23184194</v>
      </c>
      <c r="C46" s="53">
        <v>20139</v>
      </c>
      <c r="D46" s="59">
        <f t="shared" si="10"/>
        <v>-23164055</v>
      </c>
      <c r="E46" s="17"/>
      <c r="F46" s="17" t="s">
        <v>221</v>
      </c>
      <c r="G46" s="53">
        <v>5000643</v>
      </c>
      <c r="H46" s="94">
        <f>-1*(H20+H32+H38)</f>
        <v>0</v>
      </c>
      <c r="I46" s="59">
        <f t="shared" si="9"/>
        <v>5000643</v>
      </c>
    </row>
    <row r="47" spans="1:9" x14ac:dyDescent="0.25">
      <c r="A47" s="17" t="s">
        <v>70</v>
      </c>
      <c r="B47" s="58">
        <f>B42+B43+B44+B45+B46</f>
        <v>1219476</v>
      </c>
      <c r="C47" s="58">
        <f t="shared" ref="C47:D47" si="11">C42+C43+C44+C45+C46</f>
        <v>-1299</v>
      </c>
      <c r="D47" s="58">
        <f t="shared" si="11"/>
        <v>1218177</v>
      </c>
      <c r="E47" s="17"/>
      <c r="F47" s="17" t="s">
        <v>222</v>
      </c>
      <c r="G47" s="58">
        <f>SUM(G40:G46)</f>
        <v>5097843</v>
      </c>
      <c r="H47" s="61">
        <f t="shared" ref="H47:I47" si="12">SUM(H40:H46)</f>
        <v>0</v>
      </c>
      <c r="I47" s="58">
        <f t="shared" si="12"/>
        <v>5097843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5847080</v>
      </c>
      <c r="C49" s="60">
        <f>C25+C39+C47</f>
        <v>0</v>
      </c>
      <c r="D49" s="60">
        <f>D25+D39+D47</f>
        <v>5847080</v>
      </c>
      <c r="E49" s="19"/>
      <c r="F49" s="82" t="s">
        <v>226</v>
      </c>
      <c r="G49" s="60">
        <f>G20+G32+G38+G47</f>
        <v>5847080</v>
      </c>
      <c r="H49" s="60">
        <f>H20+H32+H38+H47</f>
        <v>0</v>
      </c>
      <c r="I49" s="60">
        <f>I20+I32+I38+I47</f>
        <v>5847080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7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Tenino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262</v>
      </c>
      <c r="C8" s="11" t="s">
        <v>263</v>
      </c>
      <c r="D8" s="11" t="s">
        <v>264</v>
      </c>
      <c r="E8" s="11"/>
      <c r="F8" s="8"/>
      <c r="G8" s="11" t="s">
        <v>262</v>
      </c>
      <c r="H8" s="11" t="s">
        <v>263</v>
      </c>
      <c r="I8" s="5" t="s">
        <v>264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4481745</v>
      </c>
      <c r="C10" s="54"/>
      <c r="D10" s="58">
        <f>SUM(B10:C10)</f>
        <v>4481745</v>
      </c>
      <c r="E10" s="17"/>
      <c r="F10" s="17" t="s">
        <v>77</v>
      </c>
      <c r="G10" s="52">
        <v>26584</v>
      </c>
      <c r="H10" s="54"/>
      <c r="I10" s="58">
        <f>SUM(G10:H10)</f>
        <v>26584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46186</v>
      </c>
      <c r="C17" s="54"/>
      <c r="D17" s="58">
        <f>SUM(B17:C17)</f>
        <v>46186</v>
      </c>
      <c r="E17" s="18"/>
      <c r="F17" s="17" t="s">
        <v>85</v>
      </c>
      <c r="G17" s="52">
        <v>21217</v>
      </c>
      <c r="H17" s="54"/>
      <c r="I17" s="58">
        <f t="shared" si="0"/>
        <v>21217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72608</v>
      </c>
      <c r="H18" s="54"/>
      <c r="I18" s="58">
        <f t="shared" si="0"/>
        <v>72608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384016</v>
      </c>
      <c r="H19" s="111"/>
      <c r="I19" s="59">
        <f t="shared" si="0"/>
        <v>384016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504425</v>
      </c>
      <c r="H20" s="58">
        <f>SUM(H10:H19)</f>
        <v>0</v>
      </c>
      <c r="I20" s="58">
        <f t="shared" ref="I20" si="3">SUM(I10:I19)</f>
        <v>504425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35688</v>
      </c>
      <c r="C23" s="54"/>
      <c r="D23" s="58">
        <f t="shared" si="2"/>
        <v>35688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4563619</v>
      </c>
      <c r="C25" s="58">
        <f>C10+C11+C13+C14+C15+C17+C18+C19+C20+C21+C22+C23+C24</f>
        <v>0</v>
      </c>
      <c r="D25" s="58">
        <f t="shared" ref="D25" si="5">D10+D11+D13+D14+D15+D17+D18+D19+D20+D21+D22+D23+D24</f>
        <v>4563619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820491</v>
      </c>
      <c r="H30" s="54"/>
      <c r="I30" s="58">
        <f t="shared" si="6"/>
        <v>820491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820491</v>
      </c>
      <c r="H32" s="81">
        <f>SUM(H22:H31)</f>
        <v>0</v>
      </c>
      <c r="I32" s="58">
        <f>SUM(I22:I31)</f>
        <v>820491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-221804</v>
      </c>
      <c r="D35" s="58">
        <f t="shared" si="7"/>
        <v>-221804</v>
      </c>
      <c r="E35" s="17"/>
      <c r="F35" s="18" t="s">
        <v>214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>
        <v>3000</v>
      </c>
      <c r="C36" s="54"/>
      <c r="D36" s="58">
        <f t="shared" si="7"/>
        <v>3000</v>
      </c>
      <c r="E36" s="17"/>
      <c r="F36" s="17" t="s">
        <v>232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421154</v>
      </c>
      <c r="C37" s="54">
        <f>-925+251459-27941</f>
        <v>222593</v>
      </c>
      <c r="D37" s="58">
        <f t="shared" si="7"/>
        <v>643747</v>
      </c>
      <c r="E37" s="17"/>
      <c r="F37" s="17" t="s">
        <v>253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424154</v>
      </c>
      <c r="C39" s="58">
        <f>C30+C31+C33+C34+C35+C36+C37+C38</f>
        <v>789</v>
      </c>
      <c r="D39" s="58">
        <f t="shared" ref="D39" si="9">D30+D31+D33+D34+D35+D36+D37+D38</f>
        <v>424943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216</v>
      </c>
      <c r="G40" s="52">
        <v>97200</v>
      </c>
      <c r="H40" s="22"/>
      <c r="I40" s="58">
        <f>SUM(G40:H40)</f>
        <v>97200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24783460</v>
      </c>
      <c r="C42" s="52">
        <v>-35378</v>
      </c>
      <c r="D42" s="58">
        <f>SUM(B42:C42)</f>
        <v>24748082</v>
      </c>
      <c r="E42" s="17"/>
      <c r="F42" s="17" t="s">
        <v>218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>
        <v>0</v>
      </c>
      <c r="C43" s="52"/>
      <c r="D43" s="58">
        <f t="shared" ref="D43:D46" si="11">SUM(B43:C43)</f>
        <v>0</v>
      </c>
      <c r="E43" s="17"/>
      <c r="F43" s="17" t="s">
        <v>224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103117</v>
      </c>
      <c r="C44" s="52"/>
      <c r="D44" s="58">
        <f t="shared" si="11"/>
        <v>103117</v>
      </c>
      <c r="E44" s="17"/>
      <c r="F44" s="17" t="s">
        <v>219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>
        <v>0</v>
      </c>
      <c r="C45" s="52"/>
      <c r="D45" s="58">
        <f t="shared" si="11"/>
        <v>0</v>
      </c>
      <c r="E45" s="17"/>
      <c r="F45" s="17" t="s">
        <v>220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-23703645</v>
      </c>
      <c r="C46" s="53">
        <v>34589</v>
      </c>
      <c r="D46" s="59">
        <f t="shared" si="11"/>
        <v>-23669056</v>
      </c>
      <c r="E46" s="17"/>
      <c r="F46" s="17" t="s">
        <v>221</v>
      </c>
      <c r="G46" s="53">
        <v>4748589</v>
      </c>
      <c r="H46" s="94">
        <f>-1*(H20+H32+H38)</f>
        <v>0</v>
      </c>
      <c r="I46" s="59">
        <f t="shared" si="10"/>
        <v>4748589</v>
      </c>
    </row>
    <row r="47" spans="1:11" x14ac:dyDescent="0.25">
      <c r="A47" s="17" t="s">
        <v>70</v>
      </c>
      <c r="B47" s="58">
        <f>B42+B43+B44+B45+B46</f>
        <v>1182932</v>
      </c>
      <c r="C47" s="58">
        <f t="shared" ref="C47:D47" si="12">C42+C43+C44+C45+C46</f>
        <v>-789</v>
      </c>
      <c r="D47" s="58">
        <f t="shared" si="12"/>
        <v>1182143</v>
      </c>
      <c r="E47" s="17"/>
      <c r="F47" s="17" t="s">
        <v>222</v>
      </c>
      <c r="G47" s="58">
        <f>SUM(G40:G46)</f>
        <v>4845789</v>
      </c>
      <c r="H47" s="61">
        <f t="shared" ref="H47:I47" si="13">SUM(H40:H46)</f>
        <v>0</v>
      </c>
      <c r="I47" s="58">
        <f t="shared" si="13"/>
        <v>4845789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6170705</v>
      </c>
      <c r="C49" s="60">
        <f t="shared" ref="C49:D49" si="14">C25+C39+C47</f>
        <v>0</v>
      </c>
      <c r="D49" s="60">
        <f t="shared" si="14"/>
        <v>6170705</v>
      </c>
      <c r="E49" s="19"/>
      <c r="F49" s="82" t="s">
        <v>225</v>
      </c>
      <c r="G49" s="60">
        <f>G20+G32+G38+G47</f>
        <v>6170705</v>
      </c>
      <c r="H49" s="60">
        <f>H20+H32+H38+H47</f>
        <v>0</v>
      </c>
      <c r="I49" s="60">
        <f>I20+I32+I38+I47</f>
        <v>6170705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Tenino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240</v>
      </c>
      <c r="C8" s="11" t="s">
        <v>265</v>
      </c>
      <c r="D8" s="11"/>
      <c r="E8" s="8"/>
      <c r="F8" s="11" t="s">
        <v>240</v>
      </c>
      <c r="G8" s="5" t="s">
        <v>265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3905894</v>
      </c>
      <c r="C10" s="32">
        <f>'CurrentYearBalanceSheet '!D10</f>
        <v>4481745</v>
      </c>
      <c r="D10" s="17"/>
      <c r="E10" s="17" t="s">
        <v>77</v>
      </c>
      <c r="F10" s="32">
        <f>PriorYearBalanceSheet!I10</f>
        <v>128668</v>
      </c>
      <c r="G10" s="32">
        <f>'CurrentYearBalanceSheet '!I10</f>
        <v>26584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168817</v>
      </c>
      <c r="C17" s="32">
        <f>'CurrentYearBalanceSheet '!D17</f>
        <v>46186</v>
      </c>
      <c r="D17" s="17"/>
      <c r="E17" s="17" t="s">
        <v>85</v>
      </c>
      <c r="F17" s="32">
        <f>PriorYearBalanceSheet!I17</f>
        <v>0</v>
      </c>
      <c r="G17" s="32">
        <f>'CurrentYearBalanceSheet '!I17</f>
        <v>21217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78608</v>
      </c>
      <c r="G18" s="32">
        <f>'CurrentYearBalanceSheet '!I18</f>
        <v>72608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395623</v>
      </c>
      <c r="G19" s="32">
        <f>'CurrentYearBalanceSheet '!I19</f>
        <v>384016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602899</v>
      </c>
      <c r="G20" s="35">
        <f>SUM(G10:G19)</f>
        <v>504425</v>
      </c>
    </row>
    <row r="21" spans="1:7" x14ac:dyDescent="0.25">
      <c r="A21" s="17" t="s">
        <v>48</v>
      </c>
      <c r="B21" s="32">
        <f>PriorYearBalanceSheet!D21</f>
        <v>0</v>
      </c>
      <c r="C21" s="32">
        <f>'CurrentYearBalanceSheet '!D21</f>
        <v>0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54421</v>
      </c>
      <c r="C23" s="32">
        <f>'CurrentYearBalanceSheet '!D23</f>
        <v>35688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49808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4178940</v>
      </c>
      <c r="C25" s="32">
        <f>C10+C11+C13+C14+C15+C17+C18+C19+C20+C21+C22+C23+C24</f>
        <v>4563619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146338</v>
      </c>
      <c r="G30" s="32">
        <f>'CurrentYearBalanceSheet '!I30</f>
        <v>820491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146338</v>
      </c>
      <c r="G32" s="32">
        <f>SUM(G22:G31)</f>
        <v>820491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-247775</v>
      </c>
      <c r="C35" s="32">
        <f>'CurrentYearBalanceSheet '!D35</f>
        <v>-221804</v>
      </c>
      <c r="D35" s="17"/>
      <c r="E35" s="18" t="s">
        <v>214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3000</v>
      </c>
      <c r="D36" s="17"/>
      <c r="E36" s="17" t="s">
        <v>227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697738</v>
      </c>
      <c r="C37" s="32">
        <f>'CurrentYearBalanceSheet '!D37</f>
        <v>643747</v>
      </c>
      <c r="D37" s="17"/>
      <c r="E37" s="17" t="s">
        <v>253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215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449963</v>
      </c>
      <c r="C39" s="32">
        <f>C30+C31+C33+C34+C35+C36+C37+C38</f>
        <v>424943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216</v>
      </c>
      <c r="F40" s="32">
        <f>PriorYearBalanceSheet!I40</f>
        <v>97200</v>
      </c>
      <c r="G40" s="32">
        <f>'CurrentYearBalanceSheet '!I40</f>
        <v>97200</v>
      </c>
    </row>
    <row r="41" spans="1:7" x14ac:dyDescent="0.25">
      <c r="A41" s="21" t="s">
        <v>65</v>
      </c>
      <c r="B41" s="17"/>
      <c r="C41" s="17"/>
      <c r="D41" s="17"/>
      <c r="E41" s="17" t="s">
        <v>217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24226553</v>
      </c>
      <c r="C42" s="32">
        <f>'CurrentYearBalanceSheet '!D42</f>
        <v>24748082</v>
      </c>
      <c r="D42" s="17"/>
      <c r="E42" s="17" t="s">
        <v>218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224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155679</v>
      </c>
      <c r="C44" s="32">
        <f>'CurrentYearBalanceSheet '!D44</f>
        <v>103117</v>
      </c>
      <c r="D44" s="17"/>
      <c r="E44" s="17" t="s">
        <v>219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220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-23164055</v>
      </c>
      <c r="C46" s="33">
        <f>'CurrentYearBalanceSheet '!D46</f>
        <v>-23669056</v>
      </c>
      <c r="D46" s="17"/>
      <c r="E46" s="17" t="s">
        <v>228</v>
      </c>
      <c r="F46" s="33">
        <f>PriorYearBalanceSheet!I46</f>
        <v>5000643</v>
      </c>
      <c r="G46" s="33">
        <f>'CurrentYearBalanceSheet '!I46</f>
        <v>4748589</v>
      </c>
    </row>
    <row r="47" spans="1:7" x14ac:dyDescent="0.25">
      <c r="A47" s="17" t="s">
        <v>70</v>
      </c>
      <c r="B47" s="32">
        <f>SUM(B42:B46)</f>
        <v>1218177</v>
      </c>
      <c r="C47" s="32">
        <f>SUM(C42:C46)</f>
        <v>1182143</v>
      </c>
      <c r="D47" s="17"/>
      <c r="E47" s="17" t="s">
        <v>222</v>
      </c>
      <c r="F47" s="32">
        <f>SUM(F40:F46)</f>
        <v>5097843</v>
      </c>
      <c r="G47" s="32">
        <f>SUM(G40:G46)</f>
        <v>4845789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193</v>
      </c>
      <c r="B49" s="34">
        <f>B25+B39+B47</f>
        <v>5847080</v>
      </c>
      <c r="C49" s="34">
        <f>C25+C39+C47</f>
        <v>6170705</v>
      </c>
      <c r="D49" s="17"/>
      <c r="E49" s="21" t="s">
        <v>223</v>
      </c>
      <c r="F49" s="34">
        <f>F20+F32+F38+F47</f>
        <v>5847080</v>
      </c>
      <c r="G49" s="34">
        <f>G20+G32+G38+G47</f>
        <v>6170705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D16" sqref="D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255</v>
      </c>
      <c r="C10" s="10">
        <v>18</v>
      </c>
      <c r="D10" s="58">
        <f>'BalanceSheet(Summary)'!B42</f>
        <v>24226553</v>
      </c>
      <c r="E10" s="58">
        <f>'BalanceSheet(Summary)'!C42</f>
        <v>24748082</v>
      </c>
      <c r="F10" s="58">
        <f>(D10+E10)/2</f>
        <v>24487317.5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-23164055</v>
      </c>
      <c r="E12" s="58">
        <f>'BalanceSheet(Summary)'!C46</f>
        <v>-23669056</v>
      </c>
      <c r="F12" s="58">
        <f t="shared" ref="F12:F15" si="0">(D12+E12)/2</f>
        <v>-23416555.5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248</v>
      </c>
      <c r="C14" s="11"/>
      <c r="D14" s="52">
        <v>697738</v>
      </c>
      <c r="E14" s="52">
        <v>643747</v>
      </c>
      <c r="F14" s="58">
        <f t="shared" si="0"/>
        <v>670742.5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1760236</v>
      </c>
      <c r="E15" s="62">
        <f>SUM(E10:E14)</f>
        <v>1722773</v>
      </c>
      <c r="F15" s="63">
        <f t="shared" si="0"/>
        <v>1741504.5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241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247</v>
      </c>
      <c r="B20" t="s">
        <v>242</v>
      </c>
      <c r="C20" s="65"/>
      <c r="D20" s="65"/>
      <c r="E20" s="65"/>
      <c r="F20" s="65"/>
    </row>
    <row r="21" spans="1:6" x14ac:dyDescent="0.25">
      <c r="B21" t="s">
        <v>244</v>
      </c>
      <c r="C21" s="65"/>
      <c r="D21" s="65"/>
      <c r="E21" s="65"/>
      <c r="F21" s="65"/>
    </row>
    <row r="22" spans="1:6" x14ac:dyDescent="0.25">
      <c r="B22" t="s">
        <v>245</v>
      </c>
      <c r="C22" s="65"/>
      <c r="D22" s="65"/>
      <c r="E22" s="65"/>
      <c r="F22" s="65"/>
    </row>
    <row r="23" spans="1:6" x14ac:dyDescent="0.25">
      <c r="B23" t="s">
        <v>243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D11" sqref="D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246</v>
      </c>
      <c r="D8" s="11" t="s">
        <v>266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1971+12+4</f>
        <v>1987</v>
      </c>
      <c r="D10" s="52">
        <f>1907+12</f>
        <v>1919</v>
      </c>
      <c r="E10" s="32">
        <f>D10-C10</f>
        <v>-68</v>
      </c>
      <c r="F10" s="38">
        <f>E10/C10</f>
        <v>-3.4222445898339206E-2</v>
      </c>
    </row>
    <row r="11" spans="1:6" x14ac:dyDescent="0.25">
      <c r="A11" s="10">
        <v>2</v>
      </c>
      <c r="B11" s="19" t="s">
        <v>122</v>
      </c>
      <c r="C11" s="52">
        <f>401+5+12+46-4</f>
        <v>460</v>
      </c>
      <c r="D11" s="52">
        <f>112+296+46</f>
        <v>454</v>
      </c>
      <c r="E11" s="32">
        <f>D11-C11</f>
        <v>-6</v>
      </c>
      <c r="F11" s="38">
        <f t="shared" ref="F11:F12" si="0">E11/C11</f>
        <v>-1.3043478260869565E-2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2447</v>
      </c>
      <c r="D12" s="34">
        <f t="shared" ref="D12:E12" si="1">SUM(D10:D11)</f>
        <v>2373</v>
      </c>
      <c r="E12" s="34">
        <f t="shared" si="1"/>
        <v>-74</v>
      </c>
      <c r="F12" s="39">
        <f t="shared" si="0"/>
        <v>-3.0241111565181854E-2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267</v>
      </c>
      <c r="C14" s="65"/>
      <c r="D14" s="65"/>
      <c r="E14" s="65"/>
      <c r="F14" s="65"/>
    </row>
    <row r="15" spans="1:6" x14ac:dyDescent="0.25">
      <c r="A15" s="65"/>
      <c r="B15" s="65" t="s">
        <v>203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topLeftCell="A16"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239</v>
      </c>
    </row>
    <row r="9" spans="1:6" x14ac:dyDescent="0.25">
      <c r="A9" s="9">
        <v>1</v>
      </c>
      <c r="B9" s="3" t="s">
        <v>1</v>
      </c>
      <c r="C9" s="55">
        <v>602931</v>
      </c>
      <c r="D9" s="52"/>
      <c r="E9" s="58">
        <f>SUM(C9:D9)</f>
        <v>602931</v>
      </c>
    </row>
    <row r="10" spans="1:6" x14ac:dyDescent="0.25">
      <c r="A10" s="10">
        <v>2</v>
      </c>
      <c r="B10" s="14" t="s">
        <v>2</v>
      </c>
      <c r="C10" s="52">
        <v>2369006</v>
      </c>
      <c r="D10" s="52"/>
      <c r="E10" s="58">
        <f t="shared" ref="E10:E14" si="0">SUM(C10:D10)</f>
        <v>2369006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14736</v>
      </c>
      <c r="D12" s="52"/>
      <c r="E12" s="58">
        <f t="shared" si="0"/>
        <v>14736</v>
      </c>
    </row>
    <row r="13" spans="1:6" x14ac:dyDescent="0.25">
      <c r="A13" s="10">
        <v>5</v>
      </c>
      <c r="B13" s="14" t="s">
        <v>5</v>
      </c>
      <c r="C13" s="52">
        <v>29359</v>
      </c>
      <c r="D13" s="52"/>
      <c r="E13" s="58">
        <f t="shared" si="0"/>
        <v>29359</v>
      </c>
    </row>
    <row r="14" spans="1:6" x14ac:dyDescent="0.25">
      <c r="A14" s="10">
        <v>6</v>
      </c>
      <c r="B14" s="14" t="s">
        <v>133</v>
      </c>
      <c r="C14" s="52">
        <v>-8845</v>
      </c>
      <c r="D14" s="52"/>
      <c r="E14" s="58">
        <f t="shared" si="0"/>
        <v>-8845</v>
      </c>
    </row>
    <row r="15" spans="1:6" x14ac:dyDescent="0.25">
      <c r="A15" s="10">
        <v>7</v>
      </c>
      <c r="B15" s="88" t="s">
        <v>132</v>
      </c>
      <c r="C15" s="96">
        <f>SUM(C9:C14)</f>
        <v>3007187</v>
      </c>
      <c r="D15" s="96">
        <f t="shared" ref="D15:E15" si="1">SUM(D9:D14)</f>
        <v>0</v>
      </c>
      <c r="E15" s="96">
        <f t="shared" si="1"/>
        <v>3007187</v>
      </c>
      <c r="F15" s="1"/>
    </row>
    <row r="16" spans="1:6" x14ac:dyDescent="0.25">
      <c r="A16" s="10">
        <v>8</v>
      </c>
      <c r="B16" s="14" t="s">
        <v>6</v>
      </c>
      <c r="C16" s="52">
        <v>1251215</v>
      </c>
      <c r="D16" s="52">
        <v>-2336</v>
      </c>
      <c r="E16" s="41">
        <f>SUM(C16:D16)</f>
        <v>1248879</v>
      </c>
    </row>
    <row r="17" spans="1:6" x14ac:dyDescent="0.25">
      <c r="A17" s="10">
        <v>9</v>
      </c>
      <c r="B17" s="14" t="s">
        <v>39</v>
      </c>
      <c r="C17" s="52">
        <v>678193</v>
      </c>
      <c r="D17" s="52"/>
      <c r="E17" s="41">
        <f t="shared" ref="E17:E21" si="2">SUM(C17:D17)</f>
        <v>678193</v>
      </c>
    </row>
    <row r="18" spans="1:6" x14ac:dyDescent="0.25">
      <c r="A18" s="10">
        <v>10</v>
      </c>
      <c r="B18" s="14" t="s">
        <v>7</v>
      </c>
      <c r="C18" s="52">
        <v>879758</v>
      </c>
      <c r="D18" s="52">
        <v>-1231</v>
      </c>
      <c r="E18" s="41">
        <f t="shared" si="2"/>
        <v>878527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270494</v>
      </c>
      <c r="D20" s="52">
        <v>-4943</v>
      </c>
      <c r="E20" s="41">
        <f t="shared" si="2"/>
        <v>265551</v>
      </c>
    </row>
    <row r="21" spans="1:6" x14ac:dyDescent="0.25">
      <c r="A21" s="10">
        <v>13</v>
      </c>
      <c r="B21" s="14" t="s">
        <v>10</v>
      </c>
      <c r="C21" s="52">
        <v>680787</v>
      </c>
      <c r="D21" s="52">
        <f>-374-1299-4875</f>
        <v>-6548</v>
      </c>
      <c r="E21" s="41">
        <f t="shared" si="2"/>
        <v>674239</v>
      </c>
    </row>
    <row r="22" spans="1:6" x14ac:dyDescent="0.25">
      <c r="A22" s="10">
        <v>14</v>
      </c>
      <c r="B22" s="83" t="s">
        <v>229</v>
      </c>
      <c r="C22" s="96">
        <f>C16+C17+C18+C19+C20+C21</f>
        <v>3760447</v>
      </c>
      <c r="D22" s="96">
        <f>D16+D17+D18+D19+D20+D21</f>
        <v>-15058</v>
      </c>
      <c r="E22" s="97">
        <f>E16+E17+E18+E19+E20+E21</f>
        <v>3745389</v>
      </c>
      <c r="F22" s="1"/>
    </row>
    <row r="23" spans="1:6" x14ac:dyDescent="0.25">
      <c r="A23" s="10">
        <v>15</v>
      </c>
      <c r="B23" s="14" t="s">
        <v>14</v>
      </c>
      <c r="C23" s="58">
        <f>C15-C22</f>
        <v>-753260</v>
      </c>
      <c r="D23" s="58">
        <f>D15-D22</f>
        <v>15058</v>
      </c>
      <c r="E23" s="58">
        <f>E15-E22</f>
        <v>-738202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84382</v>
      </c>
      <c r="D25" s="112">
        <v>-58</v>
      </c>
      <c r="E25" s="58">
        <f t="shared" ref="E25:E27" si="3">SUM(C25:D25)</f>
        <v>84324</v>
      </c>
    </row>
    <row r="26" spans="1:6" x14ac:dyDescent="0.25">
      <c r="A26" s="10">
        <v>18</v>
      </c>
      <c r="B26" s="14" t="s">
        <v>189</v>
      </c>
      <c r="C26" s="52">
        <v>-6974</v>
      </c>
      <c r="D26" s="112">
        <f>12937+35-251459</f>
        <v>-238487</v>
      </c>
      <c r="E26" s="58">
        <f t="shared" si="3"/>
        <v>-245461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77408</v>
      </c>
      <c r="D28" s="79">
        <f t="shared" ref="D28:E28" si="4">SUM(D25:D27)</f>
        <v>-238545</v>
      </c>
      <c r="E28" s="98">
        <f t="shared" si="4"/>
        <v>-161137</v>
      </c>
    </row>
    <row r="29" spans="1:6" x14ac:dyDescent="0.25">
      <c r="A29" s="10">
        <v>21</v>
      </c>
      <c r="B29" s="88" t="s">
        <v>22</v>
      </c>
      <c r="C29" s="79">
        <f>C23+C24-C28</f>
        <v>-830668</v>
      </c>
      <c r="D29" s="79">
        <f>D23+D24-D28</f>
        <v>253603</v>
      </c>
      <c r="E29" s="98">
        <f>E23+E24-E28</f>
        <v>-577065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258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257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52">
        <f>50269-14249-12247</f>
        <v>23773</v>
      </c>
      <c r="D35" s="54"/>
      <c r="E35" s="32">
        <f>SUM(C35:D35)</f>
        <v>23773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f>41307-14044</f>
        <v>27263</v>
      </c>
      <c r="D38" s="69">
        <f>-1*(D29-D34)</f>
        <v>-253603</v>
      </c>
      <c r="E38" s="32">
        <f t="shared" si="7"/>
        <v>-226340</v>
      </c>
    </row>
    <row r="39" spans="1:10" x14ac:dyDescent="0.25">
      <c r="A39" s="10">
        <v>31</v>
      </c>
      <c r="B39" s="88" t="s">
        <v>21</v>
      </c>
      <c r="C39" s="79">
        <f>C29-C34+C35+C36+C37+C38</f>
        <v>-779632</v>
      </c>
      <c r="D39" s="79">
        <f t="shared" ref="D39:E39" si="8">D29-D34+D35+D36+D37+D38</f>
        <v>0</v>
      </c>
      <c r="E39" s="79">
        <f t="shared" si="8"/>
        <v>-779632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5780275</v>
      </c>
      <c r="D41" s="54"/>
      <c r="E41" s="58">
        <f t="shared" ref="E41:E46" si="9">SUM(C41:D41)</f>
        <v>5780275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197</v>
      </c>
      <c r="C47" s="79">
        <f>(C39+C41+C42)-(C43+C44+C45+C46)</f>
        <v>5000643</v>
      </c>
      <c r="D47" s="99">
        <f t="shared" ref="D47:E47" si="10">(D39+D41+D42)-(D43+D44+D45+D46)</f>
        <v>0</v>
      </c>
      <c r="E47" s="98">
        <f t="shared" si="10"/>
        <v>5000643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0.98367577407058493</v>
      </c>
      <c r="D53" s="102" t="e">
        <f>((D22+D28-D18-D19)/D15)</f>
        <v>#DIV/0!</v>
      </c>
      <c r="E53" s="102">
        <f>((E22+E28-E18-E19)/E15)</f>
        <v>0.89975282548108915</v>
      </c>
    </row>
    <row r="54" spans="1:7" x14ac:dyDescent="0.25">
      <c r="A54" s="10">
        <v>46</v>
      </c>
      <c r="B54" s="14" t="s">
        <v>36</v>
      </c>
      <c r="C54" s="102">
        <f>((C22+C28+C34)/C15)</f>
        <v>1.2762275841176489</v>
      </c>
      <c r="D54" s="102" t="e">
        <f>((D22+D28+D34)/D15)</f>
        <v>#DIV/0!</v>
      </c>
      <c r="E54" s="102">
        <f>((E22+E28+E34)/E15)</f>
        <v>1.1918952828673441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230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208</v>
      </c>
      <c r="C64" s="65"/>
      <c r="D64" s="65"/>
      <c r="E64" s="65"/>
      <c r="F64" s="65"/>
      <c r="G64" s="65"/>
    </row>
    <row r="65" spans="1:7" x14ac:dyDescent="0.25">
      <c r="A65" s="92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264</v>
      </c>
    </row>
    <row r="9" spans="1:6" x14ac:dyDescent="0.25">
      <c r="A9" s="9">
        <v>1</v>
      </c>
      <c r="B9" s="6" t="s">
        <v>1</v>
      </c>
      <c r="C9" s="55">
        <v>581473</v>
      </c>
      <c r="D9" s="52"/>
      <c r="E9" s="32">
        <f>SUM(C9:D9)</f>
        <v>581473</v>
      </c>
    </row>
    <row r="10" spans="1:6" x14ac:dyDescent="0.25">
      <c r="A10" s="10">
        <v>2</v>
      </c>
      <c r="B10" s="17" t="s">
        <v>2</v>
      </c>
      <c r="C10" s="52">
        <v>2224246</v>
      </c>
      <c r="D10" s="52"/>
      <c r="E10" s="32">
        <f t="shared" ref="E10:E14" si="0">SUM(C10:D10)</f>
        <v>2224246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14782</v>
      </c>
      <c r="D12" s="52"/>
      <c r="E12" s="32">
        <f t="shared" si="0"/>
        <v>14782</v>
      </c>
    </row>
    <row r="13" spans="1:6" x14ac:dyDescent="0.25">
      <c r="A13" s="10">
        <v>5</v>
      </c>
      <c r="B13" s="17" t="s">
        <v>5</v>
      </c>
      <c r="C13" s="52">
        <v>28010</v>
      </c>
      <c r="D13" s="52"/>
      <c r="E13" s="32">
        <f t="shared" si="0"/>
        <v>28010</v>
      </c>
    </row>
    <row r="14" spans="1:6" x14ac:dyDescent="0.25">
      <c r="A14" s="10">
        <v>6</v>
      </c>
      <c r="B14" s="17" t="s">
        <v>133</v>
      </c>
      <c r="C14" s="52">
        <v>-3948</v>
      </c>
      <c r="D14" s="52"/>
      <c r="E14" s="32">
        <f t="shared" si="0"/>
        <v>-3948</v>
      </c>
    </row>
    <row r="15" spans="1:6" x14ac:dyDescent="0.25">
      <c r="A15" s="10">
        <v>7</v>
      </c>
      <c r="B15" s="83" t="s">
        <v>132</v>
      </c>
      <c r="C15" s="40">
        <f>SUM(C9:C14)</f>
        <v>2844563</v>
      </c>
      <c r="D15" s="40">
        <f t="shared" ref="D15:E15" si="1">SUM(D9:D14)</f>
        <v>0</v>
      </c>
      <c r="E15" s="40">
        <f t="shared" si="1"/>
        <v>2844563</v>
      </c>
      <c r="F15" s="1"/>
    </row>
    <row r="16" spans="1:6" x14ac:dyDescent="0.25">
      <c r="A16" s="10">
        <v>8</v>
      </c>
      <c r="B16" s="17" t="s">
        <v>6</v>
      </c>
      <c r="C16" s="52">
        <v>1145162</v>
      </c>
      <c r="D16" s="52">
        <v>-2593</v>
      </c>
      <c r="E16" s="41">
        <f>SUM(C16:D16)</f>
        <v>1142569</v>
      </c>
    </row>
    <row r="17" spans="1:6" x14ac:dyDescent="0.25">
      <c r="A17" s="10">
        <v>9</v>
      </c>
      <c r="B17" s="17" t="s">
        <v>39</v>
      </c>
      <c r="C17" s="52">
        <v>579266</v>
      </c>
      <c r="D17" s="52"/>
      <c r="E17" s="41">
        <f t="shared" ref="E17:E21" si="2">SUM(C17:D17)</f>
        <v>579266</v>
      </c>
    </row>
    <row r="18" spans="1:6" x14ac:dyDescent="0.25">
      <c r="A18" s="10">
        <v>10</v>
      </c>
      <c r="B18" s="17" t="s">
        <v>7</v>
      </c>
      <c r="C18" s="52">
        <v>534561</v>
      </c>
      <c r="D18" s="52">
        <v>-718</v>
      </c>
      <c r="E18" s="41">
        <f t="shared" si="2"/>
        <v>533843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250549</v>
      </c>
      <c r="D20" s="52">
        <v>-4424</v>
      </c>
      <c r="E20" s="41">
        <f t="shared" si="2"/>
        <v>246125</v>
      </c>
    </row>
    <row r="21" spans="1:6" x14ac:dyDescent="0.25">
      <c r="A21" s="10">
        <v>13</v>
      </c>
      <c r="B21" s="17" t="s">
        <v>10</v>
      </c>
      <c r="C21" s="52">
        <v>635720</v>
      </c>
      <c r="D21" s="52">
        <v>-1778</v>
      </c>
      <c r="E21" s="41">
        <f t="shared" si="2"/>
        <v>633942</v>
      </c>
    </row>
    <row r="22" spans="1:6" x14ac:dyDescent="0.25">
      <c r="A22" s="10">
        <v>14</v>
      </c>
      <c r="B22" s="83" t="s">
        <v>229</v>
      </c>
      <c r="C22" s="40">
        <f>C16+C17+C18+C19+C20+C21</f>
        <v>3145258</v>
      </c>
      <c r="D22" s="40">
        <f>D16+D17+D18+D19+D20+D21</f>
        <v>-9513</v>
      </c>
      <c r="E22" s="42">
        <f>E16+E17+E18+E19+E20+E21</f>
        <v>3135745</v>
      </c>
      <c r="F22" s="1"/>
    </row>
    <row r="23" spans="1:6" x14ac:dyDescent="0.25">
      <c r="A23" s="10">
        <v>15</v>
      </c>
      <c r="B23" s="17" t="s">
        <v>14</v>
      </c>
      <c r="C23" s="32">
        <f>C15-C22</f>
        <v>-300695</v>
      </c>
      <c r="D23" s="32">
        <f>D15-D22</f>
        <v>9513</v>
      </c>
      <c r="E23" s="32">
        <f>E15-E22</f>
        <v>-291182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82409</v>
      </c>
      <c r="D25" s="112">
        <v>-92</v>
      </c>
      <c r="E25" s="32">
        <f t="shared" ref="E25:E27" si="3">SUM(C25:D25)</f>
        <v>82317</v>
      </c>
    </row>
    <row r="26" spans="1:6" x14ac:dyDescent="0.25">
      <c r="A26" s="10">
        <v>18</v>
      </c>
      <c r="B26" s="17" t="s">
        <v>189</v>
      </c>
      <c r="C26" s="52">
        <v>-78448</v>
      </c>
      <c r="D26" s="54">
        <f>5417+27941</f>
        <v>33358</v>
      </c>
      <c r="E26" s="32">
        <f t="shared" si="3"/>
        <v>-45090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3961</v>
      </c>
      <c r="D28" s="37">
        <f t="shared" ref="D28:E28" si="4">SUM(D25:D27)</f>
        <v>33266</v>
      </c>
      <c r="E28" s="43">
        <f t="shared" si="4"/>
        <v>37227</v>
      </c>
    </row>
    <row r="29" spans="1:6" x14ac:dyDescent="0.25">
      <c r="A29" s="10">
        <v>21</v>
      </c>
      <c r="B29" s="83" t="s">
        <v>22</v>
      </c>
      <c r="C29" s="37">
        <f>C23+C24-C28</f>
        <v>-304656</v>
      </c>
      <c r="D29" s="37">
        <f>D23+D24-D28</f>
        <v>-23753</v>
      </c>
      <c r="E29" s="43">
        <f>E23+E24-E28</f>
        <v>-328409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258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257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52">
        <v>40757</v>
      </c>
      <c r="D35" s="54"/>
      <c r="E35" s="32">
        <f>SUM(C35:D35)</f>
        <v>40757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11845</v>
      </c>
      <c r="D38" s="69">
        <f>-1*(D29-D34)</f>
        <v>23753</v>
      </c>
      <c r="E38" s="32">
        <f t="shared" si="7"/>
        <v>35598</v>
      </c>
    </row>
    <row r="39" spans="1:5" x14ac:dyDescent="0.25">
      <c r="A39" s="10">
        <v>31</v>
      </c>
      <c r="B39" s="83" t="s">
        <v>21</v>
      </c>
      <c r="C39" s="37">
        <f>C29-C34+C35+C36+C37+C38</f>
        <v>-252054</v>
      </c>
      <c r="D39" s="37">
        <f t="shared" ref="D39:E39" si="8">D29-D34+D35+D36+D37+D38</f>
        <v>0</v>
      </c>
      <c r="E39" s="37">
        <f t="shared" si="8"/>
        <v>-252054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5000643</v>
      </c>
      <c r="D41" s="54"/>
      <c r="E41" s="32">
        <f t="shared" ref="E41:E46" si="9">SUM(C41:D41)</f>
        <v>5000643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197</v>
      </c>
      <c r="C47" s="37">
        <f>(C39+C41+C42)-(C43+C44+C45+C46)</f>
        <v>4748589</v>
      </c>
      <c r="D47" s="64">
        <f t="shared" ref="D47:E47" si="10">(D39+D41+D42)-(D43+D44+D45+D46)</f>
        <v>0</v>
      </c>
      <c r="E47" s="43">
        <f t="shared" si="10"/>
        <v>4748589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0.91917739209854021</v>
      </c>
      <c r="D53" s="46" t="e">
        <f>((D22+D28-D18-D19)/D15)</f>
        <v>#DIV/0!</v>
      </c>
      <c r="E53" s="46">
        <f>((E22+E28-E18-E19)/E15)</f>
        <v>0.92778011947705152</v>
      </c>
    </row>
    <row r="54" spans="1:7" x14ac:dyDescent="0.25">
      <c r="A54" s="10">
        <v>46</v>
      </c>
      <c r="B54" s="17" t="s">
        <v>36</v>
      </c>
      <c r="C54" s="46">
        <f>((C22+C28+C34)/C15)</f>
        <v>1.1071011610570762</v>
      </c>
      <c r="D54" s="46" t="e">
        <f>((D22+D28+D34)/D15)</f>
        <v>#DIV/0!</v>
      </c>
      <c r="E54" s="46">
        <f>((E22+E28+E34)/E15)</f>
        <v>1.1154514770810138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231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207</v>
      </c>
      <c r="C64" s="65"/>
      <c r="D64" s="65"/>
      <c r="E64" s="65"/>
      <c r="F64" s="65"/>
      <c r="G64" s="65"/>
    </row>
    <row r="65" spans="1:7" x14ac:dyDescent="0.25">
      <c r="A65" s="65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D64" sqref="D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Tenino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602931</v>
      </c>
      <c r="D9" s="41">
        <f>'CurrentYearIncomeStmt '!E9</f>
        <v>581473</v>
      </c>
    </row>
    <row r="10" spans="1:5" x14ac:dyDescent="0.25">
      <c r="A10" s="10">
        <v>2</v>
      </c>
      <c r="B10" s="17" t="s">
        <v>2</v>
      </c>
      <c r="C10" s="32">
        <f>PriorYearIncomeStmt!E10</f>
        <v>2369006</v>
      </c>
      <c r="D10" s="41">
        <f>'CurrentYearIncomeStmt '!E10</f>
        <v>2224246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14736</v>
      </c>
      <c r="D12" s="41">
        <f>'CurrentYearIncomeStmt '!E12</f>
        <v>14782</v>
      </c>
    </row>
    <row r="13" spans="1:5" x14ac:dyDescent="0.25">
      <c r="A13" s="10">
        <v>5</v>
      </c>
      <c r="B13" s="17" t="s">
        <v>5</v>
      </c>
      <c r="C13" s="32">
        <f>PriorYearIncomeStmt!E13</f>
        <v>29359</v>
      </c>
      <c r="D13" s="41">
        <f>'CurrentYearIncomeStmt '!E13</f>
        <v>28010</v>
      </c>
    </row>
    <row r="14" spans="1:5" x14ac:dyDescent="0.25">
      <c r="A14" s="10">
        <v>6</v>
      </c>
      <c r="B14" s="17" t="s">
        <v>133</v>
      </c>
      <c r="C14" s="32">
        <f>PriorYearIncomeStmt!E14</f>
        <v>-8845</v>
      </c>
      <c r="D14" s="41">
        <f>'CurrentYearIncomeStmt '!E14</f>
        <v>-3948</v>
      </c>
    </row>
    <row r="15" spans="1:5" x14ac:dyDescent="0.25">
      <c r="A15" s="10">
        <v>7</v>
      </c>
      <c r="B15" s="83" t="s">
        <v>132</v>
      </c>
      <c r="C15" s="40">
        <f>SUM(C9:C14)</f>
        <v>3007187</v>
      </c>
      <c r="D15" s="42">
        <f t="shared" ref="D15" si="0">SUM(D9:D14)</f>
        <v>2844563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1248879</v>
      </c>
      <c r="D16" s="41">
        <f>'CurrentYearIncomeStmt '!E16</f>
        <v>1142569</v>
      </c>
    </row>
    <row r="17" spans="1:5" x14ac:dyDescent="0.25">
      <c r="A17" s="10">
        <v>9</v>
      </c>
      <c r="B17" s="17" t="s">
        <v>39</v>
      </c>
      <c r="C17" s="32">
        <f>PriorYearIncomeStmt!E17</f>
        <v>678193</v>
      </c>
      <c r="D17" s="41">
        <f>'CurrentYearIncomeStmt '!E17</f>
        <v>579266</v>
      </c>
    </row>
    <row r="18" spans="1:5" x14ac:dyDescent="0.25">
      <c r="A18" s="10">
        <v>10</v>
      </c>
      <c r="B18" s="17" t="s">
        <v>7</v>
      </c>
      <c r="C18" s="32">
        <f>PriorYearIncomeStmt!E18</f>
        <v>878527</v>
      </c>
      <c r="D18" s="41">
        <f>'CurrentYearIncomeStmt '!E18</f>
        <v>533843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265551</v>
      </c>
      <c r="D20" s="41">
        <f>'CurrentYearIncomeStmt '!E20</f>
        <v>246125</v>
      </c>
    </row>
    <row r="21" spans="1:5" x14ac:dyDescent="0.25">
      <c r="A21" s="10">
        <v>13</v>
      </c>
      <c r="B21" s="17" t="s">
        <v>10</v>
      </c>
      <c r="C21" s="32">
        <f>PriorYearIncomeStmt!E21</f>
        <v>674239</v>
      </c>
      <c r="D21" s="41">
        <f>'CurrentYearIncomeStmt '!E21</f>
        <v>633942</v>
      </c>
    </row>
    <row r="22" spans="1:5" x14ac:dyDescent="0.25">
      <c r="A22" s="10">
        <v>14</v>
      </c>
      <c r="B22" s="83" t="s">
        <v>229</v>
      </c>
      <c r="C22" s="40">
        <f>C16+C17+C18+C19+C20+C21</f>
        <v>3745389</v>
      </c>
      <c r="D22" s="42">
        <f>D16+D17+D18+D19+D20+D21</f>
        <v>3135745</v>
      </c>
      <c r="E22" s="1"/>
    </row>
    <row r="23" spans="1:5" x14ac:dyDescent="0.25">
      <c r="A23" s="10">
        <v>15</v>
      </c>
      <c r="B23" s="17" t="s">
        <v>14</v>
      </c>
      <c r="C23" s="32">
        <f>C15-C22</f>
        <v>-738202</v>
      </c>
      <c r="D23" s="41">
        <f>D15-D22</f>
        <v>-291182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84324</v>
      </c>
      <c r="D25" s="41">
        <f>'CurrentYearIncomeStmt '!E25</f>
        <v>82317</v>
      </c>
    </row>
    <row r="26" spans="1:5" x14ac:dyDescent="0.25">
      <c r="A26" s="10">
        <v>18</v>
      </c>
      <c r="B26" s="17" t="s">
        <v>181</v>
      </c>
      <c r="C26" s="32">
        <f>PriorYearIncomeStmt!E26</f>
        <v>-245461</v>
      </c>
      <c r="D26" s="41">
        <f>'CurrentYearIncomeStmt '!E26</f>
        <v>-45090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-161137</v>
      </c>
      <c r="D28" s="43">
        <f t="shared" ref="D28" si="1">SUM(D25:D27)</f>
        <v>37227</v>
      </c>
    </row>
    <row r="29" spans="1:5" x14ac:dyDescent="0.25">
      <c r="A29" s="10">
        <v>21</v>
      </c>
      <c r="B29" s="83" t="s">
        <v>22</v>
      </c>
      <c r="C29" s="37">
        <f>C23+C24-C28</f>
        <v>-577065</v>
      </c>
      <c r="D29" s="43">
        <f>D23+D24-D28</f>
        <v>-328409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259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257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23773</v>
      </c>
      <c r="D35" s="41">
        <f>'CurrentYearIncomeStmt '!E35</f>
        <v>40757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-226340</v>
      </c>
      <c r="D38" s="41">
        <f>'CurrentYearIncomeStmt '!E38</f>
        <v>35598</v>
      </c>
    </row>
    <row r="39" spans="1:4" x14ac:dyDescent="0.25">
      <c r="A39" s="10">
        <v>31</v>
      </c>
      <c r="B39" s="83" t="s">
        <v>21</v>
      </c>
      <c r="C39" s="37">
        <f>C29-C34+C35+C36+C37+C38</f>
        <v>-779632</v>
      </c>
      <c r="D39" s="43">
        <f t="shared" ref="D39" si="3">D29-D34+D35+D36+D37+D38</f>
        <v>-252054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5780275</v>
      </c>
      <c r="D41" s="41">
        <f>'CurrentYearIncomeStmt '!E41</f>
        <v>5000643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5000643</v>
      </c>
      <c r="D47" s="43">
        <f t="shared" ref="D47" si="4">(D39+D41+D42)-(D43+D44+D45+D46)</f>
        <v>4748589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0.89975282548108915</v>
      </c>
      <c r="D53" s="49">
        <f>((D22+D28-D18-D19)/D15)</f>
        <v>0.92778011947705152</v>
      </c>
    </row>
    <row r="54" spans="1:8" x14ac:dyDescent="0.25">
      <c r="A54" s="10">
        <v>46</v>
      </c>
      <c r="B54" s="17" t="s">
        <v>36</v>
      </c>
      <c r="C54" s="49">
        <f>((C22+C28+C34)/C15)</f>
        <v>1.1918952828673441</v>
      </c>
      <c r="D54" s="49">
        <f>((D22+D28+D34)/D15)</f>
        <v>1.1154514770810138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249</v>
      </c>
      <c r="D59" s="48" t="s">
        <v>268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A76F027F345445A24581111F340531" ma:contentTypeVersion="56" ma:contentTypeDescription="" ma:contentTypeScope="" ma:versionID="811acd1a6bf131af7dbd894830bf45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2019-07-31T07:00:00+00:00</OpenedDate>
    <SignificantOrder xmlns="dc463f71-b30c-4ab2-9473-d307f9d35888">false</SignificantOrder>
    <Date1 xmlns="dc463f71-b30c-4ab2-9473-d307f9d35888">2019-07-31T07:00:00+00:00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Tenino Telephone Company</CaseCompanyNames>
    <Nickname xmlns="http://schemas.microsoft.com/sharepoint/v3" xsi:nil="true"/>
    <DocketNumber xmlns="dc463f71-b30c-4ab2-9473-d307f9d35888">190642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0D165BF-4D92-4605-A409-DB54B6C68C66}"/>
</file>

<file path=customXml/itemProps2.xml><?xml version="1.0" encoding="utf-8"?>
<ds:datastoreItem xmlns:ds="http://schemas.openxmlformats.org/officeDocument/2006/customXml" ds:itemID="{E88DC028-DC50-4F38-9B57-34B1AA564345}"/>
</file>

<file path=customXml/itemProps3.xml><?xml version="1.0" encoding="utf-8"?>
<ds:datastoreItem xmlns:ds="http://schemas.openxmlformats.org/officeDocument/2006/customXml" ds:itemID="{4FF4B920-D5DC-4611-929E-4E12623CE4B4}"/>
</file>

<file path=customXml/itemProps4.xml><?xml version="1.0" encoding="utf-8"?>
<ds:datastoreItem xmlns:ds="http://schemas.openxmlformats.org/officeDocument/2006/customXml" ds:itemID="{B6E810D0-FE6C-4541-AEE8-03954A8C5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2017-11-21T19:20:02Z</cp:lastPrinted>
  <dcterms:created xsi:type="dcterms:W3CDTF">2014-05-21T17:51:51Z</dcterms:created>
  <dcterms:modified xsi:type="dcterms:W3CDTF">2019-07-24T17:04:15Z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0x0101006E56B4D1795A2E4DB2F0B01679ED314A00E7A76F027F345445A24581111F340531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