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6" i="13" l="1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<sst xmlns="http://schemas.openxmlformats.org/spreadsheetml/2006/main" count="644" uniqueCount="280">
  <si>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</si>
  <si>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</si>
  <si>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</si>
  <si>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</si>
  <si>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</si>
  <si>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</si>
  <si>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</si>
  <si>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</si>
  <si>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</si>
  <si>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</si>
  <si>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</si>
  <si>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</si>
  <si>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</si>
  <si>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</si>
  <si>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</si>
  <si>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</si>
  <si>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</si>
  <si>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</si>
  <si>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</si>
  <si>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</si>
  <si>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</si>
  <si>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</si>
  <si>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</si>
  <si>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</si>
  <si>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</si>
  <si>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</si>
  <si>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</si>
  <si>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</si>
  <si>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</si>
  <si>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</si>
  <si>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</si>
  <si>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</si>
  <si>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</si>
  <si>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</si>
  <si>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</si>
  <si>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</si>
  <si>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</si>
  <si>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</si>
  <si>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</si>
  <si>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</si>
  <si>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</si>
  <si>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</si>
  <si>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</si>
  <si>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</si>
  <si>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</si>
  <si>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</si>
  <si>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</si>
  <si>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</si>
  <si>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</si>
  <si>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</si>
  <si>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</si>
  <si>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</si>
  <si>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</si>
  <si>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</si>
  <si>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</si>
  <si>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</si>
  <si>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</si>
  <si>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</si>
  <si>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</si>
  <si>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</si>
  <si>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</si>
  <si>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</si>
  <si>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</si>
  <si>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</si>
  <si>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</si>
  <si>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</si>
  <si>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</si>
  <si>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</si>
  <si>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</si>
  <si>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</si>
  <si>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</si>
  <si>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</si>
  <si>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</si>
  <si>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</si>
  <si>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</si>
  <si>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</si>
  <si>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</si>
  <si>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</si>
  <si>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</si>
  <si>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</si>
  <si>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</si>
  <si>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</si>
  <si>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</si>
  <si>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</si>
  <si>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</si>
  <si>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</si>
  <si>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</si>
  <si>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</si>
  <si>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</si>
  <si>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</si>
  <si>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</si>
  <si>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</si>
  <si>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</si>
  <si>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</si>
  <si>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</si>
  <si>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</si>
  <si>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</si>
  <si>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</si>
  <si>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</si>
  <si>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</si>
  <si>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</si>
  <si>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</si>
  <si>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</si>
  <si>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</si>
  <si>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</si>
  <si>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</si>
  <si>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</si>
  <si>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</si>
  <si>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</si>
  <si>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</si>
  <si>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</si>
  <si>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</si>
  <si>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</si>
  <si>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</si>
  <si>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</si>
  <si>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</si>
  <si>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</si>
  <si>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</si>
  <si>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</si>
  <si>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</si>
  <si>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</si>
  <si>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</si>
  <si>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</si>
  <si>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</si>
  <si>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</si>
  <si>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</si>
  <si>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</si>
  <si>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</si>
  <si>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</si>
  <si>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</si>
  <si>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</si>
  <si>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</si>
  <si>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</si>
  <si>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</si>
  <si>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</si>
  <si>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</si>
  <si>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</si>
  <si>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</si>
  <si>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</si>
  <si>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</si>
  <si>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</si>
  <si>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</si>
  <si>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</si>
  <si>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</si>
  <si>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</si>
  <si>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</si>
  <si>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</si>
  <si>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</si>
  <si>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</si>
  <si>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</si>
  <si>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</si>
  <si>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</si>
  <si>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</si>
  <si>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</si>
  <si>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</si>
  <si>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</si>
  <si>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</si>
  <si>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</si>
  <si>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</si>
  <si>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</si>
  <si>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</si>
  <si>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</si>
  <si>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</si>
  <si>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</si>
  <si>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</si>
  <si>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</si>
  <si>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</si>
  <si>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</si>
  <si>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</si>
  <si>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</si>
  <si>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</si>
  <si>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</si>
  <si>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</si>
  <si>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</si>
  <si>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</si>
  <si>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</si>
  <si>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</si>
  <si>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</si>
  <si>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</si>
  <si>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</si>
  <si>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</si>
  <si>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</si>
  <si>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</si>
  <si>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</si>
  <si>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</si>
  <si>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</si>
  <si>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</si>
  <si>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</si>
  <si>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</si>
  <si>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</si>
  <si>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</si>
  <si>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</si>
  <si>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</si>
  <si>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</si>
  <si>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</si>
  <si>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</si>
  <si>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</si>
  <si>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</si>
  <si>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</si>
  <si>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</si>
  <si>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</si>
  <si>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</si>
  <si>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</si>
  <si>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</si>
  <si>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</si>
  <si>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</si>
  <si>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</si>
  <si>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</si>
  <si>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</si>
  <si>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</si>
  <si>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</si>
  <si>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</si>
  <si>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</si>
  <si>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</si>
  <si>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</si>
  <si>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</si>
  <si>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</si>
  <si>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</si>
  <si>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</si>
  <si>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</si>
  <si>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</si>
  <si>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</si>
  <si>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</si>
  <si>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</si>
  <si>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</si>
  <si>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</si>
  <si>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</si>
  <si>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</si>
  <si>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</si>
  <si>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</si>
  <si>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</si>
  <si>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</si>
  <si>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</si>
  <si>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</si>
  <si>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</si>
  <si>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</si>
  <si>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</si>
  <si>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</si>
  <si>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</si>
  <si>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</si>
  <si>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</si>
  <si>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</si>
  <si>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</si>
  <si>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</si>
  <si>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</si>
  <si>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</si>
  <si>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</si>
  <si>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</si>
  <si>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</si>
  <si>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</si>
  <si>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</si>
  <si>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</si>
  <si>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</si>
  <si>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</si>
  <si>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</si>
  <si>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</si>
  <si>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</si>
  <si>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</si>
  <si>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</si>
  <si>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</si>
  <si>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</si>
  <si>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</si>
  <si>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</si>
  <si>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</si>
  <si>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</si>
  <si>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</si>
  <si>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</si>
  <si>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</si>
  <si>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</si>
  <si>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</si>
  <si>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</si>
  <si>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</si>
  <si>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PIONEER TELEPHONE COMPANY</t>
  </si>
  <si>
    <t>Line 48, column A Deferred FIT does note include excess Deferred FIT because for GAAP purposes</t>
  </si>
  <si>
    <t>it was directly expensed.  Line 48, column B includes the excess Deferred FIT expense added</t>
  </si>
  <si>
    <t>back to Deferred FIT for cost study purposes required by NECA/FCC for normalization.</t>
  </si>
  <si>
    <t>Ln 18, column  includes Excess Deferred FIT expense removed</t>
  </si>
  <si>
    <t>Ln 18, column C total is Operating FIT</t>
  </si>
  <si>
    <t>Ln 19, column B includes amortized Excess Deferred FIT expense</t>
  </si>
  <si>
    <t>Ln 19, column B total is Operating Deferred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</si>
</sst>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44" fontId="0" fillId="0" borderId="10" xfId="0" applyNumberFormat="1" applyBorder="1"/>
    <xf numFmtId="168" fontId="0" fillId="0" borderId="0" xfId="0" applyNumberForma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zoomScaleNormal="100" workbookViewId="0">
      <selection activeCell="A21" sqref="A21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A21" sqref="A21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PIONEER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79315</v>
      </c>
      <c r="E9" s="55">
        <v>78361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52257</v>
      </c>
      <c r="E11" s="52">
        <v>50376</v>
      </c>
    </row>
    <row r="12" spans="1:5" x14ac:dyDescent="0.25">
      <c r="A12" s="10" t="s">
        <v>176</v>
      </c>
      <c r="B12" s="17" t="s">
        <v>200</v>
      </c>
      <c r="C12" s="10"/>
      <c r="D12" s="52">
        <v>179217</v>
      </c>
      <c r="E12" s="52">
        <v>242522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13641</v>
      </c>
      <c r="E14" s="52">
        <v>23169</v>
      </c>
    </row>
    <row r="15" spans="1:5" x14ac:dyDescent="0.25">
      <c r="A15" s="10" t="s">
        <v>178</v>
      </c>
      <c r="B15" s="17" t="s">
        <v>142</v>
      </c>
      <c r="C15" s="10"/>
      <c r="D15" s="52">
        <v>201059</v>
      </c>
      <c r="E15" s="52">
        <v>208432</v>
      </c>
    </row>
    <row r="16" spans="1:5" x14ac:dyDescent="0.25">
      <c r="A16" s="10">
        <v>4</v>
      </c>
      <c r="B16" s="17" t="s">
        <v>263</v>
      </c>
      <c r="C16" s="10" t="s">
        <v>144</v>
      </c>
      <c r="D16" s="52">
        <v>332</v>
      </c>
      <c r="E16" s="52">
        <v>0</v>
      </c>
    </row>
    <row r="17" spans="1:5" x14ac:dyDescent="0.25">
      <c r="A17" s="10">
        <v>5</v>
      </c>
      <c r="B17" s="17" t="s">
        <v>262</v>
      </c>
      <c r="C17" s="10" t="s">
        <v>144</v>
      </c>
      <c r="D17" s="52">
        <v>861730</v>
      </c>
      <c r="E17" s="52">
        <v>923923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127155</v>
      </c>
      <c r="E18" s="52">
        <v>144295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1514706</v>
      </c>
      <c r="E20" s="35">
        <f>E9+E11+E12+E14+E15+E16++E17+E18+E19</f>
        <v>1671078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1514706</v>
      </c>
      <c r="E21" s="37">
        <f>IncomeStmtSummary!D10</f>
        <v>1671078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zoomScaleNormal="100" workbookViewId="0">
      <selection activeCell="A21" sqref="A21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  <col min="6" max="6" width="9.7109375" bestFit="1" customWidth="1"/>
  </cols>
  <sheetData>
    <row r="2" spans="1:6" x14ac:dyDescent="0.25">
      <c r="A2" s="72" t="s">
        <v>160</v>
      </c>
      <c r="B2" s="72"/>
    </row>
    <row r="3" spans="1:6" x14ac:dyDescent="0.25">
      <c r="A3" s="57" t="str">
        <f>PriorYearBalanceSheet!A3</f>
        <v>PIONEER TELEPHONE COMPANY</v>
      </c>
      <c r="B3" s="66"/>
    </row>
    <row r="6" spans="1:6" x14ac:dyDescent="0.25">
      <c r="A6" s="9" t="s">
        <v>271</v>
      </c>
      <c r="B6" s="9" t="s">
        <v>212</v>
      </c>
      <c r="C6" s="6"/>
      <c r="D6" s="126" t="s">
        <v>186</v>
      </c>
      <c r="E6" s="127"/>
    </row>
    <row r="7" spans="1:6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6" x14ac:dyDescent="0.25">
      <c r="A8" s="6"/>
      <c r="B8" s="6"/>
      <c r="C8" s="6"/>
      <c r="D8" s="9"/>
      <c r="E8" s="9"/>
    </row>
    <row r="9" spans="1:6" x14ac:dyDescent="0.25">
      <c r="A9" s="17" t="s">
        <v>187</v>
      </c>
      <c r="B9" s="17"/>
      <c r="C9" s="17"/>
      <c r="D9" s="114"/>
      <c r="E9" s="114"/>
    </row>
    <row r="10" spans="1:6" x14ac:dyDescent="0.25">
      <c r="A10" s="17"/>
      <c r="B10" s="17"/>
      <c r="C10" s="17"/>
      <c r="D10" s="114"/>
      <c r="E10" s="114"/>
    </row>
    <row r="11" spans="1:6" x14ac:dyDescent="0.25">
      <c r="A11" s="17"/>
      <c r="B11" s="17"/>
      <c r="C11" s="124"/>
      <c r="D11" s="114"/>
      <c r="E11" s="114"/>
      <c r="F11" s="125"/>
    </row>
    <row r="12" spans="1:6" x14ac:dyDescent="0.25">
      <c r="A12" s="17"/>
      <c r="B12" s="17"/>
      <c r="C12" s="17"/>
      <c r="D12" s="114"/>
      <c r="E12" s="114"/>
    </row>
    <row r="13" spans="1:6" x14ac:dyDescent="0.25">
      <c r="A13" s="19"/>
      <c r="B13" s="19"/>
      <c r="C13" s="19"/>
      <c r="D13" s="115"/>
      <c r="E13" s="115"/>
    </row>
    <row r="14" spans="1:6" x14ac:dyDescent="0.25">
      <c r="A14" s="17" t="s">
        <v>188</v>
      </c>
      <c r="B14" s="17"/>
      <c r="C14" s="17"/>
      <c r="D14" s="114"/>
      <c r="E14" s="114"/>
    </row>
    <row r="15" spans="1:6" x14ac:dyDescent="0.25">
      <c r="A15" s="17"/>
      <c r="B15" s="17"/>
      <c r="C15" s="17"/>
      <c r="D15" s="114"/>
      <c r="E15" s="114"/>
    </row>
    <row r="16" spans="1:6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A21" sqref="A21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PIONEER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252</v>
      </c>
      <c r="D7" s="121" t="s">
        <v>253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3895005</v>
      </c>
      <c r="D10" s="81">
        <f>C10</f>
        <v>3895005</v>
      </c>
    </row>
    <row r="11" spans="1:4" x14ac:dyDescent="0.25">
      <c r="A11" s="74">
        <v>2</v>
      </c>
      <c r="B11" s="78" t="s">
        <v>170</v>
      </c>
      <c r="C11" s="93">
        <f>'RateBase '!E15</f>
        <v>6398539</v>
      </c>
      <c r="D11" s="93">
        <f>C11</f>
        <v>6398539</v>
      </c>
    </row>
    <row r="12" spans="1:4" x14ac:dyDescent="0.25">
      <c r="A12" s="74">
        <v>3</v>
      </c>
      <c r="B12" s="89" t="s">
        <v>171</v>
      </c>
      <c r="C12" s="79">
        <f>(C10+C11)/2</f>
        <v>5146772</v>
      </c>
      <c r="D12" s="79">
        <f>(D10+D11)/2</f>
        <v>5146772</v>
      </c>
    </row>
    <row r="13" spans="1:4" x14ac:dyDescent="0.25">
      <c r="A13" s="74">
        <v>4</v>
      </c>
      <c r="B13" s="78" t="s">
        <v>172</v>
      </c>
      <c r="C13" s="58">
        <f>IncomeStmtSummary!D29</f>
        <v>300385</v>
      </c>
      <c r="D13" s="58">
        <f>C13</f>
        <v>300385</v>
      </c>
    </row>
    <row r="14" spans="1:4" x14ac:dyDescent="0.25">
      <c r="A14" s="74">
        <v>5</v>
      </c>
      <c r="B14" s="78" t="s">
        <v>254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300385</v>
      </c>
      <c r="D15" s="79">
        <f>D13+D14</f>
        <v>300385</v>
      </c>
    </row>
    <row r="16" spans="1:4" x14ac:dyDescent="0.25">
      <c r="A16" s="74">
        <v>7</v>
      </c>
      <c r="B16" s="89" t="s">
        <v>173</v>
      </c>
      <c r="C16" s="80">
        <f>C15/C12</f>
        <v>5.8363766648299169E-2</v>
      </c>
      <c r="D16" s="80">
        <f>D15/D12</f>
        <v>5.8363766648299169E-2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9" zoomScaleNormal="100" workbookViewId="0">
      <selection activeCell="A21" sqref="A2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1367357</v>
      </c>
      <c r="C10" s="54"/>
      <c r="D10" s="58">
        <f>SUM(B10:C10)</f>
        <v>1367357</v>
      </c>
      <c r="E10" s="17"/>
      <c r="F10" s="17" t="s">
        <v>77</v>
      </c>
      <c r="G10" s="52">
        <v>41844</v>
      </c>
      <c r="H10" s="54"/>
      <c r="I10" s="58">
        <f>SUM(G10:H10)</f>
        <v>41844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300</v>
      </c>
      <c r="H13" s="54"/>
      <c r="I13" s="58">
        <f t="shared" si="0"/>
        <v>300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24869</v>
      </c>
      <c r="C17" s="54"/>
      <c r="D17" s="58">
        <f>SUM(B17:C17)</f>
        <v>24869</v>
      </c>
      <c r="E17" s="18"/>
      <c r="F17" s="17" t="s">
        <v>85</v>
      </c>
      <c r="G17" s="52">
        <v>2785</v>
      </c>
      <c r="H17" s="54"/>
      <c r="I17" s="58">
        <f t="shared" si="0"/>
        <v>2785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64556</v>
      </c>
      <c r="H18" s="54"/>
      <c r="I18" s="58">
        <f t="shared" si="0"/>
        <v>64556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161618</v>
      </c>
      <c r="H19" s="111"/>
      <c r="I19" s="59">
        <f t="shared" si="0"/>
        <v>161618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271103</v>
      </c>
      <c r="H20" s="58">
        <f>SUM(H10:H19)</f>
        <v>0</v>
      </c>
      <c r="I20" s="58">
        <f t="shared" ref="I20" si="3">SUM(I10:I19)</f>
        <v>271103</v>
      </c>
    </row>
    <row r="21" spans="1:9" x14ac:dyDescent="0.25">
      <c r="A21" s="17" t="s">
        <v>48</v>
      </c>
      <c r="B21" s="52">
        <v>208722</v>
      </c>
      <c r="C21" s="54"/>
      <c r="D21" s="58">
        <f t="shared" si="2"/>
        <v>208722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12186</v>
      </c>
      <c r="C23" s="54"/>
      <c r="D23" s="58">
        <f t="shared" si="2"/>
        <v>12186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510068</v>
      </c>
      <c r="C24" s="111"/>
      <c r="D24" s="59">
        <f t="shared" si="2"/>
        <v>510068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2123202</v>
      </c>
      <c r="C25" s="58">
        <f>C10+C11+C13+C14+C15+C17+C18+C19+C20+C21+C22+C23+C24</f>
        <v>0</v>
      </c>
      <c r="D25" s="58">
        <f t="shared" ref="D25" si="5">D10+D11+D13+D14+D15+D17+D18+D19+D20+D21+D22+D23+D24</f>
        <v>2123202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130055</v>
      </c>
      <c r="H30" s="54"/>
      <c r="I30" s="58">
        <f t="shared" si="6"/>
        <v>130055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130055</v>
      </c>
      <c r="H32" s="119">
        <f>SUM(H22:H31)</f>
        <v>0</v>
      </c>
      <c r="I32" s="119">
        <f>SUM(I22:I31)</f>
        <v>130055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35277</v>
      </c>
      <c r="C35" s="69">
        <f>-1*(C25+C30+C31+C33+C34+C36+C37+C38+C47)</f>
        <v>5134</v>
      </c>
      <c r="D35" s="58">
        <f t="shared" si="7"/>
        <v>40411</v>
      </c>
      <c r="E35" s="17"/>
      <c r="F35" s="18" t="s">
        <v>216</v>
      </c>
      <c r="G35" s="52">
        <v>390049</v>
      </c>
      <c r="H35" s="52">
        <v>217778</v>
      </c>
      <c r="I35" s="58">
        <f>SUM(G35:H35)</f>
        <v>607827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234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255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390049</v>
      </c>
      <c r="H38" s="58">
        <f>SUM(H34:H37)</f>
        <v>217778</v>
      </c>
      <c r="I38" s="58">
        <f>SUM(I34:I37)</f>
        <v>607827</v>
      </c>
    </row>
    <row r="39" spans="1:9" x14ac:dyDescent="0.25">
      <c r="A39" s="17" t="s">
        <v>64</v>
      </c>
      <c r="B39" s="58">
        <f>B30+B31+B33+B34+B35+B36+B37+B38</f>
        <v>35277</v>
      </c>
      <c r="C39" s="58">
        <f>C30+C31+C33+C34+C35+C36+C37+C38</f>
        <v>5134</v>
      </c>
      <c r="D39" s="58">
        <f>D30+D31+D33+D34+D35+D36+D37+D38</f>
        <v>40411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56052</v>
      </c>
      <c r="H40" s="22"/>
      <c r="I40" s="58">
        <f>SUM(G40:H40)</f>
        <v>56052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13709528</v>
      </c>
      <c r="C42" s="52">
        <v>-42139</v>
      </c>
      <c r="D42" s="58">
        <f>SUM(B42:C42)</f>
        <v>13667389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5218</v>
      </c>
      <c r="C44" s="52"/>
      <c r="D44" s="58">
        <f t="shared" si="10"/>
        <v>5218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-9410284</v>
      </c>
      <c r="C46" s="53">
        <v>37005</v>
      </c>
      <c r="D46" s="59">
        <f t="shared" si="10"/>
        <v>-9373279</v>
      </c>
      <c r="E46" s="17"/>
      <c r="F46" s="17" t="s">
        <v>223</v>
      </c>
      <c r="G46" s="53">
        <v>5615682</v>
      </c>
      <c r="H46" s="94">
        <f>-1*(H20+H32+H38)</f>
        <v>-217778</v>
      </c>
      <c r="I46" s="59">
        <f t="shared" si="9"/>
        <v>5397904</v>
      </c>
    </row>
    <row r="47" spans="1:9" x14ac:dyDescent="0.25">
      <c r="A47" s="17" t="s">
        <v>70</v>
      </c>
      <c r="B47" s="58">
        <f>B42+B43+B44+B45+B46</f>
        <v>4304462</v>
      </c>
      <c r="C47" s="58">
        <f t="shared" ref="C47:D47" si="11">C42+C43+C44+C45+C46</f>
        <v>-5134</v>
      </c>
      <c r="D47" s="58">
        <f t="shared" si="11"/>
        <v>4299328</v>
      </c>
      <c r="E47" s="17"/>
      <c r="F47" s="17" t="s">
        <v>224</v>
      </c>
      <c r="G47" s="58">
        <f>SUM(G40:G46)</f>
        <v>5671734</v>
      </c>
      <c r="H47" s="61">
        <f t="shared" ref="H47:I47" si="12">SUM(H40:H46)</f>
        <v>-217778</v>
      </c>
      <c r="I47" s="58">
        <f t="shared" si="12"/>
        <v>5453956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6462941</v>
      </c>
      <c r="C49" s="60">
        <f>C25+C39+C47</f>
        <v>0</v>
      </c>
      <c r="D49" s="60">
        <f>D25+D39+D47</f>
        <v>6462941</v>
      </c>
      <c r="E49" s="19"/>
      <c r="F49" s="82" t="s">
        <v>228</v>
      </c>
      <c r="G49" s="60">
        <f>G20+G32+G38+G47</f>
        <v>6462941</v>
      </c>
      <c r="H49" s="60">
        <f>H20+H32+H38+H47</f>
        <v>0</v>
      </c>
      <c r="I49" s="60">
        <f>I20+I32+I38+I47</f>
        <v>6462941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65" t="s">
        <v>273</v>
      </c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 t="s">
        <v>274</v>
      </c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 t="s">
        <v>275</v>
      </c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7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30" zoomScaleNormal="100" workbookViewId="0">
      <selection activeCell="A21" sqref="A2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PIONEER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340140</v>
      </c>
      <c r="C10" s="54"/>
      <c r="D10" s="58">
        <f>SUM(B10:C10)</f>
        <v>340140</v>
      </c>
      <c r="E10" s="17"/>
      <c r="F10" s="17" t="s">
        <v>77</v>
      </c>
      <c r="G10" s="52">
        <v>864465</v>
      </c>
      <c r="H10" s="54"/>
      <c r="I10" s="58">
        <f>SUM(G10:H10)</f>
        <v>864465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509</v>
      </c>
      <c r="H13" s="54"/>
      <c r="I13" s="58">
        <f t="shared" si="0"/>
        <v>509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23688</v>
      </c>
      <c r="C17" s="54"/>
      <c r="D17" s="58">
        <f>SUM(B17:C17)</f>
        <v>23688</v>
      </c>
      <c r="E17" s="18"/>
      <c r="F17" s="17" t="s">
        <v>85</v>
      </c>
      <c r="G17" s="52">
        <v>105790</v>
      </c>
      <c r="H17" s="54"/>
      <c r="I17" s="58">
        <f t="shared" si="0"/>
        <v>105790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64774</v>
      </c>
      <c r="H18" s="54"/>
      <c r="I18" s="58">
        <f t="shared" si="0"/>
        <v>64774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152544</v>
      </c>
      <c r="H19" s="111"/>
      <c r="I19" s="59">
        <f t="shared" si="0"/>
        <v>152544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1188082</v>
      </c>
      <c r="H20" s="58">
        <f>SUM(H10:H19)</f>
        <v>0</v>
      </c>
      <c r="I20" s="58">
        <f t="shared" ref="I20" si="3">SUM(I10:I19)</f>
        <v>1188082</v>
      </c>
    </row>
    <row r="21" spans="1:9" x14ac:dyDescent="0.25">
      <c r="A21" s="17" t="s">
        <v>48</v>
      </c>
      <c r="B21" s="52">
        <v>176237</v>
      </c>
      <c r="C21" s="54"/>
      <c r="D21" s="58">
        <f t="shared" si="2"/>
        <v>176237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11572</v>
      </c>
      <c r="C23" s="54"/>
      <c r="D23" s="58">
        <f t="shared" si="2"/>
        <v>11572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298609</v>
      </c>
      <c r="C24" s="111"/>
      <c r="D24" s="59">
        <f t="shared" si="2"/>
        <v>298609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850246</v>
      </c>
      <c r="C25" s="58">
        <f>C10+C11+C13+C14+C15+C17+C18+C19+C20+C21+C22+C23+C24</f>
        <v>0</v>
      </c>
      <c r="D25" s="58">
        <f t="shared" ref="D25" si="5">D10+D11+D13+D14+D15+D17+D18+D19+D20+D21+D22+D23+D24</f>
        <v>850246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232788</v>
      </c>
      <c r="H30" s="54"/>
      <c r="I30" s="58">
        <f t="shared" si="6"/>
        <v>232788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232788</v>
      </c>
      <c r="H32" s="81">
        <f>SUM(H22:H31)</f>
        <v>0</v>
      </c>
      <c r="I32" s="58">
        <f>SUM(I22:I31)</f>
        <v>232788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35277</v>
      </c>
      <c r="C35" s="69">
        <f>-1*(C25+C30+C31+C33+C34+C36+C37+C38+C47)</f>
        <v>3689</v>
      </c>
      <c r="D35" s="58">
        <f t="shared" si="7"/>
        <v>38966</v>
      </c>
      <c r="E35" s="17"/>
      <c r="F35" s="18" t="s">
        <v>216</v>
      </c>
      <c r="G35" s="52">
        <v>338571</v>
      </c>
      <c r="H35" s="52">
        <v>204106</v>
      </c>
      <c r="I35" s="58">
        <f>SUM(G35:H35)</f>
        <v>542677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234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255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338571</v>
      </c>
      <c r="H38" s="58">
        <f>SUM(H34:H37)</f>
        <v>204106</v>
      </c>
      <c r="I38" s="58">
        <f>SUM(I34:I37)</f>
        <v>542677</v>
      </c>
    </row>
    <row r="39" spans="1:11" x14ac:dyDescent="0.25">
      <c r="A39" s="17" t="s">
        <v>64</v>
      </c>
      <c r="B39" s="58">
        <f>B30+B31+B33+B34+B35+B36+B37+B38</f>
        <v>35277</v>
      </c>
      <c r="C39" s="58">
        <f>C30+C31+C33+C34+C35+C36+C37+C38</f>
        <v>3689</v>
      </c>
      <c r="D39" s="58">
        <f t="shared" ref="D39" si="9">D30+D31+D33+D34+D35+D36+D37+D38</f>
        <v>38966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56052</v>
      </c>
      <c r="H40" s="22"/>
      <c r="I40" s="58">
        <f>SUM(G40:H40)</f>
        <v>56052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16929017</v>
      </c>
      <c r="C42" s="52">
        <v>-45487</v>
      </c>
      <c r="D42" s="58">
        <f>SUM(B42:C42)</f>
        <v>16883530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/>
      <c r="C44" s="52"/>
      <c r="D44" s="58">
        <f t="shared" si="11"/>
        <v>0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-10160349</v>
      </c>
      <c r="C46" s="53">
        <v>41798</v>
      </c>
      <c r="D46" s="59">
        <f t="shared" si="11"/>
        <v>-10118551</v>
      </c>
      <c r="E46" s="17"/>
      <c r="F46" s="17" t="s">
        <v>223</v>
      </c>
      <c r="G46" s="53">
        <v>5838698</v>
      </c>
      <c r="H46" s="94">
        <f>-1*(H20+H32+H38)</f>
        <v>-204106</v>
      </c>
      <c r="I46" s="59">
        <f t="shared" si="10"/>
        <v>5634592</v>
      </c>
    </row>
    <row r="47" spans="1:11" x14ac:dyDescent="0.25">
      <c r="A47" s="17" t="s">
        <v>70</v>
      </c>
      <c r="B47" s="58">
        <f>B42+B43+B44+B45+B46</f>
        <v>6768668</v>
      </c>
      <c r="C47" s="58">
        <f t="shared" ref="C47:D47" si="12">C42+C43+C44+C45+C46</f>
        <v>-3689</v>
      </c>
      <c r="D47" s="58">
        <f t="shared" si="12"/>
        <v>6764979</v>
      </c>
      <c r="E47" s="17"/>
      <c r="F47" s="17" t="s">
        <v>224</v>
      </c>
      <c r="G47" s="58">
        <f>SUM(G40:G46)</f>
        <v>5894750</v>
      </c>
      <c r="H47" s="61">
        <f t="shared" ref="H47:I47" si="13">SUM(H40:H46)</f>
        <v>-204106</v>
      </c>
      <c r="I47" s="58">
        <f t="shared" si="13"/>
        <v>5690644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7654191</v>
      </c>
      <c r="C49" s="60">
        <f t="shared" ref="C49:D49" si="14">C25+C39+C47</f>
        <v>0</v>
      </c>
      <c r="D49" s="60">
        <f t="shared" si="14"/>
        <v>7654191</v>
      </c>
      <c r="E49" s="19"/>
      <c r="F49" s="82" t="s">
        <v>227</v>
      </c>
      <c r="G49" s="60">
        <f>G20+G32+G38+G47</f>
        <v>7654191</v>
      </c>
      <c r="H49" s="60">
        <f>H20+H32+H38+H47</f>
        <v>0</v>
      </c>
      <c r="I49" s="60">
        <f>I20+I32+I38+I47</f>
        <v>7654191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7" zoomScaleNormal="100" workbookViewId="0">
      <selection activeCell="A21" sqref="A2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PIONEER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1367357</v>
      </c>
      <c r="C10" s="32">
        <f>'CurrentYearBalanceSheet '!D10</f>
        <v>340140</v>
      </c>
      <c r="D10" s="17"/>
      <c r="E10" s="17" t="s">
        <v>77</v>
      </c>
      <c r="F10" s="32">
        <f>PriorYearBalanceSheet!I10</f>
        <v>41844</v>
      </c>
      <c r="G10" s="32">
        <f>'CurrentYearBalanceSheet '!I10</f>
        <v>864465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300</v>
      </c>
      <c r="G13" s="32">
        <f>'CurrentYearBalanceSheet '!I13</f>
        <v>509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24869</v>
      </c>
      <c r="C17" s="32">
        <f>'CurrentYearBalanceSheet '!D17</f>
        <v>23688</v>
      </c>
      <c r="D17" s="17"/>
      <c r="E17" s="17" t="s">
        <v>85</v>
      </c>
      <c r="F17" s="32">
        <f>PriorYearBalanceSheet!I17</f>
        <v>2785</v>
      </c>
      <c r="G17" s="32">
        <f>'CurrentYearBalanceSheet '!I17</f>
        <v>105790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64556</v>
      </c>
      <c r="G18" s="32">
        <f>'CurrentYearBalanceSheet '!I18</f>
        <v>64774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161618</v>
      </c>
      <c r="G19" s="32">
        <f>'CurrentYearBalanceSheet '!I19</f>
        <v>152544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271103</v>
      </c>
      <c r="G20" s="35">
        <f>SUM(G10:G19)</f>
        <v>1188082</v>
      </c>
    </row>
    <row r="21" spans="1:7" x14ac:dyDescent="0.25">
      <c r="A21" s="17" t="s">
        <v>48</v>
      </c>
      <c r="B21" s="32">
        <f>PriorYearBalanceSheet!D21</f>
        <v>208722</v>
      </c>
      <c r="C21" s="32">
        <f>'CurrentYearBalanceSheet '!D21</f>
        <v>176237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12186</v>
      </c>
      <c r="C23" s="32">
        <f>'CurrentYearBalanceSheet '!D23</f>
        <v>11572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510068</v>
      </c>
      <c r="C24" s="33">
        <f>'CurrentYearBalanceSheet '!D24</f>
        <v>298609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2123202</v>
      </c>
      <c r="C25" s="32">
        <f>C10+C11+C13+C14+C15+C17+C18+C19+C20+C21+C22+C23+C24</f>
        <v>850246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130055</v>
      </c>
      <c r="G30" s="32">
        <f>'CurrentYearBalanceSheet '!I30</f>
        <v>232788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130055</v>
      </c>
      <c r="G32" s="32">
        <f>SUM(G22:G31)</f>
        <v>232788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40411</v>
      </c>
      <c r="C35" s="32">
        <f>'CurrentYearBalanceSheet '!D35</f>
        <v>38966</v>
      </c>
      <c r="D35" s="17"/>
      <c r="E35" s="18" t="s">
        <v>216</v>
      </c>
      <c r="F35" s="32">
        <f>PriorYearBalanceSheet!I35</f>
        <v>607827</v>
      </c>
      <c r="G35" s="32">
        <f>'CurrentYearBalanceSheet '!I35</f>
        <v>542677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229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607827</v>
      </c>
      <c r="G38" s="32">
        <f>SUM(G34:G37)</f>
        <v>542677</v>
      </c>
    </row>
    <row r="39" spans="1:7" x14ac:dyDescent="0.25">
      <c r="A39" s="17" t="s">
        <v>64</v>
      </c>
      <c r="B39" s="32">
        <f>B30+B31+B33+B34+B35+B36+B37+B38</f>
        <v>40411</v>
      </c>
      <c r="C39" s="32">
        <f>C30+C31+C33+C34+C35+C36+C37+C38</f>
        <v>38966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56052</v>
      </c>
      <c r="G40" s="32">
        <f>'CurrentYearBalanceSheet '!I40</f>
        <v>56052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13667389</v>
      </c>
      <c r="C42" s="32">
        <f>'CurrentYearBalanceSheet '!D42</f>
        <v>16883530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5218</v>
      </c>
      <c r="C44" s="32">
        <f>'CurrentYearBalanceSheet '!D44</f>
        <v>0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-9373279</v>
      </c>
      <c r="C46" s="33">
        <f>'CurrentYearBalanceSheet '!D46</f>
        <v>-10118551</v>
      </c>
      <c r="D46" s="17"/>
      <c r="E46" s="17" t="s">
        <v>230</v>
      </c>
      <c r="F46" s="33">
        <f>PriorYearBalanceSheet!I46</f>
        <v>5397904</v>
      </c>
      <c r="G46" s="33">
        <f>'CurrentYearBalanceSheet '!I46</f>
        <v>5634592</v>
      </c>
    </row>
    <row r="47" spans="1:7" x14ac:dyDescent="0.25">
      <c r="A47" s="17" t="s">
        <v>70</v>
      </c>
      <c r="B47" s="32">
        <f>SUM(B42:B46)</f>
        <v>4299328</v>
      </c>
      <c r="C47" s="32">
        <f>SUM(C42:C46)</f>
        <v>6764979</v>
      </c>
      <c r="D47" s="17"/>
      <c r="E47" s="17" t="s">
        <v>224</v>
      </c>
      <c r="F47" s="32">
        <f>SUM(F40:F46)</f>
        <v>5453956</v>
      </c>
      <c r="G47" s="32">
        <f>SUM(G40:G46)</f>
        <v>5690644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6462941</v>
      </c>
      <c r="C49" s="34">
        <f>C25+C39+C47</f>
        <v>7654191</v>
      </c>
      <c r="D49" s="17"/>
      <c r="E49" s="21" t="s">
        <v>225</v>
      </c>
      <c r="F49" s="34">
        <f>F20+F32+F38+F47</f>
        <v>6462941</v>
      </c>
      <c r="G49" s="34">
        <f>G20+G32+G38+G47</f>
        <v>7654191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256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A21" sqref="A21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PIONEER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257</v>
      </c>
      <c r="C10" s="10">
        <v>18</v>
      </c>
      <c r="D10" s="58">
        <f>'BalanceSheet(Summary)'!B42</f>
        <v>13667389</v>
      </c>
      <c r="E10" s="58">
        <f>'BalanceSheet(Summary)'!C42</f>
        <v>16883530</v>
      </c>
      <c r="F10" s="58">
        <f>(D10+E10)/2</f>
        <v>15275459.5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-9373279</v>
      </c>
      <c r="E12" s="58">
        <f>'BalanceSheet(Summary)'!C46</f>
        <v>-10118551</v>
      </c>
      <c r="F12" s="58">
        <f t="shared" ref="F12:F15" si="0">(D12+E12)/2</f>
        <v>-9745915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208722</v>
      </c>
      <c r="E13" s="58">
        <f>'BalanceSheet(Summary)'!C21</f>
        <v>176237</v>
      </c>
      <c r="F13" s="58">
        <f t="shared" si="0"/>
        <v>192479.5</v>
      </c>
    </row>
    <row r="14" spans="1:6" x14ac:dyDescent="0.25">
      <c r="A14" s="10">
        <v>5</v>
      </c>
      <c r="B14" s="17" t="s">
        <v>250</v>
      </c>
      <c r="C14" s="11"/>
      <c r="D14" s="52">
        <v>-607827</v>
      </c>
      <c r="E14" s="52">
        <v>-542677</v>
      </c>
      <c r="F14" s="58">
        <f t="shared" si="0"/>
        <v>-575252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3895005</v>
      </c>
      <c r="E15" s="62">
        <f>SUM(E10:E14)</f>
        <v>6398539</v>
      </c>
      <c r="F15" s="63">
        <f t="shared" si="0"/>
        <v>5146772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243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25">
      <c r="B21" t="s">
        <v>246</v>
      </c>
      <c r="C21" s="65"/>
      <c r="D21" s="65"/>
      <c r="E21" s="65"/>
      <c r="F21" s="65"/>
    </row>
    <row r="22" spans="1:6" x14ac:dyDescent="0.25">
      <c r="B22" t="s">
        <v>247</v>
      </c>
      <c r="C22" s="65"/>
      <c r="D22" s="65"/>
      <c r="E22" s="65"/>
      <c r="F22" s="65"/>
    </row>
    <row r="23" spans="1:6" x14ac:dyDescent="0.25">
      <c r="B23" t="s">
        <v>245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A21" sqref="A2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PIONEER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472</v>
      </c>
      <c r="D10" s="52">
        <v>445</v>
      </c>
      <c r="E10" s="32">
        <f>D10-C10</f>
        <v>-27</v>
      </c>
      <c r="F10" s="38">
        <f>E10/C10</f>
        <v>-5.7203389830508475E-2</v>
      </c>
    </row>
    <row r="11" spans="1:6" x14ac:dyDescent="0.25">
      <c r="A11" s="10">
        <v>2</v>
      </c>
      <c r="B11" s="19" t="s">
        <v>122</v>
      </c>
      <c r="C11" s="52">
        <v>166</v>
      </c>
      <c r="D11" s="52">
        <v>159</v>
      </c>
      <c r="E11" s="32">
        <f>D11-C11</f>
        <v>-7</v>
      </c>
      <c r="F11" s="38">
        <f t="shared" ref="F11:F12" si="0">E11/C11</f>
        <v>-4.2168674698795178E-2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638</v>
      </c>
      <c r="D12" s="34">
        <f t="shared" ref="D12:E12" si="1">SUM(D10:D11)</f>
        <v>604</v>
      </c>
      <c r="E12" s="34">
        <f t="shared" si="1"/>
        <v>-34</v>
      </c>
      <c r="F12" s="39">
        <f t="shared" si="0"/>
        <v>-5.329153605015674E-2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37"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PIONEER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25">
      <c r="A9" s="9">
        <v>1</v>
      </c>
      <c r="B9" s="3" t="s">
        <v>1</v>
      </c>
      <c r="C9" s="55">
        <v>151899</v>
      </c>
      <c r="D9" s="52"/>
      <c r="E9" s="58">
        <f>SUM(C9:D9)</f>
        <v>151899</v>
      </c>
    </row>
    <row r="10" spans="1:6" x14ac:dyDescent="0.25">
      <c r="A10" s="10">
        <v>2</v>
      </c>
      <c r="B10" s="14" t="s">
        <v>2</v>
      </c>
      <c r="C10" s="52">
        <v>1514706</v>
      </c>
      <c r="D10" s="52"/>
      <c r="E10" s="58">
        <f t="shared" ref="E10:E14" si="0">SUM(C10:D10)</f>
        <v>1514706</v>
      </c>
    </row>
    <row r="11" spans="1:6" x14ac:dyDescent="0.25">
      <c r="A11" s="10">
        <v>3</v>
      </c>
      <c r="B11" s="14" t="s">
        <v>3</v>
      </c>
      <c r="C11" s="52">
        <v>36105</v>
      </c>
      <c r="D11" s="52"/>
      <c r="E11" s="58">
        <f t="shared" si="0"/>
        <v>36105</v>
      </c>
    </row>
    <row r="12" spans="1:6" x14ac:dyDescent="0.25">
      <c r="A12" s="10">
        <v>4</v>
      </c>
      <c r="B12" s="14" t="s">
        <v>4</v>
      </c>
      <c r="C12" s="52">
        <v>1800</v>
      </c>
      <c r="D12" s="52"/>
      <c r="E12" s="58">
        <f t="shared" si="0"/>
        <v>1800</v>
      </c>
    </row>
    <row r="13" spans="1:6" x14ac:dyDescent="0.25">
      <c r="A13" s="10">
        <v>5</v>
      </c>
      <c r="B13" s="14" t="s">
        <v>5</v>
      </c>
      <c r="C13" s="52">
        <v>11472</v>
      </c>
      <c r="D13" s="52"/>
      <c r="E13" s="58">
        <f t="shared" si="0"/>
        <v>11472</v>
      </c>
    </row>
    <row r="14" spans="1:6" x14ac:dyDescent="0.25">
      <c r="A14" s="10">
        <v>6</v>
      </c>
      <c r="B14" s="14" t="s">
        <v>133</v>
      </c>
      <c r="C14" s="52">
        <v>91</v>
      </c>
      <c r="D14" s="52"/>
      <c r="E14" s="58">
        <f t="shared" si="0"/>
        <v>91</v>
      </c>
    </row>
    <row r="15" spans="1:6" x14ac:dyDescent="0.25">
      <c r="A15" s="10">
        <v>7</v>
      </c>
      <c r="B15" s="88" t="s">
        <v>132</v>
      </c>
      <c r="C15" s="96">
        <f>SUM(C9:C14)</f>
        <v>1716073</v>
      </c>
      <c r="D15" s="96">
        <f t="shared" ref="D15:E15" si="1">SUM(D9:D14)</f>
        <v>0</v>
      </c>
      <c r="E15" s="96">
        <f t="shared" si="1"/>
        <v>1716073</v>
      </c>
      <c r="F15" s="1"/>
    </row>
    <row r="16" spans="1:6" x14ac:dyDescent="0.25">
      <c r="A16" s="10">
        <v>8</v>
      </c>
      <c r="B16" s="14" t="s">
        <v>6</v>
      </c>
      <c r="C16" s="52">
        <v>315194</v>
      </c>
      <c r="D16" s="52">
        <v>-37156</v>
      </c>
      <c r="E16" s="41">
        <f>SUM(C16:D16)</f>
        <v>278038</v>
      </c>
    </row>
    <row r="17" spans="1:6" x14ac:dyDescent="0.25">
      <c r="A17" s="10">
        <v>9</v>
      </c>
      <c r="B17" s="14" t="s">
        <v>39</v>
      </c>
      <c r="C17" s="52">
        <v>43184</v>
      </c>
      <c r="D17" s="52">
        <v>12945</v>
      </c>
      <c r="E17" s="41">
        <f t="shared" ref="E17:E21" si="2">SUM(C17:D17)</f>
        <v>56129</v>
      </c>
    </row>
    <row r="18" spans="1:6" x14ac:dyDescent="0.25">
      <c r="A18" s="10">
        <v>10</v>
      </c>
      <c r="B18" s="14" t="s">
        <v>7</v>
      </c>
      <c r="C18" s="52">
        <v>530118</v>
      </c>
      <c r="D18" s="52">
        <v>-1669</v>
      </c>
      <c r="E18" s="41">
        <f t="shared" si="2"/>
        <v>528449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136232</v>
      </c>
      <c r="D20" s="52">
        <v>-6147</v>
      </c>
      <c r="E20" s="41">
        <f t="shared" si="2"/>
        <v>130085</v>
      </c>
    </row>
    <row r="21" spans="1:6" x14ac:dyDescent="0.25">
      <c r="A21" s="10">
        <v>13</v>
      </c>
      <c r="B21" s="14" t="s">
        <v>10</v>
      </c>
      <c r="C21" s="52">
        <v>367005</v>
      </c>
      <c r="D21" s="52">
        <v>-20941</v>
      </c>
      <c r="E21" s="41">
        <f t="shared" si="2"/>
        <v>346064</v>
      </c>
    </row>
    <row r="22" spans="1:6" x14ac:dyDescent="0.25">
      <c r="A22" s="10">
        <v>14</v>
      </c>
      <c r="B22" s="83" t="s">
        <v>231</v>
      </c>
      <c r="C22" s="96">
        <f>C16+C17+C18+C19+C20+C21</f>
        <v>1391733</v>
      </c>
      <c r="D22" s="96">
        <f>D16+D17+D18+D19+D20+D21</f>
        <v>-52968</v>
      </c>
      <c r="E22" s="97">
        <f>E16+E17+E18+E19+E20+E21</f>
        <v>1338765</v>
      </c>
      <c r="F22" s="1"/>
    </row>
    <row r="23" spans="1:6" x14ac:dyDescent="0.25">
      <c r="A23" s="10">
        <v>15</v>
      </c>
      <c r="B23" s="14" t="s">
        <v>14</v>
      </c>
      <c r="C23" s="58">
        <f>C15-C22</f>
        <v>324340</v>
      </c>
      <c r="D23" s="58">
        <f>D15-D22</f>
        <v>52968</v>
      </c>
      <c r="E23" s="58">
        <f>E15-E22</f>
        <v>377308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48182</v>
      </c>
      <c r="D25" s="112">
        <v>-990</v>
      </c>
      <c r="E25" s="58">
        <f t="shared" ref="E25:E27" si="3">SUM(C25:D25)</f>
        <v>47192</v>
      </c>
    </row>
    <row r="26" spans="1:6" x14ac:dyDescent="0.25">
      <c r="A26" s="10">
        <v>18</v>
      </c>
      <c r="B26" s="14" t="s">
        <v>191</v>
      </c>
      <c r="C26" s="52">
        <v>-139051</v>
      </c>
      <c r="D26" s="54">
        <v>233612</v>
      </c>
      <c r="E26" s="58">
        <f t="shared" si="3"/>
        <v>94561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-90869</v>
      </c>
      <c r="D28" s="79">
        <f t="shared" ref="D28:E28" si="4">SUM(D25:D27)</f>
        <v>232622</v>
      </c>
      <c r="E28" s="98">
        <f t="shared" si="4"/>
        <v>141753</v>
      </c>
    </row>
    <row r="29" spans="1:6" x14ac:dyDescent="0.25">
      <c r="A29" s="10">
        <v>21</v>
      </c>
      <c r="B29" s="88" t="s">
        <v>22</v>
      </c>
      <c r="C29" s="79">
        <f>C23+C24-C28</f>
        <v>415209</v>
      </c>
      <c r="D29" s="79">
        <f>D23+D24-D28</f>
        <v>-179654</v>
      </c>
      <c r="E29" s="98">
        <f>E23+E24-E28</f>
        <v>235555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260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259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25">
      <c r="A35" s="10">
        <v>27</v>
      </c>
      <c r="B35" s="14" t="s">
        <v>18</v>
      </c>
      <c r="C35" s="52">
        <v>15702</v>
      </c>
      <c r="D35" s="54"/>
      <c r="E35" s="32">
        <f>SUM(C35:D35)</f>
        <v>15702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12640</v>
      </c>
      <c r="D38" s="69">
        <f>-1*(D29-D34)</f>
        <v>179654</v>
      </c>
      <c r="E38" s="32">
        <f t="shared" si="7"/>
        <v>192294</v>
      </c>
    </row>
    <row r="39" spans="1:10" x14ac:dyDescent="0.25">
      <c r="A39" s="10">
        <v>31</v>
      </c>
      <c r="B39" s="88" t="s">
        <v>21</v>
      </c>
      <c r="C39" s="79">
        <f>C29-C34+C35+C36+C37+C38</f>
        <v>443551</v>
      </c>
      <c r="D39" s="79">
        <f t="shared" ref="D39:E39" si="8">D29-D34+D35+D36+D37+D38</f>
        <v>0</v>
      </c>
      <c r="E39" s="79">
        <f t="shared" si="8"/>
        <v>443551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5140239</v>
      </c>
      <c r="D41" s="54"/>
      <c r="E41" s="58">
        <f t="shared" ref="E41:E46" si="9">SUM(C41:D41)</f>
        <v>5140239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>
        <v>-31892</v>
      </c>
      <c r="D45" s="54"/>
      <c r="E45" s="58">
        <f t="shared" si="9"/>
        <v>-31892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5615682</v>
      </c>
      <c r="D47" s="99">
        <f t="shared" ref="D47:E47" si="10">(D39+D41+D42)-(D43+D44+D45+D46)</f>
        <v>0</v>
      </c>
      <c r="E47" s="98">
        <f t="shared" si="10"/>
        <v>5615682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0.44913357415447946</v>
      </c>
      <c r="D53" s="102" t="e">
        <f>((D22+D28-D18-D19)/D15)</f>
        <v>#DIV/0!</v>
      </c>
      <c r="E53" s="102">
        <f>((E22+E28-E18-E19)/E15)</f>
        <v>0.55479516314282662</v>
      </c>
    </row>
    <row r="54" spans="1:7" x14ac:dyDescent="0.25">
      <c r="A54" s="10">
        <v>46</v>
      </c>
      <c r="B54" s="14" t="s">
        <v>36</v>
      </c>
      <c r="C54" s="102">
        <f>((C22+C28+C34)/C15)</f>
        <v>0.75804700615882892</v>
      </c>
      <c r="D54" s="102" t="e">
        <f>((D22+D28+D34)/D15)</f>
        <v>#DIV/0!</v>
      </c>
      <c r="E54" s="102">
        <f>((E22+E28+E34)/E15)</f>
        <v>0.86273602579843633</v>
      </c>
    </row>
    <row r="55" spans="1:7" x14ac:dyDescent="0.25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65"/>
      <c r="B67" s="65" t="s">
        <v>276</v>
      </c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PIONEER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25">
      <c r="A9" s="9">
        <v>1</v>
      </c>
      <c r="B9" s="6" t="s">
        <v>1</v>
      </c>
      <c r="C9" s="55">
        <v>146768</v>
      </c>
      <c r="D9" s="52"/>
      <c r="E9" s="32">
        <f>SUM(C9:D9)</f>
        <v>146768</v>
      </c>
    </row>
    <row r="10" spans="1:6" x14ac:dyDescent="0.25">
      <c r="A10" s="10">
        <v>2</v>
      </c>
      <c r="B10" s="17" t="s">
        <v>2</v>
      </c>
      <c r="C10" s="52">
        <v>1671078</v>
      </c>
      <c r="D10" s="52"/>
      <c r="E10" s="32">
        <f t="shared" ref="E10:E14" si="0">SUM(C10:D10)</f>
        <v>1671078</v>
      </c>
    </row>
    <row r="11" spans="1:6" x14ac:dyDescent="0.25">
      <c r="A11" s="10">
        <v>3</v>
      </c>
      <c r="B11" s="17" t="s">
        <v>3</v>
      </c>
      <c r="C11" s="52">
        <v>32584</v>
      </c>
      <c r="D11" s="52"/>
      <c r="E11" s="32">
        <f t="shared" si="0"/>
        <v>32584</v>
      </c>
    </row>
    <row r="12" spans="1:6" x14ac:dyDescent="0.25">
      <c r="A12" s="10">
        <v>4</v>
      </c>
      <c r="B12" s="17" t="s">
        <v>4</v>
      </c>
      <c r="C12" s="52">
        <v>1800</v>
      </c>
      <c r="D12" s="52"/>
      <c r="E12" s="32">
        <f t="shared" si="0"/>
        <v>1800</v>
      </c>
    </row>
    <row r="13" spans="1:6" x14ac:dyDescent="0.25">
      <c r="A13" s="10">
        <v>5</v>
      </c>
      <c r="B13" s="17" t="s">
        <v>5</v>
      </c>
      <c r="C13" s="52">
        <v>9303</v>
      </c>
      <c r="D13" s="52"/>
      <c r="E13" s="32">
        <f t="shared" si="0"/>
        <v>9303</v>
      </c>
    </row>
    <row r="14" spans="1:6" x14ac:dyDescent="0.25">
      <c r="A14" s="10">
        <v>6</v>
      </c>
      <c r="B14" s="17" t="s">
        <v>133</v>
      </c>
      <c r="C14" s="52">
        <v>-1151</v>
      </c>
      <c r="D14" s="52"/>
      <c r="E14" s="32">
        <f t="shared" si="0"/>
        <v>-1151</v>
      </c>
    </row>
    <row r="15" spans="1:6" x14ac:dyDescent="0.25">
      <c r="A15" s="10">
        <v>7</v>
      </c>
      <c r="B15" s="83" t="s">
        <v>132</v>
      </c>
      <c r="C15" s="40">
        <f>SUM(C9:C14)</f>
        <v>1860382</v>
      </c>
      <c r="D15" s="40">
        <f t="shared" ref="D15:E15" si="1">SUM(D9:D14)</f>
        <v>0</v>
      </c>
      <c r="E15" s="40">
        <f t="shared" si="1"/>
        <v>1860382</v>
      </c>
      <c r="F15" s="1"/>
    </row>
    <row r="16" spans="1:6" x14ac:dyDescent="0.25">
      <c r="A16" s="10">
        <v>8</v>
      </c>
      <c r="B16" s="17" t="s">
        <v>6</v>
      </c>
      <c r="C16" s="52">
        <v>275628</v>
      </c>
      <c r="D16" s="52">
        <v>-24701</v>
      </c>
      <c r="E16" s="41">
        <f>SUM(C16:D16)</f>
        <v>250927</v>
      </c>
    </row>
    <row r="17" spans="1:6" x14ac:dyDescent="0.25">
      <c r="A17" s="10">
        <v>9</v>
      </c>
      <c r="B17" s="17" t="s">
        <v>39</v>
      </c>
      <c r="C17" s="52">
        <v>36984</v>
      </c>
      <c r="D17" s="52">
        <v>14573</v>
      </c>
      <c r="E17" s="41">
        <f t="shared" ref="E17:E21" si="2">SUM(C17:D17)</f>
        <v>51557</v>
      </c>
    </row>
    <row r="18" spans="1:6" x14ac:dyDescent="0.25">
      <c r="A18" s="10">
        <v>10</v>
      </c>
      <c r="B18" s="17" t="s">
        <v>7</v>
      </c>
      <c r="C18" s="52">
        <v>750065</v>
      </c>
      <c r="D18" s="52">
        <v>-1991</v>
      </c>
      <c r="E18" s="41">
        <f t="shared" si="2"/>
        <v>748074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88743</v>
      </c>
      <c r="D20" s="52">
        <v>-3068</v>
      </c>
      <c r="E20" s="41">
        <f t="shared" si="2"/>
        <v>85675</v>
      </c>
    </row>
    <row r="21" spans="1:6" x14ac:dyDescent="0.25">
      <c r="A21" s="10">
        <v>13</v>
      </c>
      <c r="B21" s="17" t="s">
        <v>10</v>
      </c>
      <c r="C21" s="52">
        <v>363508</v>
      </c>
      <c r="D21" s="52">
        <v>-21214</v>
      </c>
      <c r="E21" s="41">
        <f t="shared" si="2"/>
        <v>342294</v>
      </c>
    </row>
    <row r="22" spans="1:6" x14ac:dyDescent="0.25">
      <c r="A22" s="10">
        <v>14</v>
      </c>
      <c r="B22" s="83" t="s">
        <v>231</v>
      </c>
      <c r="C22" s="40">
        <f>C16+C17+C18+C19+C20+C21</f>
        <v>1514928</v>
      </c>
      <c r="D22" s="40">
        <f>D16+D17+D18+D19+D20+D21</f>
        <v>-36401</v>
      </c>
      <c r="E22" s="42">
        <f>E16+E17+E18+E19+E20+E21</f>
        <v>1478527</v>
      </c>
      <c r="F22" s="1"/>
    </row>
    <row r="23" spans="1:6" x14ac:dyDescent="0.25">
      <c r="A23" s="10">
        <v>15</v>
      </c>
      <c r="B23" s="17" t="s">
        <v>14</v>
      </c>
      <c r="C23" s="32">
        <f>C15-C22</f>
        <v>345454</v>
      </c>
      <c r="D23" s="32">
        <f>D15-D22</f>
        <v>36401</v>
      </c>
      <c r="E23" s="32">
        <f>E15-E22</f>
        <v>381855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60769</v>
      </c>
      <c r="D25" s="112">
        <v>-1082</v>
      </c>
      <c r="E25" s="32">
        <f t="shared" ref="E25:E27" si="3">SUM(C25:D25)</f>
        <v>59687</v>
      </c>
    </row>
    <row r="26" spans="1:6" x14ac:dyDescent="0.25">
      <c r="A26" s="10">
        <v>18</v>
      </c>
      <c r="B26" s="17" t="s">
        <v>191</v>
      </c>
      <c r="C26" s="52">
        <v>57571</v>
      </c>
      <c r="D26" s="54">
        <f>-35788+65942</f>
        <v>30154</v>
      </c>
      <c r="E26" s="32">
        <f t="shared" si="3"/>
        <v>87725</v>
      </c>
    </row>
    <row r="27" spans="1:6" x14ac:dyDescent="0.25">
      <c r="A27" s="10">
        <v>19</v>
      </c>
      <c r="B27" s="17" t="s">
        <v>13</v>
      </c>
      <c r="C27" s="52"/>
      <c r="D27" s="112">
        <v>-65942</v>
      </c>
      <c r="E27" s="32">
        <f t="shared" si="3"/>
        <v>-65942</v>
      </c>
    </row>
    <row r="28" spans="1:6" x14ac:dyDescent="0.25">
      <c r="A28" s="10">
        <v>20</v>
      </c>
      <c r="B28" s="83" t="s">
        <v>12</v>
      </c>
      <c r="C28" s="37">
        <f>SUM(C25:C27)</f>
        <v>118340</v>
      </c>
      <c r="D28" s="37">
        <f t="shared" ref="D28:E28" si="4">SUM(D25:D27)</f>
        <v>-36870</v>
      </c>
      <c r="E28" s="43">
        <f t="shared" si="4"/>
        <v>81470</v>
      </c>
    </row>
    <row r="29" spans="1:6" x14ac:dyDescent="0.25">
      <c r="A29" s="10">
        <v>21</v>
      </c>
      <c r="B29" s="83" t="s">
        <v>22</v>
      </c>
      <c r="C29" s="37">
        <f>C23+C24-C28</f>
        <v>227114</v>
      </c>
      <c r="D29" s="37">
        <f>D23+D24-D28</f>
        <v>73271</v>
      </c>
      <c r="E29" s="43">
        <f>E23+E24-E28</f>
        <v>300385</v>
      </c>
    </row>
    <row r="30" spans="1:6" x14ac:dyDescent="0.25">
      <c r="A30" s="10">
        <v>22</v>
      </c>
      <c r="B30" s="17" t="s">
        <v>15</v>
      </c>
      <c r="C30" s="52"/>
      <c r="D30" s="54"/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260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259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18</v>
      </c>
      <c r="C35" s="52">
        <v>29079</v>
      </c>
      <c r="D35" s="54"/>
      <c r="E35" s="32">
        <f>SUM(C35:D35)</f>
        <v>29079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7912</v>
      </c>
      <c r="D38" s="69">
        <f>-1*(D29-D34)</f>
        <v>-73271</v>
      </c>
      <c r="E38" s="32">
        <f t="shared" si="7"/>
        <v>-65359</v>
      </c>
    </row>
    <row r="39" spans="1:5" x14ac:dyDescent="0.25">
      <c r="A39" s="10">
        <v>31</v>
      </c>
      <c r="B39" s="83" t="s">
        <v>21</v>
      </c>
      <c r="C39" s="37">
        <f>C29-C34+C35+C36+C37+C38</f>
        <v>264105</v>
      </c>
      <c r="D39" s="37">
        <f t="shared" ref="D39:E39" si="8">D29-D34+D35+D36+D37+D38</f>
        <v>0</v>
      </c>
      <c r="E39" s="37">
        <f t="shared" si="8"/>
        <v>264105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5615682</v>
      </c>
      <c r="D41" s="54"/>
      <c r="E41" s="32">
        <f t="shared" ref="E41:E46" si="9">SUM(C41:D41)</f>
        <v>5615682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>
        <v>41089</v>
      </c>
      <c r="D45" s="54"/>
      <c r="E45" s="32">
        <f t="shared" si="9"/>
        <v>41089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5838698</v>
      </c>
      <c r="D47" s="64">
        <f t="shared" ref="D47:E47" si="10">(D39+D41+D42)-(D43+D44+D45+D46)</f>
        <v>0</v>
      </c>
      <c r="E47" s="43">
        <f t="shared" si="10"/>
        <v>5838698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0.47474282163555659</v>
      </c>
      <c r="D53" s="46" t="e">
        <f>((D22+D28-D18-D19)/D15)</f>
        <v>#DIV/0!</v>
      </c>
      <c r="E53" s="46">
        <f>((E22+E28-E18-E19)/E15)</f>
        <v>0.43642810992581094</v>
      </c>
    </row>
    <row r="54" spans="1:7" x14ac:dyDescent="0.25">
      <c r="A54" s="10">
        <v>46</v>
      </c>
      <c r="B54" s="17" t="s">
        <v>36</v>
      </c>
      <c r="C54" s="46">
        <f>((C22+C28+C34)/C15)</f>
        <v>0.87792077111044931</v>
      </c>
      <c r="D54" s="46" t="e">
        <f>((D22+D28+D34)/D15)</f>
        <v>#DIV/0!</v>
      </c>
      <c r="E54" s="46">
        <f>((E22+E28+E34)/E15)</f>
        <v>0.83853584908905809</v>
      </c>
    </row>
    <row r="55" spans="1:7" x14ac:dyDescent="0.25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123"/>
      <c r="B67" s="122" t="s">
        <v>277</v>
      </c>
      <c r="C67" s="65"/>
      <c r="D67" s="65"/>
      <c r="E67" s="65"/>
      <c r="F67" s="65"/>
      <c r="G67" s="65"/>
    </row>
    <row r="68" spans="1:7" x14ac:dyDescent="0.25">
      <c r="A68" s="65"/>
      <c r="B68" s="65" t="s">
        <v>278</v>
      </c>
      <c r="C68" s="65"/>
      <c r="D68" s="65"/>
      <c r="E68" s="65"/>
      <c r="F68" s="65"/>
      <c r="G68" s="65"/>
    </row>
    <row r="69" spans="1:7" x14ac:dyDescent="0.25">
      <c r="A69" s="65"/>
      <c r="B69" s="65" t="s">
        <v>279</v>
      </c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10"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PIONEER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151899</v>
      </c>
      <c r="D9" s="41">
        <f>'CurrentYearIncomeStmt '!E9</f>
        <v>146768</v>
      </c>
    </row>
    <row r="10" spans="1:5" x14ac:dyDescent="0.25">
      <c r="A10" s="10">
        <v>2</v>
      </c>
      <c r="B10" s="17" t="s">
        <v>2</v>
      </c>
      <c r="C10" s="32">
        <f>PriorYearIncomeStmt!E10</f>
        <v>1514706</v>
      </c>
      <c r="D10" s="41">
        <f>'CurrentYearIncomeStmt '!E10</f>
        <v>1671078</v>
      </c>
    </row>
    <row r="11" spans="1:5" x14ac:dyDescent="0.25">
      <c r="A11" s="10">
        <v>3</v>
      </c>
      <c r="B11" s="17" t="s">
        <v>3</v>
      </c>
      <c r="C11" s="32">
        <f>PriorYearIncomeStmt!E11</f>
        <v>36105</v>
      </c>
      <c r="D11" s="41">
        <f>'CurrentYearIncomeStmt '!E11</f>
        <v>32584</v>
      </c>
    </row>
    <row r="12" spans="1:5" x14ac:dyDescent="0.25">
      <c r="A12" s="10">
        <v>4</v>
      </c>
      <c r="B12" s="17" t="s">
        <v>4</v>
      </c>
      <c r="C12" s="32">
        <f>PriorYearIncomeStmt!E12</f>
        <v>1800</v>
      </c>
      <c r="D12" s="41">
        <f>'CurrentYearIncomeStmt '!E12</f>
        <v>1800</v>
      </c>
    </row>
    <row r="13" spans="1:5" x14ac:dyDescent="0.25">
      <c r="A13" s="10">
        <v>5</v>
      </c>
      <c r="B13" s="17" t="s">
        <v>5</v>
      </c>
      <c r="C13" s="32">
        <f>PriorYearIncomeStmt!E13</f>
        <v>11472</v>
      </c>
      <c r="D13" s="41">
        <f>'CurrentYearIncomeStmt '!E13</f>
        <v>9303</v>
      </c>
    </row>
    <row r="14" spans="1:5" x14ac:dyDescent="0.25">
      <c r="A14" s="10">
        <v>6</v>
      </c>
      <c r="B14" s="17" t="s">
        <v>133</v>
      </c>
      <c r="C14" s="32">
        <f>PriorYearIncomeStmt!E14</f>
        <v>91</v>
      </c>
      <c r="D14" s="41">
        <f>'CurrentYearIncomeStmt '!E14</f>
        <v>-1151</v>
      </c>
    </row>
    <row r="15" spans="1:5" x14ac:dyDescent="0.25">
      <c r="A15" s="10">
        <v>7</v>
      </c>
      <c r="B15" s="83" t="s">
        <v>132</v>
      </c>
      <c r="C15" s="40">
        <f>SUM(C9:C14)</f>
        <v>1716073</v>
      </c>
      <c r="D15" s="42">
        <f t="shared" ref="D15" si="0">SUM(D9:D14)</f>
        <v>1860382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278038</v>
      </c>
      <c r="D16" s="41">
        <f>'CurrentYearIncomeStmt '!E16</f>
        <v>250927</v>
      </c>
    </row>
    <row r="17" spans="1:5" x14ac:dyDescent="0.25">
      <c r="A17" s="10">
        <v>9</v>
      </c>
      <c r="B17" s="17" t="s">
        <v>39</v>
      </c>
      <c r="C17" s="32">
        <f>PriorYearIncomeStmt!E17</f>
        <v>56129</v>
      </c>
      <c r="D17" s="41">
        <f>'CurrentYearIncomeStmt '!E17</f>
        <v>51557</v>
      </c>
    </row>
    <row r="18" spans="1:5" x14ac:dyDescent="0.25">
      <c r="A18" s="10">
        <v>10</v>
      </c>
      <c r="B18" s="17" t="s">
        <v>7</v>
      </c>
      <c r="C18" s="32">
        <f>PriorYearIncomeStmt!E18</f>
        <v>528449</v>
      </c>
      <c r="D18" s="41">
        <f>'CurrentYearIncomeStmt '!E18</f>
        <v>748074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130085</v>
      </c>
      <c r="D20" s="41">
        <f>'CurrentYearIncomeStmt '!E20</f>
        <v>85675</v>
      </c>
    </row>
    <row r="21" spans="1:5" x14ac:dyDescent="0.25">
      <c r="A21" s="10">
        <v>13</v>
      </c>
      <c r="B21" s="17" t="s">
        <v>10</v>
      </c>
      <c r="C21" s="32">
        <f>PriorYearIncomeStmt!E21</f>
        <v>346064</v>
      </c>
      <c r="D21" s="41">
        <f>'CurrentYearIncomeStmt '!E21</f>
        <v>342294</v>
      </c>
    </row>
    <row r="22" spans="1:5" x14ac:dyDescent="0.25">
      <c r="A22" s="10">
        <v>14</v>
      </c>
      <c r="B22" s="83" t="s">
        <v>231</v>
      </c>
      <c r="C22" s="40">
        <f>C16+C17+C18+C19+C20+C21</f>
        <v>1338765</v>
      </c>
      <c r="D22" s="42">
        <f>D16+D17+D18+D19+D20+D21</f>
        <v>1478527</v>
      </c>
      <c r="E22" s="1"/>
    </row>
    <row r="23" spans="1:5" x14ac:dyDescent="0.25">
      <c r="A23" s="10">
        <v>15</v>
      </c>
      <c r="B23" s="17" t="s">
        <v>14</v>
      </c>
      <c r="C23" s="32">
        <f>C15-C22</f>
        <v>377308</v>
      </c>
      <c r="D23" s="41">
        <f>D15-D22</f>
        <v>381855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47192</v>
      </c>
      <c r="D25" s="41">
        <f>'CurrentYearIncomeStmt '!E25</f>
        <v>59687</v>
      </c>
    </row>
    <row r="26" spans="1:5" x14ac:dyDescent="0.25">
      <c r="A26" s="10">
        <v>18</v>
      </c>
      <c r="B26" s="17" t="s">
        <v>181</v>
      </c>
      <c r="C26" s="32">
        <f>PriorYearIncomeStmt!E26</f>
        <v>94561</v>
      </c>
      <c r="D26" s="41">
        <f>'CurrentYearIncomeStmt '!E26</f>
        <v>87725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-65942</v>
      </c>
    </row>
    <row r="28" spans="1:5" x14ac:dyDescent="0.25">
      <c r="A28" s="10">
        <v>20</v>
      </c>
      <c r="B28" s="83" t="s">
        <v>12</v>
      </c>
      <c r="C28" s="37">
        <f>SUM(C25:C27)</f>
        <v>141753</v>
      </c>
      <c r="D28" s="43">
        <f t="shared" ref="D28" si="1">SUM(D25:D27)</f>
        <v>81470</v>
      </c>
    </row>
    <row r="29" spans="1:5" x14ac:dyDescent="0.25">
      <c r="A29" s="10">
        <v>21</v>
      </c>
      <c r="B29" s="83" t="s">
        <v>22</v>
      </c>
      <c r="C29" s="37">
        <f>C23+C24-C28</f>
        <v>235555</v>
      </c>
      <c r="D29" s="43">
        <f>D23+D24-D28</f>
        <v>300385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261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259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18</v>
      </c>
      <c r="C35" s="32">
        <f>PriorYearIncomeStmt!E35</f>
        <v>15702</v>
      </c>
      <c r="D35" s="41">
        <f>'CurrentYearIncomeStmt '!E35</f>
        <v>29079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192294</v>
      </c>
      <c r="D38" s="41">
        <f>'CurrentYearIncomeStmt '!E38</f>
        <v>-65359</v>
      </c>
    </row>
    <row r="39" spans="1:4" x14ac:dyDescent="0.25">
      <c r="A39" s="10">
        <v>31</v>
      </c>
      <c r="B39" s="83" t="s">
        <v>21</v>
      </c>
      <c r="C39" s="37">
        <f>C29-C34+C35+C36+C37+C38</f>
        <v>443551</v>
      </c>
      <c r="D39" s="43">
        <f t="shared" ref="D39" si="3">D29-D34+D35+D36+D37+D38</f>
        <v>264105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5140239</v>
      </c>
      <c r="D41" s="41">
        <f>'CurrentYearIncomeStmt '!E41</f>
        <v>5615682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-31892</v>
      </c>
      <c r="D45" s="41">
        <f>'CurrentYearIncomeStmt '!E45</f>
        <v>41089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5615682</v>
      </c>
      <c r="D47" s="43">
        <f t="shared" ref="D47" si="4">(D39+D41+D42)-(D43+D44+D45+D46)</f>
        <v>5838698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0.55479516314282662</v>
      </c>
      <c r="D53" s="49">
        <f>((D22+D28-D18-D19)/D15)</f>
        <v>0.43642810992581094</v>
      </c>
    </row>
    <row r="54" spans="1:8" x14ac:dyDescent="0.25">
      <c r="A54" s="10">
        <v>46</v>
      </c>
      <c r="B54" s="17" t="s">
        <v>36</v>
      </c>
      <c r="C54" s="49">
        <f>((C22+C28+C34)/C15)</f>
        <v>0.86273602579843633</v>
      </c>
      <c r="D54" s="49">
        <f>((D22+D28+D34)/D15)</f>
        <v>0.83853584908905809</v>
      </c>
    </row>
    <row r="55" spans="1:8" x14ac:dyDescent="0.25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251</v>
      </c>
      <c r="D59" s="48" t="s">
        <v>270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76B6CE13C8E547B93501419552B504" ma:contentTypeVersion="56" ma:contentTypeDescription="" ma:contentTypeScope="" ma:versionID="5fa47be469e0df548cbd78498c51d61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2019-07-30T07:00:00+00:00</OpenedDate>
    <SignificantOrder xmlns="dc463f71-b30c-4ab2-9473-d307f9d35888">false</SignificantOrder>
    <Date1 xmlns="dc463f71-b30c-4ab2-9473-d307f9d35888">2019-07-30T07:00:00+00:00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Pioneer Telephone Company</CaseCompanyNames>
    <Nickname xmlns="http://schemas.microsoft.com/sharepoint/v3" xsi:nil="true"/>
    <DocketNumber xmlns="dc463f71-b30c-4ab2-9473-d307f9d35888">190637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7D80BC8-364D-4C8E-8DB1-F3FCB3323880}"/>
</file>

<file path=customXml/itemProps2.xml><?xml version="1.0" encoding="utf-8"?>
<ds:datastoreItem xmlns:ds="http://schemas.openxmlformats.org/officeDocument/2006/customXml" ds:itemID="{CB64B419-C962-43A6-A89A-CBCD66B7E1D2}"/>
</file>

<file path=customXml/itemProps3.xml><?xml version="1.0" encoding="utf-8"?>
<ds:datastoreItem xmlns:ds="http://schemas.openxmlformats.org/officeDocument/2006/customXml" ds:itemID="{A0FDC4C8-A721-49C9-8521-211D9E8EF373}"/>
</file>

<file path=customXml/itemProps4.xml><?xml version="1.0" encoding="utf-8"?>
<ds:datastoreItem xmlns:ds="http://schemas.openxmlformats.org/officeDocument/2006/customXml" ds:itemID="{81E080E7-94E1-458A-B7D1-E54B4AF36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Steve</cp:lastModifiedBy>
  <cp:lastPrinted>2019-07-16T15:17:56Z</cp:lastPrinted>
  <dcterms:created xsi:type="dcterms:W3CDTF">2014-05-21T17:51:51Z</dcterms:created>
  <dcterms:modified xsi:type="dcterms:W3CDTF">2019-07-16T22:42:14Z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0x0101006E56B4D1795A2E4DB2F0B01679ED314A00E876B6CE13C8E547B93501419552B504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