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60" windowWidth="17655" windowHeight="7380" activeTab="0"/>
  </bookViews>
  <sheets>
    <sheet name="WUTC_AW of Lynnwood_MF" sheetId="1" r:id="rId1"/>
    <sheet name="Value" sheetId="2" r:id="rId2"/>
    <sheet name="Pricing" sheetId="3" r:id="rId3"/>
    <sheet name="Commodity Tonnages" sheetId="4" r:id="rId4"/>
    <sheet name="Multi_Family" sheetId="5" r:id="rId5"/>
    <sheet name="RSA" sheetId="6" r:id="rId6"/>
  </sheets>
  <externalReferences>
    <externalReference r:id="rId9"/>
    <externalReference r:id="rId10"/>
  </externalReferences>
  <definedNames>
    <definedName name="_xlfn.IFERROR" hidden="1">#NAME?</definedName>
    <definedName name="color">#REF!</definedName>
    <definedName name="_xlnm.Print_Area" localSheetId="4">'Multi_Family'!$A$7:$N$102</definedName>
    <definedName name="_xlnm.Print_Area" localSheetId="2">'Pricing'!$A$1:$L$17</definedName>
    <definedName name="_xlnm.Print_Area" localSheetId="0">'WUTC_AW of Lynnwood_MF'!$A$1:$P$82</definedName>
    <definedName name="_xlnm.Print_Titles" localSheetId="4">'Multi_Family'!$A:$B,'Multi_Family'!$1:$6</definedName>
  </definedNames>
  <calcPr fullCalcOnLoad="1"/>
</workbook>
</file>

<file path=xl/comments1.xml><?xml version="1.0" encoding="utf-8"?>
<comments xmlns="http://schemas.openxmlformats.org/spreadsheetml/2006/main">
  <authors>
    <author>Hart, Abby Rose</author>
    <author>Johnson, Carla</author>
  </authors>
  <commentList>
    <comment ref="F39" authorId="0">
      <text>
        <r>
          <rPr>
            <b/>
            <sz val="9"/>
            <rFont val="Tahoma"/>
            <family val="2"/>
          </rPr>
          <t>Hart, Abby Rose:</t>
        </r>
        <r>
          <rPr>
            <sz val="9"/>
            <rFont val="Tahoma"/>
            <family val="2"/>
          </rPr>
          <t xml:space="preserve">
old 2014 value 
</t>
        </r>
      </text>
    </comment>
    <comment ref="F43" authorId="0">
      <text>
        <r>
          <rPr>
            <b/>
            <sz val="9"/>
            <rFont val="Tahoma"/>
            <family val="2"/>
          </rPr>
          <t>Hart, Abby Rose:</t>
        </r>
        <r>
          <rPr>
            <sz val="9"/>
            <rFont val="Tahoma"/>
            <family val="2"/>
          </rPr>
          <t xml:space="preserve">
old 2014 value </t>
        </r>
      </text>
    </comment>
    <comment ref="B8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Workbook/MF/4197 yards column D</t>
        </r>
      </text>
    </comment>
  </commentList>
</comments>
</file>

<file path=xl/comments5.xml><?xml version="1.0" encoding="utf-8"?>
<comments xmlns="http://schemas.openxmlformats.org/spreadsheetml/2006/main">
  <authors>
    <author>Alex Brenner</author>
  </authors>
  <commentList>
    <comment ref="A12" authorId="0">
      <text>
        <r>
          <rPr>
            <b/>
            <sz val="8"/>
            <rFont val="Tahoma"/>
            <family val="2"/>
          </rPr>
          <t>Alex Brenner:</t>
        </r>
        <r>
          <rPr>
            <sz val="8"/>
            <rFont val="Tahoma"/>
            <family val="2"/>
          </rPr>
          <t xml:space="preserve">
From ESMMYYTONS Spreadsheet, 'Prices' tab (where MM=month, YY=Year)</t>
        </r>
      </text>
    </comment>
  </commentList>
</comments>
</file>

<file path=xl/sharedStrings.xml><?xml version="1.0" encoding="utf-8"?>
<sst xmlns="http://schemas.openxmlformats.org/spreadsheetml/2006/main" count="211" uniqueCount="107">
  <si>
    <t>Deferred Accounting Methodology</t>
  </si>
  <si>
    <t>Commodity</t>
  </si>
  <si>
    <t>Revenue</t>
  </si>
  <si>
    <t>Month</t>
  </si>
  <si>
    <t>(b1)</t>
  </si>
  <si>
    <t>(b2)</t>
  </si>
  <si>
    <t>(a)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</si>
  <si>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</si>
  <si>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</si>
  <si>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</si>
  <si>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</si>
  <si>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</si>
  <si>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</si>
  <si>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</si>
  <si>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Alum</t>
  </si>
  <si>
    <t>Glass</t>
  </si>
  <si>
    <t>ONP</t>
  </si>
  <si>
    <t>MWP</t>
  </si>
  <si>
    <t>Pet</t>
  </si>
  <si>
    <t>HDPE</t>
  </si>
  <si>
    <t>OCC</t>
  </si>
  <si>
    <t>Other</t>
  </si>
  <si>
    <t>Total</t>
  </si>
  <si>
    <t xml:space="preserve"> </t>
  </si>
  <si>
    <t xml:space="preserve">Total </t>
  </si>
  <si>
    <t>Total Tons</t>
  </si>
  <si>
    <t>Sorted Glass Percentage</t>
  </si>
  <si>
    <t>Sorted Glass</t>
  </si>
  <si>
    <t>Sampled Tons</t>
  </si>
  <si>
    <t>Sampling Percentages</t>
  </si>
  <si>
    <t>Magazines</t>
  </si>
  <si>
    <t>Tin</t>
  </si>
  <si>
    <t>Plastic</t>
  </si>
  <si>
    <t>Aluminum</t>
  </si>
  <si>
    <t>Ferris Metal</t>
  </si>
  <si>
    <t>Trash</t>
  </si>
  <si>
    <t>Mixed Paper</t>
  </si>
  <si>
    <t>Sampled Tonnage</t>
  </si>
  <si>
    <t>Recovery Percentages</t>
  </si>
  <si>
    <t>Recovered Tonnages</t>
  </si>
  <si>
    <t xml:space="preserve">Product Sales Rates </t>
  </si>
  <si>
    <t>Product Value</t>
  </si>
  <si>
    <t>Total Value</t>
  </si>
  <si>
    <t>Value per Ton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</si>
  <si>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</si>
  <si>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</si>
  <si>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</si>
  <si>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</si>
  <si>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</si>
  <si>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</si>
  <si>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</si>
  <si>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</si>
  <si>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</si>
  <si>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</si>
  <si>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</si>
  <si>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</si>
  <si>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EastSide Disposal</t>
  </si>
  <si>
    <t>East Side Disposal</t>
  </si>
  <si>
    <t>Multi-Family</t>
  </si>
  <si>
    <t>Yards</t>
  </si>
  <si>
    <t>per Yard</t>
  </si>
  <si>
    <t>Total yards</t>
  </si>
  <si>
    <t>Monthly Base Credit per Yard</t>
  </si>
  <si>
    <t>Deficient Commodity Credits</t>
  </si>
  <si>
    <t>.</t>
  </si>
  <si>
    <t>Rabanco Ltd (dba Allied Waste of Lynnwood)</t>
  </si>
  <si>
    <t>3.5x Compaction</t>
  </si>
  <si>
    <t>5x Compaction</t>
  </si>
  <si>
    <t>Total Additional Passback</t>
  </si>
  <si>
    <t>Single-Family Revenue</t>
  </si>
  <si>
    <t>Multi-Family Revenue</t>
  </si>
  <si>
    <t>Multi-Family Additional Credit</t>
  </si>
  <si>
    <t>TG-12______</t>
  </si>
  <si>
    <t>For use in Budget Calculation</t>
  </si>
  <si>
    <t>Total Trailing 12 Mo. Commodity Value / Customer</t>
  </si>
  <si>
    <t>Most recent Total # of Customers</t>
  </si>
  <si>
    <t>Base Credit to be Passed Back</t>
  </si>
  <si>
    <t>% of Revenue Passed Back</t>
  </si>
  <si>
    <t>Budget total Revenue</t>
  </si>
  <si>
    <t>Budget Revenue Passed Back</t>
  </si>
  <si>
    <t>% Passed Back</t>
  </si>
  <si>
    <t>Avg of last 6 months plan year</t>
  </si>
  <si>
    <t xml:space="preserve"> Total Passback at end of 2 year plan year 2019 </t>
  </si>
  <si>
    <t>Commodity Value Timeframe:  May-Oct</t>
  </si>
  <si>
    <t>May 2018-Oct 2018</t>
  </si>
  <si>
    <t>6 month running average "BASE CREDIT"</t>
  </si>
  <si>
    <t xml:space="preserve"> Projected Debit</t>
  </si>
  <si>
    <t>11/18 - 4/19 Adjusted Debit</t>
  </si>
  <si>
    <t xml:space="preserve"> True-up Computation</t>
  </si>
  <si>
    <t>Material Shrinkage</t>
  </si>
  <si>
    <t>Shrinkage</t>
  </si>
  <si>
    <t>Metal</t>
  </si>
  <si>
    <t>Prior six months</t>
  </si>
  <si>
    <t>Current six months</t>
  </si>
  <si>
    <t>Total twelve months</t>
  </si>
  <si>
    <t>Total Annual Customers</t>
  </si>
  <si>
    <t>2018/2019 Monthly True-up Amount</t>
  </si>
  <si>
    <t>Multi-Family Unspent RSA Passback</t>
  </si>
  <si>
    <t>Plan Year 5/1/18 through 4/30/2019</t>
  </si>
  <si>
    <t>RSA dollars retained</t>
  </si>
  <si>
    <t>RSA dollars spent</t>
  </si>
  <si>
    <t>Unspent dollars</t>
  </si>
  <si>
    <t>Single Family = 66,747.07 Multi-Family = 11,927.35</t>
  </si>
  <si>
    <t>Note:</t>
  </si>
  <si>
    <t>Unspent dollars at the end of Year 1 for Snohomish County were passed back</t>
  </si>
  <si>
    <t>This calculation is based only on Year 2 of Plan</t>
  </si>
  <si>
    <t>Per Snohomish County certified Attachment B Report, Year 2 only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</si>
</sst>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_);_(* \(#,##0.00\);_(* &quot;-&quot;_);_(@_)"/>
    <numFmt numFmtId="167" formatCode="_(* #,##0.000_);_(* \(#,##0.000\);_(* &quot;-&quot;_);_(@_)"/>
    <numFmt numFmtId="168" formatCode="mmmm"/>
    <numFmt numFmtId="169" formatCode="#,##0.000"/>
    <numFmt numFmtId="170" formatCode="#,##0.0000"/>
    <numFmt numFmtId="171" formatCode="_(&quot;$&quot;* #,##0_);_(&quot;$&quot;* \(#,##0\);_(&quot;$&quot;* &quot;-&quot;??_);_(@_)"/>
    <numFmt numFmtId="172" formatCode="_(* #,##0.000_);_(* \(#,##0.000\);_(* &quot;-&quot;???_);_(@_)"/>
    <numFmt numFmtId="173" formatCode="_(* #,##0.0_);_(* \(#,##0.0\);_(* &quot;-&quot;??_);_(@_)"/>
    <numFmt numFmtId="174" formatCode="_(* #,##0.0000_);_(* \(#,##0.0000\);_(* &quot;-&quot;_);_(@_)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_);_(@_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Arial"/>
      <family val="2"/>
    </font>
    <font>
      <i/>
      <sz val="8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59" applyFont="1">
      <alignment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6" fillId="0" borderId="0" xfId="59">
      <alignment/>
      <protection/>
    </xf>
    <xf numFmtId="0" fontId="9" fillId="0" borderId="0" xfId="59" applyFont="1">
      <alignment/>
      <protection/>
    </xf>
    <xf numFmtId="14" fontId="7" fillId="0" borderId="0" xfId="59" applyNumberFormat="1" applyFont="1" applyAlignment="1">
      <alignment horizontal="center"/>
      <protection/>
    </xf>
    <xf numFmtId="0" fontId="10" fillId="0" borderId="0" xfId="59" applyFont="1">
      <alignment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166" fontId="9" fillId="0" borderId="0" xfId="59" applyNumberFormat="1" applyFont="1" applyAlignment="1">
      <alignment horizontal="center"/>
      <protection/>
    </xf>
    <xf numFmtId="1" fontId="7" fillId="0" borderId="0" xfId="59" applyNumberFormat="1" applyFont="1">
      <alignment/>
      <protection/>
    </xf>
    <xf numFmtId="41" fontId="7" fillId="0" borderId="0" xfId="59" applyNumberFormat="1" applyFont="1">
      <alignment/>
      <protection/>
    </xf>
    <xf numFmtId="166" fontId="9" fillId="0" borderId="0" xfId="59" applyNumberFormat="1" applyFont="1">
      <alignment/>
      <protection/>
    </xf>
    <xf numFmtId="166" fontId="7" fillId="0" borderId="0" xfId="59" applyNumberFormat="1" applyFont="1">
      <alignment/>
      <protection/>
    </xf>
    <xf numFmtId="168" fontId="7" fillId="0" borderId="0" xfId="59" applyNumberFormat="1" applyFont="1" applyAlignment="1">
      <alignment horizontal="right"/>
      <protection/>
    </xf>
    <xf numFmtId="41" fontId="13" fillId="0" borderId="0" xfId="59" applyNumberFormat="1" applyFont="1" applyAlignment="1">
      <alignment horizontal="left"/>
      <protection/>
    </xf>
    <xf numFmtId="41" fontId="7" fillId="0" borderId="10" xfId="59" applyNumberFormat="1" applyFont="1" applyBorder="1">
      <alignment/>
      <protection/>
    </xf>
    <xf numFmtId="166" fontId="7" fillId="0" borderId="10" xfId="59" applyNumberFormat="1" applyFont="1" applyBorder="1">
      <alignment/>
      <protection/>
    </xf>
    <xf numFmtId="167" fontId="7" fillId="0" borderId="0" xfId="59" applyNumberFormat="1" applyFont="1">
      <alignment/>
      <protection/>
    </xf>
    <xf numFmtId="166" fontId="6" fillId="0" borderId="0" xfId="59" applyNumberFormat="1">
      <alignment/>
      <protection/>
    </xf>
    <xf numFmtId="41" fontId="7" fillId="0" borderId="11" xfId="59" applyNumberFormat="1" applyFont="1" applyBorder="1">
      <alignment/>
      <protection/>
    </xf>
    <xf numFmtId="166" fontId="7" fillId="0" borderId="11" xfId="59" applyNumberFormat="1" applyFont="1" applyBorder="1">
      <alignment/>
      <protection/>
    </xf>
    <xf numFmtId="41" fontId="9" fillId="0" borderId="12" xfId="59" applyNumberFormat="1" applyFont="1" applyBorder="1">
      <alignment/>
      <protection/>
    </xf>
    <xf numFmtId="41" fontId="7" fillId="0" borderId="12" xfId="59" applyNumberFormat="1" applyFont="1" applyBorder="1">
      <alignment/>
      <protection/>
    </xf>
    <xf numFmtId="41" fontId="10" fillId="0" borderId="0" xfId="59" applyNumberFormat="1" applyFont="1">
      <alignment/>
      <protection/>
    </xf>
    <xf numFmtId="41" fontId="7" fillId="0" borderId="0" xfId="59" applyNumberFormat="1" applyFont="1" applyAlignment="1">
      <alignment horizontal="right"/>
      <protection/>
    </xf>
    <xf numFmtId="1" fontId="10" fillId="0" borderId="0" xfId="59" applyNumberFormat="1" applyFont="1">
      <alignment/>
      <protection/>
    </xf>
    <xf numFmtId="41" fontId="7" fillId="0" borderId="0" xfId="59" applyNumberFormat="1" applyFont="1" applyBorder="1">
      <alignment/>
      <protection/>
    </xf>
    <xf numFmtId="41" fontId="7" fillId="0" borderId="13" xfId="59" applyNumberFormat="1" applyFont="1" applyBorder="1">
      <alignment/>
      <protection/>
    </xf>
    <xf numFmtId="41" fontId="7" fillId="0" borderId="14" xfId="59" applyNumberFormat="1" applyFont="1" applyBorder="1">
      <alignment/>
      <protection/>
    </xf>
    <xf numFmtId="41" fontId="7" fillId="0" borderId="15" xfId="59" applyNumberFormat="1" applyFont="1" applyBorder="1">
      <alignment/>
      <protection/>
    </xf>
    <xf numFmtId="167" fontId="7" fillId="0" borderId="11" xfId="59" applyNumberFormat="1" applyFont="1" applyBorder="1">
      <alignment/>
      <protection/>
    </xf>
    <xf numFmtId="166" fontId="7" fillId="0" borderId="0" xfId="59" applyNumberFormat="1" applyFont="1" applyAlignment="1">
      <alignment horizontal="centerContinuous"/>
      <protection/>
    </xf>
    <xf numFmtId="166" fontId="7" fillId="0" borderId="13" xfId="59" applyNumberFormat="1" applyFont="1" applyBorder="1">
      <alignment/>
      <protection/>
    </xf>
    <xf numFmtId="166" fontId="7" fillId="0" borderId="15" xfId="59" applyNumberFormat="1" applyFont="1" applyBorder="1">
      <alignment/>
      <protection/>
    </xf>
    <xf numFmtId="2" fontId="6" fillId="0" borderId="0" xfId="59" applyNumberFormat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7" fontId="0" fillId="0" borderId="0" xfId="0" applyNumberFormat="1" applyBorder="1" applyAlignment="1">
      <alignment/>
    </xf>
    <xf numFmtId="17" fontId="1" fillId="0" borderId="0" xfId="0" applyNumberFormat="1" applyFont="1" applyAlignment="1">
      <alignment horizontal="center"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 horizontal="center"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7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9" fontId="0" fillId="0" borderId="0" xfId="62" applyAlignment="1">
      <alignment/>
    </xf>
    <xf numFmtId="40" fontId="7" fillId="0" borderId="0" xfId="0" applyNumberFormat="1" applyFont="1" applyAlignment="1">
      <alignment/>
    </xf>
    <xf numFmtId="43" fontId="7" fillId="0" borderId="0" xfId="42" applyFont="1" applyAlignment="1">
      <alignment/>
    </xf>
    <xf numFmtId="164" fontId="0" fillId="0" borderId="0" xfId="42" applyNumberFormat="1" applyFont="1" applyAlignment="1">
      <alignment/>
    </xf>
    <xf numFmtId="170" fontId="0" fillId="0" borderId="0" xfId="0" applyNumberFormat="1" applyAlignment="1">
      <alignment/>
    </xf>
    <xf numFmtId="165" fontId="0" fillId="0" borderId="0" xfId="62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17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9" fontId="7" fillId="0" borderId="0" xfId="62" applyFont="1" applyFill="1" applyAlignment="1">
      <alignment/>
    </xf>
    <xf numFmtId="43" fontId="7" fillId="0" borderId="14" xfId="42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0" fontId="7" fillId="0" borderId="0" xfId="62" applyNumberFormat="1" applyFont="1" applyAlignment="1">
      <alignment/>
    </xf>
    <xf numFmtId="10" fontId="9" fillId="33" borderId="0" xfId="62" applyNumberFormat="1" applyFont="1" applyFill="1" applyAlignment="1">
      <alignment/>
    </xf>
    <xf numFmtId="9" fontId="7" fillId="0" borderId="0" xfId="62" applyFont="1" applyAlignment="1">
      <alignment/>
    </xf>
    <xf numFmtId="43" fontId="7" fillId="0" borderId="0" xfId="42" applyNumberFormat="1" applyFont="1" applyAlignment="1">
      <alignment/>
    </xf>
    <xf numFmtId="0" fontId="9" fillId="0" borderId="0" xfId="0" applyFont="1" applyAlignment="1" quotePrefix="1">
      <alignment horizontal="left"/>
    </xf>
    <xf numFmtId="44" fontId="7" fillId="0" borderId="0" xfId="44" applyFont="1" applyAlignment="1">
      <alignment/>
    </xf>
    <xf numFmtId="44" fontId="7" fillId="0" borderId="14" xfId="44" applyFont="1" applyBorder="1" applyAlignment="1">
      <alignment/>
    </xf>
    <xf numFmtId="44" fontId="9" fillId="0" borderId="0" xfId="44" applyFont="1" applyBorder="1" applyAlignment="1">
      <alignment/>
    </xf>
    <xf numFmtId="43" fontId="9" fillId="0" borderId="0" xfId="42" applyFont="1" applyBorder="1" applyAlignment="1">
      <alignment/>
    </xf>
    <xf numFmtId="44" fontId="7" fillId="0" borderId="0" xfId="44" applyFont="1" applyBorder="1" applyAlignment="1">
      <alignment/>
    </xf>
    <xf numFmtId="0" fontId="7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44" fontId="7" fillId="0" borderId="0" xfId="44" applyNumberFormat="1" applyFont="1" applyBorder="1" applyAlignment="1">
      <alignment/>
    </xf>
    <xf numFmtId="43" fontId="7" fillId="0" borderId="0" xfId="42" applyFont="1" applyAlignment="1" quotePrefix="1">
      <alignment/>
    </xf>
    <xf numFmtId="43" fontId="7" fillId="0" borderId="0" xfId="42" applyNumberFormat="1" applyFont="1" applyAlignment="1" quotePrefix="1">
      <alignment/>
    </xf>
    <xf numFmtId="43" fontId="9" fillId="0" borderId="13" xfId="42" applyFont="1" applyBorder="1" applyAlignment="1">
      <alignment/>
    </xf>
    <xf numFmtId="44" fontId="7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166" fontId="7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166" fontId="9" fillId="0" borderId="0" xfId="59" applyNumberFormat="1" applyFont="1" applyBorder="1" applyAlignment="1">
      <alignment horizontal="center"/>
      <protection/>
    </xf>
    <xf numFmtId="166" fontId="9" fillId="0" borderId="0" xfId="59" applyNumberFormat="1" applyFont="1" applyBorder="1">
      <alignment/>
      <protection/>
    </xf>
    <xf numFmtId="166" fontId="7" fillId="0" borderId="0" xfId="59" applyNumberFormat="1" applyFont="1" applyBorder="1" applyAlignment="1">
      <alignment horizontal="right"/>
      <protection/>
    </xf>
    <xf numFmtId="41" fontId="12" fillId="0" borderId="0" xfId="59" applyNumberFormat="1" applyFont="1" applyBorder="1" applyAlignment="1">
      <alignment horizontal="center"/>
      <protection/>
    </xf>
    <xf numFmtId="43" fontId="7" fillId="0" borderId="0" xfId="42" applyFont="1" applyBorder="1" applyAlignment="1">
      <alignment horizontal="center"/>
    </xf>
    <xf numFmtId="168" fontId="7" fillId="0" borderId="0" xfId="59" applyNumberFormat="1" applyFont="1" applyBorder="1" applyAlignment="1">
      <alignment horizontal="right"/>
      <protection/>
    </xf>
    <xf numFmtId="41" fontId="12" fillId="0" borderId="0" xfId="59" applyNumberFormat="1" applyFont="1" applyBorder="1">
      <alignment/>
      <protection/>
    </xf>
    <xf numFmtId="41" fontId="13" fillId="0" borderId="0" xfId="59" applyNumberFormat="1" applyFont="1" applyBorder="1" applyAlignment="1">
      <alignment horizontal="left"/>
      <protection/>
    </xf>
    <xf numFmtId="0" fontId="6" fillId="0" borderId="0" xfId="59" applyBorder="1">
      <alignment/>
      <protection/>
    </xf>
    <xf numFmtId="166" fontId="6" fillId="0" borderId="0" xfId="59" applyNumberFormat="1" applyBorder="1">
      <alignment/>
      <protection/>
    </xf>
    <xf numFmtId="168" fontId="7" fillId="0" borderId="0" xfId="59" applyNumberFormat="1" applyFont="1" applyBorder="1">
      <alignment/>
      <protection/>
    </xf>
    <xf numFmtId="167" fontId="7" fillId="0" borderId="0" xfId="59" applyNumberFormat="1" applyFont="1" applyBorder="1">
      <alignment/>
      <protection/>
    </xf>
    <xf numFmtId="2" fontId="9" fillId="34" borderId="0" xfId="0" applyNumberFormat="1" applyFont="1" applyFill="1" applyBorder="1" applyAlignment="1">
      <alignment/>
    </xf>
    <xf numFmtId="10" fontId="7" fillId="34" borderId="0" xfId="0" applyNumberFormat="1" applyFont="1" applyFill="1" applyAlignment="1">
      <alignment/>
    </xf>
    <xf numFmtId="10" fontId="7" fillId="34" borderId="0" xfId="62" applyNumberFormat="1" applyFont="1" applyFill="1" applyAlignment="1">
      <alignment/>
    </xf>
    <xf numFmtId="17" fontId="7" fillId="0" borderId="0" xfId="0" applyNumberFormat="1" applyFont="1" applyFill="1" applyAlignment="1">
      <alignment/>
    </xf>
    <xf numFmtId="43" fontId="9" fillId="0" borderId="0" xfId="42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166" fontId="7" fillId="0" borderId="0" xfId="59" applyNumberFormat="1" applyFont="1" applyAlignment="1">
      <alignment horizontal="right"/>
      <protection/>
    </xf>
    <xf numFmtId="168" fontId="7" fillId="0" borderId="0" xfId="59" applyNumberFormat="1" applyFont="1" applyFill="1" applyAlignment="1">
      <alignment horizontal="right"/>
      <protection/>
    </xf>
    <xf numFmtId="4" fontId="7" fillId="0" borderId="10" xfId="0" applyNumberFormat="1" applyFont="1" applyBorder="1" applyAlignment="1">
      <alignment/>
    </xf>
    <xf numFmtId="40" fontId="7" fillId="0" borderId="10" xfId="0" applyNumberFormat="1" applyFont="1" applyBorder="1" applyAlignment="1">
      <alignment/>
    </xf>
    <xf numFmtId="43" fontId="7" fillId="0" borderId="10" xfId="42" applyNumberFormat="1" applyFont="1" applyBorder="1" applyAlignment="1">
      <alignment/>
    </xf>
    <xf numFmtId="40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9" fillId="0" borderId="10" xfId="42" applyFont="1" applyBorder="1" applyAlignment="1">
      <alignment/>
    </xf>
    <xf numFmtId="8" fontId="7" fillId="0" borderId="0" xfId="44" applyNumberFormat="1" applyFont="1" applyAlignment="1" quotePrefix="1">
      <alignment/>
    </xf>
    <xf numFmtId="8" fontId="7" fillId="0" borderId="0" xfId="44" applyNumberFormat="1" applyFont="1" applyFill="1" applyAlignment="1" quotePrefix="1">
      <alignment/>
    </xf>
    <xf numFmtId="171" fontId="7" fillId="0" borderId="0" xfId="44" applyNumberFormat="1" applyFont="1" applyAlignment="1">
      <alignment/>
    </xf>
    <xf numFmtId="164" fontId="7" fillId="0" borderId="0" xfId="59" applyNumberFormat="1" applyFont="1">
      <alignment/>
      <protection/>
    </xf>
    <xf numFmtId="175" fontId="1" fillId="0" borderId="0" xfId="62" applyNumberFormat="1" applyFont="1" applyAlignment="1">
      <alignment/>
    </xf>
    <xf numFmtId="0" fontId="16" fillId="0" borderId="16" xfId="59" applyFont="1" applyBorder="1" applyAlignment="1">
      <alignment horizontal="center"/>
      <protection/>
    </xf>
    <xf numFmtId="0" fontId="7" fillId="0" borderId="0" xfId="59" applyFont="1" applyBorder="1">
      <alignment/>
      <protection/>
    </xf>
    <xf numFmtId="166" fontId="16" fillId="0" borderId="17" xfId="59" applyNumberFormat="1" applyFont="1" applyBorder="1" applyAlignment="1">
      <alignment horizontal="center"/>
      <protection/>
    </xf>
    <xf numFmtId="166" fontId="17" fillId="0" borderId="17" xfId="59" applyNumberFormat="1" applyFont="1" applyFill="1" applyBorder="1" applyAlignment="1">
      <alignment horizontal="center"/>
      <protection/>
    </xf>
    <xf numFmtId="41" fontId="13" fillId="0" borderId="17" xfId="59" applyNumberFormat="1" applyFont="1" applyBorder="1">
      <alignment/>
      <protection/>
    </xf>
    <xf numFmtId="167" fontId="9" fillId="0" borderId="17" xfId="59" applyNumberFormat="1" applyFont="1" applyBorder="1">
      <alignment/>
      <protection/>
    </xf>
    <xf numFmtId="175" fontId="7" fillId="0" borderId="0" xfId="62" applyNumberFormat="1" applyFont="1" applyAlignment="1">
      <alignment/>
    </xf>
    <xf numFmtId="171" fontId="7" fillId="32" borderId="7" xfId="60" applyNumberFormat="1" applyFont="1" applyAlignment="1">
      <alignment/>
    </xf>
    <xf numFmtId="166" fontId="7" fillId="35" borderId="0" xfId="59" applyNumberFormat="1" applyFont="1" applyFill="1">
      <alignment/>
      <protection/>
    </xf>
    <xf numFmtId="41" fontId="7" fillId="35" borderId="18" xfId="59" applyNumberFormat="1" applyFont="1" applyFill="1" applyBorder="1">
      <alignment/>
      <protection/>
    </xf>
    <xf numFmtId="166" fontId="12" fillId="0" borderId="0" xfId="59" applyNumberFormat="1" applyFont="1" applyFill="1" applyAlignment="1">
      <alignment horizontal="center"/>
      <protection/>
    </xf>
    <xf numFmtId="166" fontId="7" fillId="35" borderId="11" xfId="59" applyNumberFormat="1" applyFont="1" applyFill="1" applyBorder="1">
      <alignment/>
      <protection/>
    </xf>
    <xf numFmtId="44" fontId="7" fillId="34" borderId="19" xfId="44" applyNumberFormat="1" applyFont="1" applyFill="1" applyBorder="1" applyAlignment="1">
      <alignment/>
    </xf>
    <xf numFmtId="44" fontId="7" fillId="34" borderId="19" xfId="44" applyNumberFormat="1" applyFont="1" applyFill="1" applyBorder="1" applyAlignment="1">
      <alignment horizontal="center"/>
    </xf>
    <xf numFmtId="44" fontId="56" fillId="34" borderId="19" xfId="44" applyNumberFormat="1" applyFont="1" applyFill="1" applyBorder="1" applyAlignment="1">
      <alignment/>
    </xf>
    <xf numFmtId="44" fontId="56" fillId="34" borderId="19" xfId="44" applyNumberFormat="1" applyFont="1" applyFill="1" applyBorder="1" applyAlignment="1">
      <alignment horizontal="center"/>
    </xf>
    <xf numFmtId="166" fontId="7" fillId="36" borderId="15" xfId="59" applyNumberFormat="1" applyFont="1" applyFill="1" applyBorder="1">
      <alignment/>
      <protection/>
    </xf>
    <xf numFmtId="166" fontId="7" fillId="36" borderId="0" xfId="59" applyNumberFormat="1" applyFont="1" applyFill="1">
      <alignment/>
      <protection/>
    </xf>
    <xf numFmtId="175" fontId="7" fillId="36" borderId="19" xfId="62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/>
    </xf>
    <xf numFmtId="8" fontId="7" fillId="0" borderId="0" xfId="0" applyNumberFormat="1" applyFont="1" applyAlignment="1">
      <alignment/>
    </xf>
    <xf numFmtId="43" fontId="7" fillId="0" borderId="14" xfId="42" applyFont="1" applyFill="1" applyBorder="1" applyAlignment="1">
      <alignment/>
    </xf>
    <xf numFmtId="43" fontId="7" fillId="0" borderId="0" xfId="0" applyNumberFormat="1" applyFont="1" applyFill="1" applyAlignment="1">
      <alignment/>
    </xf>
    <xf numFmtId="10" fontId="7" fillId="0" borderId="0" xfId="62" applyNumberFormat="1" applyFont="1" applyFill="1" applyAlignment="1">
      <alignment/>
    </xf>
    <xf numFmtId="43" fontId="7" fillId="0" borderId="0" xfId="42" applyFont="1" applyFill="1" applyAlignment="1">
      <alignment/>
    </xf>
    <xf numFmtId="43" fontId="7" fillId="0" borderId="0" xfId="42" applyNumberFormat="1" applyFont="1" applyFill="1" applyAlignment="1">
      <alignment/>
    </xf>
    <xf numFmtId="43" fontId="9" fillId="0" borderId="13" xfId="42" applyFont="1" applyFill="1" applyBorder="1" applyAlignment="1">
      <alignment/>
    </xf>
    <xf numFmtId="43" fontId="9" fillId="0" borderId="0" xfId="42" applyFont="1" applyFill="1" applyAlignment="1">
      <alignment/>
    </xf>
    <xf numFmtId="44" fontId="7" fillId="0" borderId="0" xfId="0" applyNumberFormat="1" applyFont="1" applyFill="1" applyAlignment="1">
      <alignment/>
    </xf>
    <xf numFmtId="44" fontId="7" fillId="0" borderId="0" xfId="44" applyFont="1" applyFill="1" applyBorder="1" applyAlignment="1">
      <alignment/>
    </xf>
    <xf numFmtId="41" fontId="57" fillId="37" borderId="20" xfId="59" applyNumberFormat="1" applyFont="1" applyFill="1" applyBorder="1">
      <alignment/>
      <protection/>
    </xf>
    <xf numFmtId="41" fontId="57" fillId="37" borderId="20" xfId="59" applyNumberFormat="1" applyFont="1" applyFill="1" applyBorder="1" applyAlignment="1">
      <alignment horizontal="center"/>
      <protection/>
    </xf>
    <xf numFmtId="41" fontId="7" fillId="35" borderId="0" xfId="59" applyNumberFormat="1" applyFont="1" applyFill="1" applyBorder="1">
      <alignment/>
      <protection/>
    </xf>
    <xf numFmtId="175" fontId="58" fillId="37" borderId="20" xfId="62" applyNumberFormat="1" applyFont="1" applyFill="1" applyBorder="1" applyAlignment="1">
      <alignment horizontal="center"/>
    </xf>
    <xf numFmtId="167" fontId="57" fillId="37" borderId="20" xfId="59" applyNumberFormat="1" applyFont="1" applyFill="1" applyBorder="1">
      <alignment/>
      <protection/>
    </xf>
    <xf numFmtId="43" fontId="7" fillId="0" borderId="0" xfId="42" applyFont="1" applyFill="1" applyAlignment="1" quotePrefix="1">
      <alignment/>
    </xf>
    <xf numFmtId="43" fontId="7" fillId="0" borderId="0" xfId="42" applyNumberFormat="1" applyFont="1" applyFill="1" applyAlignment="1" quotePrefix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44" fontId="7" fillId="0" borderId="0" xfId="44" applyNumberFormat="1" applyFont="1" applyAlignment="1" quotePrefix="1">
      <alignment/>
    </xf>
    <xf numFmtId="44" fontId="7" fillId="0" borderId="0" xfId="44" applyNumberFormat="1" applyFont="1" applyFill="1" applyAlignment="1" quotePrefix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21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8REC_C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35</xdr:row>
      <xdr:rowOff>0</xdr:rowOff>
    </xdr:from>
    <xdr:to>
      <xdr:col>11</xdr:col>
      <xdr:colOff>9525</xdr:colOff>
      <xdr:row>35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172-01\Share\District\Accounting\WUTC%20Files\RSA\2015-2017%20Plan%20Year\2014-2015%20Additional%20passback%20to%20customer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-2015"/>
      <sheetName val="2013-2014"/>
      <sheetName val="Sheet3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showGridLines="0" tabSelected="1" zoomScalePageLayoutView="0" workbookViewId="0" topLeftCell="A25">
      <selection activeCell="R74" sqref="R74"/>
    </sheetView>
  </sheetViews>
  <sheetFormatPr defaultColWidth="9.140625" defaultRowHeight="12.75"/>
  <cols>
    <col min="1" max="1" width="24.28125" style="5" customWidth="1"/>
    <col min="2" max="2" width="10.57421875" style="5" customWidth="1"/>
    <col min="3" max="3" width="4.421875" style="5" customWidth="1"/>
    <col min="4" max="4" width="11.28125" style="5" customWidth="1"/>
    <col min="5" max="5" width="5.8515625" style="5" customWidth="1"/>
    <col min="6" max="6" width="11.28125" style="5" customWidth="1"/>
    <col min="7" max="7" width="8.7109375" style="5" customWidth="1"/>
    <col min="8" max="8" width="4.421875" style="5" customWidth="1"/>
    <col min="9" max="9" width="8.7109375" style="5" bestFit="1" customWidth="1"/>
    <col min="10" max="10" width="10.8515625" style="5" customWidth="1"/>
    <col min="11" max="11" width="7.140625" style="5" customWidth="1"/>
    <col min="12" max="12" width="9.57421875" style="5" customWidth="1"/>
    <col min="13" max="14" width="9.57421875" style="5" hidden="1" customWidth="1"/>
    <col min="15" max="15" width="15.28125" style="5" hidden="1" customWidth="1"/>
    <col min="16" max="16" width="36.7109375" style="5" hidden="1" customWidth="1"/>
    <col min="17" max="22" width="9.57421875" style="5" customWidth="1"/>
    <col min="23" max="24" width="10.421875" style="5" customWidth="1"/>
    <col min="25" max="25" width="9.8515625" style="5" customWidth="1"/>
    <col min="26" max="26" width="9.140625" style="5" customWidth="1"/>
    <col min="27" max="27" width="10.421875" style="5" customWidth="1"/>
    <col min="28" max="16384" width="9.140625" style="5" customWidth="1"/>
  </cols>
  <sheetData>
    <row r="1" spans="1:27" ht="12.75">
      <c r="A1" s="1" t="s">
        <v>65</v>
      </c>
      <c r="B1" s="2"/>
      <c r="C1" s="2"/>
      <c r="D1" s="2"/>
      <c r="E1" s="2"/>
      <c r="F1" s="2"/>
      <c r="G1" s="3"/>
      <c r="H1" s="2"/>
      <c r="I1" s="2"/>
      <c r="J1" s="1" t="s">
        <v>72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</row>
    <row r="2" spans="1:27" ht="12.75">
      <c r="A2" s="6" t="s">
        <v>0</v>
      </c>
      <c r="B2" s="2"/>
      <c r="C2" s="2"/>
      <c r="D2" s="2"/>
      <c r="E2" s="2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"/>
      <c r="X2" s="7"/>
      <c r="Y2" s="7"/>
      <c r="Z2" s="7"/>
      <c r="AA2" s="7"/>
    </row>
    <row r="3" spans="1:27" ht="12.75">
      <c r="A3" s="6" t="str">
        <f>"For the Year Ended April "&amp;YEAR(A22)</f>
        <v>For the Year Ended April 2019</v>
      </c>
      <c r="B3" s="2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</row>
    <row r="4" spans="1:22" ht="12.75">
      <c r="A4" s="6" t="s">
        <v>58</v>
      </c>
      <c r="B4" s="8"/>
      <c r="C4" s="8"/>
      <c r="D4" s="8"/>
      <c r="E4" s="8"/>
      <c r="F4" s="8"/>
      <c r="G4" s="2"/>
      <c r="H4" s="8"/>
      <c r="I4" s="2"/>
      <c r="J4" s="2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7" ht="12.75">
      <c r="A5" s="9"/>
      <c r="B5" s="10"/>
      <c r="C5" s="11"/>
      <c r="D5" s="11"/>
      <c r="E5" s="11"/>
      <c r="F5" s="12" t="s">
        <v>1</v>
      </c>
      <c r="G5" s="11"/>
      <c r="H5" s="11"/>
      <c r="I5" s="11"/>
      <c r="J5" s="11"/>
      <c r="K5" s="11"/>
      <c r="L5" s="2"/>
      <c r="M5" s="2"/>
      <c r="N5" s="2"/>
      <c r="O5" s="129" t="str">
        <f>"Total "&amp;F5</f>
        <v>Total Commodity</v>
      </c>
      <c r="P5" s="130"/>
      <c r="Q5" s="2"/>
      <c r="R5" s="2"/>
      <c r="S5" s="2"/>
      <c r="T5" s="2"/>
      <c r="U5" s="2"/>
      <c r="V5" s="13"/>
      <c r="W5" s="14"/>
      <c r="X5" s="14"/>
      <c r="Y5" s="14"/>
      <c r="AA5" s="14"/>
    </row>
    <row r="6" spans="1:16" s="16" customFormat="1" ht="11.25">
      <c r="A6" s="15"/>
      <c r="B6" s="12"/>
      <c r="C6" s="12"/>
      <c r="D6" s="12" t="s">
        <v>1</v>
      </c>
      <c r="E6" s="12"/>
      <c r="F6" s="12" t="s">
        <v>2</v>
      </c>
      <c r="G6" s="12"/>
      <c r="H6" s="12"/>
      <c r="I6" s="12"/>
      <c r="J6" s="12"/>
      <c r="K6" s="12"/>
      <c r="O6" s="131" t="str">
        <f>+F6</f>
        <v>Revenue</v>
      </c>
      <c r="P6" s="90"/>
    </row>
    <row r="7" spans="1:16" s="16" customFormat="1" ht="11.25">
      <c r="A7" s="15" t="s">
        <v>3</v>
      </c>
      <c r="B7" s="12" t="s">
        <v>59</v>
      </c>
      <c r="C7" s="12"/>
      <c r="D7" s="12" t="s">
        <v>2</v>
      </c>
      <c r="E7" s="12"/>
      <c r="F7" s="12" t="s">
        <v>60</v>
      </c>
      <c r="G7" s="12"/>
      <c r="H7" s="12"/>
      <c r="I7" s="12"/>
      <c r="J7" s="12" t="s">
        <v>61</v>
      </c>
      <c r="K7" s="12"/>
      <c r="O7" s="131" t="str">
        <f>+F7</f>
        <v>per Yard</v>
      </c>
      <c r="P7" s="90"/>
    </row>
    <row r="8" spans="1:16" s="16" customFormat="1" ht="11.25">
      <c r="A8" s="116">
        <f>Multi_Family!$C$6</f>
        <v>43221</v>
      </c>
      <c r="B8" s="159">
        <v>7731.570000000001</v>
      </c>
      <c r="C8" s="12"/>
      <c r="D8" s="139">
        <f>Value!O6</f>
        <v>73.97678874999923</v>
      </c>
      <c r="E8" s="12"/>
      <c r="F8" s="16">
        <f>ROUND(D8/B11,2)</f>
        <v>0.01</v>
      </c>
      <c r="G8" s="12"/>
      <c r="H8" s="12"/>
      <c r="I8" s="12"/>
      <c r="J8" s="14">
        <f>+B8</f>
        <v>7731.570000000001</v>
      </c>
      <c r="K8" s="13">
        <f>YEAR(A8)</f>
        <v>2018</v>
      </c>
      <c r="O8" s="132">
        <f>VLOOKUP(A8,Value!$A$6:$O$17,13,FALSE)</f>
        <v>147.95357749999846</v>
      </c>
      <c r="P8" s="90"/>
    </row>
    <row r="9" spans="1:16" s="16" customFormat="1" ht="11.25">
      <c r="A9" s="17">
        <f>EOMONTH(A8,1)</f>
        <v>43281</v>
      </c>
      <c r="B9" s="159">
        <v>7766.6</v>
      </c>
      <c r="C9" s="18"/>
      <c r="D9" s="139">
        <f>Value!O7</f>
        <v>468.1284854999994</v>
      </c>
      <c r="E9" s="14"/>
      <c r="F9" s="16">
        <f>ROUND(D9/B9,2)</f>
        <v>0.06</v>
      </c>
      <c r="G9" s="14"/>
      <c r="H9" s="14"/>
      <c r="I9" s="14"/>
      <c r="J9" s="14">
        <f>+B9</f>
        <v>7766.6</v>
      </c>
      <c r="K9" s="13">
        <f>YEAR(A9)</f>
        <v>2018</v>
      </c>
      <c r="O9" s="132">
        <f>VLOOKUP(A9,Value!$A$6:$O$17,13,FALSE)</f>
        <v>936.2569709999988</v>
      </c>
      <c r="P9" s="90"/>
    </row>
    <row r="10" spans="1:16" s="16" customFormat="1" ht="11.25">
      <c r="A10" s="17">
        <f>EOMONTH(A9,1)</f>
        <v>43312</v>
      </c>
      <c r="B10" s="159">
        <v>7749.28</v>
      </c>
      <c r="C10" s="14"/>
      <c r="D10" s="139">
        <f>Value!O8</f>
        <v>822.9664998749992</v>
      </c>
      <c r="E10" s="14"/>
      <c r="F10" s="16">
        <f>ROUND(D10/B10,2)</f>
        <v>0.11</v>
      </c>
      <c r="G10" s="14"/>
      <c r="H10" s="14"/>
      <c r="I10" s="14"/>
      <c r="J10" s="14">
        <f>+B10</f>
        <v>7749.28</v>
      </c>
      <c r="K10" s="13">
        <f>YEAR(A10)</f>
        <v>2018</v>
      </c>
      <c r="O10" s="132">
        <f>VLOOKUP(A10,Value!$A$6:$O$17,13,FALSE)</f>
        <v>1645.9329997499983</v>
      </c>
      <c r="P10" s="90"/>
    </row>
    <row r="11" spans="1:16" s="16" customFormat="1" ht="11.25">
      <c r="A11" s="17">
        <f>EOMONTH(A10,1)</f>
        <v>43343</v>
      </c>
      <c r="B11" s="160">
        <v>7716.59</v>
      </c>
      <c r="C11" s="14"/>
      <c r="D11" s="89">
        <f>Value!O9</f>
        <v>958.3765938699992</v>
      </c>
      <c r="E11" s="14"/>
      <c r="F11" s="16">
        <f>ROUND(D11/B11,2)</f>
        <v>0.12</v>
      </c>
      <c r="G11" s="21"/>
      <c r="H11" s="14"/>
      <c r="I11" s="14"/>
      <c r="J11" s="14">
        <f aca="true" t="shared" si="0" ref="J11:J22">+B11</f>
        <v>7716.59</v>
      </c>
      <c r="K11" s="13">
        <f aca="true" t="shared" si="1" ref="K11:K22">YEAR(A11)</f>
        <v>2018</v>
      </c>
      <c r="O11" s="132">
        <f>VLOOKUP(A11,Value!$A$6:$O$17,13,FALSE)</f>
        <v>1916.7531877399983</v>
      </c>
      <c r="P11" s="90"/>
    </row>
    <row r="12" spans="1:16" s="16" customFormat="1" ht="11.25">
      <c r="A12" s="17">
        <f aca="true" t="shared" si="2" ref="A12:A22">EOMONTH(A11,1)</f>
        <v>43373</v>
      </c>
      <c r="B12" s="159">
        <v>7725.25</v>
      </c>
      <c r="C12" s="14"/>
      <c r="D12" s="89">
        <f>Value!O10</f>
        <v>1055.9617428149995</v>
      </c>
      <c r="E12" s="14"/>
      <c r="F12" s="16">
        <f>ROUND(D12/B12,2)</f>
        <v>0.14</v>
      </c>
      <c r="G12" s="21"/>
      <c r="H12" s="14"/>
      <c r="I12" s="14"/>
      <c r="J12" s="14">
        <f t="shared" si="0"/>
        <v>7725.25</v>
      </c>
      <c r="K12" s="13">
        <f t="shared" si="1"/>
        <v>2018</v>
      </c>
      <c r="O12" s="132">
        <f>VLOOKUP(A12,Value!$A$6:$O$17,13,FALSE)</f>
        <v>2111.923485629999</v>
      </c>
      <c r="P12" s="90"/>
    </row>
    <row r="13" spans="1:16" s="16" customFormat="1" ht="11.25">
      <c r="A13" s="17">
        <f t="shared" si="2"/>
        <v>43404</v>
      </c>
      <c r="B13" s="159">
        <v>7759.89</v>
      </c>
      <c r="C13" s="14"/>
      <c r="D13" s="89">
        <f>Value!O11</f>
        <v>1797.3695052599987</v>
      </c>
      <c r="E13" s="14"/>
      <c r="F13" s="16">
        <f>ROUND(D13/B13,2)</f>
        <v>0.23</v>
      </c>
      <c r="G13" s="21"/>
      <c r="H13" s="14"/>
      <c r="I13" s="14"/>
      <c r="J13" s="14">
        <f t="shared" si="0"/>
        <v>7759.89</v>
      </c>
      <c r="K13" s="13">
        <f t="shared" si="1"/>
        <v>2018</v>
      </c>
      <c r="O13" s="132">
        <f>VLOOKUP(A13,Value!$A$6:$O$17,13,FALSE)</f>
        <v>3594.7390105199975</v>
      </c>
      <c r="P13" s="90"/>
    </row>
    <row r="14" spans="1:16" s="16" customFormat="1" ht="11.25">
      <c r="A14" s="17"/>
      <c r="C14" s="14"/>
      <c r="D14" s="89"/>
      <c r="E14" s="14"/>
      <c r="G14" s="21"/>
      <c r="H14" s="14"/>
      <c r="I14" s="14"/>
      <c r="J14" s="14"/>
      <c r="K14" s="13"/>
      <c r="O14" s="132"/>
      <c r="P14" s="90"/>
    </row>
    <row r="15" spans="1:16" s="16" customFormat="1" ht="11.25">
      <c r="A15" s="17" t="s">
        <v>92</v>
      </c>
      <c r="B15" s="14">
        <f>SUM(B8:B13)</f>
        <v>46449.18</v>
      </c>
      <c r="C15" s="14"/>
      <c r="D15" s="14">
        <f>SUM(D8:D13)</f>
        <v>5176.779616069995</v>
      </c>
      <c r="E15" s="14"/>
      <c r="G15" s="21"/>
      <c r="H15" s="14"/>
      <c r="I15" s="14"/>
      <c r="J15" s="14"/>
      <c r="K15" s="13"/>
      <c r="O15" s="132"/>
      <c r="P15" s="90"/>
    </row>
    <row r="16" spans="1:16" s="16" customFormat="1" ht="11.25">
      <c r="A16" s="17"/>
      <c r="C16" s="14"/>
      <c r="D16" s="89"/>
      <c r="E16" s="14"/>
      <c r="G16" s="21"/>
      <c r="H16" s="14"/>
      <c r="I16" s="14"/>
      <c r="J16" s="14"/>
      <c r="K16" s="13"/>
      <c r="O16" s="132"/>
      <c r="P16" s="90"/>
    </row>
    <row r="17" spans="1:16" s="16" customFormat="1" ht="11.25">
      <c r="A17" s="17">
        <f>EOMONTH(A13,1)</f>
        <v>43434</v>
      </c>
      <c r="B17" s="159">
        <v>7808</v>
      </c>
      <c r="C17" s="14"/>
      <c r="D17" s="89">
        <f>Value!O12</f>
        <v>1270.715878899999</v>
      </c>
      <c r="E17" s="14"/>
      <c r="G17" s="21"/>
      <c r="H17" s="14"/>
      <c r="I17" s="14"/>
      <c r="J17" s="14">
        <f t="shared" si="0"/>
        <v>7808</v>
      </c>
      <c r="K17" s="13">
        <f t="shared" si="1"/>
        <v>2018</v>
      </c>
      <c r="O17" s="132">
        <f>VLOOKUP(A17,Value!$A$6:$O$17,13,FALSE)</f>
        <v>2541.431757799998</v>
      </c>
      <c r="P17" s="90"/>
    </row>
    <row r="18" spans="1:25" s="16" customFormat="1" ht="11.25">
      <c r="A18" s="17">
        <f t="shared" si="2"/>
        <v>43465</v>
      </c>
      <c r="B18" s="159">
        <v>7808</v>
      </c>
      <c r="C18" s="14"/>
      <c r="D18" s="89">
        <f>Value!O13</f>
        <v>1310.132408669999</v>
      </c>
      <c r="E18" s="14"/>
      <c r="G18" s="21"/>
      <c r="H18" s="14"/>
      <c r="I18" s="14"/>
      <c r="J18" s="14">
        <f t="shared" si="0"/>
        <v>7808</v>
      </c>
      <c r="K18" s="13">
        <f t="shared" si="1"/>
        <v>2018</v>
      </c>
      <c r="O18" s="132">
        <f>VLOOKUP(A18,Value!$A$6:$O$17,13,FALSE)</f>
        <v>2620.264817339998</v>
      </c>
      <c r="P18" s="90"/>
      <c r="X18" s="14"/>
      <c r="Y18" s="14"/>
    </row>
    <row r="19" spans="1:27" s="16" customFormat="1" ht="11.25">
      <c r="A19" s="17">
        <f t="shared" si="2"/>
        <v>43496</v>
      </c>
      <c r="B19" s="159">
        <v>7800</v>
      </c>
      <c r="C19" s="14"/>
      <c r="D19" s="89">
        <f>Value!O14</f>
        <v>1490.4825460302472</v>
      </c>
      <c r="E19" s="14"/>
      <c r="G19" s="21"/>
      <c r="H19" s="14"/>
      <c r="I19" s="14"/>
      <c r="J19" s="14">
        <f t="shared" si="0"/>
        <v>7800</v>
      </c>
      <c r="K19" s="13">
        <f t="shared" si="1"/>
        <v>2019</v>
      </c>
      <c r="L19" s="14"/>
      <c r="M19" s="14"/>
      <c r="N19" s="14"/>
      <c r="O19" s="132">
        <f>VLOOKUP(A19,Value!$A$6:$O$17,13,FALSE)</f>
        <v>2980.9650920604945</v>
      </c>
      <c r="P19" s="90"/>
      <c r="Q19" s="14"/>
      <c r="R19" s="14"/>
      <c r="S19" s="14"/>
      <c r="T19" s="14"/>
      <c r="U19" s="14"/>
      <c r="V19" s="14"/>
      <c r="W19" s="14"/>
      <c r="Y19" s="14"/>
      <c r="AA19" s="14"/>
    </row>
    <row r="20" spans="1:16" s="16" customFormat="1" ht="11.25">
      <c r="A20" s="17">
        <f t="shared" si="2"/>
        <v>43524</v>
      </c>
      <c r="B20" s="159">
        <v>7824</v>
      </c>
      <c r="C20" s="14"/>
      <c r="D20" s="89">
        <f>Value!O15</f>
        <v>1170.2637395397198</v>
      </c>
      <c r="E20" s="14"/>
      <c r="G20" s="21"/>
      <c r="H20" s="14"/>
      <c r="I20" s="14"/>
      <c r="J20" s="14">
        <f t="shared" si="0"/>
        <v>7824</v>
      </c>
      <c r="K20" s="13">
        <f t="shared" si="1"/>
        <v>2019</v>
      </c>
      <c r="O20" s="132">
        <f>VLOOKUP(A20,Value!$A$6:$O$17,13,FALSE)</f>
        <v>2340.5274790794397</v>
      </c>
      <c r="P20" s="30"/>
    </row>
    <row r="21" spans="1:16" s="16" customFormat="1" ht="11.25">
      <c r="A21" s="17">
        <f t="shared" si="2"/>
        <v>43555</v>
      </c>
      <c r="B21" s="159">
        <v>7828</v>
      </c>
      <c r="C21" s="14"/>
      <c r="D21" s="89">
        <f>Value!O16</f>
        <v>960.5113141037039</v>
      </c>
      <c r="E21" s="14"/>
      <c r="G21" s="21"/>
      <c r="H21" s="18"/>
      <c r="I21" s="14"/>
      <c r="J21" s="14">
        <f>+B21</f>
        <v>7828</v>
      </c>
      <c r="K21" s="13">
        <f t="shared" si="1"/>
        <v>2019</v>
      </c>
      <c r="O21" s="132">
        <f>VLOOKUP(A21,Value!$A$6:$O$17,13,FALSE)</f>
        <v>1921.0226282074077</v>
      </c>
      <c r="P21" s="90"/>
    </row>
    <row r="22" spans="1:16" s="16" customFormat="1" ht="11.25">
      <c r="A22" s="17">
        <f t="shared" si="2"/>
        <v>43585</v>
      </c>
      <c r="B22" s="159">
        <v>7827</v>
      </c>
      <c r="C22" s="14"/>
      <c r="D22" s="89">
        <f>Value!O17</f>
        <v>548.4652662536841</v>
      </c>
      <c r="E22" s="14"/>
      <c r="G22" s="21"/>
      <c r="H22" s="18"/>
      <c r="I22" s="14"/>
      <c r="J22" s="14">
        <f t="shared" si="0"/>
        <v>7827</v>
      </c>
      <c r="K22" s="13">
        <f t="shared" si="1"/>
        <v>2019</v>
      </c>
      <c r="O22" s="132">
        <f>VLOOKUP(A22,Value!$A$6:$O$17,13,FALSE)</f>
        <v>1096.9305325073683</v>
      </c>
      <c r="P22" s="90"/>
    </row>
    <row r="23" spans="1:15" s="16" customFormat="1" ht="11.25">
      <c r="A23" s="17"/>
      <c r="B23" s="14"/>
      <c r="C23" s="14"/>
      <c r="E23" s="14"/>
      <c r="G23" s="14"/>
      <c r="H23" s="14"/>
      <c r="I23" s="14"/>
      <c r="J23" s="14"/>
      <c r="K23" s="13"/>
      <c r="O23" s="133"/>
    </row>
    <row r="24" spans="1:16" s="16" customFormat="1" ht="11.25">
      <c r="A24" s="17" t="s">
        <v>93</v>
      </c>
      <c r="B24" s="19">
        <f>SUM(B17:B22)</f>
        <v>46895</v>
      </c>
      <c r="C24" s="18" t="s">
        <v>5</v>
      </c>
      <c r="D24" s="20">
        <f>SUM(D17:D22)</f>
        <v>6750.5711534973525</v>
      </c>
      <c r="E24" s="14"/>
      <c r="G24" s="14"/>
      <c r="H24" s="14"/>
      <c r="I24" s="14"/>
      <c r="J24" s="14"/>
      <c r="K24" s="13"/>
      <c r="O24" s="133"/>
      <c r="P24" s="95" t="s">
        <v>73</v>
      </c>
    </row>
    <row r="25" spans="1:16" s="16" customFormat="1" ht="12.75">
      <c r="A25" s="5"/>
      <c r="B25" s="5"/>
      <c r="C25" s="5"/>
      <c r="D25" s="22"/>
      <c r="E25" s="5"/>
      <c r="F25" s="5"/>
      <c r="G25" s="5"/>
      <c r="H25" s="5"/>
      <c r="I25" s="5"/>
      <c r="J25" s="5"/>
      <c r="K25" s="5"/>
      <c r="O25" s="133">
        <f>SUM(O8:O24)</f>
        <v>23854.701539134698</v>
      </c>
      <c r="P25" s="102"/>
    </row>
    <row r="26" spans="1:16" s="16" customFormat="1" ht="12" thickBot="1">
      <c r="A26" s="17" t="s">
        <v>94</v>
      </c>
      <c r="B26" s="23">
        <f>B15+B24</f>
        <v>93344.18</v>
      </c>
      <c r="C26" s="18"/>
      <c r="D26" s="24">
        <f>D15+D24</f>
        <v>11927.350769567347</v>
      </c>
      <c r="E26" s="18" t="s">
        <v>6</v>
      </c>
      <c r="F26" s="21">
        <f>ROUND(D26/B26,3)</f>
        <v>0.128</v>
      </c>
      <c r="H26" s="14"/>
      <c r="I26" s="14"/>
      <c r="J26" s="23">
        <f>SUM(J8:J25)</f>
        <v>93344.18</v>
      </c>
      <c r="K26" s="18" t="s">
        <v>8</v>
      </c>
      <c r="O26" s="134">
        <f>ROUND(O25/J26,3)</f>
        <v>0.256</v>
      </c>
      <c r="P26" s="90" t="s">
        <v>74</v>
      </c>
    </row>
    <row r="27" spans="2:16" s="16" customFormat="1" ht="12" thickTop="1">
      <c r="B27" s="14"/>
      <c r="C27" s="18"/>
      <c r="D27" s="14"/>
      <c r="E27" s="14"/>
      <c r="F27" s="14"/>
      <c r="G27" s="14"/>
      <c r="H27" s="14"/>
      <c r="I27" s="14"/>
      <c r="J27" s="14"/>
      <c r="K27" s="14"/>
      <c r="O27" s="138">
        <f>J22</f>
        <v>7827</v>
      </c>
      <c r="P27" s="90" t="s">
        <v>75</v>
      </c>
    </row>
    <row r="28" spans="2:16" s="16" customFormat="1" ht="11.25">
      <c r="B28" s="14"/>
      <c r="C28" s="18"/>
      <c r="D28" s="14"/>
      <c r="E28" s="14"/>
      <c r="F28" s="14"/>
      <c r="G28" s="14"/>
      <c r="H28" s="14"/>
      <c r="I28" s="14"/>
      <c r="J28" s="14"/>
      <c r="K28" s="14"/>
      <c r="O28" s="161"/>
      <c r="P28" s="90"/>
    </row>
    <row r="29" spans="1:16" s="16" customFormat="1" ht="11.25">
      <c r="A29" s="16" t="s">
        <v>81</v>
      </c>
      <c r="B29" s="14">
        <f>B26</f>
        <v>93344.18</v>
      </c>
      <c r="C29" s="18"/>
      <c r="D29" s="14">
        <f>D26</f>
        <v>11927.350769567347</v>
      </c>
      <c r="E29" s="14"/>
      <c r="F29" s="21">
        <f>D29/B29</f>
        <v>0.12777819430806878</v>
      </c>
      <c r="G29" s="18" t="s">
        <v>7</v>
      </c>
      <c r="H29" s="14"/>
      <c r="I29" s="14"/>
      <c r="J29" s="14"/>
      <c r="K29" s="14"/>
      <c r="O29" s="161"/>
      <c r="P29" s="90"/>
    </row>
    <row r="30" spans="1:16" s="16" customFormat="1" ht="11.25">
      <c r="A30" s="16" t="s">
        <v>84</v>
      </c>
      <c r="B30" s="14"/>
      <c r="C30" s="18"/>
      <c r="D30" s="14"/>
      <c r="E30" s="14"/>
      <c r="F30" s="14"/>
      <c r="G30" s="14"/>
      <c r="H30" s="14"/>
      <c r="I30" s="14"/>
      <c r="J30" s="14"/>
      <c r="K30" s="14"/>
      <c r="O30" s="161"/>
      <c r="P30" s="90"/>
    </row>
    <row r="31" spans="2:16" s="16" customFormat="1" ht="11.25">
      <c r="B31" s="14"/>
      <c r="C31" s="18"/>
      <c r="D31" s="14"/>
      <c r="E31" s="14"/>
      <c r="F31" s="14"/>
      <c r="G31" s="14"/>
      <c r="H31" s="14"/>
      <c r="I31" s="14"/>
      <c r="J31" s="14"/>
      <c r="K31" s="14"/>
      <c r="O31" s="161"/>
      <c r="P31" s="90"/>
    </row>
    <row r="32" spans="2:16" s="16" customFormat="1" ht="11.25">
      <c r="B32" s="14"/>
      <c r="C32" s="18"/>
      <c r="D32" s="14"/>
      <c r="E32" s="14"/>
      <c r="F32" s="14"/>
      <c r="G32" s="14"/>
      <c r="H32" s="14"/>
      <c r="I32" s="14"/>
      <c r="J32" s="14"/>
      <c r="K32" s="14"/>
      <c r="O32" s="161"/>
      <c r="P32" s="90"/>
    </row>
    <row r="33" spans="2:16" s="16" customFormat="1" ht="11.25">
      <c r="B33" s="14"/>
      <c r="C33" s="18"/>
      <c r="D33" s="14"/>
      <c r="E33" s="14"/>
      <c r="F33" s="14"/>
      <c r="G33" s="14"/>
      <c r="H33" s="14"/>
      <c r="I33" s="14"/>
      <c r="J33" s="14"/>
      <c r="K33" s="14"/>
      <c r="O33" s="161"/>
      <c r="P33" s="90"/>
    </row>
    <row r="34" spans="2:16" s="16" customFormat="1" ht="11.25">
      <c r="B34" s="14"/>
      <c r="C34" s="14"/>
      <c r="D34" s="14"/>
      <c r="E34" s="14"/>
      <c r="F34" s="14"/>
      <c r="G34" s="14"/>
      <c r="H34" s="14"/>
      <c r="I34" s="14"/>
      <c r="J34" s="14"/>
      <c r="K34" s="14"/>
      <c r="O34" s="90"/>
      <c r="P34" s="90" t="s">
        <v>76</v>
      </c>
    </row>
    <row r="35" spans="2:11" s="16" customFormat="1" ht="12" thickBot="1">
      <c r="B35" s="25" t="s">
        <v>9</v>
      </c>
      <c r="C35" s="26"/>
      <c r="D35" s="26"/>
      <c r="E35" s="26"/>
      <c r="F35" s="14"/>
      <c r="G35" s="14"/>
      <c r="H35" s="14"/>
      <c r="I35" s="14"/>
      <c r="J35" s="14"/>
      <c r="K35" s="14"/>
    </row>
    <row r="36" spans="1:25" s="16" customFormat="1" ht="12" thickTop="1">
      <c r="A36" s="6"/>
      <c r="B36" s="27"/>
      <c r="C36" s="14"/>
      <c r="D36" s="14"/>
      <c r="E36" s="14"/>
      <c r="F36" s="14"/>
      <c r="G36" s="14"/>
      <c r="H36" s="14"/>
      <c r="I36" s="14"/>
      <c r="J36" s="14"/>
      <c r="K36" s="14"/>
      <c r="X36" s="14"/>
      <c r="Y36" s="14"/>
    </row>
    <row r="37" spans="1:11" s="16" customFormat="1" ht="11.25">
      <c r="A37" s="8"/>
      <c r="B37" s="27"/>
      <c r="C37" s="14"/>
      <c r="D37" s="14"/>
      <c r="E37" s="14"/>
      <c r="F37" s="28" t="s">
        <v>10</v>
      </c>
      <c r="G37" s="14">
        <f>D24</f>
        <v>6750.5711534973525</v>
      </c>
      <c r="H37" s="18" t="s">
        <v>6</v>
      </c>
      <c r="I37" s="14"/>
      <c r="J37" s="14"/>
      <c r="K37" s="14"/>
    </row>
    <row r="38" spans="1:27" s="13" customFormat="1" ht="11.25">
      <c r="A38" s="29"/>
      <c r="B38" s="27"/>
      <c r="C38" s="14"/>
      <c r="D38" s="14"/>
      <c r="E38" s="14"/>
      <c r="F38" s="14"/>
      <c r="G38" s="14"/>
      <c r="H38" s="18"/>
      <c r="I38" s="14"/>
      <c r="J38" s="14"/>
      <c r="K38" s="14"/>
      <c r="O38" s="16">
        <f>12*O27*O26</f>
        <v>24044.544</v>
      </c>
      <c r="P38" s="13" t="s">
        <v>78</v>
      </c>
      <c r="W38" s="14"/>
      <c r="X38" s="16"/>
      <c r="Y38" s="16"/>
      <c r="AA38" s="14"/>
    </row>
    <row r="39" spans="2:16" s="16" customFormat="1" ht="11.25">
      <c r="B39" s="14" t="s">
        <v>62</v>
      </c>
      <c r="C39" s="14"/>
      <c r="D39" s="14"/>
      <c r="E39" s="14"/>
      <c r="F39" s="163">
        <v>0.161</v>
      </c>
      <c r="G39" s="14"/>
      <c r="H39" s="14"/>
      <c r="I39" s="14"/>
      <c r="J39" s="14"/>
      <c r="K39" s="14"/>
      <c r="O39" s="16">
        <f>12*O27*G62</f>
        <v>12001.439122191054</v>
      </c>
      <c r="P39" s="16" t="s">
        <v>79</v>
      </c>
    </row>
    <row r="40" spans="2:15" s="16" customFormat="1" ht="11.25">
      <c r="B40" s="14"/>
      <c r="C40" s="14" t="str">
        <f>"Yards from "&amp;TEXT($A$17,"mm/yy")&amp;" - "&amp;TEXT($A$19,"mm/yy")</f>
        <v>Yards from 11/18 - 01/19</v>
      </c>
      <c r="D40" s="14"/>
      <c r="E40" s="14"/>
      <c r="F40" s="14">
        <f>B17+B18+B19</f>
        <v>23416</v>
      </c>
      <c r="G40" s="18" t="s">
        <v>4</v>
      </c>
      <c r="H40" s="14"/>
      <c r="I40" s="14"/>
      <c r="J40" s="14"/>
      <c r="K40" s="14"/>
      <c r="O40" s="135">
        <f>+O39/O38</f>
        <v>0.4991335715158937</v>
      </c>
    </row>
    <row r="41" spans="2:11" s="16" customFormat="1" ht="11.25">
      <c r="B41" s="14"/>
      <c r="C41" s="14" t="s">
        <v>11</v>
      </c>
      <c r="D41" s="14"/>
      <c r="E41" s="14"/>
      <c r="F41" s="19">
        <f>ROUND(F39*F40,0)</f>
        <v>3770</v>
      </c>
      <c r="G41" s="18"/>
      <c r="H41" s="14"/>
      <c r="I41" s="14"/>
      <c r="J41" s="14"/>
      <c r="K41" s="14"/>
    </row>
    <row r="42" spans="2:11" s="16" customFormat="1" ht="11.25">
      <c r="B42" s="14"/>
      <c r="C42" s="14"/>
      <c r="D42" s="14"/>
      <c r="E42" s="14"/>
      <c r="F42" s="30"/>
      <c r="G42" s="18"/>
      <c r="H42" s="14"/>
      <c r="I42" s="14"/>
      <c r="J42" s="14"/>
      <c r="K42" s="14"/>
    </row>
    <row r="43" spans="2:11" s="16" customFormat="1" ht="11.25">
      <c r="B43" s="14" t="s">
        <v>62</v>
      </c>
      <c r="C43" s="14"/>
      <c r="D43" s="14"/>
      <c r="E43" s="14"/>
      <c r="F43" s="163">
        <v>0.11</v>
      </c>
      <c r="G43" s="14"/>
      <c r="H43" s="14"/>
      <c r="I43" s="14"/>
      <c r="J43" s="14"/>
      <c r="K43" s="14"/>
    </row>
    <row r="44" spans="2:11" s="16" customFormat="1" ht="11.25">
      <c r="B44" s="14"/>
      <c r="C44" s="14" t="str">
        <f>"Yards from "&amp;TEXT($A$21,"mm/yy")&amp;" - "&amp;TEXT($A$22,"mm/yy")</f>
        <v>Yards from 03/19 - 04/19</v>
      </c>
      <c r="D44" s="14"/>
      <c r="E44" s="14"/>
      <c r="F44" s="14">
        <f>B21+B22</f>
        <v>15655</v>
      </c>
      <c r="G44" s="18" t="s">
        <v>5</v>
      </c>
      <c r="H44" s="14"/>
      <c r="I44" s="14"/>
      <c r="J44" s="14"/>
      <c r="K44" s="14"/>
    </row>
    <row r="45" spans="2:11" s="16" customFormat="1" ht="11.25">
      <c r="B45" s="14"/>
      <c r="C45" s="14" t="s">
        <v>11</v>
      </c>
      <c r="D45" s="14"/>
      <c r="E45" s="14"/>
      <c r="F45" s="19">
        <f>ROUND(F43*F44,0)</f>
        <v>1722</v>
      </c>
      <c r="G45" s="18"/>
      <c r="H45" s="14"/>
      <c r="I45" s="14"/>
      <c r="J45" s="14"/>
      <c r="K45" s="14"/>
    </row>
    <row r="46" spans="2:11" s="16" customFormat="1" ht="11.25">
      <c r="B46" s="14"/>
      <c r="C46" s="14"/>
      <c r="D46" s="14"/>
      <c r="E46" s="14"/>
      <c r="F46" s="31"/>
      <c r="G46" s="18"/>
      <c r="H46" s="14"/>
      <c r="I46" s="14"/>
      <c r="J46" s="14"/>
      <c r="K46" s="14"/>
    </row>
    <row r="47" spans="2:11" s="16" customFormat="1" ht="12" thickBot="1">
      <c r="B47" s="14"/>
      <c r="C47" s="14" t="s">
        <v>12</v>
      </c>
      <c r="D47" s="14"/>
      <c r="E47" s="14"/>
      <c r="F47" s="23">
        <f>+F41+F45</f>
        <v>5492</v>
      </c>
      <c r="G47" s="32">
        <f>+F47</f>
        <v>5492</v>
      </c>
      <c r="H47" s="14"/>
      <c r="I47" s="14"/>
      <c r="J47" s="14"/>
      <c r="K47" s="14"/>
    </row>
    <row r="48" spans="2:11" s="16" customFormat="1" ht="12" thickTop="1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2:11" s="16" customFormat="1" ht="11.25"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2:11" s="16" customFormat="1" ht="12" thickBot="1">
      <c r="B50" s="14"/>
      <c r="C50" s="14"/>
      <c r="D50" s="14"/>
      <c r="E50" s="14"/>
      <c r="F50" s="28" t="s">
        <v>63</v>
      </c>
      <c r="G50" s="33">
        <f>+G37-G47</f>
        <v>1258.5711534973525</v>
      </c>
      <c r="H50" s="14"/>
      <c r="I50" s="14"/>
      <c r="J50" s="14"/>
      <c r="K50" s="14"/>
    </row>
    <row r="51" spans="2:25" s="16" customFormat="1" ht="12" thickTop="1">
      <c r="B51" s="14"/>
      <c r="C51" s="14"/>
      <c r="D51" s="14"/>
      <c r="E51" s="14"/>
      <c r="F51" s="14"/>
      <c r="G51" s="14"/>
      <c r="H51" s="14"/>
      <c r="I51" s="14"/>
      <c r="J51" s="14"/>
      <c r="K51" s="14"/>
      <c r="Y51" s="14"/>
    </row>
    <row r="52" spans="2:11" s="16" customFormat="1" ht="11.25"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2:11" s="16" customFormat="1" ht="12" thickBot="1">
      <c r="B53" s="25" t="str">
        <f>$K$22+1&amp;" Recycle Adjustment Calculation"</f>
        <v>2020 Recycle Adjustment Calculation</v>
      </c>
      <c r="C53" s="26"/>
      <c r="D53" s="26"/>
      <c r="E53" s="26"/>
      <c r="F53" s="26"/>
      <c r="G53" s="14"/>
      <c r="H53" s="14"/>
      <c r="I53" s="14"/>
      <c r="J53" s="14"/>
      <c r="K53" s="14"/>
    </row>
    <row r="54" spans="2:27" s="16" customFormat="1" ht="12" thickTop="1">
      <c r="B54" s="27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AA54" s="14"/>
    </row>
    <row r="55" spans="2:11" s="16" customFormat="1" ht="11.25">
      <c r="B55" s="14" t="s">
        <v>88</v>
      </c>
      <c r="C55" s="14"/>
      <c r="D55" s="14"/>
      <c r="E55" s="14"/>
      <c r="F55" s="14"/>
      <c r="G55" s="14"/>
      <c r="H55" s="14"/>
      <c r="I55" s="14"/>
      <c r="J55" s="14"/>
      <c r="K55" s="14"/>
    </row>
    <row r="56" spans="2:11" s="16" customFormat="1" ht="11.25">
      <c r="B56" s="14"/>
      <c r="C56" s="14"/>
      <c r="D56" s="14"/>
      <c r="E56" s="14"/>
      <c r="F56" s="28" t="s">
        <v>95</v>
      </c>
      <c r="G56" s="127">
        <f>+J26</f>
        <v>93344.18</v>
      </c>
      <c r="H56" s="18" t="s">
        <v>8</v>
      </c>
      <c r="I56" s="14"/>
      <c r="J56" s="14"/>
      <c r="K56" s="14"/>
    </row>
    <row r="57" spans="2:11" s="16" customFormat="1" ht="11.25">
      <c r="B57" s="14"/>
      <c r="C57" s="14"/>
      <c r="D57" s="14"/>
      <c r="E57" s="14"/>
      <c r="F57" s="28" t="s">
        <v>13</v>
      </c>
      <c r="G57" s="14">
        <f>+G50</f>
        <v>1258.5711534973525</v>
      </c>
      <c r="H57" s="14"/>
      <c r="I57" s="14"/>
      <c r="J57" s="14"/>
      <c r="K57" s="14"/>
    </row>
    <row r="58" spans="2:11" s="16" customFormat="1" ht="11.25">
      <c r="B58" s="14"/>
      <c r="C58" s="14"/>
      <c r="D58" s="14"/>
      <c r="E58" s="14"/>
      <c r="F58" s="28"/>
      <c r="G58" s="14"/>
      <c r="H58" s="14"/>
      <c r="I58" s="14"/>
      <c r="J58" s="14"/>
      <c r="K58" s="14"/>
    </row>
    <row r="59" spans="2:11" s="16" customFormat="1" ht="12" thickBot="1">
      <c r="B59" s="14"/>
      <c r="C59" s="14"/>
      <c r="D59" s="14"/>
      <c r="E59" s="14"/>
      <c r="F59" s="28" t="s">
        <v>96</v>
      </c>
      <c r="G59" s="34">
        <f>ROUND(G57/G56,2)</f>
        <v>0.01</v>
      </c>
      <c r="H59" s="14"/>
      <c r="I59" s="21">
        <f>+G59</f>
        <v>0.01</v>
      </c>
      <c r="J59" s="14"/>
      <c r="K59" s="14"/>
    </row>
    <row r="60" spans="2:25" s="16" customFormat="1" ht="12" thickTop="1">
      <c r="B60" s="14"/>
      <c r="C60" s="14"/>
      <c r="D60" s="14"/>
      <c r="E60" s="14"/>
      <c r="F60" s="28"/>
      <c r="G60" s="14"/>
      <c r="H60" s="14"/>
      <c r="I60" s="21"/>
      <c r="J60" s="14"/>
      <c r="K60" s="14"/>
      <c r="Y60" s="14"/>
    </row>
    <row r="61" spans="2:13" s="16" customFormat="1" ht="11.25">
      <c r="B61" s="14" t="s">
        <v>86</v>
      </c>
      <c r="C61" s="14"/>
      <c r="D61" s="14"/>
      <c r="E61" s="14"/>
      <c r="F61" s="28"/>
      <c r="G61" s="14"/>
      <c r="H61" s="14"/>
      <c r="I61" s="21"/>
      <c r="J61" s="14"/>
      <c r="K61" s="14"/>
      <c r="M61" s="146" t="s">
        <v>77</v>
      </c>
    </row>
    <row r="62" spans="2:13" s="16" customFormat="1" ht="12" thickBot="1">
      <c r="B62" s="27"/>
      <c r="C62" s="14"/>
      <c r="D62" s="14"/>
      <c r="E62" s="14"/>
      <c r="F62" s="28" t="s">
        <v>85</v>
      </c>
      <c r="G62" s="145">
        <f>+F29/Value!P18*M62</f>
        <v>0.1277781943080688</v>
      </c>
      <c r="H62" s="14"/>
      <c r="I62" s="21">
        <f>+G62</f>
        <v>0.1277781943080688</v>
      </c>
      <c r="J62" s="18" t="s">
        <v>7</v>
      </c>
      <c r="K62" s="14"/>
      <c r="M62" s="147">
        <v>0.5</v>
      </c>
    </row>
    <row r="63" spans="2:25" s="14" customFormat="1" ht="12" thickTop="1">
      <c r="B63" s="27"/>
      <c r="I63" s="21"/>
      <c r="X63" s="16"/>
      <c r="Y63" s="16"/>
    </row>
    <row r="64" spans="2:11" s="16" customFormat="1" ht="12" thickBot="1">
      <c r="B64" s="14"/>
      <c r="C64" s="14"/>
      <c r="D64" s="14"/>
      <c r="E64" s="14"/>
      <c r="F64" s="14"/>
      <c r="G64" s="28" t="s">
        <v>87</v>
      </c>
      <c r="H64" s="23"/>
      <c r="I64" s="34">
        <f>+I59+I62</f>
        <v>0.1377781943080688</v>
      </c>
      <c r="J64" s="14"/>
      <c r="K64" s="14"/>
    </row>
    <row r="65" s="16" customFormat="1" ht="12" thickTop="1">
      <c r="I65" s="21"/>
    </row>
    <row r="66" spans="7:9" s="16" customFormat="1" ht="11.25">
      <c r="G66" s="115" t="s">
        <v>66</v>
      </c>
      <c r="I66" s="21">
        <f>+I64*3.5</f>
        <v>0.48222368007824085</v>
      </c>
    </row>
    <row r="67" spans="1:9" s="16" customFormat="1" ht="11.25">
      <c r="A67" s="90"/>
      <c r="B67" s="90"/>
      <c r="C67" s="90"/>
      <c r="D67" s="90"/>
      <c r="E67" s="90"/>
      <c r="F67" s="90"/>
      <c r="G67" s="115" t="s">
        <v>67</v>
      </c>
      <c r="I67" s="21">
        <f>I64*5</f>
        <v>0.6888909715403441</v>
      </c>
    </row>
    <row r="68" spans="1:7" s="16" customFormat="1" ht="11.25">
      <c r="A68" s="91"/>
      <c r="B68" s="92"/>
      <c r="C68" s="93"/>
      <c r="D68" s="93"/>
      <c r="E68" s="93"/>
      <c r="F68" s="94"/>
      <c r="G68" s="115"/>
    </row>
    <row r="69" spans="1:25" s="16" customFormat="1" ht="11.25">
      <c r="A69" s="95"/>
      <c r="B69" s="94"/>
      <c r="C69" s="94"/>
      <c r="D69" s="94"/>
      <c r="E69" s="94"/>
      <c r="F69" s="94"/>
      <c r="G69" s="115" t="s">
        <v>68</v>
      </c>
      <c r="I69" s="136">
        <f>'[1]2014-2015'!$C$14</f>
        <v>0</v>
      </c>
      <c r="J69" s="35"/>
      <c r="K69" s="35"/>
      <c r="Y69" s="14"/>
    </row>
    <row r="70" spans="1:6" s="16" customFormat="1" ht="11.25">
      <c r="A70" s="95"/>
      <c r="B70" s="94"/>
      <c r="C70" s="94"/>
      <c r="D70" s="94"/>
      <c r="E70" s="94"/>
      <c r="F70" s="94"/>
    </row>
    <row r="71" spans="1:9" s="16" customFormat="1" ht="11.25" hidden="1">
      <c r="A71" s="96"/>
      <c r="B71" s="97"/>
      <c r="C71" s="94"/>
      <c r="D71" s="98"/>
      <c r="E71" s="94"/>
      <c r="F71" s="90"/>
      <c r="G71" s="115" t="s">
        <v>69</v>
      </c>
      <c r="I71" s="136">
        <v>292961.99994565477</v>
      </c>
    </row>
    <row r="72" spans="1:9" s="16" customFormat="1" ht="11.25" hidden="1">
      <c r="A72" s="99"/>
      <c r="B72" s="100"/>
      <c r="C72" s="101"/>
      <c r="D72" s="90"/>
      <c r="E72" s="30"/>
      <c r="F72" s="90"/>
      <c r="G72" s="115" t="s">
        <v>70</v>
      </c>
      <c r="I72" s="136">
        <v>56929</v>
      </c>
    </row>
    <row r="73" spans="1:25" s="14" customFormat="1" ht="11.25">
      <c r="A73" s="99"/>
      <c r="B73" s="100"/>
      <c r="C73" s="30"/>
      <c r="D73" s="90"/>
      <c r="E73" s="30"/>
      <c r="F73" s="90"/>
      <c r="G73" s="16"/>
      <c r="H73" s="16"/>
      <c r="I73" s="16"/>
      <c r="X73" s="16"/>
      <c r="Y73" s="16"/>
    </row>
    <row r="74" spans="2:9" s="16" customFormat="1" ht="11.25">
      <c r="B74" s="99" t="s">
        <v>82</v>
      </c>
      <c r="C74" s="30"/>
      <c r="D74" s="90"/>
      <c r="E74" s="30"/>
      <c r="F74" s="90"/>
      <c r="G74" s="115" t="s">
        <v>97</v>
      </c>
      <c r="I74" s="126">
        <v>0</v>
      </c>
    </row>
    <row r="75" spans="1:9" s="16" customFormat="1" ht="11.25">
      <c r="A75" s="99"/>
      <c r="B75" s="30"/>
      <c r="C75" s="101"/>
      <c r="D75" s="90"/>
      <c r="E75" s="30"/>
      <c r="F75" s="90"/>
      <c r="G75" s="14"/>
      <c r="H75" s="14"/>
      <c r="I75" s="14"/>
    </row>
    <row r="76" spans="1:9" s="16" customFormat="1" ht="11.25">
      <c r="A76" s="99"/>
      <c r="B76" s="30"/>
      <c r="C76" s="30"/>
      <c r="D76" s="90"/>
      <c r="E76" s="30"/>
      <c r="F76" s="90"/>
      <c r="G76" s="115" t="s">
        <v>71</v>
      </c>
      <c r="I76" s="20">
        <f>I74/(B17*12)</f>
        <v>0</v>
      </c>
    </row>
    <row r="77" spans="1:6" s="16" customFormat="1" ht="11.25">
      <c r="A77" s="99"/>
      <c r="B77" s="100"/>
      <c r="C77" s="30"/>
      <c r="D77" s="90"/>
      <c r="E77" s="30"/>
      <c r="F77" s="90"/>
    </row>
    <row r="78" spans="1:9" s="16" customFormat="1" ht="12" thickBot="1">
      <c r="A78" s="99"/>
      <c r="B78" s="100"/>
      <c r="C78" s="30"/>
      <c r="D78" s="90"/>
      <c r="E78" s="30"/>
      <c r="F78" s="90"/>
      <c r="G78" s="28" t="str">
        <f>$K$22+1&amp;" Net Credit"</f>
        <v>2020 Net Credit</v>
      </c>
      <c r="H78" s="23"/>
      <c r="I78" s="140">
        <f>+I64+I76</f>
        <v>0.1377781943080688</v>
      </c>
    </row>
    <row r="79" spans="1:25" s="16" customFormat="1" ht="12" thickTop="1">
      <c r="A79" s="99"/>
      <c r="B79" s="100"/>
      <c r="C79" s="30"/>
      <c r="D79" s="90"/>
      <c r="E79" s="30"/>
      <c r="F79" s="90"/>
      <c r="Y79" s="14"/>
    </row>
    <row r="80" spans="1:9" s="16" customFormat="1" ht="11.25">
      <c r="A80" s="99"/>
      <c r="B80" s="100"/>
      <c r="C80" s="30"/>
      <c r="D80" s="90"/>
      <c r="E80" s="30"/>
      <c r="F80" s="90"/>
      <c r="G80" s="115" t="s">
        <v>66</v>
      </c>
      <c r="I80" s="137">
        <f>+I78*3.5</f>
        <v>0.48222368007824085</v>
      </c>
    </row>
    <row r="81" spans="1:9" s="16" customFormat="1" ht="11.25">
      <c r="A81" s="99"/>
      <c r="B81" s="100"/>
      <c r="C81" s="30"/>
      <c r="D81" s="90"/>
      <c r="E81" s="30"/>
      <c r="F81" s="90"/>
      <c r="G81" s="115" t="s">
        <v>67</v>
      </c>
      <c r="I81" s="16">
        <f>I78*5</f>
        <v>0.6888909715403441</v>
      </c>
    </row>
    <row r="82" spans="1:6" s="16" customFormat="1" ht="11.25">
      <c r="A82" s="99"/>
      <c r="B82" s="100"/>
      <c r="C82" s="30"/>
      <c r="D82" s="90"/>
      <c r="E82" s="30"/>
      <c r="F82" s="90"/>
    </row>
    <row r="83" spans="1:27" s="16" customFormat="1" ht="11.25">
      <c r="A83" s="99"/>
      <c r="B83" s="100"/>
      <c r="C83" s="30"/>
      <c r="D83" s="90"/>
      <c r="E83" s="30"/>
      <c r="F83" s="90"/>
      <c r="G83" s="14"/>
      <c r="H83" s="13"/>
      <c r="I83" s="14"/>
      <c r="J83" s="14"/>
      <c r="K83" s="13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3"/>
      <c r="W83" s="14"/>
      <c r="AA83" s="14"/>
    </row>
    <row r="84" spans="1:6" s="16" customFormat="1" ht="11.25">
      <c r="A84" s="99"/>
      <c r="B84" s="100"/>
      <c r="C84" s="30"/>
      <c r="D84" s="90"/>
      <c r="E84" s="30"/>
      <c r="F84" s="90"/>
    </row>
    <row r="85" spans="1:6" s="16" customFormat="1" ht="11.25">
      <c r="A85" s="99"/>
      <c r="B85" s="100"/>
      <c r="C85" s="30"/>
      <c r="D85" s="90"/>
      <c r="E85" s="30"/>
      <c r="F85" s="90"/>
    </row>
    <row r="86" spans="1:6" s="16" customFormat="1" ht="11.25">
      <c r="A86" s="99"/>
      <c r="B86" s="30"/>
      <c r="C86" s="30"/>
      <c r="D86" s="90"/>
      <c r="E86" s="30"/>
      <c r="F86" s="90"/>
    </row>
    <row r="87" spans="1:6" s="16" customFormat="1" ht="11.25">
      <c r="A87" s="99"/>
      <c r="B87" s="30"/>
      <c r="C87" s="101"/>
      <c r="D87" s="90"/>
      <c r="E87" s="30"/>
      <c r="F87" s="90"/>
    </row>
    <row r="88" spans="1:25" s="16" customFormat="1" ht="12.75">
      <c r="A88" s="102"/>
      <c r="B88" s="102"/>
      <c r="C88" s="102"/>
      <c r="D88" s="103"/>
      <c r="E88" s="102"/>
      <c r="F88" s="102"/>
      <c r="Y88" s="14"/>
    </row>
    <row r="89" spans="1:6" s="16" customFormat="1" ht="11.25">
      <c r="A89" s="104"/>
      <c r="B89" s="30"/>
      <c r="C89" s="101"/>
      <c r="D89" s="90"/>
      <c r="E89" s="101"/>
      <c r="F89" s="105"/>
    </row>
    <row r="90" s="16" customFormat="1" ht="11.25"/>
    <row r="91" s="16" customFormat="1" ht="11.25"/>
    <row r="92" s="16" customFormat="1" ht="11.25">
      <c r="B92" s="8"/>
    </row>
    <row r="93" spans="2:25" s="14" customFormat="1" ht="11.25">
      <c r="B93" s="27"/>
      <c r="X93" s="16"/>
      <c r="Y93" s="16"/>
    </row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>
      <c r="A102" s="6"/>
    </row>
    <row r="103" s="16" customFormat="1" ht="12.75">
      <c r="AA103" s="5"/>
    </row>
    <row r="104" s="16" customFormat="1" ht="12.75">
      <c r="AA104" s="5"/>
    </row>
    <row r="105" s="16" customFormat="1" ht="12.75">
      <c r="AA105" s="5"/>
    </row>
    <row r="106" s="16" customFormat="1" ht="12.75">
      <c r="AA106" s="5"/>
    </row>
    <row r="107" spans="7:27" s="16" customFormat="1" ht="12.75">
      <c r="G107" s="36"/>
      <c r="I107" s="36"/>
      <c r="J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AA107" s="5"/>
    </row>
    <row r="108" s="16" customFormat="1" ht="12.75">
      <c r="AA108" s="5"/>
    </row>
    <row r="109" spans="7:27" s="16" customFormat="1" ht="13.5" thickBot="1">
      <c r="G109" s="37"/>
      <c r="I109" s="37"/>
      <c r="J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AA109" s="5"/>
    </row>
    <row r="110" ht="13.5" thickTop="1"/>
    <row r="111" spans="23:25" ht="12.75">
      <c r="W111" s="38"/>
      <c r="X111" s="38"/>
      <c r="Y111" s="38"/>
    </row>
    <row r="112" spans="23:27" ht="12.75">
      <c r="W112" s="38"/>
      <c r="AA112" s="38"/>
    </row>
  </sheetData>
  <sheetProtection/>
  <printOptions horizontalCentered="1"/>
  <pageMargins left="0" right="0" top="0.26" bottom="0.33" header="0" footer="0"/>
  <pageSetup fitToHeight="1" fitToWidth="1" horizontalDpi="1200" verticalDpi="1200" orientation="portrait" scale="83" r:id="rId4"/>
  <headerFooter alignWithMargins="0">
    <oddFooter>&amp;R&amp;"Helv,Regular"&amp;6\\SERVER1\DPUBLIC\EXCEL\WUTC\&amp;F, &amp;A, &amp;D, &amp;T, 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showGridLines="0" zoomScalePageLayoutView="0" workbookViewId="0" topLeftCell="A1">
      <selection activeCell="N30" sqref="N30"/>
    </sheetView>
  </sheetViews>
  <sheetFormatPr defaultColWidth="9.140625" defaultRowHeight="12.75"/>
  <cols>
    <col min="1" max="1" width="8.140625" style="0" customWidth="1"/>
    <col min="2" max="2" width="2.140625" style="0" customWidth="1"/>
    <col min="3" max="13" width="11.7109375" style="0" customWidth="1"/>
    <col min="14" max="14" width="2.8515625" style="0" customWidth="1"/>
    <col min="15" max="15" width="9.7109375" style="54" customWidth="1"/>
    <col min="16" max="16" width="14.57421875" style="0" bestFit="1" customWidth="1"/>
  </cols>
  <sheetData>
    <row r="1" spans="1:2" ht="12.75">
      <c r="A1" s="39" t="s">
        <v>83</v>
      </c>
      <c r="B1" s="40"/>
    </row>
    <row r="2" spans="1:2" ht="12.75">
      <c r="A2" s="41" t="str">
        <f>'WUTC_AW of Lynnwood_MF'!A1</f>
        <v>Rabanco Ltd (dba Allied Waste of Lynnwood)</v>
      </c>
      <c r="B2" s="41"/>
    </row>
    <row r="3" ht="12.75">
      <c r="B3" s="52"/>
    </row>
    <row r="4" spans="2:15" ht="12.7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O4" s="55" t="str">
        <f>+TEXT(P18,"00.0%")&amp;" of"</f>
        <v>50.0% of</v>
      </c>
    </row>
    <row r="5" spans="2:16" ht="12.75">
      <c r="B5" s="52"/>
      <c r="C5" s="43" t="s">
        <v>14</v>
      </c>
      <c r="D5" s="43" t="s">
        <v>15</v>
      </c>
      <c r="E5" s="43" t="s">
        <v>90</v>
      </c>
      <c r="F5" s="43" t="s">
        <v>31</v>
      </c>
      <c r="G5" s="43" t="s">
        <v>91</v>
      </c>
      <c r="H5" s="43" t="s">
        <v>17</v>
      </c>
      <c r="I5" s="43" t="s">
        <v>18</v>
      </c>
      <c r="J5" s="43" t="s">
        <v>19</v>
      </c>
      <c r="K5" s="43" t="s">
        <v>20</v>
      </c>
      <c r="L5" s="43" t="s">
        <v>21</v>
      </c>
      <c r="M5" s="43" t="s">
        <v>22</v>
      </c>
      <c r="O5" s="55" t="s">
        <v>22</v>
      </c>
      <c r="P5" s="43" t="s">
        <v>80</v>
      </c>
    </row>
    <row r="6" spans="1:17" ht="15.75" customHeight="1">
      <c r="A6" s="47">
        <f>+Pricing!A4</f>
        <v>43221</v>
      </c>
      <c r="B6" s="52"/>
      <c r="C6" s="53">
        <f>'Commodity Tonnages'!C6*Pricing!C4</f>
        <v>588.7996874999999</v>
      </c>
      <c r="D6" s="57">
        <f>'Commodity Tonnages'!D6*Pricing!D4</f>
        <v>-323.78268</v>
      </c>
      <c r="E6" s="57">
        <f>'Commodity Tonnages'!E6*Pricing!E4</f>
        <v>0</v>
      </c>
      <c r="F6" s="57">
        <f>'Commodity Tonnages'!F6*Pricing!F4</f>
        <v>108.4281</v>
      </c>
      <c r="G6" s="57">
        <f>'Commodity Tonnages'!G6*Pricing!G4</f>
        <v>0</v>
      </c>
      <c r="H6" s="57">
        <f>'Commodity Tonnages'!H6*Pricing!H4</f>
        <v>-536.16708</v>
      </c>
      <c r="I6" s="57">
        <f>'Commodity Tonnages'!I6*Pricing!I4</f>
        <v>163.52748375000002</v>
      </c>
      <c r="J6" s="57">
        <f>'Commodity Tonnages'!J6*Pricing!J4</f>
        <v>163.52748375000002</v>
      </c>
      <c r="K6" s="57">
        <f>'Commodity Tonnages'!K6*Pricing!K4</f>
        <v>562.25664</v>
      </c>
      <c r="L6" s="57">
        <f>'Commodity Tonnages'!L6*Pricing!L4</f>
        <v>-578.6360575000014</v>
      </c>
      <c r="M6" s="120">
        <f>SUM(C6:L6)</f>
        <v>147.95357749999846</v>
      </c>
      <c r="O6" s="77">
        <f>M6*P6</f>
        <v>73.97678874999923</v>
      </c>
      <c r="P6" s="162">
        <v>0.5</v>
      </c>
      <c r="Q6" s="56"/>
    </row>
    <row r="7" spans="1:17" ht="15.75" customHeight="1">
      <c r="A7" s="47">
        <f>+Pricing!A5</f>
        <v>43281</v>
      </c>
      <c r="B7" s="52"/>
      <c r="C7" s="53">
        <f>'Commodity Tonnages'!C7*Pricing!C5</f>
        <v>551.0956425</v>
      </c>
      <c r="D7" s="57">
        <f>'Commodity Tonnages'!D7*Pricing!D5</f>
        <v>-222.04037960000002</v>
      </c>
      <c r="E7" s="57">
        <f>'Commodity Tonnages'!E7*Pricing!E5</f>
        <v>0</v>
      </c>
      <c r="F7" s="57">
        <f>'Commodity Tonnages'!F7*Pricing!F5</f>
        <v>100.81575075</v>
      </c>
      <c r="G7" s="57">
        <f>'Commodity Tonnages'!G7*Pricing!G5</f>
        <v>0</v>
      </c>
      <c r="H7" s="57">
        <f>'Commodity Tonnages'!H7*Pricing!H5</f>
        <v>67.85584000000001</v>
      </c>
      <c r="I7" s="57">
        <f>'Commodity Tonnages'!I7*Pricing!I5</f>
        <v>129.6391863</v>
      </c>
      <c r="J7" s="57">
        <f>'Commodity Tonnages'!J7*Pricing!J5</f>
        <v>129.6391863</v>
      </c>
      <c r="K7" s="57">
        <f>'Commodity Tonnages'!K7*Pricing!K5</f>
        <v>703.2166713</v>
      </c>
      <c r="L7" s="57">
        <f>'Commodity Tonnages'!L7*Pricing!L5</f>
        <v>-523.9649265500012</v>
      </c>
      <c r="M7" s="120">
        <f aca="true" t="shared" si="0" ref="M7:M17">SUM(C7:L7)</f>
        <v>936.2569709999988</v>
      </c>
      <c r="O7" s="77">
        <f aca="true" t="shared" si="1" ref="O7:O17">M7*P7</f>
        <v>468.1284854999994</v>
      </c>
      <c r="P7" s="162">
        <v>0.5</v>
      </c>
      <c r="Q7" s="56"/>
    </row>
    <row r="8" spans="1:17" ht="15.75" customHeight="1">
      <c r="A8" s="47">
        <f>+Pricing!A6</f>
        <v>43312</v>
      </c>
      <c r="B8" s="48"/>
      <c r="C8" s="53">
        <f>'Commodity Tonnages'!C8*Pricing!C6</f>
        <v>653.05783125</v>
      </c>
      <c r="D8" s="57">
        <f>'Commodity Tonnages'!D8*Pricing!D6</f>
        <v>-51.59863800000001</v>
      </c>
      <c r="E8" s="57">
        <f>'Commodity Tonnages'!E8*Pricing!E6</f>
        <v>0</v>
      </c>
      <c r="F8" s="57">
        <f>'Commodity Tonnages'!F8*Pricing!F6</f>
        <v>122.8285575</v>
      </c>
      <c r="G8" s="57">
        <f>'Commodity Tonnages'!G8*Pricing!G6</f>
        <v>0</v>
      </c>
      <c r="H8" s="57">
        <f>'Commodity Tonnages'!H8*Pricing!H6</f>
        <v>177.02079600000002</v>
      </c>
      <c r="I8" s="57">
        <f>'Commodity Tonnages'!I8*Pricing!I6</f>
        <v>200.46845362500002</v>
      </c>
      <c r="J8" s="57">
        <f>'Commodity Tonnages'!J8*Pricing!J6</f>
        <v>200.46845362500002</v>
      </c>
      <c r="K8" s="57">
        <f>'Commodity Tonnages'!K8*Pricing!K6</f>
        <v>996.1495829999999</v>
      </c>
      <c r="L8" s="57">
        <f>'Commodity Tonnages'!L8*Pricing!L6</f>
        <v>-652.4620372500015</v>
      </c>
      <c r="M8" s="120">
        <f t="shared" si="0"/>
        <v>1645.9329997499983</v>
      </c>
      <c r="O8" s="77">
        <f t="shared" si="1"/>
        <v>822.9664998749992</v>
      </c>
      <c r="P8" s="162">
        <v>0.5</v>
      </c>
      <c r="Q8" s="56"/>
    </row>
    <row r="9" spans="1:17" ht="15.75" customHeight="1">
      <c r="A9" s="47">
        <f>+Pricing!A7</f>
        <v>43343</v>
      </c>
      <c r="B9" s="48"/>
      <c r="C9" s="53">
        <f>'Commodity Tonnages'!C9*Pricing!C7</f>
        <v>641.1550035</v>
      </c>
      <c r="D9" s="57">
        <f>'Commodity Tonnages'!D9*Pricing!D7</f>
        <v>10.500576320000002</v>
      </c>
      <c r="E9" s="57">
        <f>'Commodity Tonnages'!E9*Pricing!E7</f>
        <v>0</v>
      </c>
      <c r="F9" s="57">
        <f>'Commodity Tonnages'!F9*Pricing!F7</f>
        <v>81.90733650000001</v>
      </c>
      <c r="G9" s="57">
        <f>'Commodity Tonnages'!G9*Pricing!G7</f>
        <v>0</v>
      </c>
      <c r="H9" s="57">
        <f>'Commodity Tonnages'!H9*Pricing!H7</f>
        <v>349.24785856</v>
      </c>
      <c r="I9" s="57">
        <f>'Commodity Tonnages'!I9*Pricing!I7</f>
        <v>303.6095345</v>
      </c>
      <c r="J9" s="57">
        <f>'Commodity Tonnages'!J9*Pricing!J7</f>
        <v>303.6095345</v>
      </c>
      <c r="K9" s="57">
        <f>'Commodity Tonnages'!K9*Pricing!K7</f>
        <v>867.29341248</v>
      </c>
      <c r="L9" s="57">
        <f>'Commodity Tonnages'!L9*Pricing!L7</f>
        <v>-640.5700686200015</v>
      </c>
      <c r="M9" s="120">
        <f t="shared" si="0"/>
        <v>1916.7531877399983</v>
      </c>
      <c r="O9" s="77">
        <f t="shared" si="1"/>
        <v>958.3765938699992</v>
      </c>
      <c r="P9" s="162">
        <v>0.5</v>
      </c>
      <c r="Q9" s="56"/>
    </row>
    <row r="10" spans="1:17" ht="15.75" customHeight="1">
      <c r="A10" s="47">
        <f>+Pricing!A8</f>
        <v>43373</v>
      </c>
      <c r="B10" s="48"/>
      <c r="C10" s="53">
        <f>'Commodity Tonnages'!C10*Pricing!C8</f>
        <v>563.1487605</v>
      </c>
      <c r="D10" s="57">
        <f>'Commodity Tonnages'!D10*Pricing!D8</f>
        <v>-206.48700072</v>
      </c>
      <c r="E10" s="57">
        <f>'Commodity Tonnages'!E10*Pricing!E8</f>
        <v>0</v>
      </c>
      <c r="F10" s="57">
        <f>'Commodity Tonnages'!F10*Pricing!F8</f>
        <v>91.74263175000002</v>
      </c>
      <c r="G10" s="57">
        <f>'Commodity Tonnages'!G10*Pricing!G8</f>
        <v>0</v>
      </c>
      <c r="H10" s="57">
        <f>'Commodity Tonnages'!H10*Pricing!H8</f>
        <v>1109.7902735999999</v>
      </c>
      <c r="I10" s="57">
        <f>'Commodity Tonnages'!I10*Pricing!I8</f>
        <v>141.27782530500002</v>
      </c>
      <c r="J10" s="57">
        <f>'Commodity Tonnages'!J10*Pricing!J8</f>
        <v>141.27782530500002</v>
      </c>
      <c r="K10" s="57">
        <f>'Commodity Tonnages'!K10*Pricing!K8</f>
        <v>908.3113281</v>
      </c>
      <c r="L10" s="57">
        <f>'Commodity Tonnages'!L10*Pricing!L8</f>
        <v>-637.1381582100014</v>
      </c>
      <c r="M10" s="120">
        <f t="shared" si="0"/>
        <v>2111.923485629999</v>
      </c>
      <c r="O10" s="77">
        <f t="shared" si="1"/>
        <v>1055.9617428149995</v>
      </c>
      <c r="P10" s="162">
        <v>0.5</v>
      </c>
      <c r="Q10" s="56"/>
    </row>
    <row r="11" spans="1:17" ht="15.75" customHeight="1">
      <c r="A11" s="47">
        <f>+Pricing!A9</f>
        <v>43404</v>
      </c>
      <c r="B11" s="48"/>
      <c r="C11" s="53">
        <f>'Commodity Tonnages'!C11*Pricing!C9</f>
        <v>926.5399815000001</v>
      </c>
      <c r="D11" s="57">
        <f>'Commodity Tonnages'!D11*Pricing!D9</f>
        <v>-396.52382224</v>
      </c>
      <c r="E11" s="57">
        <f>'Commodity Tonnages'!E11*Pricing!E9</f>
        <v>0</v>
      </c>
      <c r="F11" s="57">
        <f>'Commodity Tonnages'!F11*Pricing!F9</f>
        <v>173.55256380000003</v>
      </c>
      <c r="G11" s="57">
        <f>'Commodity Tonnages'!G11*Pricing!G9</f>
        <v>0</v>
      </c>
      <c r="H11" s="57">
        <f>'Commodity Tonnages'!H11*Pricing!H9</f>
        <v>1791.7951094399998</v>
      </c>
      <c r="I11" s="57">
        <f>'Commodity Tonnages'!I11*Pricing!I9</f>
        <v>227.31703498000002</v>
      </c>
      <c r="J11" s="57">
        <f>'Commodity Tonnages'!J11*Pricing!J9</f>
        <v>227.31703498000002</v>
      </c>
      <c r="K11" s="57">
        <f>'Commodity Tonnages'!K11*Pricing!K9</f>
        <v>1718.53000704</v>
      </c>
      <c r="L11" s="57">
        <f>'Commodity Tonnages'!L11*Pricing!L9</f>
        <v>-1073.7888989800024</v>
      </c>
      <c r="M11" s="120">
        <f t="shared" si="0"/>
        <v>3594.7390105199975</v>
      </c>
      <c r="O11" s="77">
        <f t="shared" si="1"/>
        <v>1797.3695052599987</v>
      </c>
      <c r="P11" s="162">
        <v>0.5</v>
      </c>
      <c r="Q11" s="56"/>
    </row>
    <row r="12" spans="1:17" ht="15.75" customHeight="1">
      <c r="A12" s="47">
        <f>+Pricing!A10</f>
        <v>43434</v>
      </c>
      <c r="B12" s="48"/>
      <c r="C12" s="53">
        <f>'Commodity Tonnages'!C12*Pricing!C10</f>
        <v>616.5802575</v>
      </c>
      <c r="D12" s="57">
        <f>'Commodity Tonnages'!D12*Pricing!D10</f>
        <v>-253.1795448</v>
      </c>
      <c r="E12" s="57">
        <f>'Commodity Tonnages'!E12*Pricing!E10</f>
        <v>0</v>
      </c>
      <c r="F12" s="57">
        <f>'Commodity Tonnages'!F12*Pricing!F10</f>
        <v>131.186583</v>
      </c>
      <c r="G12" s="57">
        <f>'Commodity Tonnages'!G12*Pricing!G10</f>
        <v>0</v>
      </c>
      <c r="H12" s="57">
        <f>'Commodity Tonnages'!H12*Pricing!H10</f>
        <v>1280.1094656000002</v>
      </c>
      <c r="I12" s="57">
        <f>'Commodity Tonnages'!I12*Pricing!I10</f>
        <v>139.331491125</v>
      </c>
      <c r="J12" s="57">
        <f>'Commodity Tonnages'!J12*Pricing!J10</f>
        <v>139.331491125</v>
      </c>
      <c r="K12" s="57">
        <f>'Commodity Tonnages'!K12*Pricing!K10</f>
        <v>1223.5383963000002</v>
      </c>
      <c r="L12" s="57">
        <f>'Commodity Tonnages'!L12*Pricing!L10</f>
        <v>-735.4663820500017</v>
      </c>
      <c r="M12" s="120">
        <f t="shared" si="0"/>
        <v>2541.431757799998</v>
      </c>
      <c r="O12" s="77">
        <f t="shared" si="1"/>
        <v>1270.715878899999</v>
      </c>
      <c r="P12" s="162">
        <v>0.5</v>
      </c>
      <c r="Q12" s="56"/>
    </row>
    <row r="13" spans="1:17" ht="15.75" customHeight="1">
      <c r="A13" s="47">
        <f>+Pricing!A11</f>
        <v>43465</v>
      </c>
      <c r="B13" s="48"/>
      <c r="C13" s="53">
        <f>'Commodity Tonnages'!C13*Pricing!C11</f>
        <v>742.8557925</v>
      </c>
      <c r="D13" s="57">
        <f>'Commodity Tonnages'!D13*Pricing!D11</f>
        <v>-347.80195008000004</v>
      </c>
      <c r="E13" s="57">
        <f>'Commodity Tonnages'!E13*Pricing!E11</f>
        <v>0</v>
      </c>
      <c r="F13" s="57">
        <f>'Commodity Tonnages'!F13*Pricing!F11</f>
        <v>147.4705683</v>
      </c>
      <c r="G13" s="57">
        <f>'Commodity Tonnages'!G13*Pricing!G11</f>
        <v>0</v>
      </c>
      <c r="H13" s="57">
        <f>'Commodity Tonnages'!H13*Pricing!H11</f>
        <v>1151.07060384</v>
      </c>
      <c r="I13" s="57">
        <f>'Commodity Tonnages'!I13*Pricing!I11</f>
        <v>216.79003242</v>
      </c>
      <c r="J13" s="57">
        <f>'Commodity Tonnages'!J13*Pricing!J11</f>
        <v>216.79003242</v>
      </c>
      <c r="K13" s="57">
        <f>'Commodity Tonnages'!K13*Pricing!K11</f>
        <v>1399.5929574000002</v>
      </c>
      <c r="L13" s="57">
        <f>'Commodity Tonnages'!L13*Pricing!L11</f>
        <v>-906.503219460002</v>
      </c>
      <c r="M13" s="120">
        <f>SUM(C13:L13)</f>
        <v>2620.264817339998</v>
      </c>
      <c r="O13" s="77">
        <f t="shared" si="1"/>
        <v>1310.132408669999</v>
      </c>
      <c r="P13" s="162">
        <v>0.5</v>
      </c>
      <c r="Q13" s="56"/>
    </row>
    <row r="14" spans="1:17" ht="15.75" customHeight="1">
      <c r="A14" s="47">
        <f>+Pricing!A12</f>
        <v>43496</v>
      </c>
      <c r="B14" s="48"/>
      <c r="C14" s="53">
        <f>'Commodity Tonnages'!C14*Pricing!C12</f>
        <v>955.52988768</v>
      </c>
      <c r="D14" s="57">
        <f>'Commodity Tonnages'!D14*Pricing!D12</f>
        <v>46.876815</v>
      </c>
      <c r="E14" s="57">
        <f>'Commodity Tonnages'!E14*Pricing!E12</f>
        <v>0</v>
      </c>
      <c r="F14" s="57">
        <f>'Commodity Tonnages'!F14*Pricing!F12</f>
        <v>153.856668</v>
      </c>
      <c r="G14" s="57">
        <f>'Commodity Tonnages'!G14*Pricing!G12</f>
        <v>21.87051504</v>
      </c>
      <c r="H14" s="57">
        <f>'Commodity Tonnages'!H14*Pricing!H12</f>
        <v>1009.9843065</v>
      </c>
      <c r="I14" s="57">
        <f>'Commodity Tonnages'!I14*Pricing!I12</f>
        <v>236.89653868024692</v>
      </c>
      <c r="J14" s="57">
        <f>'Commodity Tonnages'!J14*Pricing!J12</f>
        <v>236.89653868024692</v>
      </c>
      <c r="K14" s="57">
        <f>'Commodity Tonnages'!K14*Pricing!K12</f>
        <v>1369.9582560000001</v>
      </c>
      <c r="L14" s="57">
        <f>'Commodity Tonnages'!L14*Pricing!L12</f>
        <v>-1050.9044335199999</v>
      </c>
      <c r="M14" s="120">
        <f t="shared" si="0"/>
        <v>2980.9650920604945</v>
      </c>
      <c r="O14" s="77">
        <f t="shared" si="1"/>
        <v>1490.4825460302472</v>
      </c>
      <c r="P14" s="162">
        <v>0.5</v>
      </c>
      <c r="Q14" s="56"/>
    </row>
    <row r="15" spans="1:17" ht="15.75" customHeight="1">
      <c r="A15" s="47">
        <f>+Pricing!A13</f>
        <v>43524</v>
      </c>
      <c r="B15" s="48"/>
      <c r="C15" s="53">
        <f>'Commodity Tonnages'!C15*Pricing!C13</f>
        <v>857.874078</v>
      </c>
      <c r="D15" s="57">
        <f>'Commodity Tonnages'!D15*Pricing!D13</f>
        <v>58.40015625000001</v>
      </c>
      <c r="E15" s="57">
        <f>'Commodity Tonnages'!E15*Pricing!E13</f>
        <v>0</v>
      </c>
      <c r="F15" s="57">
        <f>'Commodity Tonnages'!F15*Pricing!F13</f>
        <v>147.48510000000002</v>
      </c>
      <c r="G15" s="57">
        <f>'Commodity Tonnages'!G15*Pricing!G13</f>
        <v>21.126831</v>
      </c>
      <c r="H15" s="57">
        <f>'Commodity Tonnages'!H15*Pricing!H13</f>
        <v>841.48374375</v>
      </c>
      <c r="I15" s="57">
        <f>'Commodity Tonnages'!I15*Pricing!I13</f>
        <v>228.75092228971963</v>
      </c>
      <c r="J15" s="57">
        <f>'Commodity Tonnages'!J15*Pricing!J13</f>
        <v>228.75092228971963</v>
      </c>
      <c r="K15" s="57">
        <f>'Commodity Tonnages'!K15*Pricing!K13</f>
        <v>970.4155724999999</v>
      </c>
      <c r="L15" s="57">
        <f>'Commodity Tonnages'!L15*Pricing!L13</f>
        <v>-1013.7598469999999</v>
      </c>
      <c r="M15" s="120">
        <f t="shared" si="0"/>
        <v>2340.5274790794397</v>
      </c>
      <c r="O15" s="77">
        <f t="shared" si="1"/>
        <v>1170.2637395397198</v>
      </c>
      <c r="P15" s="162">
        <v>0.5</v>
      </c>
      <c r="Q15" s="56"/>
    </row>
    <row r="16" spans="1:17" ht="15.75" customHeight="1">
      <c r="A16" s="47">
        <f>+Pricing!A14</f>
        <v>43555</v>
      </c>
      <c r="B16" s="48"/>
      <c r="C16" s="53">
        <f>'Commodity Tonnages'!C16*Pricing!C14</f>
        <v>699.7706856</v>
      </c>
      <c r="D16" s="57">
        <f>'Commodity Tonnages'!D16*Pricing!D14</f>
        <v>25.791885</v>
      </c>
      <c r="E16" s="57">
        <f>'Commodity Tonnages'!E16*Pricing!E14</f>
        <v>0</v>
      </c>
      <c r="F16" s="57">
        <f>'Commodity Tonnages'!F16*Pricing!F14</f>
        <v>136.99721350000002</v>
      </c>
      <c r="G16" s="57">
        <f>'Commodity Tonnages'!G16*Pricing!G14</f>
        <v>19.564246240000003</v>
      </c>
      <c r="H16" s="57">
        <f>'Commodity Tonnages'!H16*Pricing!H14</f>
        <v>551.525247</v>
      </c>
      <c r="I16" s="57">
        <f>'Commodity Tonnages'!I16*Pricing!I14</f>
        <v>219.3904858237037</v>
      </c>
      <c r="J16" s="57">
        <f>'Commodity Tonnages'!J16*Pricing!J14</f>
        <v>219.3904858237037</v>
      </c>
      <c r="K16" s="57">
        <f>'Commodity Tonnages'!K16*Pricing!K14</f>
        <v>912.8748195000001</v>
      </c>
      <c r="L16" s="57">
        <f>'Commodity Tonnages'!L16*Pricing!L14</f>
        <v>-864.2824402800002</v>
      </c>
      <c r="M16" s="120">
        <f t="shared" si="0"/>
        <v>1921.0226282074077</v>
      </c>
      <c r="O16" s="77">
        <f t="shared" si="1"/>
        <v>960.5113141037039</v>
      </c>
      <c r="P16" s="162">
        <v>0.5</v>
      </c>
      <c r="Q16" s="56"/>
    </row>
    <row r="17" spans="1:17" ht="15.75" customHeight="1">
      <c r="A17" s="47">
        <f>+Pricing!A15</f>
        <v>43585</v>
      </c>
      <c r="B17" s="48"/>
      <c r="C17" s="53">
        <f>'Commodity Tonnages'!C17*Pricing!C15</f>
        <v>791.26546464</v>
      </c>
      <c r="D17" s="57">
        <f>'Commodity Tonnages'!D17*Pricing!D15</f>
        <v>-1.04643</v>
      </c>
      <c r="E17" s="57">
        <f>'Commodity Tonnages'!E17*Pricing!E15</f>
        <v>0</v>
      </c>
      <c r="F17" s="57">
        <f>'Commodity Tonnages'!F17*Pricing!F15</f>
        <v>134.49902200000002</v>
      </c>
      <c r="G17" s="57">
        <v>0</v>
      </c>
      <c r="H17" s="57">
        <f>'Commodity Tonnages'!H17*Pricing!H15</f>
        <v>-216.14593</v>
      </c>
      <c r="I17" s="57">
        <f>'Commodity Tonnages'!I17*Pricing!I15</f>
        <v>247.25140547368423</v>
      </c>
      <c r="J17" s="57">
        <f>'Commodity Tonnages'!J17*Pricing!J15</f>
        <v>247.25140547368423</v>
      </c>
      <c r="K17" s="57">
        <f>'Commodity Tonnages'!K17*Pricing!K15</f>
        <v>831.06671508</v>
      </c>
      <c r="L17" s="57">
        <f>'Commodity Tonnages'!L17*Pricing!L15</f>
        <v>-937.2111201600001</v>
      </c>
      <c r="M17" s="120">
        <f t="shared" si="0"/>
        <v>1096.9305325073683</v>
      </c>
      <c r="O17" s="77">
        <f t="shared" si="1"/>
        <v>548.4652662536841</v>
      </c>
      <c r="P17" s="162">
        <v>0.5</v>
      </c>
      <c r="Q17" s="56"/>
    </row>
    <row r="18" spans="1:16" ht="15.75" customHeight="1">
      <c r="A18" s="51" t="s">
        <v>24</v>
      </c>
      <c r="B18" s="48"/>
      <c r="C18" s="117">
        <f aca="true" t="shared" si="2" ref="C18:L18">SUM(C6:C17)</f>
        <v>8587.67307267</v>
      </c>
      <c r="D18" s="118">
        <f t="shared" si="2"/>
        <v>-1660.8910128700002</v>
      </c>
      <c r="E18" s="118">
        <f t="shared" si="2"/>
        <v>0</v>
      </c>
      <c r="F18" s="117">
        <f t="shared" si="2"/>
        <v>1530.7700951000002</v>
      </c>
      <c r="G18" s="117">
        <f t="shared" si="2"/>
        <v>62.56159228</v>
      </c>
      <c r="H18" s="117">
        <f t="shared" si="2"/>
        <v>7577.570234290001</v>
      </c>
      <c r="I18" s="117">
        <f t="shared" si="2"/>
        <v>2454.2503942723547</v>
      </c>
      <c r="J18" s="117">
        <f t="shared" si="2"/>
        <v>2454.2503942723547</v>
      </c>
      <c r="K18" s="117">
        <f t="shared" si="2"/>
        <v>12463.2043587</v>
      </c>
      <c r="L18" s="118">
        <f t="shared" si="2"/>
        <v>-9614.687589580013</v>
      </c>
      <c r="M18" s="121">
        <f>SUM(C18:L18)</f>
        <v>23854.7015391347</v>
      </c>
      <c r="O18" s="119">
        <f>SUM(O6:O17)</f>
        <v>11927.350769567349</v>
      </c>
      <c r="P18" s="128">
        <f>+O18/M18</f>
        <v>0.49999999999999994</v>
      </c>
    </row>
    <row r="19" spans="1:15" ht="12.75">
      <c r="A19" s="48"/>
      <c r="B19" s="48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O19" s="59"/>
    </row>
    <row r="20" spans="1:15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O20" s="60"/>
    </row>
    <row r="21" spans="1:15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O21" s="61"/>
    </row>
    <row r="22" spans="1:13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</row>
    <row r="23" spans="1:13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</row>
    <row r="24" spans="1:13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</row>
    <row r="25" spans="1:13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</row>
    <row r="26" spans="1:13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</row>
    <row r="27" spans="1:13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3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13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1:13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1:13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13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3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1:13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1:13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1:13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3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1:13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1:13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1:13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3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1:13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1:13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3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1:13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1:13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1:13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1:13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1:13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1:13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1:13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1:13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1:13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1:13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</row>
    <row r="85" spans="1:13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</row>
    <row r="86" spans="1:13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1:13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1:13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</row>
    <row r="89" spans="1:13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</row>
    <row r="90" spans="1:13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</row>
    <row r="91" spans="1:13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</row>
    <row r="92" spans="1:13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1:13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</row>
    <row r="94" spans="1:13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1:13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1:13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</row>
    <row r="97" spans="1:13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1:13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1:13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1:13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1:13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1:13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1:13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1:13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1:13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1:13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1:13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1:13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</row>
    <row r="113" spans="1:13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  <row r="114" spans="1:13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</row>
    <row r="115" spans="1:13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</row>
    <row r="116" spans="1:13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</row>
    <row r="117" spans="1:13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</row>
    <row r="118" spans="1:13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</row>
  </sheetData>
  <sheetProtection/>
  <printOptions/>
  <pageMargins left="0.5" right="0.5" top="0.75" bottom="0.75" header="0.5" footer="0.5"/>
  <pageSetup fitToHeight="0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showGridLines="0" zoomScalePageLayoutView="0" workbookViewId="0" topLeftCell="A1">
      <selection activeCell="G16" sqref="G16"/>
    </sheetView>
  </sheetViews>
  <sheetFormatPr defaultColWidth="9.140625" defaultRowHeight="12.75"/>
  <cols>
    <col min="2" max="2" width="2.28125" style="114" bestFit="1" customWidth="1"/>
    <col min="3" max="12" width="11.7109375" style="0" customWidth="1"/>
  </cols>
  <sheetData>
    <row r="1" spans="1:2" ht="12.75">
      <c r="A1" s="39" t="str">
        <f>"Commodity Pricing ("&amp;TEXT(A4,"mmmm yyyy")&amp;" through "&amp;TEXT(A15,"mmmm yyyy")&amp;")"</f>
        <v>Commodity Pricing (May 2018 through April 2019)</v>
      </c>
      <c r="B1" s="111"/>
    </row>
    <row r="2" spans="1:2" ht="12.75">
      <c r="A2" s="41" t="s">
        <v>57</v>
      </c>
      <c r="B2" s="112"/>
    </row>
    <row r="3" spans="2:13" ht="12.75">
      <c r="B3" s="113"/>
      <c r="C3" s="43" t="s">
        <v>14</v>
      </c>
      <c r="D3" s="43" t="s">
        <v>15</v>
      </c>
      <c r="E3" s="43" t="s">
        <v>90</v>
      </c>
      <c r="F3" s="43" t="s">
        <v>31</v>
      </c>
      <c r="G3" s="43" t="s">
        <v>91</v>
      </c>
      <c r="H3" s="43" t="s">
        <v>17</v>
      </c>
      <c r="I3" s="43" t="s">
        <v>18</v>
      </c>
      <c r="J3" s="43" t="s">
        <v>19</v>
      </c>
      <c r="K3" s="43" t="s">
        <v>20</v>
      </c>
      <c r="L3" s="43" t="s">
        <v>21</v>
      </c>
      <c r="M3" s="43"/>
    </row>
    <row r="4" spans="1:13" ht="15.75" customHeight="1">
      <c r="A4" s="109">
        <f>Multi_Family!$C$6</f>
        <v>43221</v>
      </c>
      <c r="B4" s="113" t="s">
        <v>44</v>
      </c>
      <c r="C4" s="124">
        <f>Multi_Family!C74</f>
        <v>1082.85</v>
      </c>
      <c r="D4" s="124">
        <f>Multi_Family!C76</f>
        <v>-25.26</v>
      </c>
      <c r="E4" s="124">
        <f>Multi_Family!C77</f>
        <v>0</v>
      </c>
      <c r="F4" s="124">
        <f>Multi_Family!C72</f>
        <v>90.64</v>
      </c>
      <c r="G4" s="171">
        <f>Multi_Family!C75</f>
        <v>0</v>
      </c>
      <c r="H4" s="124">
        <f>Multi_Family!C79</f>
        <v>-14.309999999999999</v>
      </c>
      <c r="I4" s="124">
        <f>Multi_Family!C73</f>
        <v>100.47</v>
      </c>
      <c r="J4" s="124">
        <f>Multi_Family!C73</f>
        <v>100.47</v>
      </c>
      <c r="K4" s="124">
        <f>Multi_Family!C70</f>
        <v>43.519999999999996</v>
      </c>
      <c r="L4" s="124">
        <f>Multi_Family!C78</f>
        <v>-134.59</v>
      </c>
      <c r="M4" s="52"/>
    </row>
    <row r="5" spans="1:13" ht="15.75" customHeight="1">
      <c r="A5" s="47">
        <f aca="true" t="shared" si="0" ref="A5:A15">EOMONTH(A4,1)</f>
        <v>43281</v>
      </c>
      <c r="B5" s="113" t="s">
        <v>45</v>
      </c>
      <c r="C5" s="124">
        <f>Multi_Family!D74</f>
        <v>1119.26</v>
      </c>
      <c r="D5" s="124">
        <f>Multi_Family!D76</f>
        <v>-19.13</v>
      </c>
      <c r="E5" s="124">
        <f>Multi_Family!D77</f>
        <v>0</v>
      </c>
      <c r="F5" s="124">
        <f>Multi_Family!D72</f>
        <v>93.07</v>
      </c>
      <c r="G5" s="171">
        <f>Multi_Family!D75</f>
        <v>0</v>
      </c>
      <c r="H5" s="124">
        <f>Multi_Family!D79</f>
        <v>2</v>
      </c>
      <c r="I5" s="124">
        <f>Multi_Family!D73</f>
        <v>87.96</v>
      </c>
      <c r="J5" s="124">
        <f>Multi_Family!D73</f>
        <v>87.96</v>
      </c>
      <c r="K5" s="124">
        <f>Multi_Family!D70</f>
        <v>60.11</v>
      </c>
      <c r="L5" s="124">
        <f>Multi_Family!D78</f>
        <v>-134.59</v>
      </c>
      <c r="M5" s="52"/>
    </row>
    <row r="6" spans="1:13" ht="15.75" customHeight="1">
      <c r="A6" s="47">
        <f t="shared" si="0"/>
        <v>43312</v>
      </c>
      <c r="B6" s="114" t="s">
        <v>46</v>
      </c>
      <c r="C6" s="124">
        <f>Multi_Family!E74</f>
        <v>1065.13</v>
      </c>
      <c r="D6" s="124">
        <f>Multi_Family!E76</f>
        <v>-3.5700000000000003</v>
      </c>
      <c r="E6" s="124">
        <f>Multi_Family!E77</f>
        <v>0</v>
      </c>
      <c r="F6" s="124">
        <f>Multi_Family!E72</f>
        <v>91.06</v>
      </c>
      <c r="G6" s="171">
        <f>Multi_Family!E75</f>
        <v>0</v>
      </c>
      <c r="H6" s="124">
        <f>Multi_Family!E79</f>
        <v>4.19</v>
      </c>
      <c r="I6" s="124">
        <f>Multi_Family!E73</f>
        <v>109.23</v>
      </c>
      <c r="J6" s="124">
        <f>Multi_Family!E73</f>
        <v>109.23</v>
      </c>
      <c r="K6" s="124">
        <f>Multi_Family!E70</f>
        <v>68.38</v>
      </c>
      <c r="L6" s="124">
        <f>Multi_Family!E78</f>
        <v>-134.59</v>
      </c>
      <c r="M6" s="49"/>
    </row>
    <row r="7" spans="1:13" ht="15.75" customHeight="1">
      <c r="A7" s="47">
        <f t="shared" si="0"/>
        <v>43343</v>
      </c>
      <c r="B7" s="114" t="s">
        <v>47</v>
      </c>
      <c r="C7" s="124">
        <f>Multi_Family!F74</f>
        <v>1065.13</v>
      </c>
      <c r="D7" s="124">
        <f>Multi_Family!F76</f>
        <v>0.74</v>
      </c>
      <c r="E7" s="124">
        <f>Multi_Family!F77</f>
        <v>0</v>
      </c>
      <c r="F7" s="124">
        <f>Multi_Family!F72</f>
        <v>61.85</v>
      </c>
      <c r="G7" s="171">
        <f>Multi_Family!F75</f>
        <v>0</v>
      </c>
      <c r="H7" s="124">
        <f>Multi_Family!F79</f>
        <v>8.42</v>
      </c>
      <c r="I7" s="124">
        <f>Multi_Family!F73</f>
        <v>168.5</v>
      </c>
      <c r="J7" s="124">
        <f>Multi_Family!F73</f>
        <v>168.5</v>
      </c>
      <c r="K7" s="124">
        <f>Multi_Family!F70</f>
        <v>60.64</v>
      </c>
      <c r="L7" s="124">
        <f>Multi_Family!F78</f>
        <v>-134.59</v>
      </c>
      <c r="M7" s="49"/>
    </row>
    <row r="8" spans="1:13" ht="15.75" customHeight="1">
      <c r="A8" s="47">
        <f t="shared" si="0"/>
        <v>43373</v>
      </c>
      <c r="B8" s="114" t="s">
        <v>48</v>
      </c>
      <c r="C8" s="125">
        <f>Multi_Family!G74</f>
        <v>940.58</v>
      </c>
      <c r="D8" s="125">
        <f>Multi_Family!G76</f>
        <v>-14.63</v>
      </c>
      <c r="E8" s="125">
        <f>Multi_Family!G77</f>
        <v>0</v>
      </c>
      <c r="F8" s="125">
        <f>Multi_Family!G72</f>
        <v>69.65</v>
      </c>
      <c r="G8" s="172">
        <f>Multi_Family!G75</f>
        <v>0</v>
      </c>
      <c r="H8" s="125">
        <f>Multi_Family!G79</f>
        <v>26.9</v>
      </c>
      <c r="I8" s="125">
        <f>Multi_Family!G73</f>
        <v>78.83</v>
      </c>
      <c r="J8" s="125">
        <f>Multi_Family!G73</f>
        <v>78.83</v>
      </c>
      <c r="K8" s="125">
        <f>Multi_Family!G70</f>
        <v>63.85</v>
      </c>
      <c r="L8" s="124">
        <f>Multi_Family!G78</f>
        <v>-134.59</v>
      </c>
      <c r="M8" s="49"/>
    </row>
    <row r="9" spans="1:13" ht="15.75" customHeight="1">
      <c r="A9" s="47">
        <f t="shared" si="0"/>
        <v>43404</v>
      </c>
      <c r="B9" s="114" t="s">
        <v>49</v>
      </c>
      <c r="C9" s="125">
        <f>Multi_Family!H74</f>
        <v>918.23</v>
      </c>
      <c r="D9" s="125">
        <f>Multi_Family!H76</f>
        <v>-16.67</v>
      </c>
      <c r="E9" s="125">
        <f>Multi_Family!H77</f>
        <v>0</v>
      </c>
      <c r="F9" s="125">
        <f>Multi_Family!H72</f>
        <v>78.18</v>
      </c>
      <c r="G9" s="172">
        <f>Multi_Family!H75</f>
        <v>0</v>
      </c>
      <c r="H9" s="125">
        <f>Multi_Family!H79</f>
        <v>25.77</v>
      </c>
      <c r="I9" s="125">
        <f>Multi_Family!H73</f>
        <v>75.26</v>
      </c>
      <c r="J9" s="125">
        <f>Multi_Family!H73</f>
        <v>75.26</v>
      </c>
      <c r="K9" s="125">
        <f>Multi_Family!H70</f>
        <v>71.68</v>
      </c>
      <c r="L9" s="124">
        <f>Multi_Family!H78</f>
        <v>-134.59</v>
      </c>
      <c r="M9" s="49"/>
    </row>
    <row r="10" spans="1:13" ht="15.75" customHeight="1">
      <c r="A10" s="47">
        <f t="shared" si="0"/>
        <v>43434</v>
      </c>
      <c r="B10" s="114" t="s">
        <v>50</v>
      </c>
      <c r="C10" s="124">
        <f>Multi_Family!I74</f>
        <v>892.14</v>
      </c>
      <c r="D10" s="124">
        <f>Multi_Family!I76</f>
        <v>-15.54</v>
      </c>
      <c r="E10" s="124">
        <f>Multi_Family!I77</f>
        <v>0</v>
      </c>
      <c r="F10" s="124">
        <f>Multi_Family!I72</f>
        <v>86.28</v>
      </c>
      <c r="G10" s="171">
        <f>Multi_Family!I75</f>
        <v>0</v>
      </c>
      <c r="H10" s="124">
        <f>Multi_Family!I79</f>
        <v>26.88</v>
      </c>
      <c r="I10" s="124">
        <f>Multi_Family!I73</f>
        <v>67.35</v>
      </c>
      <c r="J10" s="124">
        <f>Multi_Family!I73</f>
        <v>67.35</v>
      </c>
      <c r="K10" s="124">
        <f>Multi_Family!I70</f>
        <v>74.51</v>
      </c>
      <c r="L10" s="124">
        <f>Multi_Family!I78</f>
        <v>-134.59</v>
      </c>
      <c r="M10" s="49"/>
    </row>
    <row r="11" spans="1:13" s="167" customFormat="1" ht="15.75" customHeight="1">
      <c r="A11" s="109">
        <f t="shared" si="0"/>
        <v>43465</v>
      </c>
      <c r="B11" s="169" t="s">
        <v>51</v>
      </c>
      <c r="C11" s="125">
        <f>Multi_Family!J74</f>
        <v>872.05</v>
      </c>
      <c r="D11" s="125">
        <f>Multi_Family!J76</f>
        <v>-17.32</v>
      </c>
      <c r="E11" s="125">
        <f>Multi_Family!J77</f>
        <v>0</v>
      </c>
      <c r="F11" s="125">
        <f>Multi_Family!J72</f>
        <v>78.69</v>
      </c>
      <c r="G11" s="172">
        <f>Multi_Family!J75</f>
        <v>0</v>
      </c>
      <c r="H11" s="125">
        <f>Multi_Family!J79</f>
        <v>19.61</v>
      </c>
      <c r="I11" s="125">
        <f>Multi_Family!J73</f>
        <v>85.02</v>
      </c>
      <c r="J11" s="125">
        <f>Multi_Family!J73</f>
        <v>85.02</v>
      </c>
      <c r="K11" s="125">
        <f>Multi_Family!J70</f>
        <v>69.15</v>
      </c>
      <c r="L11" s="125">
        <f>Multi_Family!J78</f>
        <v>-134.59</v>
      </c>
      <c r="M11" s="170"/>
    </row>
    <row r="12" spans="1:13" ht="15.75" customHeight="1">
      <c r="A12" s="47">
        <f t="shared" si="0"/>
        <v>43496</v>
      </c>
      <c r="B12" s="114" t="s">
        <v>52</v>
      </c>
      <c r="C12" s="124">
        <f>Multi_Family!K74</f>
        <v>896.04</v>
      </c>
      <c r="D12" s="124">
        <f>Multi_Family!K76</f>
        <v>4.22</v>
      </c>
      <c r="E12" s="124">
        <f>Multi_Family!K77</f>
        <v>0</v>
      </c>
      <c r="F12" s="124">
        <f>Multi_Family!K72</f>
        <v>89.04</v>
      </c>
      <c r="G12" s="171">
        <f>Multi_Family!K75</f>
        <v>50.34</v>
      </c>
      <c r="H12" s="124">
        <f>Multi_Family!K79</f>
        <v>24.21</v>
      </c>
      <c r="I12" s="124">
        <f>Multi_Family!K73</f>
        <v>77.3933950617284</v>
      </c>
      <c r="J12" s="124">
        <f>Multi_Family!K73</f>
        <v>77.3933950617284</v>
      </c>
      <c r="K12" s="124">
        <f>Multi_Family!K70</f>
        <v>75.2</v>
      </c>
      <c r="L12" s="124">
        <f>Multi_Family!K78</f>
        <v>-74.22</v>
      </c>
      <c r="M12" s="49"/>
    </row>
    <row r="13" spans="1:13" ht="15.75" customHeight="1">
      <c r="A13" s="47">
        <f t="shared" si="0"/>
        <v>43524</v>
      </c>
      <c r="B13" s="114" t="s">
        <v>53</v>
      </c>
      <c r="C13" s="124">
        <f>Multi_Family!L74</f>
        <v>833.94</v>
      </c>
      <c r="D13" s="124">
        <f>Multi_Family!L76</f>
        <v>5.45</v>
      </c>
      <c r="E13" s="124">
        <f>Multi_Family!L77</f>
        <v>0</v>
      </c>
      <c r="F13" s="124">
        <f>Multi_Family!L72</f>
        <v>88.48</v>
      </c>
      <c r="G13" s="171">
        <f>Multi_Family!L75</f>
        <v>50.41</v>
      </c>
      <c r="H13" s="124">
        <f>Multi_Family!L79</f>
        <v>20.91</v>
      </c>
      <c r="I13" s="124">
        <f>Multi_Family!L73</f>
        <v>77.47046728971962</v>
      </c>
      <c r="J13" s="124">
        <f>Multi_Family!L73</f>
        <v>77.47046728971962</v>
      </c>
      <c r="K13" s="124">
        <f>Multi_Family!L70</f>
        <v>55.22</v>
      </c>
      <c r="L13" s="124">
        <f>Multi_Family!L78</f>
        <v>-74.22</v>
      </c>
      <c r="M13" s="49"/>
    </row>
    <row r="14" spans="1:13" ht="15.75" customHeight="1">
      <c r="A14" s="47">
        <f t="shared" si="0"/>
        <v>43555</v>
      </c>
      <c r="B14" s="114" t="s">
        <v>54</v>
      </c>
      <c r="C14" s="124">
        <f>Multi_Family!M74</f>
        <v>830.9</v>
      </c>
      <c r="D14" s="124">
        <f>Multi_Family!M76</f>
        <v>2.94</v>
      </c>
      <c r="E14" s="124">
        <f>Multi_Family!M77</f>
        <v>0</v>
      </c>
      <c r="F14" s="124">
        <f>Multi_Family!M72</f>
        <v>100.39</v>
      </c>
      <c r="G14" s="171">
        <f>Multi_Family!M75</f>
        <v>57.02</v>
      </c>
      <c r="H14" s="124">
        <f>Multi_Family!M79</f>
        <v>16.74</v>
      </c>
      <c r="I14" s="124">
        <f>Multi_Family!M73</f>
        <v>90.75548148148148</v>
      </c>
      <c r="J14" s="124">
        <f>Multi_Family!M73</f>
        <v>90.75548148148148</v>
      </c>
      <c r="K14" s="124">
        <f>Multi_Family!M70</f>
        <v>63.45</v>
      </c>
      <c r="L14" s="124">
        <f>Multi_Family!M78</f>
        <v>-77.29</v>
      </c>
      <c r="M14" s="49"/>
    </row>
    <row r="15" spans="1:13" ht="15.75" customHeight="1">
      <c r="A15" s="47">
        <f t="shared" si="0"/>
        <v>43585</v>
      </c>
      <c r="B15" s="114" t="s">
        <v>55</v>
      </c>
      <c r="C15" s="124">
        <f>Multi_Family!N74</f>
        <v>866.43</v>
      </c>
      <c r="D15" s="124">
        <f>Multi_Family!N76</f>
        <v>-0.11</v>
      </c>
      <c r="E15" s="124">
        <f>Multi_Family!N77</f>
        <v>0</v>
      </c>
      <c r="F15" s="124">
        <f>Multi_Family!N72</f>
        <v>90.89</v>
      </c>
      <c r="G15" s="171">
        <f>Multi_Family!N75</f>
        <v>52.23</v>
      </c>
      <c r="H15" s="124">
        <f>Multi_Family!N79</f>
        <v>-6.05</v>
      </c>
      <c r="I15" s="124">
        <f>Multi_Family!N73</f>
        <v>94.3218045112782</v>
      </c>
      <c r="J15" s="124">
        <f>Multi_Family!N73</f>
        <v>94.3218045112782</v>
      </c>
      <c r="K15" s="124">
        <f>Multi_Family!N70</f>
        <v>53.269</v>
      </c>
      <c r="L15" s="124">
        <f>Multi_Family!N78</f>
        <v>-77.29</v>
      </c>
      <c r="M15" s="49"/>
    </row>
    <row r="16" spans="1:13" ht="12.75">
      <c r="A16" s="48"/>
      <c r="C16" s="49"/>
      <c r="D16" s="49"/>
      <c r="E16" s="49"/>
      <c r="F16" s="49"/>
      <c r="G16" s="49"/>
      <c r="H16" s="49"/>
      <c r="I16" s="49"/>
      <c r="J16" s="49"/>
      <c r="K16" s="49"/>
      <c r="L16" s="48"/>
      <c r="M16" s="49"/>
    </row>
    <row r="17" spans="1:14" ht="12.75">
      <c r="A17" s="51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 t="s">
        <v>23</v>
      </c>
    </row>
    <row r="18" spans="1:13" ht="12.75">
      <c r="A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</row>
    <row r="19" spans="1:13" ht="12.75">
      <c r="A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</row>
    <row r="20" spans="1:13" ht="12.75">
      <c r="A20" s="48"/>
      <c r="C20" s="48"/>
      <c r="D20" s="48"/>
      <c r="F20" s="48"/>
      <c r="G20" s="48"/>
      <c r="H20" s="48"/>
      <c r="I20" s="48"/>
      <c r="J20" s="48"/>
      <c r="K20" s="48"/>
      <c r="L20" s="48"/>
      <c r="M20" s="49"/>
    </row>
    <row r="21" spans="1:13" ht="12.75">
      <c r="A21" s="48"/>
      <c r="C21" s="48"/>
      <c r="D21" s="48"/>
      <c r="F21" s="48"/>
      <c r="G21" s="48"/>
      <c r="H21" s="48"/>
      <c r="I21" s="48"/>
      <c r="J21" s="48"/>
      <c r="K21" s="48"/>
      <c r="L21" s="48"/>
      <c r="M21" s="49"/>
    </row>
    <row r="22" spans="1:13" ht="12.75">
      <c r="A22" s="48"/>
      <c r="C22" s="48"/>
      <c r="D22" s="48"/>
      <c r="G22" s="48"/>
      <c r="H22" s="48"/>
      <c r="I22" s="48"/>
      <c r="J22" s="48"/>
      <c r="K22" s="48"/>
      <c r="L22" s="48"/>
      <c r="M22" s="49"/>
    </row>
    <row r="23" spans="1:13" ht="12.75">
      <c r="A23" s="48"/>
      <c r="C23" s="48"/>
      <c r="D23" s="48"/>
      <c r="F23" s="48"/>
      <c r="G23" s="48"/>
      <c r="H23" s="48"/>
      <c r="I23" s="48"/>
      <c r="J23" s="48"/>
      <c r="K23" s="48"/>
      <c r="L23" s="48"/>
      <c r="M23" s="49"/>
    </row>
    <row r="24" spans="1:13" ht="12.75">
      <c r="A24" s="48"/>
      <c r="C24" s="48"/>
      <c r="D24" s="48"/>
      <c r="F24" s="48"/>
      <c r="G24" s="48"/>
      <c r="H24" s="48"/>
      <c r="I24" s="48"/>
      <c r="J24" s="48"/>
      <c r="K24" s="48"/>
      <c r="L24" s="48"/>
      <c r="M24" s="49"/>
    </row>
    <row r="25" spans="1:13" ht="12.75">
      <c r="A25" s="48"/>
      <c r="C25" s="48"/>
      <c r="D25" s="48"/>
      <c r="F25" s="48"/>
      <c r="G25" s="48"/>
      <c r="H25" s="48"/>
      <c r="I25" s="48"/>
      <c r="J25" s="48"/>
      <c r="K25" s="48"/>
      <c r="L25" s="48"/>
      <c r="M25" s="49"/>
    </row>
    <row r="26" spans="1:13" ht="12.75">
      <c r="A26" s="48"/>
      <c r="C26" s="48"/>
      <c r="D26" s="48"/>
      <c r="F26" s="48"/>
      <c r="G26" s="48"/>
      <c r="H26" s="48"/>
      <c r="I26" s="48"/>
      <c r="J26" s="48"/>
      <c r="K26" s="48"/>
      <c r="L26" s="48"/>
      <c r="M26" s="49"/>
    </row>
    <row r="27" spans="1:13" ht="12.75">
      <c r="A27" s="48"/>
      <c r="C27" s="48"/>
      <c r="D27" s="48"/>
      <c r="F27" s="48"/>
      <c r="G27" s="48"/>
      <c r="H27" s="48"/>
      <c r="I27" s="48"/>
      <c r="J27" s="48"/>
      <c r="K27" s="48"/>
      <c r="L27" s="48"/>
      <c r="M27" s="49"/>
    </row>
    <row r="28" spans="1:13" ht="12.75">
      <c r="A28" s="48"/>
      <c r="C28" s="48"/>
      <c r="D28" s="48"/>
      <c r="F28" s="48"/>
      <c r="G28" s="48"/>
      <c r="H28" s="48"/>
      <c r="I28" s="48"/>
      <c r="J28" s="48"/>
      <c r="K28" s="48"/>
      <c r="L28" s="48"/>
      <c r="M28" s="48"/>
    </row>
    <row r="29" spans="1:13" ht="12.75">
      <c r="A29" s="48"/>
      <c r="C29" s="48"/>
      <c r="D29" s="48"/>
      <c r="F29" s="48"/>
      <c r="G29" s="48"/>
      <c r="H29" s="48"/>
      <c r="I29" s="48"/>
      <c r="J29" s="48"/>
      <c r="K29" s="48"/>
      <c r="L29" s="48"/>
      <c r="M29" s="48"/>
    </row>
    <row r="30" spans="1:13" ht="12.75">
      <c r="A30" s="48"/>
      <c r="C30" s="48"/>
      <c r="D30" s="48"/>
      <c r="F30" s="48"/>
      <c r="G30" s="48"/>
      <c r="H30" s="48"/>
      <c r="I30" s="48"/>
      <c r="J30" s="48"/>
      <c r="K30" s="48"/>
      <c r="L30" s="48"/>
      <c r="M30" s="48"/>
    </row>
    <row r="31" spans="1:13" ht="12.75">
      <c r="A31" s="48"/>
      <c r="C31" s="48"/>
      <c r="D31" s="48"/>
      <c r="F31" s="48"/>
      <c r="G31" s="48"/>
      <c r="H31" s="48"/>
      <c r="I31" s="48"/>
      <c r="J31" s="48"/>
      <c r="K31" s="48"/>
      <c r="L31" s="48"/>
      <c r="M31" s="48"/>
    </row>
    <row r="32" spans="1:13" ht="12.75">
      <c r="A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ht="12.75">
      <c r="A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 ht="12.75">
      <c r="A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ht="12.75">
      <c r="A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ht="12.75">
      <c r="A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ht="12.75">
      <c r="A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ht="12.75">
      <c r="A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2.75">
      <c r="A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2.75">
      <c r="A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2.75">
      <c r="A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ht="12.75">
      <c r="A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2.75">
      <c r="A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ht="12.75">
      <c r="A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ht="12.75">
      <c r="A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ht="12.75">
      <c r="A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ht="12.75">
      <c r="A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13" ht="12.75">
      <c r="A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1:13" ht="12.75">
      <c r="A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1:13" ht="12.75">
      <c r="A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2.75">
      <c r="A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13" ht="12.75">
      <c r="A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2.75">
      <c r="A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2.75">
      <c r="A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3" ht="12.75">
      <c r="A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1:13" ht="12.75">
      <c r="A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1:13" ht="12.75">
      <c r="A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ht="12.75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1:13" ht="12.75">
      <c r="A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3" ht="12.75">
      <c r="A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1:13" ht="12.75">
      <c r="A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2.75">
      <c r="A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ht="12.75">
      <c r="A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ht="12.75">
      <c r="A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1:13" ht="12.75">
      <c r="A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1:13" ht="12.75">
      <c r="A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2.75">
      <c r="A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2.75">
      <c r="A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ht="12.75">
      <c r="A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ht="12.75">
      <c r="A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3" ht="12.75">
      <c r="A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1:13" ht="12.75">
      <c r="A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1:13" ht="12.75">
      <c r="A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3" ht="12.75">
      <c r="A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1:13" ht="12.75">
      <c r="A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1:13" ht="12.75">
      <c r="A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1:13" ht="12.75">
      <c r="A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1:13" ht="12.75">
      <c r="A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1:13" ht="12.75">
      <c r="A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1:13" ht="12.75">
      <c r="A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1:13" ht="12.75">
      <c r="A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1:13" ht="12.75">
      <c r="A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1:13" ht="12.75">
      <c r="A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1:13" ht="12.75">
      <c r="A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</row>
    <row r="85" spans="1:13" ht="12.75">
      <c r="A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</row>
    <row r="86" spans="1:13" ht="12.75">
      <c r="A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1:13" ht="12.75">
      <c r="A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1:13" ht="12.75">
      <c r="A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</row>
    <row r="89" spans="1:13" ht="12.75">
      <c r="A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</row>
    <row r="90" spans="1:13" ht="12.75">
      <c r="A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</row>
    <row r="91" spans="1:13" ht="12.75">
      <c r="A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</row>
    <row r="92" spans="1:13" ht="12.75">
      <c r="A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1:13" ht="12.75">
      <c r="A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</row>
    <row r="94" spans="1:13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1:13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1:13" ht="12.75">
      <c r="A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</row>
    <row r="97" spans="1:13" ht="12.75">
      <c r="A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1:13" ht="12.75">
      <c r="A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1:13" ht="12.75">
      <c r="A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1:13" ht="12.75">
      <c r="A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1:13" ht="12.75">
      <c r="A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1:13" ht="12.75">
      <c r="A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ht="12.75">
      <c r="A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1:13" ht="12.75">
      <c r="A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1:13" ht="12.75">
      <c r="A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1:13" ht="12.75">
      <c r="A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1:13" ht="12.75">
      <c r="A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ht="12.75">
      <c r="A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ht="12.75">
      <c r="A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ht="12.75">
      <c r="A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1:13" ht="12.75">
      <c r="A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1:13" ht="12.75">
      <c r="A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</row>
    <row r="113" spans="1:13" ht="12.75">
      <c r="A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  <row r="114" spans="1:13" ht="12.75">
      <c r="A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</row>
    <row r="115" spans="1:13" ht="12.75">
      <c r="A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</row>
    <row r="116" spans="1:13" ht="12.75">
      <c r="A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</row>
    <row r="117" spans="1:13" ht="12.75">
      <c r="A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</row>
    <row r="118" spans="1:13" ht="12.75">
      <c r="A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</row>
  </sheetData>
  <sheetProtection/>
  <printOptions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8"/>
  <sheetViews>
    <sheetView showGridLines="0" zoomScalePageLayoutView="0" workbookViewId="0" topLeftCell="A1">
      <selection activeCell="H17" sqref="H17"/>
    </sheetView>
  </sheetViews>
  <sheetFormatPr defaultColWidth="9.140625" defaultRowHeight="12.75"/>
  <cols>
    <col min="2" max="2" width="2.57421875" style="0" customWidth="1"/>
    <col min="3" max="12" width="11.7109375" style="0" customWidth="1"/>
    <col min="13" max="13" width="2.7109375" style="0" customWidth="1"/>
    <col min="14" max="14" width="11.7109375" style="0" customWidth="1"/>
    <col min="15" max="15" width="14.8515625" style="0" bestFit="1" customWidth="1"/>
  </cols>
  <sheetData>
    <row r="1" spans="1:2" ht="12.75">
      <c r="A1" s="39" t="str">
        <f>"Multi-Family Tonnages by Commodity ("&amp;TEXT(A6,"mmmm yyyy")&amp;" through "&amp;TEXT(A17,"mmmm yyyy")&amp;")"</f>
        <v>Multi-Family Tonnages by Commodity (May 2018 through April 2019)</v>
      </c>
      <c r="B1" s="40"/>
    </row>
    <row r="2" spans="1:2" ht="12.75">
      <c r="A2" s="41" t="s">
        <v>56</v>
      </c>
      <c r="B2" s="41"/>
    </row>
    <row r="3" spans="1:14" ht="12.75">
      <c r="A3" s="40"/>
      <c r="B3" s="42"/>
      <c r="C3" s="43" t="s">
        <v>14</v>
      </c>
      <c r="D3" s="43" t="s">
        <v>15</v>
      </c>
      <c r="E3" s="43" t="s">
        <v>90</v>
      </c>
      <c r="F3" s="43" t="s">
        <v>31</v>
      </c>
      <c r="G3" s="43" t="s">
        <v>91</v>
      </c>
      <c r="H3" s="43" t="s">
        <v>17</v>
      </c>
      <c r="I3" s="43" t="s">
        <v>18</v>
      </c>
      <c r="J3" s="43" t="s">
        <v>19</v>
      </c>
      <c r="K3" s="43" t="s">
        <v>20</v>
      </c>
      <c r="L3" s="43" t="s">
        <v>21</v>
      </c>
      <c r="M3" s="43"/>
      <c r="N3" s="43" t="s">
        <v>22</v>
      </c>
    </row>
    <row r="4" spans="1:5" s="45" customFormat="1" ht="12.75">
      <c r="A4" s="44"/>
      <c r="B4" s="44"/>
      <c r="D4" s="46"/>
      <c r="E4" s="46"/>
    </row>
    <row r="5" spans="1:14" ht="12.75">
      <c r="A5" s="47"/>
      <c r="B5" s="48"/>
      <c r="C5" s="49"/>
      <c r="D5" s="49"/>
      <c r="E5" s="49"/>
      <c r="F5" s="49"/>
      <c r="G5" s="49"/>
      <c r="H5" s="49"/>
      <c r="I5" s="49"/>
      <c r="J5" s="49"/>
      <c r="L5" s="48"/>
      <c r="M5" s="45"/>
      <c r="N5" s="49" t="s">
        <v>23</v>
      </c>
    </row>
    <row r="6" spans="1:16" ht="12.75">
      <c r="A6" s="109">
        <f>Multi_Family!$C$6</f>
        <v>43221</v>
      </c>
      <c r="B6" s="48" t="s">
        <v>44</v>
      </c>
      <c r="C6" s="85">
        <f>Multi_Family!C32</f>
        <v>0.54375</v>
      </c>
      <c r="D6" s="86">
        <f>Multi_Family!C34</f>
        <v>12.818000000000001</v>
      </c>
      <c r="E6" s="85">
        <f>Multi_Family!C35</f>
        <v>0</v>
      </c>
      <c r="F6" s="85">
        <f>Multi_Family!C30</f>
        <v>1.19625</v>
      </c>
      <c r="G6" s="85">
        <f>Multi_Family!C33</f>
        <v>0</v>
      </c>
      <c r="H6" s="85">
        <f>Multi_Family!C37</f>
        <v>37.468</v>
      </c>
      <c r="I6" s="85">
        <f>Multi_Family!C31/2</f>
        <v>1.627625</v>
      </c>
      <c r="J6" s="85">
        <f>Multi_Family!C31/2</f>
        <v>1.627625</v>
      </c>
      <c r="K6" s="85">
        <f>Multi_Family!C28</f>
        <v>12.9195</v>
      </c>
      <c r="L6" s="85">
        <f>Multi_Family!C36</f>
        <v>4.29925000000001</v>
      </c>
      <c r="M6" s="45"/>
      <c r="N6" s="110">
        <f aca="true" t="shared" si="0" ref="N6:N17">SUM(C6:L6)</f>
        <v>72.50000000000001</v>
      </c>
      <c r="O6" s="58"/>
      <c r="P6" s="50"/>
    </row>
    <row r="7" spans="1:16" ht="12.75">
      <c r="A7" s="47">
        <f aca="true" t="shared" si="1" ref="A7:A17">EOMONTH(A6,1)</f>
        <v>43281</v>
      </c>
      <c r="B7" s="48" t="s">
        <v>45</v>
      </c>
      <c r="C7" s="85">
        <f>Multi_Family!D32</f>
        <v>0.492375</v>
      </c>
      <c r="D7" s="86">
        <f>Multi_Family!D34</f>
        <v>11.606920000000002</v>
      </c>
      <c r="E7" s="85">
        <f>Multi_Family!D35</f>
        <v>0</v>
      </c>
      <c r="F7" s="85">
        <f>Multi_Family!D30</f>
        <v>1.083225</v>
      </c>
      <c r="G7" s="85">
        <f>Multi_Family!D33</f>
        <v>0</v>
      </c>
      <c r="H7" s="85">
        <f>Multi_Family!D37</f>
        <v>33.92792000000001</v>
      </c>
      <c r="I7" s="85">
        <f>Multi_Family!D31/2</f>
        <v>1.4738425000000002</v>
      </c>
      <c r="J7" s="85">
        <f>Multi_Family!D31/2</f>
        <v>1.4738425000000002</v>
      </c>
      <c r="K7" s="85">
        <f>Multi_Family!D28</f>
        <v>11.698830000000001</v>
      </c>
      <c r="L7" s="85">
        <f>Multi_Family!D36</f>
        <v>3.8930450000000087</v>
      </c>
      <c r="M7" s="45"/>
      <c r="N7" s="110">
        <f t="shared" si="0"/>
        <v>65.65000000000003</v>
      </c>
      <c r="P7" s="50"/>
    </row>
    <row r="8" spans="1:16" ht="12.75">
      <c r="A8" s="47">
        <f t="shared" si="1"/>
        <v>43312</v>
      </c>
      <c r="B8" s="48" t="s">
        <v>46</v>
      </c>
      <c r="C8" s="85">
        <f>Multi_Family!E32</f>
        <v>0.613125</v>
      </c>
      <c r="D8" s="86">
        <f>Multi_Family!E34</f>
        <v>14.4534</v>
      </c>
      <c r="E8" s="85">
        <f>Multi_Family!E35</f>
        <v>0</v>
      </c>
      <c r="F8" s="85">
        <f>Multi_Family!E30</f>
        <v>1.348875</v>
      </c>
      <c r="G8" s="85">
        <f>Multi_Family!E33</f>
        <v>0</v>
      </c>
      <c r="H8" s="85">
        <f>Multi_Family!E37</f>
        <v>42.248400000000004</v>
      </c>
      <c r="I8" s="85">
        <f>Multi_Family!E31/2</f>
        <v>1.8352875000000002</v>
      </c>
      <c r="J8" s="85">
        <f>Multi_Family!E31/2</f>
        <v>1.8352875000000002</v>
      </c>
      <c r="K8" s="85">
        <f>Multi_Family!E28</f>
        <v>14.56785</v>
      </c>
      <c r="L8" s="85">
        <f>Multi_Family!E36</f>
        <v>4.847775000000011</v>
      </c>
      <c r="M8" s="45"/>
      <c r="N8" s="110">
        <f t="shared" si="0"/>
        <v>81.75000000000003</v>
      </c>
      <c r="P8" s="50"/>
    </row>
    <row r="9" spans="1:16" ht="12.75">
      <c r="A9" s="47">
        <f t="shared" si="1"/>
        <v>43343</v>
      </c>
      <c r="B9" s="48" t="s">
        <v>47</v>
      </c>
      <c r="C9" s="85">
        <f>Multi_Family!F32</f>
        <v>0.60195</v>
      </c>
      <c r="D9" s="86">
        <f>Multi_Family!F34</f>
        <v>14.189968000000002</v>
      </c>
      <c r="E9" s="85">
        <f>Multi_Family!F35</f>
        <v>0</v>
      </c>
      <c r="F9" s="85">
        <f>Multi_Family!F30</f>
        <v>1.3242900000000002</v>
      </c>
      <c r="G9" s="85">
        <f>Multi_Family!F33</f>
        <v>0</v>
      </c>
      <c r="H9" s="85">
        <f>Multi_Family!F37</f>
        <v>41.478368</v>
      </c>
      <c r="I9" s="85">
        <f>Multi_Family!F31/2</f>
        <v>1.8018370000000001</v>
      </c>
      <c r="J9" s="85">
        <f>Multi_Family!F31/2</f>
        <v>1.8018370000000001</v>
      </c>
      <c r="K9" s="85">
        <f>Multi_Family!F28</f>
        <v>14.302332</v>
      </c>
      <c r="L9" s="85">
        <f>Multi_Family!F36</f>
        <v>4.759418000000011</v>
      </c>
      <c r="M9" s="45"/>
      <c r="N9" s="110">
        <f t="shared" si="0"/>
        <v>80.26000000000002</v>
      </c>
      <c r="P9" s="50"/>
    </row>
    <row r="10" spans="1:16" ht="12.75">
      <c r="A10" s="47">
        <f t="shared" si="1"/>
        <v>43373</v>
      </c>
      <c r="B10" s="48" t="s">
        <v>48</v>
      </c>
      <c r="C10" s="85">
        <f>Multi_Family!G32</f>
        <v>0.598725</v>
      </c>
      <c r="D10" s="86">
        <f>Multi_Family!G34</f>
        <v>14.113944</v>
      </c>
      <c r="E10" s="85">
        <f>Multi_Family!G35</f>
        <v>0</v>
      </c>
      <c r="F10" s="85">
        <f>Multi_Family!G30</f>
        <v>1.3171950000000001</v>
      </c>
      <c r="G10" s="85">
        <f>Multi_Family!G33</f>
        <v>0</v>
      </c>
      <c r="H10" s="85">
        <f>Multi_Family!G37</f>
        <v>41.256144</v>
      </c>
      <c r="I10" s="85">
        <f>Multi_Family!G31/2</f>
        <v>1.7921835000000002</v>
      </c>
      <c r="J10" s="85">
        <f>Multi_Family!G31/2</f>
        <v>1.7921835000000002</v>
      </c>
      <c r="K10" s="85">
        <f>Multi_Family!G28</f>
        <v>14.225705999999999</v>
      </c>
      <c r="L10" s="85">
        <f>Multi_Family!G36</f>
        <v>4.73391900000001</v>
      </c>
      <c r="M10" s="45"/>
      <c r="N10" s="110">
        <f t="shared" si="0"/>
        <v>79.83000000000001</v>
      </c>
      <c r="P10" s="50"/>
    </row>
    <row r="11" spans="1:16" ht="12.75">
      <c r="A11" s="47">
        <f t="shared" si="1"/>
        <v>43404</v>
      </c>
      <c r="B11" s="48" t="s">
        <v>49</v>
      </c>
      <c r="C11" s="85">
        <f>Multi_Family!H32</f>
        <v>1.00905</v>
      </c>
      <c r="D11" s="86">
        <f>Multi_Family!H34</f>
        <v>23.786672</v>
      </c>
      <c r="E11" s="85">
        <f>Multi_Family!H35</f>
        <v>0</v>
      </c>
      <c r="F11" s="85">
        <f>Multi_Family!H30</f>
        <v>2.21991</v>
      </c>
      <c r="G11" s="85">
        <f>Multi_Family!H33</f>
        <v>0</v>
      </c>
      <c r="H11" s="85">
        <f>Multi_Family!H37</f>
        <v>69.530272</v>
      </c>
      <c r="I11" s="85">
        <f>Multi_Family!H31/2</f>
        <v>3.020423</v>
      </c>
      <c r="J11" s="85">
        <f>Multi_Family!H31/2</f>
        <v>3.020423</v>
      </c>
      <c r="K11" s="85">
        <f>Multi_Family!H28</f>
        <v>23.975028</v>
      </c>
      <c r="L11" s="85">
        <f>Multi_Family!H36</f>
        <v>7.9782220000000175</v>
      </c>
      <c r="M11" s="45"/>
      <c r="N11" s="110">
        <f t="shared" si="0"/>
        <v>134.54</v>
      </c>
      <c r="P11" s="50"/>
    </row>
    <row r="12" spans="1:16" ht="12.75">
      <c r="A12" s="47">
        <f t="shared" si="1"/>
        <v>43434</v>
      </c>
      <c r="B12" s="48" t="s">
        <v>50</v>
      </c>
      <c r="C12" s="85">
        <f>Multi_Family!I32</f>
        <v>0.691125</v>
      </c>
      <c r="D12" s="86">
        <f>Multi_Family!I34</f>
        <v>16.29212</v>
      </c>
      <c r="E12" s="85">
        <f>Multi_Family!I35</f>
        <v>0</v>
      </c>
      <c r="F12" s="85">
        <f>Multi_Family!I30</f>
        <v>1.5204750000000002</v>
      </c>
      <c r="G12" s="85">
        <f>Multi_Family!I33</f>
        <v>0</v>
      </c>
      <c r="H12" s="85">
        <f>Multi_Family!I37</f>
        <v>47.62312000000001</v>
      </c>
      <c r="I12" s="85">
        <f>Multi_Family!I31/2</f>
        <v>2.0687675000000003</v>
      </c>
      <c r="J12" s="85">
        <f>Multi_Family!I31/2</f>
        <v>2.0687675000000003</v>
      </c>
      <c r="K12" s="85">
        <f>Multi_Family!I28</f>
        <v>16.42113</v>
      </c>
      <c r="L12" s="85">
        <f>Multi_Family!I36</f>
        <v>5.464495000000013</v>
      </c>
      <c r="M12" s="45"/>
      <c r="N12" s="110">
        <f t="shared" si="0"/>
        <v>92.15000000000005</v>
      </c>
      <c r="P12" s="50"/>
    </row>
    <row r="13" spans="1:16" s="167" customFormat="1" ht="12.75">
      <c r="A13" s="109">
        <f t="shared" si="1"/>
        <v>43465</v>
      </c>
      <c r="B13" s="71" t="s">
        <v>51</v>
      </c>
      <c r="C13" s="164">
        <f>Multi_Family!J32</f>
        <v>0.85185</v>
      </c>
      <c r="D13" s="165">
        <f>Multi_Family!J34</f>
        <v>20.080944000000002</v>
      </c>
      <c r="E13" s="164">
        <f>Multi_Family!J35</f>
        <v>0</v>
      </c>
      <c r="F13" s="164">
        <f>Multi_Family!J30</f>
        <v>1.8740700000000001</v>
      </c>
      <c r="G13" s="164">
        <f>Multi_Family!J33</f>
        <v>0</v>
      </c>
      <c r="H13" s="164">
        <f>Multi_Family!J37</f>
        <v>58.698144000000006</v>
      </c>
      <c r="I13" s="164">
        <f>Multi_Family!J31/2</f>
        <v>2.549871</v>
      </c>
      <c r="J13" s="164">
        <f>Multi_Family!J31/2</f>
        <v>2.549871</v>
      </c>
      <c r="K13" s="164">
        <f>Multi_Family!J28</f>
        <v>20.239956</v>
      </c>
      <c r="L13" s="164">
        <f>Multi_Family!J36</f>
        <v>6.735294000000015</v>
      </c>
      <c r="M13" s="166"/>
      <c r="N13" s="156">
        <f t="shared" si="0"/>
        <v>113.58000000000001</v>
      </c>
      <c r="P13" s="168"/>
    </row>
    <row r="14" spans="1:16" ht="12.75">
      <c r="A14" s="47">
        <f t="shared" si="1"/>
        <v>43496</v>
      </c>
      <c r="B14" s="48" t="s">
        <v>52</v>
      </c>
      <c r="C14" s="85">
        <f>Multi_Family!K32</f>
        <v>1.066392</v>
      </c>
      <c r="D14" s="86">
        <f>Multi_Family!K34</f>
        <v>11.10825</v>
      </c>
      <c r="E14" s="85">
        <f>Multi_Family!K35</f>
        <v>4.186576</v>
      </c>
      <c r="F14" s="85">
        <f>Multi_Family!K30</f>
        <v>1.72795</v>
      </c>
      <c r="G14" s="85">
        <f>Multi_Family!K33</f>
        <v>0.434456</v>
      </c>
      <c r="H14" s="85">
        <f>Multi_Family!K37</f>
        <v>41.71765</v>
      </c>
      <c r="I14" s="85">
        <f>Multi_Family!K31/2</f>
        <v>3.06094</v>
      </c>
      <c r="J14" s="85">
        <f>Multi_Family!K31/2</f>
        <v>3.06094</v>
      </c>
      <c r="K14" s="85">
        <f>Multi_Family!K28</f>
        <v>18.21753</v>
      </c>
      <c r="L14" s="85">
        <f>Multi_Family!K36</f>
        <v>14.159315999999999</v>
      </c>
      <c r="M14" s="45"/>
      <c r="N14" s="110">
        <f t="shared" si="0"/>
        <v>98.74000000000001</v>
      </c>
      <c r="P14" s="50"/>
    </row>
    <row r="15" spans="1:16" ht="12.75">
      <c r="A15" s="47">
        <f t="shared" si="1"/>
        <v>43524</v>
      </c>
      <c r="B15" s="48" t="s">
        <v>53</v>
      </c>
      <c r="C15" s="85">
        <f>Multi_Family!L32</f>
        <v>1.0287</v>
      </c>
      <c r="D15" s="86">
        <f>Multi_Family!L34</f>
        <v>10.715625000000001</v>
      </c>
      <c r="E15" s="85">
        <f>Multi_Family!L35</f>
        <v>4.0386</v>
      </c>
      <c r="F15" s="85">
        <f>Multi_Family!L30</f>
        <v>1.666875</v>
      </c>
      <c r="G15" s="85">
        <f>Multi_Family!L33</f>
        <v>0.41910000000000003</v>
      </c>
      <c r="H15" s="85">
        <f>Multi_Family!L37</f>
        <v>40.243125</v>
      </c>
      <c r="I15" s="85">
        <f>Multi_Family!L31/2</f>
        <v>2.95275</v>
      </c>
      <c r="J15" s="85">
        <f>Multi_Family!L31/2</f>
        <v>2.95275</v>
      </c>
      <c r="K15" s="85">
        <f>Multi_Family!L28</f>
        <v>17.573625</v>
      </c>
      <c r="L15" s="85">
        <f>Multi_Family!L36</f>
        <v>13.65885</v>
      </c>
      <c r="M15" s="45"/>
      <c r="N15" s="110">
        <f t="shared" si="0"/>
        <v>95.25</v>
      </c>
      <c r="P15" s="50"/>
    </row>
    <row r="16" spans="1:16" ht="12.75">
      <c r="A16" s="47">
        <f t="shared" si="1"/>
        <v>43555</v>
      </c>
      <c r="B16" s="48" t="s">
        <v>54</v>
      </c>
      <c r="C16" s="85">
        <f>Multi_Family!M32</f>
        <v>0.842184</v>
      </c>
      <c r="D16" s="86">
        <f>Multi_Family!M34</f>
        <v>8.77275</v>
      </c>
      <c r="E16" s="85">
        <f>Multi_Family!M35</f>
        <v>3.3063520000000004</v>
      </c>
      <c r="F16" s="85">
        <f>Multi_Family!M30</f>
        <v>1.3646500000000001</v>
      </c>
      <c r="G16" s="85">
        <f>Multi_Family!M33</f>
        <v>0.34311200000000003</v>
      </c>
      <c r="H16" s="85">
        <f>Multi_Family!M37</f>
        <v>32.94655</v>
      </c>
      <c r="I16" s="85">
        <f>Multi_Family!M31/2</f>
        <v>2.41738</v>
      </c>
      <c r="J16" s="85">
        <f>Multi_Family!M31/2</f>
        <v>2.41738</v>
      </c>
      <c r="K16" s="85">
        <f>Multi_Family!M28</f>
        <v>14.387310000000001</v>
      </c>
      <c r="L16" s="85">
        <f>Multi_Family!M36</f>
        <v>11.182332</v>
      </c>
      <c r="M16" s="45"/>
      <c r="N16" s="110">
        <f t="shared" si="0"/>
        <v>77.98</v>
      </c>
      <c r="P16" s="50"/>
    </row>
    <row r="17" spans="1:16" ht="12.75">
      <c r="A17" s="47">
        <f t="shared" si="1"/>
        <v>43585</v>
      </c>
      <c r="B17" s="48" t="s">
        <v>55</v>
      </c>
      <c r="C17" s="85">
        <f>Multi_Family!N32</f>
        <v>0.9132480000000001</v>
      </c>
      <c r="D17" s="86">
        <f>Multi_Family!N34</f>
        <v>9.513</v>
      </c>
      <c r="E17" s="85">
        <f>Multi_Family!N35</f>
        <v>3.585344</v>
      </c>
      <c r="F17" s="85">
        <f>Multi_Family!N30</f>
        <v>1.4798000000000002</v>
      </c>
      <c r="G17" s="85">
        <f>Multi_Family!N33</f>
        <v>0.372064</v>
      </c>
      <c r="H17" s="85">
        <f>Multi_Family!N37</f>
        <v>35.7266</v>
      </c>
      <c r="I17" s="85">
        <f>Multi_Family!N31/2</f>
        <v>2.62136</v>
      </c>
      <c r="J17" s="85">
        <f>Multi_Family!N31/2</f>
        <v>2.62136</v>
      </c>
      <c r="K17" s="85">
        <f>Multi_Family!N28</f>
        <v>15.60132</v>
      </c>
      <c r="L17" s="85">
        <f>Multi_Family!N36</f>
        <v>12.125904</v>
      </c>
      <c r="M17" s="45"/>
      <c r="N17" s="110">
        <f t="shared" si="0"/>
        <v>84.56</v>
      </c>
      <c r="P17" s="50"/>
    </row>
    <row r="18" spans="1:15" ht="12.75">
      <c r="A18" s="51" t="s">
        <v>24</v>
      </c>
      <c r="B18" s="48"/>
      <c r="C18" s="122">
        <f aca="true" t="shared" si="2" ref="C18:L18">SUM(C6:C17)</f>
        <v>9.252474</v>
      </c>
      <c r="D18" s="122">
        <f t="shared" si="2"/>
        <v>167.451593</v>
      </c>
      <c r="E18" s="122">
        <f t="shared" si="2"/>
        <v>15.116872</v>
      </c>
      <c r="F18" s="122">
        <f t="shared" si="2"/>
        <v>18.123565000000003</v>
      </c>
      <c r="G18" s="122">
        <f t="shared" si="2"/>
        <v>1.568732</v>
      </c>
      <c r="H18" s="122">
        <f t="shared" si="2"/>
        <v>522.8642930000001</v>
      </c>
      <c r="I18" s="122">
        <f t="shared" si="2"/>
        <v>27.222267</v>
      </c>
      <c r="J18" s="122">
        <f t="shared" si="2"/>
        <v>27.222267</v>
      </c>
      <c r="K18" s="122">
        <f t="shared" si="2"/>
        <v>194.130117</v>
      </c>
      <c r="L18" s="122">
        <f t="shared" si="2"/>
        <v>93.8378200000001</v>
      </c>
      <c r="M18" s="45"/>
      <c r="N18" s="123">
        <f>SUM(N6:N17)</f>
        <v>1076.7900000000002</v>
      </c>
      <c r="O18" s="49"/>
    </row>
    <row r="19" spans="1:14" ht="12.75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5"/>
      <c r="N19" s="49"/>
    </row>
    <row r="20" spans="1:14" ht="12.75">
      <c r="A20" s="39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5"/>
      <c r="N20" s="49"/>
    </row>
    <row r="21" spans="1:14" ht="12.7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5"/>
      <c r="N21" s="49"/>
    </row>
    <row r="22" spans="1:14" ht="12.7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5"/>
      <c r="N22" s="49"/>
    </row>
    <row r="23" spans="1:14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5"/>
      <c r="N23" s="49"/>
    </row>
    <row r="24" spans="1:14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5"/>
      <c r="N24" s="49"/>
    </row>
    <row r="25" spans="1:14" ht="12.75">
      <c r="A25" s="48"/>
      <c r="B25" s="48"/>
      <c r="C25" s="48"/>
      <c r="E25" s="48"/>
      <c r="F25" s="48"/>
      <c r="G25" s="48"/>
      <c r="H25" s="48"/>
      <c r="I25" s="48"/>
      <c r="J25" s="48"/>
      <c r="K25" s="48"/>
      <c r="L25" s="48"/>
      <c r="M25" s="45"/>
      <c r="N25" s="49"/>
    </row>
    <row r="26" spans="1:14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5"/>
      <c r="N26" s="49"/>
    </row>
    <row r="27" spans="1:14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5"/>
      <c r="N27" s="49"/>
    </row>
    <row r="28" spans="1:14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5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5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5"/>
      <c r="N30" s="48"/>
    </row>
    <row r="31" spans="1:14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5"/>
      <c r="N31" s="48"/>
    </row>
    <row r="32" spans="1:14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5"/>
      <c r="N32" s="48"/>
    </row>
    <row r="33" spans="1:14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5"/>
      <c r="N33" s="48"/>
    </row>
    <row r="34" spans="1:14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5"/>
      <c r="N34" s="48"/>
    </row>
    <row r="35" spans="1:14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5"/>
      <c r="N35" s="48"/>
    </row>
    <row r="36" spans="1:14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5"/>
      <c r="N36" s="48"/>
    </row>
    <row r="37" spans="1:14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5"/>
      <c r="N37" s="48"/>
    </row>
    <row r="38" spans="1:14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5"/>
      <c r="N38" s="48"/>
    </row>
    <row r="39" spans="1:14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4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4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1:14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1:14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1:14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1:14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1:14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1:14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1:14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1:14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1:14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1:14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1:14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1:14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1:14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1:14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1:14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1:14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</row>
    <row r="74" spans="1:14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</row>
    <row r="75" spans="1:14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1:14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1:14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</row>
    <row r="78" spans="1:14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</row>
    <row r="79" spans="1:14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</row>
    <row r="80" spans="1:14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</row>
    <row r="81" spans="1:14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1:14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</row>
    <row r="83" spans="1:14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</row>
    <row r="84" spans="1:14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</row>
    <row r="85" spans="1:14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</row>
    <row r="86" spans="1:14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</row>
    <row r="87" spans="1:14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</row>
    <row r="88" spans="1:14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</row>
    <row r="89" spans="1:14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</row>
    <row r="90" spans="1:14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spans="1:14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</row>
    <row r="93" spans="1:14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</row>
    <row r="94" spans="1:14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</row>
    <row r="95" spans="1:14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</row>
    <row r="96" spans="1:14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</row>
    <row r="97" spans="1:14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</row>
    <row r="98" spans="1:14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</row>
    <row r="99" spans="1:14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</row>
    <row r="100" spans="1:14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</row>
    <row r="101" spans="1:14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</row>
    <row r="102" spans="1:14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</row>
    <row r="103" spans="1:14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</row>
    <row r="104" spans="1:14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</row>
    <row r="105" spans="1:14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</row>
    <row r="106" spans="1:14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1:14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</row>
    <row r="108" spans="1:14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</row>
    <row r="109" spans="1:14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</row>
    <row r="110" spans="1:14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</row>
    <row r="111" spans="1:14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</row>
    <row r="112" spans="1:14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</row>
    <row r="113" spans="1:14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</row>
    <row r="114" spans="1:14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</row>
    <row r="115" spans="1:14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</row>
    <row r="116" spans="1:14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</row>
    <row r="117" spans="1:14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</row>
    <row r="118" spans="1:14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</row>
  </sheetData>
  <sheetProtection/>
  <printOptions/>
  <pageMargins left="0.5" right="0.5" top="0.75" bottom="0.7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5"/>
  <sheetViews>
    <sheetView zoomScalePageLayoutView="0" workbookViewId="0" topLeftCell="A1">
      <pane xSplit="2" ySplit="6" topLeftCell="C46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N80" sqref="N80"/>
    </sheetView>
  </sheetViews>
  <sheetFormatPr defaultColWidth="9.140625" defaultRowHeight="12.75"/>
  <cols>
    <col min="1" max="1" width="6.00390625" style="48" customWidth="1"/>
    <col min="2" max="2" width="17.8515625" style="48" customWidth="1"/>
    <col min="3" max="4" width="9.8515625" style="48" customWidth="1"/>
    <col min="5" max="5" width="11.28125" style="48" customWidth="1"/>
    <col min="6" max="7" width="9.57421875" style="48" customWidth="1"/>
    <col min="8" max="8" width="9.8515625" style="48" customWidth="1"/>
    <col min="9" max="9" width="10.421875" style="48" customWidth="1"/>
    <col min="10" max="10" width="10.7109375" style="48" customWidth="1"/>
    <col min="11" max="11" width="9.140625" style="48" customWidth="1"/>
    <col min="12" max="12" width="9.140625" style="71" customWidth="1"/>
    <col min="13" max="14" width="9.140625" style="48" customWidth="1"/>
    <col min="15" max="15" width="10.7109375" style="48" bestFit="1" customWidth="1"/>
    <col min="16" max="16384" width="9.140625" style="48" customWidth="1"/>
  </cols>
  <sheetData>
    <row r="1" ht="11.25"/>
    <row r="2" spans="2:3" ht="11.25">
      <c r="B2" s="62" t="str">
        <f>+'WUTC_AW of Lynnwood_MF'!A1</f>
        <v>Rabanco Ltd (dba Allied Waste of Lynnwood)</v>
      </c>
      <c r="C2" s="63"/>
    </row>
    <row r="3" ht="11.25">
      <c r="C3" s="63"/>
    </row>
    <row r="4" spans="3:10" ht="11.25">
      <c r="C4" s="64"/>
      <c r="D4" s="64"/>
      <c r="E4" s="64"/>
      <c r="F4" s="64"/>
      <c r="G4" s="64"/>
      <c r="H4" s="65"/>
      <c r="I4" s="65"/>
      <c r="J4" s="62"/>
    </row>
    <row r="5" spans="3:10" ht="11.25">
      <c r="C5" s="64"/>
      <c r="D5" s="64"/>
      <c r="E5" s="64"/>
      <c r="F5" s="64"/>
      <c r="G5" s="64"/>
      <c r="H5" s="65"/>
      <c r="I5" s="65"/>
      <c r="J5" s="64"/>
    </row>
    <row r="6" spans="3:14" ht="9.75" customHeight="1">
      <c r="C6" s="66">
        <v>43221</v>
      </c>
      <c r="D6" s="66">
        <f aca="true" t="shared" si="0" ref="D6:N6">EOMONTH(C6,1)</f>
        <v>43281</v>
      </c>
      <c r="E6" s="66">
        <f t="shared" si="0"/>
        <v>43312</v>
      </c>
      <c r="F6" s="66">
        <f t="shared" si="0"/>
        <v>43343</v>
      </c>
      <c r="G6" s="66">
        <f t="shared" si="0"/>
        <v>43373</v>
      </c>
      <c r="H6" s="66">
        <f t="shared" si="0"/>
        <v>43404</v>
      </c>
      <c r="I6" s="66">
        <f t="shared" si="0"/>
        <v>43434</v>
      </c>
      <c r="J6" s="66">
        <f t="shared" si="0"/>
        <v>43465</v>
      </c>
      <c r="K6" s="66">
        <f t="shared" si="0"/>
        <v>43496</v>
      </c>
      <c r="L6" s="66">
        <f t="shared" si="0"/>
        <v>43524</v>
      </c>
      <c r="M6" s="66">
        <f t="shared" si="0"/>
        <v>43555</v>
      </c>
      <c r="N6" s="66">
        <f t="shared" si="0"/>
        <v>43585</v>
      </c>
    </row>
    <row r="7" spans="1:14" s="49" customFormat="1" ht="11.25">
      <c r="A7" s="67" t="s">
        <v>25</v>
      </c>
      <c r="C7" s="106">
        <v>72.5</v>
      </c>
      <c r="D7" s="148">
        <v>65.65</v>
      </c>
      <c r="E7" s="106">
        <v>81.75</v>
      </c>
      <c r="F7" s="106">
        <v>80.26</v>
      </c>
      <c r="G7" s="106">
        <v>79.83</v>
      </c>
      <c r="H7" s="106">
        <v>134.54</v>
      </c>
      <c r="I7" s="106">
        <v>92.15</v>
      </c>
      <c r="J7" s="106">
        <v>113.58</v>
      </c>
      <c r="K7" s="106">
        <v>98.74</v>
      </c>
      <c r="L7" s="106">
        <v>95.25</v>
      </c>
      <c r="M7" s="106">
        <v>77.98</v>
      </c>
      <c r="N7" s="106">
        <v>84.56</v>
      </c>
    </row>
    <row r="8" spans="1:14" ht="11.25">
      <c r="A8" s="48" t="s">
        <v>26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</row>
    <row r="9" spans="1:14" ht="11.25">
      <c r="A9" s="48" t="s">
        <v>27</v>
      </c>
      <c r="C9" s="69">
        <f aca="true" t="shared" si="1" ref="C9:N9">+C7*C8</f>
        <v>0</v>
      </c>
      <c r="D9" s="69">
        <f t="shared" si="1"/>
        <v>0</v>
      </c>
      <c r="E9" s="69">
        <f t="shared" si="1"/>
        <v>0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>
        <f t="shared" si="1"/>
        <v>0</v>
      </c>
      <c r="J9" s="69">
        <f t="shared" si="1"/>
        <v>0</v>
      </c>
      <c r="K9" s="69">
        <f t="shared" si="1"/>
        <v>0</v>
      </c>
      <c r="L9" s="150">
        <f t="shared" si="1"/>
        <v>0</v>
      </c>
      <c r="M9" s="69">
        <f t="shared" si="1"/>
        <v>0</v>
      </c>
      <c r="N9" s="69">
        <f t="shared" si="1"/>
        <v>0</v>
      </c>
    </row>
    <row r="10" spans="1:14" ht="11.25">
      <c r="A10" s="62" t="s">
        <v>28</v>
      </c>
      <c r="C10" s="70">
        <f aca="true" t="shared" si="2" ref="C10:N10">+C7-C9</f>
        <v>72.5</v>
      </c>
      <c r="D10" s="70">
        <f t="shared" si="2"/>
        <v>65.65</v>
      </c>
      <c r="E10" s="70">
        <f t="shared" si="2"/>
        <v>81.75</v>
      </c>
      <c r="F10" s="70">
        <f t="shared" si="2"/>
        <v>80.26</v>
      </c>
      <c r="G10" s="70">
        <f t="shared" si="2"/>
        <v>79.83</v>
      </c>
      <c r="H10" s="70">
        <f t="shared" si="2"/>
        <v>134.54</v>
      </c>
      <c r="I10" s="70">
        <f t="shared" si="2"/>
        <v>92.15</v>
      </c>
      <c r="J10" s="70">
        <f t="shared" si="2"/>
        <v>113.58</v>
      </c>
      <c r="K10" s="70">
        <f t="shared" si="2"/>
        <v>98.74</v>
      </c>
      <c r="L10" s="151">
        <f t="shared" si="2"/>
        <v>95.25</v>
      </c>
      <c r="M10" s="70">
        <f t="shared" si="2"/>
        <v>77.98</v>
      </c>
      <c r="N10" s="70">
        <f t="shared" si="2"/>
        <v>84.56</v>
      </c>
    </row>
    <row r="11" ht="11.25"/>
    <row r="12" ht="11.25">
      <c r="A12" s="62" t="s">
        <v>29</v>
      </c>
    </row>
    <row r="13" spans="2:14" s="71" customFormat="1" ht="11.25">
      <c r="B13" s="71" t="s">
        <v>16</v>
      </c>
      <c r="C13" s="107">
        <v>0</v>
      </c>
      <c r="D13" s="107">
        <f>+C13</f>
        <v>0</v>
      </c>
      <c r="E13" s="107">
        <f>+D13</f>
        <v>0</v>
      </c>
      <c r="F13" s="107">
        <f>+E13</f>
        <v>0</v>
      </c>
      <c r="G13" s="107">
        <f>+F13</f>
        <v>0</v>
      </c>
      <c r="H13" s="107">
        <f>+G13</f>
        <v>0</v>
      </c>
      <c r="I13" s="107">
        <f aca="true" t="shared" si="3" ref="I13:J23">+H13</f>
        <v>0</v>
      </c>
      <c r="J13" s="107">
        <f t="shared" si="3"/>
        <v>0</v>
      </c>
      <c r="K13" s="107">
        <v>0</v>
      </c>
      <c r="L13" s="107">
        <v>0</v>
      </c>
      <c r="M13" s="107">
        <v>0</v>
      </c>
      <c r="N13" s="107">
        <v>0</v>
      </c>
    </row>
    <row r="14" spans="2:14" s="71" customFormat="1" ht="11.25">
      <c r="B14" s="71" t="s">
        <v>20</v>
      </c>
      <c r="C14" s="107">
        <v>0.1782</v>
      </c>
      <c r="D14" s="107">
        <f aca="true" t="shared" si="4" ref="D14:H23">+C14</f>
        <v>0.1782</v>
      </c>
      <c r="E14" s="107">
        <f t="shared" si="4"/>
        <v>0.1782</v>
      </c>
      <c r="F14" s="107">
        <f t="shared" si="4"/>
        <v>0.1782</v>
      </c>
      <c r="G14" s="107">
        <f t="shared" si="4"/>
        <v>0.1782</v>
      </c>
      <c r="H14" s="107">
        <f t="shared" si="4"/>
        <v>0.1782</v>
      </c>
      <c r="I14" s="107">
        <f t="shared" si="3"/>
        <v>0.1782</v>
      </c>
      <c r="J14" s="107">
        <f t="shared" si="3"/>
        <v>0.1782</v>
      </c>
      <c r="K14" s="107">
        <v>0.1845</v>
      </c>
      <c r="L14" s="107">
        <v>0.1845</v>
      </c>
      <c r="M14" s="107">
        <v>0.1845</v>
      </c>
      <c r="N14" s="107">
        <v>0.1845</v>
      </c>
    </row>
    <row r="15" spans="2:14" s="71" customFormat="1" ht="11.25">
      <c r="B15" s="71" t="s">
        <v>30</v>
      </c>
      <c r="C15" s="107">
        <v>0</v>
      </c>
      <c r="D15" s="107">
        <f t="shared" si="4"/>
        <v>0</v>
      </c>
      <c r="E15" s="107">
        <f t="shared" si="4"/>
        <v>0</v>
      </c>
      <c r="F15" s="107">
        <f t="shared" si="4"/>
        <v>0</v>
      </c>
      <c r="G15" s="107">
        <f t="shared" si="4"/>
        <v>0</v>
      </c>
      <c r="H15" s="107">
        <f t="shared" si="4"/>
        <v>0</v>
      </c>
      <c r="I15" s="107">
        <f t="shared" si="3"/>
        <v>0</v>
      </c>
      <c r="J15" s="107">
        <f t="shared" si="3"/>
        <v>0</v>
      </c>
      <c r="K15" s="107">
        <v>0</v>
      </c>
      <c r="L15" s="107">
        <v>0</v>
      </c>
      <c r="M15" s="107">
        <v>0</v>
      </c>
      <c r="N15" s="107">
        <v>0</v>
      </c>
    </row>
    <row r="16" spans="2:14" s="71" customFormat="1" ht="11.25">
      <c r="B16" s="71" t="s">
        <v>31</v>
      </c>
      <c r="C16" s="107">
        <v>0.0165</v>
      </c>
      <c r="D16" s="107">
        <f t="shared" si="4"/>
        <v>0.0165</v>
      </c>
      <c r="E16" s="107">
        <f t="shared" si="4"/>
        <v>0.0165</v>
      </c>
      <c r="F16" s="107">
        <f t="shared" si="4"/>
        <v>0.0165</v>
      </c>
      <c r="G16" s="107">
        <f t="shared" si="4"/>
        <v>0.0165</v>
      </c>
      <c r="H16" s="107">
        <f t="shared" si="4"/>
        <v>0.0165</v>
      </c>
      <c r="I16" s="107">
        <f t="shared" si="3"/>
        <v>0.0165</v>
      </c>
      <c r="J16" s="107">
        <f t="shared" si="3"/>
        <v>0.0165</v>
      </c>
      <c r="K16" s="107">
        <v>0.0175</v>
      </c>
      <c r="L16" s="107">
        <v>0.0175</v>
      </c>
      <c r="M16" s="107">
        <v>0.0175</v>
      </c>
      <c r="N16" s="107">
        <v>0.0175</v>
      </c>
    </row>
    <row r="17" spans="2:14" s="71" customFormat="1" ht="11.25">
      <c r="B17" s="71" t="s">
        <v>32</v>
      </c>
      <c r="C17" s="107">
        <v>0.0449</v>
      </c>
      <c r="D17" s="107">
        <f t="shared" si="4"/>
        <v>0.0449</v>
      </c>
      <c r="E17" s="107">
        <f t="shared" si="4"/>
        <v>0.0449</v>
      </c>
      <c r="F17" s="107">
        <f t="shared" si="4"/>
        <v>0.0449</v>
      </c>
      <c r="G17" s="107">
        <f t="shared" si="4"/>
        <v>0.0449</v>
      </c>
      <c r="H17" s="107">
        <f t="shared" si="4"/>
        <v>0.0449</v>
      </c>
      <c r="I17" s="107">
        <f t="shared" si="3"/>
        <v>0.0449</v>
      </c>
      <c r="J17" s="107">
        <f t="shared" si="3"/>
        <v>0.0449</v>
      </c>
      <c r="K17" s="107">
        <v>0.062</v>
      </c>
      <c r="L17" s="107">
        <v>0.062</v>
      </c>
      <c r="M17" s="107">
        <v>0.062</v>
      </c>
      <c r="N17" s="107">
        <v>0.062</v>
      </c>
    </row>
    <row r="18" spans="2:14" s="71" customFormat="1" ht="11.25">
      <c r="B18" s="71" t="s">
        <v>33</v>
      </c>
      <c r="C18" s="107">
        <v>0.0075</v>
      </c>
      <c r="D18" s="107">
        <f t="shared" si="4"/>
        <v>0.0075</v>
      </c>
      <c r="E18" s="107">
        <f t="shared" si="4"/>
        <v>0.0075</v>
      </c>
      <c r="F18" s="107">
        <f t="shared" si="4"/>
        <v>0.0075</v>
      </c>
      <c r="G18" s="107">
        <f t="shared" si="4"/>
        <v>0.0075</v>
      </c>
      <c r="H18" s="107">
        <f t="shared" si="4"/>
        <v>0.0075</v>
      </c>
      <c r="I18" s="107">
        <f t="shared" si="3"/>
        <v>0.0075</v>
      </c>
      <c r="J18" s="107">
        <f t="shared" si="3"/>
        <v>0.0075</v>
      </c>
      <c r="K18" s="107">
        <v>0.0108</v>
      </c>
      <c r="L18" s="107">
        <v>0.0108</v>
      </c>
      <c r="M18" s="107">
        <v>0.0108</v>
      </c>
      <c r="N18" s="107">
        <v>0.0108</v>
      </c>
    </row>
    <row r="19" spans="2:14" s="71" customFormat="1" ht="11.25">
      <c r="B19" s="48" t="s">
        <v>34</v>
      </c>
      <c r="C19" s="107">
        <v>0</v>
      </c>
      <c r="D19" s="107">
        <f t="shared" si="4"/>
        <v>0</v>
      </c>
      <c r="E19" s="107">
        <f t="shared" si="4"/>
        <v>0</v>
      </c>
      <c r="F19" s="107">
        <f t="shared" si="4"/>
        <v>0</v>
      </c>
      <c r="G19" s="107">
        <f t="shared" si="4"/>
        <v>0</v>
      </c>
      <c r="H19" s="107">
        <f t="shared" si="4"/>
        <v>0</v>
      </c>
      <c r="I19" s="107">
        <f t="shared" si="3"/>
        <v>0</v>
      </c>
      <c r="J19" s="107">
        <f t="shared" si="3"/>
        <v>0</v>
      </c>
      <c r="K19" s="107">
        <v>0.0044</v>
      </c>
      <c r="L19" s="107">
        <v>0.0044</v>
      </c>
      <c r="M19" s="107">
        <v>0.0044</v>
      </c>
      <c r="N19" s="107">
        <v>0.0044</v>
      </c>
    </row>
    <row r="20" spans="2:14" s="71" customFormat="1" ht="11.25">
      <c r="B20" s="48" t="s">
        <v>15</v>
      </c>
      <c r="C20" s="107">
        <v>0.1768</v>
      </c>
      <c r="D20" s="107">
        <f t="shared" si="4"/>
        <v>0.1768</v>
      </c>
      <c r="E20" s="107">
        <f t="shared" si="4"/>
        <v>0.1768</v>
      </c>
      <c r="F20" s="107">
        <f t="shared" si="4"/>
        <v>0.1768</v>
      </c>
      <c r="G20" s="107">
        <f t="shared" si="4"/>
        <v>0.1768</v>
      </c>
      <c r="H20" s="107">
        <f t="shared" si="4"/>
        <v>0.1768</v>
      </c>
      <c r="I20" s="107">
        <f t="shared" si="3"/>
        <v>0.1768</v>
      </c>
      <c r="J20" s="107">
        <f t="shared" si="3"/>
        <v>0.1768</v>
      </c>
      <c r="K20" s="107">
        <v>0.1125</v>
      </c>
      <c r="L20" s="107">
        <v>0.1125</v>
      </c>
      <c r="M20" s="107">
        <v>0.1125</v>
      </c>
      <c r="N20" s="107">
        <v>0.1125</v>
      </c>
    </row>
    <row r="21" spans="2:14" s="71" customFormat="1" ht="11.25">
      <c r="B21" s="71" t="s">
        <v>89</v>
      </c>
      <c r="C21" s="107">
        <v>0</v>
      </c>
      <c r="D21" s="107">
        <f t="shared" si="4"/>
        <v>0</v>
      </c>
      <c r="E21" s="107">
        <f t="shared" si="4"/>
        <v>0</v>
      </c>
      <c r="F21" s="107">
        <f t="shared" si="4"/>
        <v>0</v>
      </c>
      <c r="G21" s="107">
        <f t="shared" si="4"/>
        <v>0</v>
      </c>
      <c r="H21" s="107">
        <f t="shared" si="4"/>
        <v>0</v>
      </c>
      <c r="I21" s="107">
        <f t="shared" si="3"/>
        <v>0</v>
      </c>
      <c r="J21" s="107">
        <f t="shared" si="3"/>
        <v>0</v>
      </c>
      <c r="K21" s="107">
        <v>0.0424</v>
      </c>
      <c r="L21" s="107">
        <v>0.0424</v>
      </c>
      <c r="M21" s="107">
        <v>0.0424</v>
      </c>
      <c r="N21" s="107">
        <v>0.0424</v>
      </c>
    </row>
    <row r="22" spans="2:14" s="71" customFormat="1" ht="11.25">
      <c r="B22" s="71" t="s">
        <v>35</v>
      </c>
      <c r="C22" s="107">
        <v>0.05930000000000013</v>
      </c>
      <c r="D22" s="107">
        <f t="shared" si="4"/>
        <v>0.05930000000000013</v>
      </c>
      <c r="E22" s="107">
        <f t="shared" si="4"/>
        <v>0.05930000000000013</v>
      </c>
      <c r="F22" s="107">
        <f t="shared" si="4"/>
        <v>0.05930000000000013</v>
      </c>
      <c r="G22" s="107">
        <f t="shared" si="4"/>
        <v>0.05930000000000013</v>
      </c>
      <c r="H22" s="107">
        <f t="shared" si="4"/>
        <v>0.05930000000000013</v>
      </c>
      <c r="I22" s="107">
        <f t="shared" si="3"/>
        <v>0.05930000000000013</v>
      </c>
      <c r="J22" s="107">
        <f t="shared" si="3"/>
        <v>0.05930000000000013</v>
      </c>
      <c r="K22" s="107">
        <v>0.1434</v>
      </c>
      <c r="L22" s="107">
        <v>0.1434</v>
      </c>
      <c r="M22" s="107">
        <v>0.1434</v>
      </c>
      <c r="N22" s="107">
        <v>0.1434</v>
      </c>
    </row>
    <row r="23" spans="2:14" s="71" customFormat="1" ht="11.25">
      <c r="B23" s="71" t="s">
        <v>36</v>
      </c>
      <c r="C23" s="108">
        <v>0.5168</v>
      </c>
      <c r="D23" s="107">
        <f t="shared" si="4"/>
        <v>0.5168</v>
      </c>
      <c r="E23" s="107">
        <f t="shared" si="4"/>
        <v>0.5168</v>
      </c>
      <c r="F23" s="107">
        <f t="shared" si="4"/>
        <v>0.5168</v>
      </c>
      <c r="G23" s="107">
        <f t="shared" si="4"/>
        <v>0.5168</v>
      </c>
      <c r="H23" s="107">
        <f t="shared" si="4"/>
        <v>0.5168</v>
      </c>
      <c r="I23" s="107">
        <f t="shared" si="3"/>
        <v>0.5168</v>
      </c>
      <c r="J23" s="107">
        <f t="shared" si="3"/>
        <v>0.5168</v>
      </c>
      <c r="K23" s="107">
        <v>0.4225</v>
      </c>
      <c r="L23" s="107">
        <v>0.4225</v>
      </c>
      <c r="M23" s="107">
        <v>0.4225</v>
      </c>
      <c r="N23" s="107">
        <v>0.4225</v>
      </c>
    </row>
    <row r="24" spans="3:14" ht="11.25">
      <c r="C24" s="72">
        <v>1</v>
      </c>
      <c r="D24" s="72">
        <v>1</v>
      </c>
      <c r="E24" s="72">
        <v>1</v>
      </c>
      <c r="F24" s="72">
        <v>1</v>
      </c>
      <c r="G24" s="72">
        <v>1</v>
      </c>
      <c r="H24" s="72">
        <v>1</v>
      </c>
      <c r="I24" s="72">
        <v>1</v>
      </c>
      <c r="J24" s="72">
        <v>1</v>
      </c>
      <c r="K24" s="72">
        <v>1</v>
      </c>
      <c r="L24" s="152">
        <v>1</v>
      </c>
      <c r="M24" s="72">
        <v>1</v>
      </c>
      <c r="N24" s="72">
        <v>1</v>
      </c>
    </row>
    <row r="26" ht="11.25">
      <c r="A26" s="62" t="s">
        <v>37</v>
      </c>
    </row>
    <row r="27" spans="2:14" ht="11.25">
      <c r="B27" s="48" t="s">
        <v>16</v>
      </c>
      <c r="C27" s="58">
        <f aca="true" t="shared" si="5" ref="C27:C37">+C$10*C13</f>
        <v>0</v>
      </c>
      <c r="D27" s="58">
        <f aca="true" t="shared" si="6" ref="D27:N27">+D$10*D13</f>
        <v>0</v>
      </c>
      <c r="E27" s="58">
        <f t="shared" si="6"/>
        <v>0</v>
      </c>
      <c r="F27" s="58">
        <f t="shared" si="6"/>
        <v>0</v>
      </c>
      <c r="G27" s="58">
        <f t="shared" si="6"/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8">
        <f t="shared" si="6"/>
        <v>0</v>
      </c>
      <c r="L27" s="153">
        <f t="shared" si="6"/>
        <v>0</v>
      </c>
      <c r="M27" s="58">
        <f t="shared" si="6"/>
        <v>0</v>
      </c>
      <c r="N27" s="58">
        <f t="shared" si="6"/>
        <v>0</v>
      </c>
    </row>
    <row r="28" spans="2:14" ht="11.25">
      <c r="B28" s="48" t="s">
        <v>20</v>
      </c>
      <c r="C28" s="58">
        <f t="shared" si="5"/>
        <v>12.9195</v>
      </c>
      <c r="D28" s="58">
        <f aca="true" t="shared" si="7" ref="D28:N28">+D$10*D14</f>
        <v>11.698830000000001</v>
      </c>
      <c r="E28" s="58">
        <f t="shared" si="7"/>
        <v>14.56785</v>
      </c>
      <c r="F28" s="58">
        <f t="shared" si="7"/>
        <v>14.302332</v>
      </c>
      <c r="G28" s="58">
        <f t="shared" si="7"/>
        <v>14.225705999999999</v>
      </c>
      <c r="H28" s="58">
        <f t="shared" si="7"/>
        <v>23.975028</v>
      </c>
      <c r="I28" s="58">
        <f t="shared" si="7"/>
        <v>16.42113</v>
      </c>
      <c r="J28" s="58">
        <f t="shared" si="7"/>
        <v>20.239956</v>
      </c>
      <c r="K28" s="58">
        <f t="shared" si="7"/>
        <v>18.21753</v>
      </c>
      <c r="L28" s="153">
        <f t="shared" si="7"/>
        <v>17.573625</v>
      </c>
      <c r="M28" s="58">
        <f t="shared" si="7"/>
        <v>14.387310000000001</v>
      </c>
      <c r="N28" s="58">
        <f t="shared" si="7"/>
        <v>15.60132</v>
      </c>
    </row>
    <row r="29" spans="2:14" ht="11.25">
      <c r="B29" s="48" t="s">
        <v>30</v>
      </c>
      <c r="C29" s="58">
        <f t="shared" si="5"/>
        <v>0</v>
      </c>
      <c r="D29" s="58">
        <f aca="true" t="shared" si="8" ref="D29:N29">+D$10*D15</f>
        <v>0</v>
      </c>
      <c r="E29" s="58">
        <f t="shared" si="8"/>
        <v>0</v>
      </c>
      <c r="F29" s="58">
        <f t="shared" si="8"/>
        <v>0</v>
      </c>
      <c r="G29" s="58">
        <f t="shared" si="8"/>
        <v>0</v>
      </c>
      <c r="H29" s="58">
        <f t="shared" si="8"/>
        <v>0</v>
      </c>
      <c r="I29" s="58">
        <f t="shared" si="8"/>
        <v>0</v>
      </c>
      <c r="J29" s="58">
        <f t="shared" si="8"/>
        <v>0</v>
      </c>
      <c r="K29" s="58">
        <f t="shared" si="8"/>
        <v>0</v>
      </c>
      <c r="L29" s="153">
        <f t="shared" si="8"/>
        <v>0</v>
      </c>
      <c r="M29" s="58">
        <f t="shared" si="8"/>
        <v>0</v>
      </c>
      <c r="N29" s="58">
        <f t="shared" si="8"/>
        <v>0</v>
      </c>
    </row>
    <row r="30" spans="2:14" ht="11.25">
      <c r="B30" s="48" t="s">
        <v>31</v>
      </c>
      <c r="C30" s="58">
        <f t="shared" si="5"/>
        <v>1.19625</v>
      </c>
      <c r="D30" s="58">
        <f aca="true" t="shared" si="9" ref="D30:N30">+D$10*D16</f>
        <v>1.083225</v>
      </c>
      <c r="E30" s="58">
        <f t="shared" si="9"/>
        <v>1.348875</v>
      </c>
      <c r="F30" s="58">
        <f t="shared" si="9"/>
        <v>1.3242900000000002</v>
      </c>
      <c r="G30" s="58">
        <f t="shared" si="9"/>
        <v>1.3171950000000001</v>
      </c>
      <c r="H30" s="58">
        <f t="shared" si="9"/>
        <v>2.21991</v>
      </c>
      <c r="I30" s="58">
        <f t="shared" si="9"/>
        <v>1.5204750000000002</v>
      </c>
      <c r="J30" s="58">
        <f t="shared" si="9"/>
        <v>1.8740700000000001</v>
      </c>
      <c r="K30" s="58">
        <f t="shared" si="9"/>
        <v>1.72795</v>
      </c>
      <c r="L30" s="153">
        <f t="shared" si="9"/>
        <v>1.666875</v>
      </c>
      <c r="M30" s="58">
        <f t="shared" si="9"/>
        <v>1.3646500000000001</v>
      </c>
      <c r="N30" s="58">
        <f t="shared" si="9"/>
        <v>1.4798000000000002</v>
      </c>
    </row>
    <row r="31" spans="2:14" ht="11.25">
      <c r="B31" s="48" t="s">
        <v>32</v>
      </c>
      <c r="C31" s="58">
        <f t="shared" si="5"/>
        <v>3.25525</v>
      </c>
      <c r="D31" s="58">
        <f aca="true" t="shared" si="10" ref="D31:N31">+D$10*D17</f>
        <v>2.9476850000000003</v>
      </c>
      <c r="E31" s="58">
        <f t="shared" si="10"/>
        <v>3.6705750000000004</v>
      </c>
      <c r="F31" s="58">
        <f t="shared" si="10"/>
        <v>3.6036740000000003</v>
      </c>
      <c r="G31" s="58">
        <f t="shared" si="10"/>
        <v>3.5843670000000003</v>
      </c>
      <c r="H31" s="58">
        <f t="shared" si="10"/>
        <v>6.040846</v>
      </c>
      <c r="I31" s="58">
        <f t="shared" si="10"/>
        <v>4.137535000000001</v>
      </c>
      <c r="J31" s="58">
        <f t="shared" si="10"/>
        <v>5.099742</v>
      </c>
      <c r="K31" s="58">
        <f t="shared" si="10"/>
        <v>6.12188</v>
      </c>
      <c r="L31" s="153">
        <f t="shared" si="10"/>
        <v>5.9055</v>
      </c>
      <c r="M31" s="58">
        <f t="shared" si="10"/>
        <v>4.83476</v>
      </c>
      <c r="N31" s="58">
        <f t="shared" si="10"/>
        <v>5.24272</v>
      </c>
    </row>
    <row r="32" spans="2:14" ht="11.25">
      <c r="B32" s="48" t="s">
        <v>33</v>
      </c>
      <c r="C32" s="58">
        <f t="shared" si="5"/>
        <v>0.54375</v>
      </c>
      <c r="D32" s="58">
        <f aca="true" t="shared" si="11" ref="D32:N32">+D$10*D18</f>
        <v>0.492375</v>
      </c>
      <c r="E32" s="58">
        <f t="shared" si="11"/>
        <v>0.613125</v>
      </c>
      <c r="F32" s="58">
        <f t="shared" si="11"/>
        <v>0.60195</v>
      </c>
      <c r="G32" s="58">
        <f t="shared" si="11"/>
        <v>0.598725</v>
      </c>
      <c r="H32" s="58">
        <f t="shared" si="11"/>
        <v>1.00905</v>
      </c>
      <c r="I32" s="58">
        <f t="shared" si="11"/>
        <v>0.691125</v>
      </c>
      <c r="J32" s="58">
        <f t="shared" si="11"/>
        <v>0.85185</v>
      </c>
      <c r="K32" s="58">
        <f t="shared" si="11"/>
        <v>1.066392</v>
      </c>
      <c r="L32" s="153">
        <f t="shared" si="11"/>
        <v>1.0287</v>
      </c>
      <c r="M32" s="58">
        <f t="shared" si="11"/>
        <v>0.842184</v>
      </c>
      <c r="N32" s="58">
        <f t="shared" si="11"/>
        <v>0.9132480000000001</v>
      </c>
    </row>
    <row r="33" spans="2:14" ht="11.25">
      <c r="B33" s="48" t="s">
        <v>34</v>
      </c>
      <c r="C33" s="58">
        <f t="shared" si="5"/>
        <v>0</v>
      </c>
      <c r="D33" s="58">
        <f aca="true" t="shared" si="12" ref="D33:N33">+D$10*D19</f>
        <v>0</v>
      </c>
      <c r="E33" s="58">
        <f t="shared" si="12"/>
        <v>0</v>
      </c>
      <c r="F33" s="58">
        <f t="shared" si="12"/>
        <v>0</v>
      </c>
      <c r="G33" s="58">
        <f t="shared" si="12"/>
        <v>0</v>
      </c>
      <c r="H33" s="58">
        <f t="shared" si="12"/>
        <v>0</v>
      </c>
      <c r="I33" s="58">
        <f t="shared" si="12"/>
        <v>0</v>
      </c>
      <c r="J33" s="58">
        <f t="shared" si="12"/>
        <v>0</v>
      </c>
      <c r="K33" s="58">
        <f t="shared" si="12"/>
        <v>0.434456</v>
      </c>
      <c r="L33" s="153">
        <f t="shared" si="12"/>
        <v>0.41910000000000003</v>
      </c>
      <c r="M33" s="58">
        <f t="shared" si="12"/>
        <v>0.34311200000000003</v>
      </c>
      <c r="N33" s="58">
        <f t="shared" si="12"/>
        <v>0.372064</v>
      </c>
    </row>
    <row r="34" spans="2:14" ht="11.25">
      <c r="B34" s="48" t="s">
        <v>15</v>
      </c>
      <c r="C34" s="58">
        <f t="shared" si="5"/>
        <v>12.818000000000001</v>
      </c>
      <c r="D34" s="58">
        <f aca="true" t="shared" si="13" ref="D34:N34">+D$10*D20</f>
        <v>11.606920000000002</v>
      </c>
      <c r="E34" s="58">
        <f t="shared" si="13"/>
        <v>14.4534</v>
      </c>
      <c r="F34" s="58">
        <f t="shared" si="13"/>
        <v>14.189968000000002</v>
      </c>
      <c r="G34" s="58">
        <f t="shared" si="13"/>
        <v>14.113944</v>
      </c>
      <c r="H34" s="58">
        <f t="shared" si="13"/>
        <v>23.786672</v>
      </c>
      <c r="I34" s="58">
        <f t="shared" si="13"/>
        <v>16.29212</v>
      </c>
      <c r="J34" s="58">
        <f t="shared" si="13"/>
        <v>20.080944000000002</v>
      </c>
      <c r="K34" s="58">
        <f t="shared" si="13"/>
        <v>11.10825</v>
      </c>
      <c r="L34" s="153">
        <f t="shared" si="13"/>
        <v>10.715625000000001</v>
      </c>
      <c r="M34" s="58">
        <f t="shared" si="13"/>
        <v>8.77275</v>
      </c>
      <c r="N34" s="58">
        <f t="shared" si="13"/>
        <v>9.513</v>
      </c>
    </row>
    <row r="35" spans="2:14" ht="11.25">
      <c r="B35" s="71" t="s">
        <v>89</v>
      </c>
      <c r="C35" s="58">
        <f t="shared" si="5"/>
        <v>0</v>
      </c>
      <c r="D35" s="58">
        <f aca="true" t="shared" si="14" ref="D35:N35">+D$10*D21</f>
        <v>0</v>
      </c>
      <c r="E35" s="58">
        <f t="shared" si="14"/>
        <v>0</v>
      </c>
      <c r="F35" s="58">
        <f t="shared" si="14"/>
        <v>0</v>
      </c>
      <c r="G35" s="58">
        <f t="shared" si="14"/>
        <v>0</v>
      </c>
      <c r="H35" s="58">
        <f t="shared" si="14"/>
        <v>0</v>
      </c>
      <c r="I35" s="58">
        <f t="shared" si="14"/>
        <v>0</v>
      </c>
      <c r="J35" s="58">
        <f t="shared" si="14"/>
        <v>0</v>
      </c>
      <c r="K35" s="58">
        <f t="shared" si="14"/>
        <v>4.186576</v>
      </c>
      <c r="L35" s="153">
        <f t="shared" si="14"/>
        <v>4.0386</v>
      </c>
      <c r="M35" s="58">
        <f t="shared" si="14"/>
        <v>3.3063520000000004</v>
      </c>
      <c r="N35" s="58">
        <f t="shared" si="14"/>
        <v>3.585344</v>
      </c>
    </row>
    <row r="36" spans="2:14" ht="11.25">
      <c r="B36" s="48" t="s">
        <v>35</v>
      </c>
      <c r="C36" s="58">
        <f t="shared" si="5"/>
        <v>4.29925000000001</v>
      </c>
      <c r="D36" s="58">
        <f aca="true" t="shared" si="15" ref="D36:N36">+D$10*D22</f>
        <v>3.8930450000000087</v>
      </c>
      <c r="E36" s="58">
        <f t="shared" si="15"/>
        <v>4.847775000000011</v>
      </c>
      <c r="F36" s="58">
        <f t="shared" si="15"/>
        <v>4.759418000000011</v>
      </c>
      <c r="G36" s="58">
        <f t="shared" si="15"/>
        <v>4.73391900000001</v>
      </c>
      <c r="H36" s="58">
        <f t="shared" si="15"/>
        <v>7.9782220000000175</v>
      </c>
      <c r="I36" s="58">
        <f t="shared" si="15"/>
        <v>5.464495000000013</v>
      </c>
      <c r="J36" s="58">
        <f t="shared" si="15"/>
        <v>6.735294000000015</v>
      </c>
      <c r="K36" s="58">
        <f t="shared" si="15"/>
        <v>14.159315999999999</v>
      </c>
      <c r="L36" s="153">
        <f t="shared" si="15"/>
        <v>13.65885</v>
      </c>
      <c r="M36" s="58">
        <f t="shared" si="15"/>
        <v>11.182332</v>
      </c>
      <c r="N36" s="58">
        <f t="shared" si="15"/>
        <v>12.125904</v>
      </c>
    </row>
    <row r="37" spans="2:14" ht="11.25">
      <c r="B37" s="48" t="s">
        <v>36</v>
      </c>
      <c r="C37" s="69">
        <f t="shared" si="5"/>
        <v>37.468</v>
      </c>
      <c r="D37" s="69">
        <f aca="true" t="shared" si="16" ref="D37:N37">+D$10*D23</f>
        <v>33.92792000000001</v>
      </c>
      <c r="E37" s="69">
        <f t="shared" si="16"/>
        <v>42.248400000000004</v>
      </c>
      <c r="F37" s="69">
        <f t="shared" si="16"/>
        <v>41.478368</v>
      </c>
      <c r="G37" s="69">
        <f t="shared" si="16"/>
        <v>41.256144</v>
      </c>
      <c r="H37" s="69">
        <f t="shared" si="16"/>
        <v>69.530272</v>
      </c>
      <c r="I37" s="69">
        <f t="shared" si="16"/>
        <v>47.62312000000001</v>
      </c>
      <c r="J37" s="69">
        <f t="shared" si="16"/>
        <v>58.698144000000006</v>
      </c>
      <c r="K37" s="69">
        <f t="shared" si="16"/>
        <v>41.71765</v>
      </c>
      <c r="L37" s="150">
        <f t="shared" si="16"/>
        <v>40.243125</v>
      </c>
      <c r="M37" s="69">
        <f t="shared" si="16"/>
        <v>32.94655</v>
      </c>
      <c r="N37" s="69">
        <f t="shared" si="16"/>
        <v>35.7266</v>
      </c>
    </row>
    <row r="38" spans="3:14" ht="11.25">
      <c r="C38" s="58">
        <f>SUM(C27:C37)</f>
        <v>72.50000000000001</v>
      </c>
      <c r="D38" s="58">
        <f aca="true" t="shared" si="17" ref="D38:N38">SUM(D27:D37)</f>
        <v>65.65000000000002</v>
      </c>
      <c r="E38" s="58">
        <f t="shared" si="17"/>
        <v>81.75000000000001</v>
      </c>
      <c r="F38" s="58">
        <f t="shared" si="17"/>
        <v>80.26000000000002</v>
      </c>
      <c r="G38" s="58">
        <f t="shared" si="17"/>
        <v>79.83000000000001</v>
      </c>
      <c r="H38" s="58">
        <f t="shared" si="17"/>
        <v>134.54000000000002</v>
      </c>
      <c r="I38" s="58">
        <f t="shared" si="17"/>
        <v>92.15000000000003</v>
      </c>
      <c r="J38" s="58">
        <f t="shared" si="17"/>
        <v>113.58000000000003</v>
      </c>
      <c r="K38" s="58">
        <f t="shared" si="17"/>
        <v>98.74000000000001</v>
      </c>
      <c r="L38" s="153">
        <f t="shared" si="17"/>
        <v>95.25</v>
      </c>
      <c r="M38" s="58">
        <f t="shared" si="17"/>
        <v>77.98</v>
      </c>
      <c r="N38" s="58">
        <f t="shared" si="17"/>
        <v>84.56</v>
      </c>
    </row>
    <row r="40" ht="11.25">
      <c r="A40" s="62" t="s">
        <v>38</v>
      </c>
    </row>
    <row r="41" spans="2:14" ht="11.25">
      <c r="B41" s="48" t="s">
        <v>16</v>
      </c>
      <c r="C41" s="73">
        <v>1</v>
      </c>
      <c r="D41" s="74">
        <v>1</v>
      </c>
      <c r="E41" s="74">
        <v>1</v>
      </c>
      <c r="F41" s="74">
        <v>1</v>
      </c>
      <c r="G41" s="74">
        <v>1</v>
      </c>
      <c r="H41" s="74">
        <v>1</v>
      </c>
      <c r="I41" s="74">
        <v>1</v>
      </c>
      <c r="J41" s="74">
        <v>1</v>
      </c>
      <c r="K41" s="74">
        <v>1</v>
      </c>
      <c r="L41" s="68">
        <v>1</v>
      </c>
      <c r="M41" s="74">
        <v>1</v>
      </c>
      <c r="N41" s="74">
        <v>1</v>
      </c>
    </row>
    <row r="42" spans="2:14" ht="11.25">
      <c r="B42" s="48" t="s">
        <v>20</v>
      </c>
      <c r="C42" s="73">
        <v>1</v>
      </c>
      <c r="D42" s="74">
        <v>1</v>
      </c>
      <c r="E42" s="74">
        <v>1</v>
      </c>
      <c r="F42" s="74">
        <v>1</v>
      </c>
      <c r="G42" s="74">
        <v>1</v>
      </c>
      <c r="H42" s="74">
        <v>1</v>
      </c>
      <c r="I42" s="74">
        <v>1</v>
      </c>
      <c r="J42" s="74">
        <v>1</v>
      </c>
      <c r="K42" s="74">
        <v>1</v>
      </c>
      <c r="L42" s="68">
        <v>1</v>
      </c>
      <c r="M42" s="74">
        <v>1</v>
      </c>
      <c r="N42" s="74">
        <v>1</v>
      </c>
    </row>
    <row r="43" spans="2:14" ht="11.25">
      <c r="B43" s="48" t="s">
        <v>30</v>
      </c>
      <c r="C43" s="73">
        <v>1</v>
      </c>
      <c r="D43" s="74">
        <v>1</v>
      </c>
      <c r="E43" s="74">
        <v>1</v>
      </c>
      <c r="F43" s="74">
        <v>1</v>
      </c>
      <c r="G43" s="74">
        <v>1</v>
      </c>
      <c r="H43" s="74">
        <v>1</v>
      </c>
      <c r="I43" s="74">
        <v>1</v>
      </c>
      <c r="J43" s="74">
        <v>1</v>
      </c>
      <c r="K43" s="74">
        <v>1</v>
      </c>
      <c r="L43" s="68">
        <v>1</v>
      </c>
      <c r="M43" s="74">
        <v>1</v>
      </c>
      <c r="N43" s="74">
        <v>1</v>
      </c>
    </row>
    <row r="44" spans="2:14" ht="11.25">
      <c r="B44" s="48" t="s">
        <v>31</v>
      </c>
      <c r="C44" s="73">
        <v>1</v>
      </c>
      <c r="D44" s="74">
        <v>1</v>
      </c>
      <c r="E44" s="74">
        <v>1</v>
      </c>
      <c r="F44" s="74">
        <v>1</v>
      </c>
      <c r="G44" s="74">
        <v>1</v>
      </c>
      <c r="H44" s="74">
        <v>1</v>
      </c>
      <c r="I44" s="74">
        <v>1</v>
      </c>
      <c r="J44" s="74">
        <v>1</v>
      </c>
      <c r="K44" s="74">
        <v>1</v>
      </c>
      <c r="L44" s="68">
        <v>1</v>
      </c>
      <c r="M44" s="74">
        <v>1</v>
      </c>
      <c r="N44" s="74">
        <v>1</v>
      </c>
    </row>
    <row r="45" spans="2:14" ht="11.25">
      <c r="B45" s="48" t="s">
        <v>32</v>
      </c>
      <c r="C45" s="73">
        <v>1</v>
      </c>
      <c r="D45" s="74">
        <v>1</v>
      </c>
      <c r="E45" s="74">
        <v>1</v>
      </c>
      <c r="F45" s="74">
        <v>1</v>
      </c>
      <c r="G45" s="74">
        <v>1</v>
      </c>
      <c r="H45" s="74">
        <v>1</v>
      </c>
      <c r="I45" s="74">
        <v>1</v>
      </c>
      <c r="J45" s="74">
        <v>1</v>
      </c>
      <c r="K45" s="74">
        <v>1</v>
      </c>
      <c r="L45" s="68">
        <v>1</v>
      </c>
      <c r="M45" s="74">
        <v>1</v>
      </c>
      <c r="N45" s="74">
        <v>1</v>
      </c>
    </row>
    <row r="46" spans="2:14" ht="11.25">
      <c r="B46" s="48" t="s">
        <v>33</v>
      </c>
      <c r="C46" s="73">
        <v>1</v>
      </c>
      <c r="D46" s="74">
        <v>1</v>
      </c>
      <c r="E46" s="74">
        <v>1</v>
      </c>
      <c r="F46" s="74">
        <v>1</v>
      </c>
      <c r="G46" s="74">
        <v>1</v>
      </c>
      <c r="H46" s="74">
        <v>1</v>
      </c>
      <c r="I46" s="74">
        <v>1</v>
      </c>
      <c r="J46" s="74">
        <v>1</v>
      </c>
      <c r="K46" s="74">
        <v>1</v>
      </c>
      <c r="L46" s="68">
        <v>1</v>
      </c>
      <c r="M46" s="74">
        <v>1</v>
      </c>
      <c r="N46" s="74">
        <v>1</v>
      </c>
    </row>
    <row r="47" spans="2:14" ht="11.25">
      <c r="B47" s="48" t="s">
        <v>34</v>
      </c>
      <c r="C47" s="73">
        <v>1</v>
      </c>
      <c r="D47" s="74">
        <v>1</v>
      </c>
      <c r="E47" s="74">
        <v>1</v>
      </c>
      <c r="F47" s="74">
        <v>1</v>
      </c>
      <c r="G47" s="74">
        <v>1</v>
      </c>
      <c r="H47" s="74">
        <v>1</v>
      </c>
      <c r="I47" s="74">
        <v>1</v>
      </c>
      <c r="J47" s="74">
        <v>1</v>
      </c>
      <c r="K47" s="74">
        <v>1</v>
      </c>
      <c r="L47" s="68">
        <v>1</v>
      </c>
      <c r="M47" s="74">
        <v>1</v>
      </c>
      <c r="N47" s="74">
        <v>1</v>
      </c>
    </row>
    <row r="48" spans="2:14" ht="11.25">
      <c r="B48" s="48" t="s">
        <v>15</v>
      </c>
      <c r="C48" s="73">
        <v>1</v>
      </c>
      <c r="D48" s="74">
        <v>1</v>
      </c>
      <c r="E48" s="74">
        <v>1</v>
      </c>
      <c r="F48" s="74">
        <v>1</v>
      </c>
      <c r="G48" s="74">
        <v>1</v>
      </c>
      <c r="H48" s="74">
        <v>1</v>
      </c>
      <c r="I48" s="74">
        <v>1</v>
      </c>
      <c r="J48" s="74">
        <v>1</v>
      </c>
      <c r="K48" s="74">
        <v>1</v>
      </c>
      <c r="L48" s="68">
        <v>1</v>
      </c>
      <c r="M48" s="74">
        <v>1</v>
      </c>
      <c r="N48" s="74">
        <v>1</v>
      </c>
    </row>
    <row r="49" spans="2:14" ht="11.25">
      <c r="B49" s="71" t="s">
        <v>89</v>
      </c>
      <c r="C49" s="73">
        <v>1</v>
      </c>
      <c r="D49" s="74">
        <v>1</v>
      </c>
      <c r="E49" s="74">
        <v>1</v>
      </c>
      <c r="F49" s="74">
        <v>1</v>
      </c>
      <c r="G49" s="74">
        <v>1</v>
      </c>
      <c r="H49" s="74">
        <v>1</v>
      </c>
      <c r="I49" s="74">
        <v>1</v>
      </c>
      <c r="J49" s="74">
        <v>1</v>
      </c>
      <c r="K49" s="74">
        <v>1</v>
      </c>
      <c r="L49" s="68">
        <v>1</v>
      </c>
      <c r="M49" s="74">
        <v>1</v>
      </c>
      <c r="N49" s="74">
        <v>1</v>
      </c>
    </row>
    <row r="50" spans="2:14" ht="11.25">
      <c r="B50" s="48" t="s">
        <v>35</v>
      </c>
      <c r="C50" s="73">
        <v>1</v>
      </c>
      <c r="D50" s="74">
        <v>1</v>
      </c>
      <c r="E50" s="74">
        <v>1</v>
      </c>
      <c r="F50" s="74">
        <v>1</v>
      </c>
      <c r="G50" s="74">
        <v>1</v>
      </c>
      <c r="H50" s="74">
        <v>1</v>
      </c>
      <c r="I50" s="74">
        <v>1</v>
      </c>
      <c r="J50" s="74">
        <v>1</v>
      </c>
      <c r="K50" s="74">
        <v>1</v>
      </c>
      <c r="L50" s="68">
        <v>1</v>
      </c>
      <c r="M50" s="74">
        <v>1</v>
      </c>
      <c r="N50" s="74">
        <v>1</v>
      </c>
    </row>
    <row r="51" spans="3:14" ht="14.25" customHeight="1">
      <c r="C51" s="72"/>
      <c r="D51" s="74"/>
      <c r="E51" s="74"/>
      <c r="F51" s="74"/>
      <c r="G51" s="74"/>
      <c r="H51" s="74"/>
      <c r="I51" s="74"/>
      <c r="J51" s="74"/>
      <c r="K51" s="74"/>
      <c r="L51" s="68"/>
      <c r="M51" s="74"/>
      <c r="N51" s="74"/>
    </row>
    <row r="52" spans="1:14" ht="11.25">
      <c r="A52" s="48" t="s">
        <v>36</v>
      </c>
      <c r="C52" s="72">
        <f>+C65/C37</f>
        <v>0.9999999999999997</v>
      </c>
      <c r="D52" s="74">
        <v>1</v>
      </c>
      <c r="E52" s="74">
        <v>1</v>
      </c>
      <c r="F52" s="74">
        <v>1</v>
      </c>
      <c r="G52" s="74">
        <v>1</v>
      </c>
      <c r="H52" s="74">
        <v>1</v>
      </c>
      <c r="I52" s="74">
        <v>1</v>
      </c>
      <c r="J52" s="74">
        <v>1</v>
      </c>
      <c r="K52" s="74">
        <v>1</v>
      </c>
      <c r="L52" s="68">
        <v>1</v>
      </c>
      <c r="M52" s="74">
        <v>1</v>
      </c>
      <c r="N52" s="74">
        <v>1</v>
      </c>
    </row>
    <row r="53" spans="12:14" ht="11.25">
      <c r="L53" s="152"/>
      <c r="N53" s="74"/>
    </row>
    <row r="54" spans="1:14" ht="11.25">
      <c r="A54" s="62" t="s">
        <v>39</v>
      </c>
      <c r="L54" s="152"/>
      <c r="N54" s="74"/>
    </row>
    <row r="55" spans="2:14" ht="11.25">
      <c r="B55" s="48" t="s">
        <v>16</v>
      </c>
      <c r="C55" s="58">
        <f>+C27*C41</f>
        <v>0</v>
      </c>
      <c r="D55" s="58">
        <f aca="true" t="shared" si="18" ref="D55:N55">+D27*D41</f>
        <v>0</v>
      </c>
      <c r="E55" s="58">
        <f t="shared" si="18"/>
        <v>0</v>
      </c>
      <c r="F55" s="58">
        <f t="shared" si="18"/>
        <v>0</v>
      </c>
      <c r="G55" s="58">
        <f t="shared" si="18"/>
        <v>0</v>
      </c>
      <c r="H55" s="58">
        <f t="shared" si="18"/>
        <v>0</v>
      </c>
      <c r="I55" s="58">
        <f t="shared" si="18"/>
        <v>0</v>
      </c>
      <c r="J55" s="58">
        <f t="shared" si="18"/>
        <v>0</v>
      </c>
      <c r="K55" s="58">
        <f t="shared" si="18"/>
        <v>0</v>
      </c>
      <c r="L55" s="153">
        <f t="shared" si="18"/>
        <v>0</v>
      </c>
      <c r="M55" s="58">
        <f t="shared" si="18"/>
        <v>0</v>
      </c>
      <c r="N55" s="58">
        <f t="shared" si="18"/>
        <v>0</v>
      </c>
    </row>
    <row r="56" spans="2:14" ht="11.25">
      <c r="B56" s="48" t="s">
        <v>20</v>
      </c>
      <c r="C56" s="58">
        <f aca="true" t="shared" si="19" ref="C56:N56">+C28*C42</f>
        <v>12.9195</v>
      </c>
      <c r="D56" s="58">
        <f t="shared" si="19"/>
        <v>11.698830000000001</v>
      </c>
      <c r="E56" s="58">
        <f t="shared" si="19"/>
        <v>14.56785</v>
      </c>
      <c r="F56" s="58">
        <f t="shared" si="19"/>
        <v>14.302332</v>
      </c>
      <c r="G56" s="58">
        <f t="shared" si="19"/>
        <v>14.225705999999999</v>
      </c>
      <c r="H56" s="58">
        <f t="shared" si="19"/>
        <v>23.975028</v>
      </c>
      <c r="I56" s="58">
        <f t="shared" si="19"/>
        <v>16.42113</v>
      </c>
      <c r="J56" s="58">
        <f t="shared" si="19"/>
        <v>20.239956</v>
      </c>
      <c r="K56" s="58">
        <f t="shared" si="19"/>
        <v>18.21753</v>
      </c>
      <c r="L56" s="153">
        <f t="shared" si="19"/>
        <v>17.573625</v>
      </c>
      <c r="M56" s="58">
        <f t="shared" si="19"/>
        <v>14.387310000000001</v>
      </c>
      <c r="N56" s="58">
        <f t="shared" si="19"/>
        <v>15.60132</v>
      </c>
    </row>
    <row r="57" spans="2:14" ht="11.25">
      <c r="B57" s="48" t="s">
        <v>30</v>
      </c>
      <c r="C57" s="58">
        <f aca="true" t="shared" si="20" ref="C57:N57">+C29*C43</f>
        <v>0</v>
      </c>
      <c r="D57" s="58">
        <f t="shared" si="20"/>
        <v>0</v>
      </c>
      <c r="E57" s="58">
        <f t="shared" si="20"/>
        <v>0</v>
      </c>
      <c r="F57" s="58">
        <f t="shared" si="20"/>
        <v>0</v>
      </c>
      <c r="G57" s="58">
        <f t="shared" si="20"/>
        <v>0</v>
      </c>
      <c r="H57" s="58">
        <f t="shared" si="20"/>
        <v>0</v>
      </c>
      <c r="I57" s="58">
        <f t="shared" si="20"/>
        <v>0</v>
      </c>
      <c r="J57" s="58">
        <f t="shared" si="20"/>
        <v>0</v>
      </c>
      <c r="K57" s="58">
        <f t="shared" si="20"/>
        <v>0</v>
      </c>
      <c r="L57" s="153">
        <f t="shared" si="20"/>
        <v>0</v>
      </c>
      <c r="M57" s="58">
        <f t="shared" si="20"/>
        <v>0</v>
      </c>
      <c r="N57" s="58">
        <f t="shared" si="20"/>
        <v>0</v>
      </c>
    </row>
    <row r="58" spans="2:14" ht="11.25">
      <c r="B58" s="48" t="s">
        <v>31</v>
      </c>
      <c r="C58" s="58">
        <f aca="true" t="shared" si="21" ref="C58:N58">+C30*C44</f>
        <v>1.19625</v>
      </c>
      <c r="D58" s="58">
        <f t="shared" si="21"/>
        <v>1.083225</v>
      </c>
      <c r="E58" s="58">
        <f t="shared" si="21"/>
        <v>1.348875</v>
      </c>
      <c r="F58" s="58">
        <f t="shared" si="21"/>
        <v>1.3242900000000002</v>
      </c>
      <c r="G58" s="58">
        <f t="shared" si="21"/>
        <v>1.3171950000000001</v>
      </c>
      <c r="H58" s="58">
        <f t="shared" si="21"/>
        <v>2.21991</v>
      </c>
      <c r="I58" s="58">
        <f t="shared" si="21"/>
        <v>1.5204750000000002</v>
      </c>
      <c r="J58" s="58">
        <f t="shared" si="21"/>
        <v>1.8740700000000001</v>
      </c>
      <c r="K58" s="58">
        <f t="shared" si="21"/>
        <v>1.72795</v>
      </c>
      <c r="L58" s="153">
        <f t="shared" si="21"/>
        <v>1.666875</v>
      </c>
      <c r="M58" s="58">
        <f t="shared" si="21"/>
        <v>1.3646500000000001</v>
      </c>
      <c r="N58" s="58">
        <f t="shared" si="21"/>
        <v>1.4798000000000002</v>
      </c>
    </row>
    <row r="59" spans="2:14" ht="11.25">
      <c r="B59" s="48" t="s">
        <v>32</v>
      </c>
      <c r="C59" s="58">
        <f aca="true" t="shared" si="22" ref="C59:N59">+C31*C45</f>
        <v>3.25525</v>
      </c>
      <c r="D59" s="58">
        <f t="shared" si="22"/>
        <v>2.9476850000000003</v>
      </c>
      <c r="E59" s="58">
        <f t="shared" si="22"/>
        <v>3.6705750000000004</v>
      </c>
      <c r="F59" s="58">
        <f t="shared" si="22"/>
        <v>3.6036740000000003</v>
      </c>
      <c r="G59" s="58">
        <f t="shared" si="22"/>
        <v>3.5843670000000003</v>
      </c>
      <c r="H59" s="58">
        <f t="shared" si="22"/>
        <v>6.040846</v>
      </c>
      <c r="I59" s="58">
        <f t="shared" si="22"/>
        <v>4.137535000000001</v>
      </c>
      <c r="J59" s="58">
        <f t="shared" si="22"/>
        <v>5.099742</v>
      </c>
      <c r="K59" s="58">
        <f t="shared" si="22"/>
        <v>6.12188</v>
      </c>
      <c r="L59" s="153">
        <f t="shared" si="22"/>
        <v>5.9055</v>
      </c>
      <c r="M59" s="58">
        <f t="shared" si="22"/>
        <v>4.83476</v>
      </c>
      <c r="N59" s="58">
        <f t="shared" si="22"/>
        <v>5.24272</v>
      </c>
    </row>
    <row r="60" spans="2:14" ht="11.25">
      <c r="B60" s="48" t="s">
        <v>33</v>
      </c>
      <c r="C60" s="75">
        <f aca="true" t="shared" si="23" ref="C60:N60">+C32*C46</f>
        <v>0.54375</v>
      </c>
      <c r="D60" s="75">
        <f t="shared" si="23"/>
        <v>0.492375</v>
      </c>
      <c r="E60" s="75">
        <f t="shared" si="23"/>
        <v>0.613125</v>
      </c>
      <c r="F60" s="75">
        <f t="shared" si="23"/>
        <v>0.60195</v>
      </c>
      <c r="G60" s="75">
        <f t="shared" si="23"/>
        <v>0.598725</v>
      </c>
      <c r="H60" s="75">
        <f t="shared" si="23"/>
        <v>1.00905</v>
      </c>
      <c r="I60" s="75">
        <f t="shared" si="23"/>
        <v>0.691125</v>
      </c>
      <c r="J60" s="75">
        <f t="shared" si="23"/>
        <v>0.85185</v>
      </c>
      <c r="K60" s="75">
        <f t="shared" si="23"/>
        <v>1.066392</v>
      </c>
      <c r="L60" s="154">
        <f t="shared" si="23"/>
        <v>1.0287</v>
      </c>
      <c r="M60" s="75">
        <f t="shared" si="23"/>
        <v>0.842184</v>
      </c>
      <c r="N60" s="75">
        <f t="shared" si="23"/>
        <v>0.9132480000000001</v>
      </c>
    </row>
    <row r="61" spans="2:14" ht="11.25">
      <c r="B61" s="48" t="s">
        <v>34</v>
      </c>
      <c r="C61" s="58">
        <f aca="true" t="shared" si="24" ref="C61:N61">+C33*C47</f>
        <v>0</v>
      </c>
      <c r="D61" s="58">
        <f t="shared" si="24"/>
        <v>0</v>
      </c>
      <c r="E61" s="58">
        <f t="shared" si="24"/>
        <v>0</v>
      </c>
      <c r="F61" s="58">
        <f t="shared" si="24"/>
        <v>0</v>
      </c>
      <c r="G61" s="58">
        <f t="shared" si="24"/>
        <v>0</v>
      </c>
      <c r="H61" s="58">
        <f t="shared" si="24"/>
        <v>0</v>
      </c>
      <c r="I61" s="58">
        <f t="shared" si="24"/>
        <v>0</v>
      </c>
      <c r="J61" s="58">
        <f t="shared" si="24"/>
        <v>0</v>
      </c>
      <c r="K61" s="58">
        <f t="shared" si="24"/>
        <v>0.434456</v>
      </c>
      <c r="L61" s="153">
        <f t="shared" si="24"/>
        <v>0.41910000000000003</v>
      </c>
      <c r="M61" s="58">
        <f t="shared" si="24"/>
        <v>0.34311200000000003</v>
      </c>
      <c r="N61" s="58">
        <f t="shared" si="24"/>
        <v>0.372064</v>
      </c>
    </row>
    <row r="62" spans="2:14" ht="11.25">
      <c r="B62" s="48" t="s">
        <v>27</v>
      </c>
      <c r="C62" s="58">
        <f aca="true" t="shared" si="25" ref="C62:N62">+C34*C48</f>
        <v>12.818000000000001</v>
      </c>
      <c r="D62" s="58">
        <f t="shared" si="25"/>
        <v>11.606920000000002</v>
      </c>
      <c r="E62" s="58">
        <f t="shared" si="25"/>
        <v>14.4534</v>
      </c>
      <c r="F62" s="58">
        <f t="shared" si="25"/>
        <v>14.189968000000002</v>
      </c>
      <c r="G62" s="58">
        <f t="shared" si="25"/>
        <v>14.113944</v>
      </c>
      <c r="H62" s="58">
        <f t="shared" si="25"/>
        <v>23.786672</v>
      </c>
      <c r="I62" s="58">
        <f t="shared" si="25"/>
        <v>16.29212</v>
      </c>
      <c r="J62" s="58">
        <f t="shared" si="25"/>
        <v>20.080944000000002</v>
      </c>
      <c r="K62" s="58">
        <f t="shared" si="25"/>
        <v>11.10825</v>
      </c>
      <c r="L62" s="153">
        <f t="shared" si="25"/>
        <v>10.715625000000001</v>
      </c>
      <c r="M62" s="58">
        <f t="shared" si="25"/>
        <v>8.77275</v>
      </c>
      <c r="N62" s="58">
        <f t="shared" si="25"/>
        <v>9.513</v>
      </c>
    </row>
    <row r="63" spans="2:14" ht="11.25">
      <c r="B63" s="71" t="s">
        <v>89</v>
      </c>
      <c r="C63" s="58">
        <f aca="true" t="shared" si="26" ref="C63:N63">+C35*C49</f>
        <v>0</v>
      </c>
      <c r="D63" s="58">
        <f t="shared" si="26"/>
        <v>0</v>
      </c>
      <c r="E63" s="58">
        <f t="shared" si="26"/>
        <v>0</v>
      </c>
      <c r="F63" s="58">
        <f t="shared" si="26"/>
        <v>0</v>
      </c>
      <c r="G63" s="58">
        <f t="shared" si="26"/>
        <v>0</v>
      </c>
      <c r="H63" s="58">
        <f t="shared" si="26"/>
        <v>0</v>
      </c>
      <c r="I63" s="58">
        <f t="shared" si="26"/>
        <v>0</v>
      </c>
      <c r="J63" s="58">
        <f t="shared" si="26"/>
        <v>0</v>
      </c>
      <c r="K63" s="58">
        <f t="shared" si="26"/>
        <v>4.186576</v>
      </c>
      <c r="L63" s="153">
        <f t="shared" si="26"/>
        <v>4.0386</v>
      </c>
      <c r="M63" s="58">
        <f t="shared" si="26"/>
        <v>3.3063520000000004</v>
      </c>
      <c r="N63" s="58">
        <f t="shared" si="26"/>
        <v>3.585344</v>
      </c>
    </row>
    <row r="64" spans="2:14" ht="11.25">
      <c r="B64" s="48" t="s">
        <v>35</v>
      </c>
      <c r="C64" s="58">
        <f aca="true" t="shared" si="27" ref="C64:N64">+C36*C50</f>
        <v>4.29925000000001</v>
      </c>
      <c r="D64" s="58">
        <f t="shared" si="27"/>
        <v>3.8930450000000087</v>
      </c>
      <c r="E64" s="58">
        <f t="shared" si="27"/>
        <v>4.847775000000011</v>
      </c>
      <c r="F64" s="58">
        <f t="shared" si="27"/>
        <v>4.759418000000011</v>
      </c>
      <c r="G64" s="58">
        <f t="shared" si="27"/>
        <v>4.73391900000001</v>
      </c>
      <c r="H64" s="58">
        <f t="shared" si="27"/>
        <v>7.9782220000000175</v>
      </c>
      <c r="I64" s="58">
        <f t="shared" si="27"/>
        <v>5.464495000000013</v>
      </c>
      <c r="J64" s="58">
        <f t="shared" si="27"/>
        <v>6.735294000000015</v>
      </c>
      <c r="K64" s="58">
        <f t="shared" si="27"/>
        <v>14.159315999999999</v>
      </c>
      <c r="L64" s="153">
        <f t="shared" si="27"/>
        <v>13.65885</v>
      </c>
      <c r="M64" s="58">
        <f t="shared" si="27"/>
        <v>11.182332</v>
      </c>
      <c r="N64" s="58">
        <f t="shared" si="27"/>
        <v>12.125904</v>
      </c>
    </row>
    <row r="65" spans="2:14" ht="11.25">
      <c r="B65" s="48" t="s">
        <v>36</v>
      </c>
      <c r="C65" s="69">
        <f aca="true" t="shared" si="28" ref="C65:N65">+C7-SUM(C55:C64)</f>
        <v>37.46799999999999</v>
      </c>
      <c r="D65" s="69">
        <f t="shared" si="28"/>
        <v>33.92791999999999</v>
      </c>
      <c r="E65" s="69">
        <f t="shared" si="28"/>
        <v>42.24839999999999</v>
      </c>
      <c r="F65" s="69">
        <f t="shared" si="28"/>
        <v>41.478367999999996</v>
      </c>
      <c r="G65" s="69">
        <f t="shared" si="28"/>
        <v>41.256143999999985</v>
      </c>
      <c r="H65" s="69">
        <f t="shared" si="28"/>
        <v>69.53027199999998</v>
      </c>
      <c r="I65" s="69">
        <f t="shared" si="28"/>
        <v>47.623119999999986</v>
      </c>
      <c r="J65" s="69">
        <f t="shared" si="28"/>
        <v>58.69814399999998</v>
      </c>
      <c r="K65" s="69">
        <f t="shared" si="28"/>
        <v>41.71764999999999</v>
      </c>
      <c r="L65" s="150">
        <f t="shared" si="28"/>
        <v>40.24312499999999</v>
      </c>
      <c r="M65" s="69">
        <f t="shared" si="28"/>
        <v>32.94655</v>
      </c>
      <c r="N65" s="69">
        <f t="shared" si="28"/>
        <v>35.726600000000005</v>
      </c>
    </row>
    <row r="66" spans="3:14" ht="11.25">
      <c r="C66" s="58">
        <f aca="true" t="shared" si="29" ref="C66:N66">SUM(C55:C65)</f>
        <v>72.5</v>
      </c>
      <c r="D66" s="58">
        <f t="shared" si="29"/>
        <v>65.65</v>
      </c>
      <c r="E66" s="58">
        <f t="shared" si="29"/>
        <v>81.75</v>
      </c>
      <c r="F66" s="58">
        <f t="shared" si="29"/>
        <v>80.26</v>
      </c>
      <c r="G66" s="58">
        <f t="shared" si="29"/>
        <v>79.83</v>
      </c>
      <c r="H66" s="58">
        <f t="shared" si="29"/>
        <v>134.54</v>
      </c>
      <c r="I66" s="58">
        <f t="shared" si="29"/>
        <v>92.15</v>
      </c>
      <c r="J66" s="58">
        <f t="shared" si="29"/>
        <v>113.58</v>
      </c>
      <c r="K66" s="58">
        <f t="shared" si="29"/>
        <v>98.74</v>
      </c>
      <c r="L66" s="153">
        <f t="shared" si="29"/>
        <v>95.25</v>
      </c>
      <c r="M66" s="58">
        <f t="shared" si="29"/>
        <v>77.98</v>
      </c>
      <c r="N66" s="58">
        <f t="shared" si="29"/>
        <v>84.56</v>
      </c>
    </row>
    <row r="67" ht="7.5" customHeight="1"/>
    <row r="68" spans="1:5" ht="11.25">
      <c r="A68" s="76" t="s">
        <v>40</v>
      </c>
      <c r="E68" s="48" t="s">
        <v>64</v>
      </c>
    </row>
    <row r="69" spans="2:14" ht="11.25">
      <c r="B69" s="48" t="s">
        <v>16</v>
      </c>
      <c r="C69" s="141"/>
      <c r="D69" s="141"/>
      <c r="E69" s="141"/>
      <c r="F69" s="141"/>
      <c r="G69" s="142"/>
      <c r="H69" s="142"/>
      <c r="I69" s="141"/>
      <c r="J69" s="141"/>
      <c r="K69" s="141"/>
      <c r="L69" s="143"/>
      <c r="M69" s="143"/>
      <c r="N69" s="143"/>
    </row>
    <row r="70" spans="2:16" ht="11.25">
      <c r="B70" s="48" t="s">
        <v>20</v>
      </c>
      <c r="C70" s="141">
        <v>43.519999999999996</v>
      </c>
      <c r="D70" s="141">
        <v>60.11</v>
      </c>
      <c r="E70" s="141">
        <v>68.38</v>
      </c>
      <c r="F70" s="141">
        <v>60.64</v>
      </c>
      <c r="G70" s="142">
        <v>63.85</v>
      </c>
      <c r="H70" s="142">
        <v>71.68</v>
      </c>
      <c r="I70" s="141">
        <v>74.51</v>
      </c>
      <c r="J70" s="141">
        <v>69.15</v>
      </c>
      <c r="K70" s="141">
        <v>75.2</v>
      </c>
      <c r="L70" s="141">
        <v>55.22</v>
      </c>
      <c r="M70" s="141">
        <v>63.45</v>
      </c>
      <c r="N70" s="141">
        <v>53.269</v>
      </c>
      <c r="P70" s="149"/>
    </row>
    <row r="71" spans="2:16" ht="11.25">
      <c r="B71" s="48" t="s">
        <v>30</v>
      </c>
      <c r="C71" s="141"/>
      <c r="D71" s="141"/>
      <c r="E71" s="141"/>
      <c r="F71" s="141"/>
      <c r="G71" s="142"/>
      <c r="H71" s="142"/>
      <c r="I71" s="141"/>
      <c r="J71" s="141"/>
      <c r="K71" s="141"/>
      <c r="L71" s="141"/>
      <c r="M71" s="141"/>
      <c r="N71" s="141"/>
      <c r="P71" s="149"/>
    </row>
    <row r="72" spans="2:16" ht="11.25">
      <c r="B72" s="48" t="s">
        <v>31</v>
      </c>
      <c r="C72" s="141">
        <v>90.64</v>
      </c>
      <c r="D72" s="141">
        <v>93.07</v>
      </c>
      <c r="E72" s="141">
        <v>91.06</v>
      </c>
      <c r="F72" s="141">
        <v>61.85</v>
      </c>
      <c r="G72" s="142">
        <v>69.65</v>
      </c>
      <c r="H72" s="142">
        <v>78.18</v>
      </c>
      <c r="I72" s="141">
        <v>86.28</v>
      </c>
      <c r="J72" s="141">
        <v>78.69</v>
      </c>
      <c r="K72" s="141">
        <v>89.04</v>
      </c>
      <c r="L72" s="141">
        <v>88.48</v>
      </c>
      <c r="M72" s="141">
        <v>100.39</v>
      </c>
      <c r="N72" s="141">
        <v>90.89</v>
      </c>
      <c r="P72" s="149"/>
    </row>
    <row r="73" spans="2:16" ht="11.25">
      <c r="B73" s="48" t="s">
        <v>32</v>
      </c>
      <c r="C73" s="141">
        <v>100.47</v>
      </c>
      <c r="D73" s="141">
        <v>87.96</v>
      </c>
      <c r="E73" s="141">
        <v>109.23</v>
      </c>
      <c r="F73" s="141">
        <v>168.5</v>
      </c>
      <c r="G73" s="142">
        <v>78.83</v>
      </c>
      <c r="H73" s="142">
        <v>75.26</v>
      </c>
      <c r="I73" s="141">
        <v>67.35</v>
      </c>
      <c r="J73" s="141">
        <v>85.02</v>
      </c>
      <c r="K73" s="141">
        <f>((8300.96+6117.13-1920.86)/(66+23+73))+0.25</f>
        <v>77.3933950617284</v>
      </c>
      <c r="L73" s="141">
        <f>(5979.7+3906.27-1596.63)/(44+15+48)</f>
        <v>77.47046728971962</v>
      </c>
      <c r="M73" s="141">
        <f>(7332.84+4826.92+24.73)/(55+19+61)+0.5</f>
        <v>90.75548148148148</v>
      </c>
      <c r="N73" s="141">
        <f>((7677.96+4911.8-98.16)/(54+19+60))+0.4</f>
        <v>94.3218045112782</v>
      </c>
      <c r="P73" s="149"/>
    </row>
    <row r="74" spans="2:16" ht="11.25">
      <c r="B74" s="48" t="s">
        <v>33</v>
      </c>
      <c r="C74" s="141">
        <v>1082.85</v>
      </c>
      <c r="D74" s="141">
        <v>1119.26</v>
      </c>
      <c r="E74" s="141">
        <v>1065.13</v>
      </c>
      <c r="F74" s="141">
        <v>1065.13</v>
      </c>
      <c r="G74" s="142">
        <v>940.58</v>
      </c>
      <c r="H74" s="142">
        <v>918.23</v>
      </c>
      <c r="I74" s="141">
        <v>892.14</v>
      </c>
      <c r="J74" s="141">
        <v>872.05</v>
      </c>
      <c r="K74" s="141">
        <v>896.04</v>
      </c>
      <c r="L74" s="141">
        <v>833.94</v>
      </c>
      <c r="M74" s="141">
        <v>830.9</v>
      </c>
      <c r="N74" s="141">
        <v>866.43</v>
      </c>
      <c r="P74" s="149"/>
    </row>
    <row r="75" spans="2:16" ht="11.25">
      <c r="B75" s="48" t="s">
        <v>34</v>
      </c>
      <c r="C75" s="141"/>
      <c r="D75" s="141"/>
      <c r="E75" s="141"/>
      <c r="F75" s="141"/>
      <c r="G75" s="142"/>
      <c r="H75" s="142"/>
      <c r="I75" s="141"/>
      <c r="J75" s="141"/>
      <c r="K75" s="141">
        <v>50.34</v>
      </c>
      <c r="L75" s="141">
        <v>50.41</v>
      </c>
      <c r="M75" s="141">
        <v>57.02</v>
      </c>
      <c r="N75" s="141">
        <v>52.23</v>
      </c>
      <c r="P75" s="149"/>
    </row>
    <row r="76" spans="2:16" ht="11.25">
      <c r="B76" s="48" t="s">
        <v>27</v>
      </c>
      <c r="C76" s="143">
        <v>-25.26</v>
      </c>
      <c r="D76" s="143">
        <v>-19.13</v>
      </c>
      <c r="E76" s="143">
        <v>-3.5700000000000003</v>
      </c>
      <c r="F76" s="143">
        <v>0.74</v>
      </c>
      <c r="G76" s="144">
        <v>-14.63</v>
      </c>
      <c r="H76" s="144">
        <v>-16.67</v>
      </c>
      <c r="I76" s="141">
        <v>-15.54</v>
      </c>
      <c r="J76" s="141">
        <v>-17.32</v>
      </c>
      <c r="K76" s="141">
        <v>4.22</v>
      </c>
      <c r="L76" s="141">
        <v>5.45</v>
      </c>
      <c r="M76" s="141">
        <v>2.94</v>
      </c>
      <c r="N76" s="141">
        <v>-0.11</v>
      </c>
      <c r="P76" s="149"/>
    </row>
    <row r="77" spans="2:16" ht="11.25">
      <c r="B77" s="71" t="s">
        <v>89</v>
      </c>
      <c r="C77" s="143"/>
      <c r="D77" s="143"/>
      <c r="E77" s="143"/>
      <c r="F77" s="143"/>
      <c r="G77" s="144"/>
      <c r="H77" s="144"/>
      <c r="I77" s="143"/>
      <c r="J77" s="143"/>
      <c r="K77" s="143">
        <v>0</v>
      </c>
      <c r="L77" s="143"/>
      <c r="M77" s="143"/>
      <c r="N77" s="143"/>
      <c r="P77" s="149"/>
    </row>
    <row r="78" spans="2:14" ht="11.25">
      <c r="B78" s="48" t="s">
        <v>35</v>
      </c>
      <c r="C78" s="143">
        <v>-134.59</v>
      </c>
      <c r="D78" s="143">
        <v>-134.59</v>
      </c>
      <c r="E78" s="143">
        <v>-134.59</v>
      </c>
      <c r="F78" s="143">
        <v>-134.59</v>
      </c>
      <c r="G78" s="144">
        <v>-134.59</v>
      </c>
      <c r="H78" s="144">
        <v>-134.59</v>
      </c>
      <c r="I78" s="143">
        <v>-134.59</v>
      </c>
      <c r="J78" s="143">
        <v>-134.59</v>
      </c>
      <c r="K78" s="143">
        <v>-74.22</v>
      </c>
      <c r="L78" s="143">
        <v>-74.22</v>
      </c>
      <c r="M78" s="143">
        <v>-77.29</v>
      </c>
      <c r="N78" s="143">
        <v>-77.29</v>
      </c>
    </row>
    <row r="79" spans="2:15" ht="11.25">
      <c r="B79" s="48" t="s">
        <v>36</v>
      </c>
      <c r="C79" s="141">
        <v>-14.309999999999999</v>
      </c>
      <c r="D79" s="141">
        <v>2</v>
      </c>
      <c r="E79" s="141">
        <v>4.19</v>
      </c>
      <c r="F79" s="141">
        <v>8.42</v>
      </c>
      <c r="G79" s="142">
        <v>26.9</v>
      </c>
      <c r="H79" s="142">
        <v>25.77</v>
      </c>
      <c r="I79" s="141">
        <v>26.88</v>
      </c>
      <c r="J79" s="141">
        <v>19.61</v>
      </c>
      <c r="K79" s="141">
        <v>24.21</v>
      </c>
      <c r="L79" s="141">
        <v>20.91</v>
      </c>
      <c r="M79" s="141">
        <v>16.74</v>
      </c>
      <c r="N79" s="143">
        <f>-6.45+0.4</f>
        <v>-6.05</v>
      </c>
      <c r="O79" s="88">
        <f>SUM(C69:N79)</f>
        <v>13159.090148344209</v>
      </c>
    </row>
    <row r="80" ht="7.5" customHeight="1"/>
    <row r="81" ht="11.25">
      <c r="A81" s="62" t="s">
        <v>41</v>
      </c>
    </row>
    <row r="82" spans="2:15" ht="11.25">
      <c r="B82" s="48" t="s">
        <v>16</v>
      </c>
      <c r="C82" s="77">
        <f>+C69*C55</f>
        <v>0</v>
      </c>
      <c r="D82" s="58">
        <f aca="true" t="shared" si="30" ref="D82:M82">+D69*D55</f>
        <v>0</v>
      </c>
      <c r="E82" s="58">
        <f t="shared" si="30"/>
        <v>0</v>
      </c>
      <c r="F82" s="58">
        <f t="shared" si="30"/>
        <v>0</v>
      </c>
      <c r="G82" s="58">
        <f t="shared" si="30"/>
        <v>0</v>
      </c>
      <c r="H82" s="58">
        <f t="shared" si="30"/>
        <v>0</v>
      </c>
      <c r="I82" s="58">
        <f t="shared" si="30"/>
        <v>0</v>
      </c>
      <c r="J82" s="58">
        <f t="shared" si="30"/>
        <v>0</v>
      </c>
      <c r="K82" s="58">
        <f t="shared" si="30"/>
        <v>0</v>
      </c>
      <c r="L82" s="153">
        <f t="shared" si="30"/>
        <v>0</v>
      </c>
      <c r="M82" s="58">
        <f t="shared" si="30"/>
        <v>0</v>
      </c>
      <c r="N82" s="58">
        <f>+N69*N55</f>
        <v>0</v>
      </c>
      <c r="O82" s="88">
        <f aca="true" t="shared" si="31" ref="O82:O92">SUM(C82:N82)</f>
        <v>0</v>
      </c>
    </row>
    <row r="83" spans="2:15" ht="11.25">
      <c r="B83" s="48" t="s">
        <v>20</v>
      </c>
      <c r="C83" s="77">
        <f aca="true" t="shared" si="32" ref="C83:N83">+C70*C56</f>
        <v>562.25664</v>
      </c>
      <c r="D83" s="58">
        <f t="shared" si="32"/>
        <v>703.2166713</v>
      </c>
      <c r="E83" s="58">
        <f t="shared" si="32"/>
        <v>996.1495829999999</v>
      </c>
      <c r="F83" s="58">
        <f t="shared" si="32"/>
        <v>867.29341248</v>
      </c>
      <c r="G83" s="58">
        <f t="shared" si="32"/>
        <v>908.3113281</v>
      </c>
      <c r="H83" s="58">
        <f t="shared" si="32"/>
        <v>1718.53000704</v>
      </c>
      <c r="I83" s="58">
        <f t="shared" si="32"/>
        <v>1223.5383963000002</v>
      </c>
      <c r="J83" s="58">
        <f t="shared" si="32"/>
        <v>1399.5929574000002</v>
      </c>
      <c r="K83" s="58">
        <f t="shared" si="32"/>
        <v>1369.9582560000001</v>
      </c>
      <c r="L83" s="153">
        <f t="shared" si="32"/>
        <v>970.4155724999999</v>
      </c>
      <c r="M83" s="58">
        <f t="shared" si="32"/>
        <v>912.8748195000001</v>
      </c>
      <c r="N83" s="58">
        <f t="shared" si="32"/>
        <v>831.06671508</v>
      </c>
      <c r="O83" s="88">
        <f t="shared" si="31"/>
        <v>12463.2043587</v>
      </c>
    </row>
    <row r="84" spans="2:15" ht="11.25">
      <c r="B84" s="48" t="s">
        <v>30</v>
      </c>
      <c r="C84" s="77">
        <f aca="true" t="shared" si="33" ref="C84:N84">+C71*C57</f>
        <v>0</v>
      </c>
      <c r="D84" s="58">
        <f t="shared" si="33"/>
        <v>0</v>
      </c>
      <c r="E84" s="58">
        <f t="shared" si="33"/>
        <v>0</v>
      </c>
      <c r="F84" s="58">
        <f t="shared" si="33"/>
        <v>0</v>
      </c>
      <c r="G84" s="58">
        <f t="shared" si="33"/>
        <v>0</v>
      </c>
      <c r="H84" s="58">
        <f t="shared" si="33"/>
        <v>0</v>
      </c>
      <c r="I84" s="58">
        <f t="shared" si="33"/>
        <v>0</v>
      </c>
      <c r="J84" s="58">
        <f t="shared" si="33"/>
        <v>0</v>
      </c>
      <c r="K84" s="58">
        <f t="shared" si="33"/>
        <v>0</v>
      </c>
      <c r="L84" s="153">
        <f t="shared" si="33"/>
        <v>0</v>
      </c>
      <c r="M84" s="58">
        <f t="shared" si="33"/>
        <v>0</v>
      </c>
      <c r="N84" s="58">
        <f t="shared" si="33"/>
        <v>0</v>
      </c>
      <c r="O84" s="88">
        <f t="shared" si="31"/>
        <v>0</v>
      </c>
    </row>
    <row r="85" spans="2:15" ht="11.25">
      <c r="B85" s="48" t="s">
        <v>31</v>
      </c>
      <c r="C85" s="77">
        <f aca="true" t="shared" si="34" ref="C85:N85">+C72*C58</f>
        <v>108.4281</v>
      </c>
      <c r="D85" s="58">
        <f t="shared" si="34"/>
        <v>100.81575075</v>
      </c>
      <c r="E85" s="58">
        <f t="shared" si="34"/>
        <v>122.8285575</v>
      </c>
      <c r="F85" s="58">
        <f t="shared" si="34"/>
        <v>81.90733650000001</v>
      </c>
      <c r="G85" s="58">
        <f t="shared" si="34"/>
        <v>91.74263175000002</v>
      </c>
      <c r="H85" s="58">
        <f t="shared" si="34"/>
        <v>173.55256380000003</v>
      </c>
      <c r="I85" s="58">
        <f t="shared" si="34"/>
        <v>131.186583</v>
      </c>
      <c r="J85" s="58">
        <f t="shared" si="34"/>
        <v>147.4705683</v>
      </c>
      <c r="K85" s="58">
        <f t="shared" si="34"/>
        <v>153.856668</v>
      </c>
      <c r="L85" s="153">
        <f t="shared" si="34"/>
        <v>147.48510000000002</v>
      </c>
      <c r="M85" s="58">
        <f t="shared" si="34"/>
        <v>136.99721350000002</v>
      </c>
      <c r="N85" s="58">
        <f t="shared" si="34"/>
        <v>134.49902200000002</v>
      </c>
      <c r="O85" s="88">
        <f t="shared" si="31"/>
        <v>1530.7700951000002</v>
      </c>
    </row>
    <row r="86" spans="2:15" ht="11.25">
      <c r="B86" s="48" t="s">
        <v>32</v>
      </c>
      <c r="C86" s="77">
        <f aca="true" t="shared" si="35" ref="C86:N86">+C73*C59</f>
        <v>327.05496750000003</v>
      </c>
      <c r="D86" s="58">
        <f t="shared" si="35"/>
        <v>259.2783726</v>
      </c>
      <c r="E86" s="58">
        <f t="shared" si="35"/>
        <v>400.93690725000005</v>
      </c>
      <c r="F86" s="58">
        <f t="shared" si="35"/>
        <v>607.219069</v>
      </c>
      <c r="G86" s="58">
        <f t="shared" si="35"/>
        <v>282.55565061000004</v>
      </c>
      <c r="H86" s="58">
        <f t="shared" si="35"/>
        <v>454.63406996000003</v>
      </c>
      <c r="I86" s="58">
        <f t="shared" si="35"/>
        <v>278.66298225</v>
      </c>
      <c r="J86" s="58">
        <f t="shared" si="35"/>
        <v>433.58006484</v>
      </c>
      <c r="K86" s="58">
        <f t="shared" si="35"/>
        <v>473.79307736049384</v>
      </c>
      <c r="L86" s="153">
        <f t="shared" si="35"/>
        <v>457.50184457943925</v>
      </c>
      <c r="M86" s="58">
        <f t="shared" si="35"/>
        <v>438.7809716474074</v>
      </c>
      <c r="N86" s="58">
        <f t="shared" si="35"/>
        <v>494.50281094736846</v>
      </c>
      <c r="O86" s="88">
        <f t="shared" si="31"/>
        <v>4908.500788544709</v>
      </c>
    </row>
    <row r="87" spans="2:15" ht="11.25">
      <c r="B87" s="48" t="s">
        <v>33</v>
      </c>
      <c r="C87" s="77">
        <f aca="true" t="shared" si="36" ref="C87:N87">+C74*C60</f>
        <v>588.7996874999999</v>
      </c>
      <c r="D87" s="58">
        <f t="shared" si="36"/>
        <v>551.0956425</v>
      </c>
      <c r="E87" s="58">
        <f t="shared" si="36"/>
        <v>653.05783125</v>
      </c>
      <c r="F87" s="58">
        <f t="shared" si="36"/>
        <v>641.1550035</v>
      </c>
      <c r="G87" s="58">
        <f t="shared" si="36"/>
        <v>563.1487605</v>
      </c>
      <c r="H87" s="58">
        <f t="shared" si="36"/>
        <v>926.5399815000001</v>
      </c>
      <c r="I87" s="58">
        <f t="shared" si="36"/>
        <v>616.5802575</v>
      </c>
      <c r="J87" s="58">
        <f t="shared" si="36"/>
        <v>742.8557925</v>
      </c>
      <c r="K87" s="58">
        <f t="shared" si="36"/>
        <v>955.52988768</v>
      </c>
      <c r="L87" s="153">
        <f t="shared" si="36"/>
        <v>857.874078</v>
      </c>
      <c r="M87" s="58">
        <f t="shared" si="36"/>
        <v>699.7706856</v>
      </c>
      <c r="N87" s="58">
        <f t="shared" si="36"/>
        <v>791.26546464</v>
      </c>
      <c r="O87" s="88">
        <f t="shared" si="31"/>
        <v>8587.67307267</v>
      </c>
    </row>
    <row r="88" spans="2:15" ht="11.25">
      <c r="B88" s="48" t="s">
        <v>34</v>
      </c>
      <c r="C88" s="77">
        <f aca="true" t="shared" si="37" ref="C88:N88">+C75*C61</f>
        <v>0</v>
      </c>
      <c r="D88" s="58">
        <f t="shared" si="37"/>
        <v>0</v>
      </c>
      <c r="E88" s="58">
        <f t="shared" si="37"/>
        <v>0</v>
      </c>
      <c r="F88" s="58">
        <f t="shared" si="37"/>
        <v>0</v>
      </c>
      <c r="G88" s="58">
        <f t="shared" si="37"/>
        <v>0</v>
      </c>
      <c r="H88" s="58">
        <f t="shared" si="37"/>
        <v>0</v>
      </c>
      <c r="I88" s="58">
        <f t="shared" si="37"/>
        <v>0</v>
      </c>
      <c r="J88" s="58">
        <f t="shared" si="37"/>
        <v>0</v>
      </c>
      <c r="K88" s="58">
        <f t="shared" si="37"/>
        <v>21.87051504</v>
      </c>
      <c r="L88" s="153">
        <f t="shared" si="37"/>
        <v>21.126831</v>
      </c>
      <c r="M88" s="58">
        <f t="shared" si="37"/>
        <v>19.564246240000003</v>
      </c>
      <c r="N88" s="58">
        <f t="shared" si="37"/>
        <v>19.432902719999998</v>
      </c>
      <c r="O88" s="88">
        <f t="shared" si="31"/>
        <v>81.994495</v>
      </c>
    </row>
    <row r="89" spans="2:15" ht="11.25">
      <c r="B89" s="48" t="s">
        <v>27</v>
      </c>
      <c r="C89" s="77">
        <f aca="true" t="shared" si="38" ref="C89:N89">+C76*C62</f>
        <v>-323.78268</v>
      </c>
      <c r="D89" s="58">
        <f t="shared" si="38"/>
        <v>-222.04037960000002</v>
      </c>
      <c r="E89" s="58">
        <f t="shared" si="38"/>
        <v>-51.59863800000001</v>
      </c>
      <c r="F89" s="58">
        <f t="shared" si="38"/>
        <v>10.500576320000002</v>
      </c>
      <c r="G89" s="58">
        <f t="shared" si="38"/>
        <v>-206.48700072</v>
      </c>
      <c r="H89" s="58">
        <f t="shared" si="38"/>
        <v>-396.52382224</v>
      </c>
      <c r="I89" s="58">
        <f t="shared" si="38"/>
        <v>-253.1795448</v>
      </c>
      <c r="J89" s="58">
        <f t="shared" si="38"/>
        <v>-347.80195008000004</v>
      </c>
      <c r="K89" s="58">
        <f t="shared" si="38"/>
        <v>46.876815</v>
      </c>
      <c r="L89" s="153">
        <f t="shared" si="38"/>
        <v>58.40015625000001</v>
      </c>
      <c r="M89" s="58">
        <f t="shared" si="38"/>
        <v>25.791885</v>
      </c>
      <c r="N89" s="58">
        <f t="shared" si="38"/>
        <v>-1.04643</v>
      </c>
      <c r="O89" s="88">
        <f t="shared" si="31"/>
        <v>-1660.8910128700002</v>
      </c>
    </row>
    <row r="90" spans="2:15" ht="11.25">
      <c r="B90" s="71" t="s">
        <v>89</v>
      </c>
      <c r="C90" s="77">
        <f aca="true" t="shared" si="39" ref="C90:N90">+C77*C63</f>
        <v>0</v>
      </c>
      <c r="D90" s="58">
        <f t="shared" si="39"/>
        <v>0</v>
      </c>
      <c r="E90" s="58">
        <f t="shared" si="39"/>
        <v>0</v>
      </c>
      <c r="F90" s="58">
        <f t="shared" si="39"/>
        <v>0</v>
      </c>
      <c r="G90" s="58">
        <f t="shared" si="39"/>
        <v>0</v>
      </c>
      <c r="H90" s="58">
        <f t="shared" si="39"/>
        <v>0</v>
      </c>
      <c r="I90" s="58">
        <f t="shared" si="39"/>
        <v>0</v>
      </c>
      <c r="J90" s="58">
        <f t="shared" si="39"/>
        <v>0</v>
      </c>
      <c r="K90" s="58">
        <f t="shared" si="39"/>
        <v>0</v>
      </c>
      <c r="L90" s="153">
        <f t="shared" si="39"/>
        <v>0</v>
      </c>
      <c r="M90" s="58">
        <f t="shared" si="39"/>
        <v>0</v>
      </c>
      <c r="N90" s="58">
        <f t="shared" si="39"/>
        <v>0</v>
      </c>
      <c r="O90" s="88">
        <f t="shared" si="31"/>
        <v>0</v>
      </c>
    </row>
    <row r="91" spans="2:15" ht="11.25">
      <c r="B91" s="48" t="s">
        <v>35</v>
      </c>
      <c r="C91" s="77">
        <f aca="true" t="shared" si="40" ref="C91:N91">+C78*C64</f>
        <v>-578.6360575000014</v>
      </c>
      <c r="D91" s="58">
        <f t="shared" si="40"/>
        <v>-523.9649265500012</v>
      </c>
      <c r="E91" s="58">
        <f t="shared" si="40"/>
        <v>-652.4620372500015</v>
      </c>
      <c r="F91" s="58">
        <f t="shared" si="40"/>
        <v>-640.5700686200015</v>
      </c>
      <c r="G91" s="58">
        <f t="shared" si="40"/>
        <v>-637.1381582100014</v>
      </c>
      <c r="H91" s="58">
        <f t="shared" si="40"/>
        <v>-1073.7888989800024</v>
      </c>
      <c r="I91" s="58">
        <f t="shared" si="40"/>
        <v>-735.4663820500017</v>
      </c>
      <c r="J91" s="58">
        <f t="shared" si="40"/>
        <v>-906.503219460002</v>
      </c>
      <c r="K91" s="58">
        <f t="shared" si="40"/>
        <v>-1050.9044335199999</v>
      </c>
      <c r="L91" s="153">
        <f t="shared" si="40"/>
        <v>-1013.7598469999999</v>
      </c>
      <c r="M91" s="58">
        <f t="shared" si="40"/>
        <v>-864.2824402800002</v>
      </c>
      <c r="N91" s="58">
        <f t="shared" si="40"/>
        <v>-937.2111201600001</v>
      </c>
      <c r="O91" s="88">
        <f t="shared" si="31"/>
        <v>-9614.687589580013</v>
      </c>
    </row>
    <row r="92" spans="2:15" ht="11.25">
      <c r="B92" s="48" t="s">
        <v>36</v>
      </c>
      <c r="C92" s="78">
        <f aca="true" t="shared" si="41" ref="C92:N92">+C79*C65</f>
        <v>-536.1670799999998</v>
      </c>
      <c r="D92" s="69">
        <f t="shared" si="41"/>
        <v>67.85583999999999</v>
      </c>
      <c r="E92" s="69">
        <f t="shared" si="41"/>
        <v>177.02079599999996</v>
      </c>
      <c r="F92" s="69">
        <f t="shared" si="41"/>
        <v>349.24785855999994</v>
      </c>
      <c r="G92" s="69">
        <f t="shared" si="41"/>
        <v>1109.7902735999996</v>
      </c>
      <c r="H92" s="69">
        <f t="shared" si="41"/>
        <v>1791.7951094399996</v>
      </c>
      <c r="I92" s="69">
        <f t="shared" si="41"/>
        <v>1280.1094655999996</v>
      </c>
      <c r="J92" s="69">
        <f t="shared" si="41"/>
        <v>1151.0706038399994</v>
      </c>
      <c r="K92" s="58">
        <f t="shared" si="41"/>
        <v>1009.9843064999999</v>
      </c>
      <c r="L92" s="153">
        <f t="shared" si="41"/>
        <v>841.4837437499998</v>
      </c>
      <c r="M92" s="58">
        <f t="shared" si="41"/>
        <v>551.525247</v>
      </c>
      <c r="N92" s="58">
        <f t="shared" si="41"/>
        <v>-216.14593000000002</v>
      </c>
      <c r="O92" s="88">
        <f t="shared" si="31"/>
        <v>7577.570234289998</v>
      </c>
    </row>
    <row r="93" spans="1:15" ht="11.25">
      <c r="A93" s="62" t="s">
        <v>42</v>
      </c>
      <c r="B93" s="62"/>
      <c r="C93" s="79">
        <f aca="true" t="shared" si="42" ref="C93:N93">SUM(C82:C92)</f>
        <v>147.95357749999857</v>
      </c>
      <c r="D93" s="80">
        <f t="shared" si="42"/>
        <v>936.2569709999985</v>
      </c>
      <c r="E93" s="80">
        <f t="shared" si="42"/>
        <v>1645.9329997499985</v>
      </c>
      <c r="F93" s="80">
        <f t="shared" si="42"/>
        <v>1916.7531877399986</v>
      </c>
      <c r="G93" s="80">
        <f t="shared" si="42"/>
        <v>2111.923485629998</v>
      </c>
      <c r="H93" s="80">
        <f t="shared" si="42"/>
        <v>3594.7390105199975</v>
      </c>
      <c r="I93" s="80">
        <f t="shared" si="42"/>
        <v>2541.4317577999977</v>
      </c>
      <c r="J93" s="80">
        <f t="shared" si="42"/>
        <v>2620.264817339997</v>
      </c>
      <c r="K93" s="87">
        <f t="shared" si="42"/>
        <v>2980.965092060494</v>
      </c>
      <c r="L93" s="155">
        <f t="shared" si="42"/>
        <v>2340.527479079439</v>
      </c>
      <c r="M93" s="87">
        <f t="shared" si="42"/>
        <v>1921.0226282074077</v>
      </c>
      <c r="N93" s="87">
        <f t="shared" si="42"/>
        <v>1116.3634352273684</v>
      </c>
      <c r="O93" s="88">
        <f>SUM(C93:N93)</f>
        <v>23874.134441854694</v>
      </c>
    </row>
    <row r="94" spans="1:15" ht="11.25">
      <c r="A94" s="62" t="s">
        <v>43</v>
      </c>
      <c r="B94" s="62"/>
      <c r="C94" s="79">
        <f aca="true" t="shared" si="43" ref="C94:N94">+C93/C66</f>
        <v>2.0407389999999803</v>
      </c>
      <c r="D94" s="80">
        <f t="shared" si="43"/>
        <v>14.261339999999976</v>
      </c>
      <c r="E94" s="80">
        <f t="shared" si="43"/>
        <v>20.133736999999982</v>
      </c>
      <c r="F94" s="80">
        <f t="shared" si="43"/>
        <v>23.88179899999998</v>
      </c>
      <c r="G94" s="80">
        <f t="shared" si="43"/>
        <v>26.45526099999998</v>
      </c>
      <c r="H94" s="80">
        <f t="shared" si="43"/>
        <v>26.718737999999984</v>
      </c>
      <c r="I94" s="80">
        <f t="shared" si="43"/>
        <v>27.579291999999974</v>
      </c>
      <c r="J94" s="80">
        <f t="shared" si="43"/>
        <v>23.069772999999973</v>
      </c>
      <c r="K94" s="110">
        <f t="shared" si="43"/>
        <v>30.190045493827164</v>
      </c>
      <c r="L94" s="156">
        <f t="shared" si="43"/>
        <v>24.572466971962616</v>
      </c>
      <c r="M94" s="110">
        <f t="shared" si="43"/>
        <v>24.634811851851854</v>
      </c>
      <c r="N94" s="110">
        <f t="shared" si="43"/>
        <v>13.202027379699247</v>
      </c>
      <c r="O94" s="88"/>
    </row>
    <row r="95" ht="7.5" customHeight="1"/>
    <row r="96" spans="1:14" ht="11.25">
      <c r="A96" s="62"/>
      <c r="C96" s="88"/>
      <c r="D96" s="88"/>
      <c r="E96" s="88"/>
      <c r="F96" s="88"/>
      <c r="G96" s="88"/>
      <c r="H96" s="88"/>
      <c r="I96" s="88"/>
      <c r="J96" s="88"/>
      <c r="K96" s="88"/>
      <c r="L96" s="157"/>
      <c r="M96" s="88"/>
      <c r="N96" s="88"/>
    </row>
    <row r="97" spans="3:14" ht="11.25">
      <c r="C97" s="81"/>
      <c r="D97" s="81"/>
      <c r="E97" s="81"/>
      <c r="F97" s="81"/>
      <c r="G97" s="81"/>
      <c r="H97" s="81"/>
      <c r="I97" s="81"/>
      <c r="J97" s="81"/>
      <c r="K97" s="81"/>
      <c r="L97" s="158"/>
      <c r="M97" s="81"/>
      <c r="N97" s="81"/>
    </row>
    <row r="98" spans="1:10" ht="11.25">
      <c r="A98" s="62"/>
      <c r="B98" s="62"/>
      <c r="C98" s="79"/>
      <c r="D98" s="79"/>
      <c r="E98" s="79"/>
      <c r="F98" s="79"/>
      <c r="G98" s="79"/>
      <c r="H98" s="79"/>
      <c r="I98" s="79"/>
      <c r="J98" s="83"/>
    </row>
    <row r="99" spans="3:10" ht="7.5" customHeight="1">
      <c r="C99" s="82"/>
      <c r="D99" s="82"/>
      <c r="E99" s="82"/>
      <c r="F99" s="82"/>
      <c r="G99" s="82"/>
      <c r="H99" s="82"/>
      <c r="I99" s="82"/>
      <c r="J99" s="82"/>
    </row>
    <row r="100" spans="1:10" ht="11.25">
      <c r="A100" s="62"/>
      <c r="B100" s="62"/>
      <c r="C100" s="83"/>
      <c r="D100" s="83"/>
      <c r="E100" s="83"/>
      <c r="F100" s="83"/>
      <c r="G100" s="83"/>
      <c r="H100" s="83"/>
      <c r="I100" s="83"/>
      <c r="J100" s="83"/>
    </row>
    <row r="101" spans="3:10" ht="7.5" customHeight="1">
      <c r="C101" s="82"/>
      <c r="D101" s="82"/>
      <c r="E101" s="82"/>
      <c r="F101" s="82"/>
      <c r="G101" s="82"/>
      <c r="H101" s="82"/>
      <c r="I101" s="82"/>
      <c r="J101" s="82"/>
    </row>
    <row r="102" spans="1:10" ht="11.25">
      <c r="A102" s="62"/>
      <c r="C102" s="81"/>
      <c r="D102" s="81"/>
      <c r="E102" s="81"/>
      <c r="F102" s="81"/>
      <c r="G102" s="81"/>
      <c r="H102" s="81"/>
      <c r="I102" s="81"/>
      <c r="J102" s="84"/>
    </row>
    <row r="105" ht="11.25">
      <c r="B105" s="48" t="str">
        <f ca="1">CELL("filename")</f>
        <v>S:\District\~WUTC Files~\1. RSA\2017-2019 Plan Year\UTC and Reporting Documents\UTC Filing 06-2019\Lynnwood\[Lynnwood Multi Family Commodity Credit Template - June 2019.xls]RSA</v>
      </c>
    </row>
  </sheetData>
  <sheetProtection/>
  <printOptions/>
  <pageMargins left="0.5" right="0.5" top="0.75" bottom="0.75" header="0.5" footer="0.5"/>
  <pageSetup fitToWidth="0" fitToHeight="1" orientation="portrait" scale="60" r:id="rId3"/>
  <rowBreaks count="1" manualBreakCount="1">
    <brk id="53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E16"/>
  <sheetViews>
    <sheetView zoomScalePageLayoutView="0" workbookViewId="0" topLeftCell="A1">
      <selection activeCell="I22" sqref="I22"/>
    </sheetView>
  </sheetViews>
  <sheetFormatPr defaultColWidth="9.140625" defaultRowHeight="12.75"/>
  <cols>
    <col min="4" max="4" width="10.28125" style="0" bestFit="1" customWidth="1"/>
  </cols>
  <sheetData>
    <row r="5" ht="12.75">
      <c r="A5" s="173" t="s">
        <v>98</v>
      </c>
    </row>
    <row r="7" spans="1:5" ht="12.75">
      <c r="A7" s="173" t="s">
        <v>99</v>
      </c>
      <c r="D7" s="174">
        <v>78674.42088483914</v>
      </c>
      <c r="E7" s="173" t="s">
        <v>102</v>
      </c>
    </row>
    <row r="9" spans="1:5" ht="12.75">
      <c r="A9" s="173" t="s">
        <v>100</v>
      </c>
      <c r="D9" s="174">
        <v>82718.56</v>
      </c>
      <c r="E9" s="173" t="s">
        <v>106</v>
      </c>
    </row>
    <row r="10" ht="13.5" thickBot="1"/>
    <row r="11" spans="1:4" ht="13.5" thickBot="1">
      <c r="A11" s="173" t="s">
        <v>101</v>
      </c>
      <c r="D11" s="175">
        <v>0</v>
      </c>
    </row>
    <row r="14" ht="12.75">
      <c r="A14" s="173" t="s">
        <v>103</v>
      </c>
    </row>
    <row r="15" ht="12.75">
      <c r="A15" s="173" t="s">
        <v>104</v>
      </c>
    </row>
    <row r="16" ht="12.75">
      <c r="A16" s="173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JG00116</dc:creator>
  <cp:keywords/>
  <dc:description/>
  <cp:lastModifiedBy>Waldren, Rick</cp:lastModifiedBy>
  <cp:lastPrinted>2019-06-13T22:49:12Z</cp:lastPrinted>
  <dcterms:created xsi:type="dcterms:W3CDTF">2008-05-23T15:47:44Z</dcterms:created>
  <dcterms:modified xsi:type="dcterms:W3CDTF">2019-06-14T19:39:23Z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>Multi-Family template</vt:lpwstr>
  </property>
  <property fmtid="{D5CDD505-2E9C-101B-9397-08002B2CF9AE}" pid="5" name="EFiling">
    <vt:lpwstr>14626.0000000000</vt:lpwstr>
  </property>
  <property fmtid="{D5CDD505-2E9C-101B-9397-08002B2CF9AE}" pid="6" name="DocumentSetTy">
    <vt:lpwstr>Workpapers</vt:lpwstr>
  </property>
  <property fmtid="{D5CDD505-2E9C-101B-9397-08002B2CF9AE}" pid="7" name="IsDocumentOrd">
    <vt:lpwstr>0</vt:lpwstr>
  </property>
  <property fmtid="{D5CDD505-2E9C-101B-9397-08002B2CF9AE}" pid="8" name="IsHighlyConfidenti">
    <vt:lpwstr>0</vt:lpwstr>
  </property>
  <property fmtid="{D5CDD505-2E9C-101B-9397-08002B2CF9AE}" pid="9" name="CaseCompanyNam">
    <vt:lpwstr>RABANCO LTD</vt:lpwstr>
  </property>
  <property fmtid="{D5CDD505-2E9C-101B-9397-08002B2CF9AE}" pid="10" name="IsConfidenti">
    <vt:lpwstr>0</vt:lpwstr>
  </property>
  <property fmtid="{D5CDD505-2E9C-101B-9397-08002B2CF9AE}" pid="11" name="IsEFS">
    <vt:lpwstr>0</vt:lpwstr>
  </property>
  <property fmtid="{D5CDD505-2E9C-101B-9397-08002B2CF9AE}" pid="12" name="DocketNumb">
    <vt:lpwstr>190519</vt:lpwstr>
  </property>
  <property fmtid="{D5CDD505-2E9C-101B-9397-08002B2CF9AE}" pid="13" name="Dat">
    <vt:lpwstr>2019-06-14T00:00:00Z</vt:lpwstr>
  </property>
  <property fmtid="{D5CDD505-2E9C-101B-9397-08002B2CF9AE}" pid="14" name="Nickna">
    <vt:lpwstr/>
  </property>
  <property fmtid="{D5CDD505-2E9C-101B-9397-08002B2CF9AE}" pid="15" name="CaseTy">
    <vt:lpwstr>Tariff Revision</vt:lpwstr>
  </property>
  <property fmtid="{D5CDD505-2E9C-101B-9397-08002B2CF9AE}" pid="16" name="OpenedDa">
    <vt:lpwstr>2019-06-14T00:00:00Z</vt:lpwstr>
  </property>
  <property fmtid="{D5CDD505-2E9C-101B-9397-08002B2CF9AE}" pid="17" name="Pref">
    <vt:lpwstr>TG</vt:lpwstr>
  </property>
  <property fmtid="{D5CDD505-2E9C-101B-9397-08002B2CF9AE}" pid="18" name="IndustryCo">
    <vt:lpwstr>227</vt:lpwstr>
  </property>
  <property fmtid="{D5CDD505-2E9C-101B-9397-08002B2CF9AE}" pid="19" name="CaseStat">
    <vt:lpwstr>Closed</vt:lpwstr>
  </property>
  <property fmtid="{D5CDD505-2E9C-101B-9397-08002B2CF9AE}" pid="20" name="_docset_NoMedatataSyncRequir">
    <vt:lpwstr>False</vt:lpwstr>
  </property>
</Properties>
</file>