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1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300" windowWidth="15060" windowHeight="5865" tabRatio="803" activeTab="2"/>
  </bookViews>
  <sheets>
    <sheet name="Summary 2183" sheetId="26" r:id="rId1"/>
    <sheet name="Trucks 2183" sheetId="17" r:id="rId2"/>
    <sheet name="Containers 2183" sheetId="39" r:id="rId3"/>
    <sheet name="OTHER EQUIP 2183" sheetId="42" r:id="rId4"/>
    <sheet name="Orig Trucks 2183" sheetId="43" r:id="rId5"/>
    <sheet name="Orig OTHER EQUIP 2183" sheetId="44" r:id="rId6"/>
  </sheets>
  <externalReferences>
    <externalReference r:id="rId7"/>
    <externalReference r:id="rId8"/>
  </externalReferences>
  <definedNames>
    <definedName name="_xlnm._FilterDatabase" localSheetId="2" hidden="1">'Containers 2183'!$A$11:$R$11</definedName>
    <definedName name="_xlnm._FilterDatabase" localSheetId="5" hidden="1">'Orig OTHER EQUIP 2183'!$A$11:$AH$20</definedName>
    <definedName name="_xlnm._FilterDatabase" localSheetId="4" hidden="1">'Orig Trucks 2183'!$B$1:$B$5553</definedName>
    <definedName name="_xlnm._FilterDatabase" localSheetId="3" hidden="1">'OTHER EQUIP 2183'!$A$11:$T$19</definedName>
    <definedName name="_xlnm._FilterDatabase" localSheetId="1" hidden="1">'Trucks 2183'!$B$1:$B$5519</definedName>
    <definedName name="_xlnm.Database" localSheetId="5">#REF!</definedName>
    <definedName name="_xlnm.Database" localSheetId="4">#REF!</definedName>
    <definedName name="_xlnm.Database">#REF!</definedName>
    <definedName name="Database1" localSheetId="5">#REF!</definedName>
    <definedName name="Database1" localSheetId="4">#REF!</definedName>
    <definedName name="Database1">#REF!</definedName>
    <definedName name="NOTES" localSheetId="4">#REF!</definedName>
    <definedName name="NOTES" localSheetId="1">#REF!</definedName>
    <definedName name="NOTES">#REF!</definedName>
    <definedName name="PAGE_1" localSheetId="4">#REF!</definedName>
    <definedName name="PAGE_1" localSheetId="1">#REF!</definedName>
    <definedName name="PAGE_1">#REF!</definedName>
    <definedName name="_xlnm.Print_Area" localSheetId="2">'Containers 2183'!$A$1:$R$459</definedName>
    <definedName name="_xlnm.Print_Area" localSheetId="5">'Orig OTHER EQUIP 2183'!$B$1:$AC$158</definedName>
    <definedName name="_xlnm.Print_Area" localSheetId="4">'Orig Trucks 2183'!$A$1:$AC$192</definedName>
    <definedName name="_xlnm.Print_Area" localSheetId="3">'OTHER EQUIP 2183'!$A$1:$T$154</definedName>
    <definedName name="_xlnm.Print_Area" localSheetId="0">'Summary 2183'!$A$1:$H$50</definedName>
    <definedName name="_xlnm.Print_Area" localSheetId="1">'Trucks 2183'!$A$1:$S$229</definedName>
    <definedName name="_xlnm.Print_Area">#REF!</definedName>
    <definedName name="Print_Area_MI" localSheetId="4">'Orig Trucks 2183'!$C$1:$AC$193</definedName>
    <definedName name="Print_Area_MI" localSheetId="1">'Trucks 2183'!$C$1:$S$230</definedName>
    <definedName name="Print_Area1" localSheetId="5">#REF!</definedName>
    <definedName name="Print_Area1" localSheetId="4">#REF!</definedName>
    <definedName name="Print_Area1">#REF!</definedName>
    <definedName name="Print_Area2" localSheetId="5">#REF!</definedName>
    <definedName name="Print_Area2" localSheetId="4">#REF!</definedName>
    <definedName name="Print_Area2">#REF!</definedName>
    <definedName name="Print_Area3" localSheetId="5">#REF!</definedName>
    <definedName name="Print_Area3" localSheetId="4">#REF!</definedName>
    <definedName name="Print_Area3">#REF!</definedName>
    <definedName name="Print_Area5" localSheetId="5">#REF!</definedName>
    <definedName name="Print_Area5" localSheetId="4">#REF!</definedName>
    <definedName name="Print_Area5">#REF!</definedName>
    <definedName name="_xlnm.Print_Titles" localSheetId="2">'Containers 2183'!$9:$11</definedName>
    <definedName name="_xlnm.Print_Titles" localSheetId="5">'Orig OTHER EQUIP 2183'!$1:$11</definedName>
    <definedName name="_xlnm.Print_Titles" localSheetId="4">'Orig Trucks 2183'!$8:$11</definedName>
    <definedName name="_xlnm.Print_Titles" localSheetId="3">'OTHER EQUIP 2183'!$1:$11</definedName>
    <definedName name="_xlnm.Print_Titles" localSheetId="1">'Trucks 2183'!$8:$11</definedName>
    <definedName name="sSRCDate" localSheetId="5">#REF!</definedName>
    <definedName name="sSRCDate" localSheetId="4">#REF!</definedName>
    <definedName name="sSRCDate">#REF!</definedName>
  </definedNames>
  <calcPr calcId="145621" iterate="1" concurrentManualCount="4"/>
</workbook>
</file>

<file path=xl/calcChain.xml><?xml version="1.0" encoding="utf-8"?>
<calcChain xmlns="http://schemas.openxmlformats.org/spreadsheetml/2006/main">
  <c r="L455" i="39" l="1"/>
  <c r="M455" i="39"/>
  <c r="N455" i="39" s="1"/>
  <c r="I455" i="39"/>
  <c r="J455" i="39" s="1"/>
  <c r="L454" i="39"/>
  <c r="M454" i="39" s="1"/>
  <c r="N454" i="39" s="1"/>
  <c r="I454" i="39"/>
  <c r="J454" i="39"/>
  <c r="L403" i="39"/>
  <c r="M403" i="39" s="1"/>
  <c r="N403" i="39" s="1"/>
  <c r="I403" i="39"/>
  <c r="J403" i="39" s="1"/>
  <c r="L291" i="39"/>
  <c r="M291" i="39" s="1"/>
  <c r="N291" i="39" s="1"/>
  <c r="I291" i="39"/>
  <c r="J291" i="39" s="1"/>
  <c r="K402" i="39" l="1"/>
  <c r="L402" i="39" s="1"/>
  <c r="M402" i="39" s="1"/>
  <c r="N402" i="39" s="1"/>
  <c r="I402" i="39"/>
  <c r="J402" i="39" s="1"/>
  <c r="K293" i="39"/>
  <c r="L293" i="39"/>
  <c r="M293" i="39" s="1"/>
  <c r="N293" i="39" s="1"/>
  <c r="I293" i="39"/>
  <c r="J293" i="39" s="1"/>
  <c r="K401" i="39"/>
  <c r="L401" i="39" s="1"/>
  <c r="M401" i="39" s="1"/>
  <c r="N401" i="39" s="1"/>
  <c r="I401" i="39"/>
  <c r="J401" i="39" s="1"/>
  <c r="K292" i="39"/>
  <c r="L292" i="39" s="1"/>
  <c r="M292" i="39" s="1"/>
  <c r="N292" i="39" s="1"/>
  <c r="I292" i="39"/>
  <c r="J292" i="39" s="1"/>
  <c r="L290" i="39" l="1"/>
  <c r="M290" i="39" s="1"/>
  <c r="N290" i="39" s="1"/>
  <c r="I290" i="39"/>
  <c r="J290" i="39" s="1"/>
  <c r="L400" i="39"/>
  <c r="M400" i="39" s="1"/>
  <c r="N400" i="39" s="1"/>
  <c r="I400" i="39"/>
  <c r="J400" i="39" s="1"/>
  <c r="M224" i="17" l="1"/>
  <c r="M223" i="17"/>
  <c r="M220" i="17"/>
  <c r="M218" i="17"/>
  <c r="M217" i="17"/>
  <c r="M216" i="17"/>
  <c r="M215" i="17"/>
  <c r="M214" i="17"/>
  <c r="M213" i="17"/>
  <c r="M212" i="17"/>
  <c r="M211" i="17"/>
  <c r="M210" i="17"/>
  <c r="M209" i="17"/>
  <c r="M208" i="17"/>
  <c r="M207" i="17"/>
  <c r="M206" i="17"/>
  <c r="M205" i="17"/>
  <c r="M204" i="17"/>
  <c r="L2" i="39" l="1"/>
  <c r="J198" i="17" l="1"/>
  <c r="K198" i="17" s="1"/>
  <c r="M152" i="42" l="1"/>
  <c r="B44" i="26" s="1"/>
  <c r="L38" i="17" l="1"/>
  <c r="L39" i="17" s="1"/>
  <c r="L164" i="39"/>
  <c r="M164" i="39" s="1"/>
  <c r="N164" i="39" s="1"/>
  <c r="I164" i="39"/>
  <c r="J164" i="39" s="1"/>
  <c r="B164" i="39"/>
  <c r="L363" i="39"/>
  <c r="M363" i="39" s="1"/>
  <c r="N363" i="39" s="1"/>
  <c r="I363" i="39"/>
  <c r="J363" i="39" s="1"/>
  <c r="M86" i="17" l="1"/>
  <c r="N86" i="17" s="1"/>
  <c r="O86" i="17" s="1"/>
  <c r="J86" i="17"/>
  <c r="K86" i="17" s="1"/>
  <c r="M88" i="17"/>
  <c r="N88" i="17" s="1"/>
  <c r="O88" i="17" s="1"/>
  <c r="J88" i="17"/>
  <c r="K88" i="17" s="1"/>
  <c r="M81" i="17"/>
  <c r="N81" i="17" s="1"/>
  <c r="O81" i="17" s="1"/>
  <c r="J81" i="17"/>
  <c r="K81" i="17" s="1"/>
  <c r="M130" i="17"/>
  <c r="N130" i="17" s="1"/>
  <c r="O130" i="17" s="1"/>
  <c r="J130" i="17"/>
  <c r="K130" i="17" s="1"/>
  <c r="M129" i="17"/>
  <c r="N129" i="17" s="1"/>
  <c r="O129" i="17" s="1"/>
  <c r="J129" i="17"/>
  <c r="K129" i="17" s="1"/>
  <c r="M128" i="17"/>
  <c r="N128" i="17" s="1"/>
  <c r="O128" i="17" s="1"/>
  <c r="J128" i="17"/>
  <c r="K128" i="17" s="1"/>
  <c r="M87" i="17"/>
  <c r="N87" i="17" s="1"/>
  <c r="O87" i="17" s="1"/>
  <c r="J87" i="17"/>
  <c r="K87" i="17" s="1"/>
  <c r="M84" i="17"/>
  <c r="N84" i="17" s="1"/>
  <c r="O84" i="17" s="1"/>
  <c r="J84" i="17"/>
  <c r="K84" i="17" s="1"/>
  <c r="M85" i="17"/>
  <c r="N85" i="17" s="1"/>
  <c r="O85" i="17" s="1"/>
  <c r="J85" i="17"/>
  <c r="K85" i="17" s="1"/>
  <c r="M83" i="17"/>
  <c r="N83" i="17" s="1"/>
  <c r="O83" i="17" s="1"/>
  <c r="J83" i="17"/>
  <c r="K83" i="17" s="1"/>
  <c r="M82" i="17"/>
  <c r="N82" i="17" s="1"/>
  <c r="O82" i="17" s="1"/>
  <c r="J82" i="17"/>
  <c r="K82" i="17" s="1"/>
  <c r="J191" i="17" l="1"/>
  <c r="K191" i="17" s="1"/>
  <c r="L399" i="39"/>
  <c r="M399" i="39" s="1"/>
  <c r="N399" i="39" s="1"/>
  <c r="I399" i="39"/>
  <c r="J399" i="39" s="1"/>
  <c r="L453" i="39"/>
  <c r="M453" i="39" s="1"/>
  <c r="N453" i="39" s="1"/>
  <c r="I453" i="39"/>
  <c r="J453" i="39" s="1"/>
  <c r="L288" i="39"/>
  <c r="M288" i="39" s="1"/>
  <c r="N288" i="39" s="1"/>
  <c r="I288" i="39"/>
  <c r="J288" i="39" s="1"/>
  <c r="L287" i="39"/>
  <c r="M287" i="39" s="1"/>
  <c r="N287" i="39" s="1"/>
  <c r="I287" i="39"/>
  <c r="J287" i="39" s="1"/>
  <c r="L289" i="39"/>
  <c r="M289" i="39" s="1"/>
  <c r="N289" i="39" s="1"/>
  <c r="I289" i="39"/>
  <c r="J289" i="39" s="1"/>
  <c r="N98" i="42"/>
  <c r="O98" i="42" s="1"/>
  <c r="P98" i="42" s="1"/>
  <c r="K98" i="42"/>
  <c r="L98" i="42" s="1"/>
  <c r="N144" i="42"/>
  <c r="O144" i="42" s="1"/>
  <c r="P144" i="42" s="1"/>
  <c r="K144" i="42"/>
  <c r="L144" i="42" s="1"/>
  <c r="M80" i="17"/>
  <c r="N80" i="17" s="1"/>
  <c r="O80" i="17" s="1"/>
  <c r="J80" i="17"/>
  <c r="K80" i="17" s="1"/>
  <c r="K96" i="42" l="1"/>
  <c r="L96" i="42" s="1"/>
  <c r="K97" i="42"/>
  <c r="L97" i="42" s="1"/>
  <c r="N96" i="42"/>
  <c r="O96" i="42" s="1"/>
  <c r="P96" i="42" s="1"/>
  <c r="N97" i="42"/>
  <c r="O97" i="42" s="1"/>
  <c r="P97" i="42" s="1"/>
  <c r="K117" i="42"/>
  <c r="L117" i="42" s="1"/>
  <c r="N117" i="42"/>
  <c r="O117" i="42" s="1"/>
  <c r="P117" i="42" s="1"/>
  <c r="J179" i="17" l="1"/>
  <c r="K179" i="17" s="1"/>
  <c r="J127" i="17"/>
  <c r="K127" i="17" s="1"/>
  <c r="J79" i="17"/>
  <c r="K79" i="17" s="1"/>
  <c r="M78" i="42"/>
  <c r="M79" i="42" s="1"/>
  <c r="N79" i="42" l="1"/>
  <c r="N116" i="42" l="1"/>
  <c r="O116" i="42" s="1"/>
  <c r="P116" i="42" s="1"/>
  <c r="K116" i="42"/>
  <c r="L116" i="42" s="1"/>
  <c r="N115" i="42"/>
  <c r="O115" i="42" s="1"/>
  <c r="P115" i="42" s="1"/>
  <c r="K115" i="42"/>
  <c r="L115" i="42" s="1"/>
  <c r="M114" i="42"/>
  <c r="L113" i="39"/>
  <c r="M113" i="39" s="1"/>
  <c r="N113" i="39" s="1"/>
  <c r="I113" i="39"/>
  <c r="J113" i="39" s="1"/>
  <c r="L115" i="39"/>
  <c r="M115" i="39" s="1"/>
  <c r="N115" i="39" s="1"/>
  <c r="I115" i="39"/>
  <c r="J115" i="39" s="1"/>
  <c r="L349" i="39"/>
  <c r="M349" i="39" s="1"/>
  <c r="N349" i="39" s="1"/>
  <c r="I349" i="39"/>
  <c r="J349" i="39" s="1"/>
  <c r="L348" i="39"/>
  <c r="M348" i="39" s="1"/>
  <c r="N348" i="39" s="1"/>
  <c r="I348" i="39"/>
  <c r="J348" i="39" s="1"/>
  <c r="L347" i="39"/>
  <c r="M347" i="39" s="1"/>
  <c r="N347" i="39" s="1"/>
  <c r="I347" i="39"/>
  <c r="J347" i="39" s="1"/>
  <c r="L346" i="39"/>
  <c r="M346" i="39" s="1"/>
  <c r="N346" i="39" s="1"/>
  <c r="I346" i="39"/>
  <c r="J346" i="39" s="1"/>
  <c r="L345" i="39"/>
  <c r="M345" i="39" s="1"/>
  <c r="N345" i="39" s="1"/>
  <c r="I345" i="39"/>
  <c r="J345" i="39" s="1"/>
  <c r="L344" i="39"/>
  <c r="M344" i="39" s="1"/>
  <c r="N344" i="39" s="1"/>
  <c r="I344" i="39"/>
  <c r="J344" i="39" s="1"/>
  <c r="L343" i="39"/>
  <c r="M343" i="39" s="1"/>
  <c r="N343" i="39" s="1"/>
  <c r="I343" i="39"/>
  <c r="J343" i="39" s="1"/>
  <c r="L342" i="39"/>
  <c r="M342" i="39" s="1"/>
  <c r="N342" i="39" s="1"/>
  <c r="I342" i="39"/>
  <c r="J342" i="39" s="1"/>
  <c r="L178" i="17" l="1"/>
  <c r="L71" i="17"/>
  <c r="L70" i="17"/>
  <c r="L73" i="17"/>
  <c r="L72" i="17"/>
  <c r="L64" i="17"/>
  <c r="L63" i="17"/>
  <c r="L62" i="17"/>
  <c r="L176" i="17"/>
  <c r="M176" i="17" s="1"/>
  <c r="N176" i="17" s="1"/>
  <c r="O176" i="17" s="1"/>
  <c r="J176" i="17"/>
  <c r="K176" i="17" s="1"/>
  <c r="L74" i="17"/>
  <c r="L69" i="17"/>
  <c r="L76" i="17"/>
  <c r="M76" i="17" s="1"/>
  <c r="N76" i="17" s="1"/>
  <c r="O76" i="17" s="1"/>
  <c r="J76" i="17"/>
  <c r="K76" i="17" s="1"/>
  <c r="L75" i="17"/>
  <c r="M75" i="17" s="1"/>
  <c r="N75" i="17" s="1"/>
  <c r="O75" i="17" s="1"/>
  <c r="L78" i="17"/>
  <c r="M78" i="17" s="1"/>
  <c r="N78" i="17" s="1"/>
  <c r="O78" i="17" s="1"/>
  <c r="J78" i="17"/>
  <c r="K78" i="17" s="1"/>
  <c r="L77" i="17"/>
  <c r="M77" i="17" s="1"/>
  <c r="N77" i="17" s="1"/>
  <c r="O77" i="17" s="1"/>
  <c r="J77" i="17"/>
  <c r="K77" i="17" s="1"/>
  <c r="L67" i="17"/>
  <c r="L66" i="17"/>
  <c r="L175" i="17"/>
  <c r="L177" i="17"/>
  <c r="J75" i="17"/>
  <c r="K75" i="17" s="1"/>
  <c r="L222" i="17"/>
  <c r="M222" i="17" s="1"/>
  <c r="L398" i="39" l="1"/>
  <c r="M398" i="39" s="1"/>
  <c r="N398" i="39" s="1"/>
  <c r="I398" i="39"/>
  <c r="J398" i="39" s="1"/>
  <c r="L283" i="39"/>
  <c r="M283" i="39" s="1"/>
  <c r="N283" i="39" s="1"/>
  <c r="I283" i="39" l="1"/>
  <c r="J283" i="39" s="1"/>
  <c r="L286" i="39"/>
  <c r="M286" i="39" s="1"/>
  <c r="N286" i="39" s="1"/>
  <c r="I286" i="39"/>
  <c r="J286" i="39" s="1"/>
  <c r="L452" i="39"/>
  <c r="M452" i="39" s="1"/>
  <c r="N452" i="39" s="1"/>
  <c r="I452" i="39"/>
  <c r="J452" i="39" s="1"/>
  <c r="L160" i="39"/>
  <c r="M160" i="39" s="1"/>
  <c r="N160" i="39" s="1"/>
  <c r="I160" i="39"/>
  <c r="J160" i="39" s="1"/>
  <c r="L163" i="39"/>
  <c r="M163" i="39" s="1"/>
  <c r="N163" i="39" s="1"/>
  <c r="I163" i="39"/>
  <c r="J163" i="39" s="1"/>
  <c r="L159" i="39"/>
  <c r="M159" i="39" s="1"/>
  <c r="N159" i="39" s="1"/>
  <c r="I159" i="39"/>
  <c r="J159" i="39" s="1"/>
  <c r="L161" i="39"/>
  <c r="M161" i="39" s="1"/>
  <c r="N161" i="39" s="1"/>
  <c r="I161" i="39"/>
  <c r="J161" i="39" s="1"/>
  <c r="L162" i="39"/>
  <c r="M162" i="39" s="1"/>
  <c r="N162" i="39" s="1"/>
  <c r="I162" i="39"/>
  <c r="J162" i="39" s="1"/>
  <c r="M74" i="17"/>
  <c r="N74" i="17" s="1"/>
  <c r="O74" i="17" s="1"/>
  <c r="J74" i="17"/>
  <c r="K74" i="17" s="1"/>
  <c r="M73" i="17"/>
  <c r="N73" i="17" s="1"/>
  <c r="O73" i="17" s="1"/>
  <c r="J73" i="17"/>
  <c r="K73" i="17" s="1"/>
  <c r="M71" i="17"/>
  <c r="N71" i="17" s="1"/>
  <c r="O71" i="17" s="1"/>
  <c r="J71" i="17"/>
  <c r="K71" i="17" s="1"/>
  <c r="M178" i="17"/>
  <c r="N178" i="17" s="1"/>
  <c r="O178" i="17" s="1"/>
  <c r="J178" i="17"/>
  <c r="K178" i="17" s="1"/>
  <c r="M293" i="17"/>
  <c r="N293" i="17" s="1"/>
  <c r="O293" i="17" s="1"/>
  <c r="J293" i="17"/>
  <c r="K293" i="17" s="1"/>
  <c r="L341" i="39" l="1"/>
  <c r="M341" i="39" s="1"/>
  <c r="N341" i="39" s="1"/>
  <c r="I341" i="39"/>
  <c r="J341" i="39" s="1"/>
  <c r="L340" i="39"/>
  <c r="M340" i="39" s="1"/>
  <c r="N340" i="39" s="1"/>
  <c r="I340" i="39"/>
  <c r="J340" i="39" s="1"/>
  <c r="K362" i="39"/>
  <c r="I362" i="39"/>
  <c r="J362" i="39" s="1"/>
  <c r="M126" i="17"/>
  <c r="N126" i="17" s="1"/>
  <c r="O126" i="17" s="1"/>
  <c r="J126" i="17"/>
  <c r="K126" i="17" s="1"/>
  <c r="M21" i="42"/>
  <c r="L362" i="39" l="1"/>
  <c r="M362" i="39" s="1"/>
  <c r="N362" i="39" s="1"/>
  <c r="N123" i="42"/>
  <c r="N124" i="42"/>
  <c r="O124" i="42" s="1"/>
  <c r="P124" i="42" s="1"/>
  <c r="N125" i="42"/>
  <c r="O125" i="42" s="1"/>
  <c r="P125" i="42" s="1"/>
  <c r="N126" i="42"/>
  <c r="O126" i="42" s="1"/>
  <c r="P126" i="42" s="1"/>
  <c r="N127" i="42"/>
  <c r="O127" i="42" s="1"/>
  <c r="P127" i="42" s="1"/>
  <c r="N128" i="42"/>
  <c r="O128" i="42" s="1"/>
  <c r="P128" i="42" s="1"/>
  <c r="N130" i="42"/>
  <c r="O130" i="42" s="1"/>
  <c r="P130" i="42" s="1"/>
  <c r="N131" i="42"/>
  <c r="O131" i="42" s="1"/>
  <c r="P131" i="42" s="1"/>
  <c r="N132" i="42"/>
  <c r="O132" i="42" s="1"/>
  <c r="P132" i="42" s="1"/>
  <c r="N133" i="42"/>
  <c r="N134" i="42"/>
  <c r="O134" i="42" s="1"/>
  <c r="P134" i="42" s="1"/>
  <c r="N135" i="42"/>
  <c r="O135" i="42" s="1"/>
  <c r="P135" i="42" s="1"/>
  <c r="N136" i="42"/>
  <c r="O136" i="42" s="1"/>
  <c r="P136" i="42" s="1"/>
  <c r="N137" i="42"/>
  <c r="O137" i="42" s="1"/>
  <c r="P137" i="42" s="1"/>
  <c r="N138" i="42"/>
  <c r="O138" i="42" s="1"/>
  <c r="P138" i="42" s="1"/>
  <c r="N139" i="42"/>
  <c r="O139" i="42" s="1"/>
  <c r="P139" i="42" s="1"/>
  <c r="N140" i="42"/>
  <c r="O140" i="42" s="1"/>
  <c r="P140" i="42" s="1"/>
  <c r="N141" i="42"/>
  <c r="O141" i="42" s="1"/>
  <c r="P141" i="42" s="1"/>
  <c r="N142" i="42"/>
  <c r="O142" i="42" s="1"/>
  <c r="N143" i="42"/>
  <c r="O143" i="42" s="1"/>
  <c r="P143" i="42" s="1"/>
  <c r="N112" i="42"/>
  <c r="O112" i="42" s="1"/>
  <c r="P112" i="42" s="1"/>
  <c r="N51" i="42"/>
  <c r="O51" i="42" s="1"/>
  <c r="P51" i="42" s="1"/>
  <c r="N54" i="42"/>
  <c r="O54" i="42" s="1"/>
  <c r="P54" i="42" s="1"/>
  <c r="N55" i="42"/>
  <c r="O55" i="42" s="1"/>
  <c r="P55" i="42" s="1"/>
  <c r="N56" i="42"/>
  <c r="O56" i="42" s="1"/>
  <c r="P56" i="42" s="1"/>
  <c r="N57" i="42"/>
  <c r="O57" i="42" s="1"/>
  <c r="P57" i="42" s="1"/>
  <c r="N60" i="42"/>
  <c r="O60" i="42" s="1"/>
  <c r="P60" i="42" s="1"/>
  <c r="N61" i="42"/>
  <c r="O61" i="42" s="1"/>
  <c r="P61" i="42" s="1"/>
  <c r="N62" i="42"/>
  <c r="O62" i="42" s="1"/>
  <c r="P62" i="42" s="1"/>
  <c r="N63" i="42"/>
  <c r="O63" i="42" s="1"/>
  <c r="P63" i="42" s="1"/>
  <c r="N64" i="42"/>
  <c r="O64" i="42" s="1"/>
  <c r="P64" i="42" s="1"/>
  <c r="N65" i="42"/>
  <c r="O65" i="42" s="1"/>
  <c r="P65" i="42" s="1"/>
  <c r="N66" i="42"/>
  <c r="O66" i="42" s="1"/>
  <c r="P66" i="42" s="1"/>
  <c r="N67" i="42"/>
  <c r="O67" i="42" s="1"/>
  <c r="P67" i="42" s="1"/>
  <c r="N68" i="42"/>
  <c r="O68" i="42" s="1"/>
  <c r="P68" i="42" s="1"/>
  <c r="N69" i="42"/>
  <c r="O69" i="42" s="1"/>
  <c r="P69" i="42" s="1"/>
  <c r="N70" i="42"/>
  <c r="O70" i="42" s="1"/>
  <c r="P70" i="42" s="1"/>
  <c r="N71" i="42"/>
  <c r="O71" i="42" s="1"/>
  <c r="P71" i="42" s="1"/>
  <c r="N72" i="42"/>
  <c r="O72" i="42" s="1"/>
  <c r="P72" i="42" s="1"/>
  <c r="N73" i="42"/>
  <c r="O73" i="42" s="1"/>
  <c r="P73" i="42" s="1"/>
  <c r="N74" i="42"/>
  <c r="O74" i="42" s="1"/>
  <c r="P74" i="42" s="1"/>
  <c r="N75" i="42"/>
  <c r="O75" i="42" s="1"/>
  <c r="P75" i="42" s="1"/>
  <c r="N76" i="42"/>
  <c r="O76" i="42" s="1"/>
  <c r="P76" i="42" s="1"/>
  <c r="N77" i="42"/>
  <c r="N78" i="42"/>
  <c r="O78" i="42" s="1"/>
  <c r="P78" i="42" s="1"/>
  <c r="N82" i="42"/>
  <c r="O82" i="42" s="1"/>
  <c r="P82" i="42" s="1"/>
  <c r="N83" i="42"/>
  <c r="O83" i="42" s="1"/>
  <c r="P83" i="42" s="1"/>
  <c r="N84" i="42"/>
  <c r="O84" i="42" s="1"/>
  <c r="P84" i="42" s="1"/>
  <c r="N85" i="42"/>
  <c r="O85" i="42" s="1"/>
  <c r="P85" i="42" s="1"/>
  <c r="N87" i="42"/>
  <c r="O87" i="42" s="1"/>
  <c r="P87" i="42" s="1"/>
  <c r="N89" i="42"/>
  <c r="O89" i="42" s="1"/>
  <c r="P89" i="42" s="1"/>
  <c r="N90" i="42"/>
  <c r="O90" i="42" s="1"/>
  <c r="P90" i="42" s="1"/>
  <c r="N91" i="42"/>
  <c r="O91" i="42" s="1"/>
  <c r="P91" i="42" s="1"/>
  <c r="N94" i="42"/>
  <c r="O94" i="42" s="1"/>
  <c r="P94" i="42" s="1"/>
  <c r="N95" i="42"/>
  <c r="O95" i="42" s="1"/>
  <c r="P95" i="42" s="1"/>
  <c r="N114" i="42"/>
  <c r="O114" i="42" s="1"/>
  <c r="P114" i="42" s="1"/>
  <c r="N50" i="42"/>
  <c r="N26" i="42"/>
  <c r="O26" i="42" s="1"/>
  <c r="P26" i="42" s="1"/>
  <c r="N27" i="42"/>
  <c r="O27" i="42" s="1"/>
  <c r="P27" i="42" s="1"/>
  <c r="N28" i="42"/>
  <c r="O28" i="42" s="1"/>
  <c r="P28" i="42" s="1"/>
  <c r="N29" i="42"/>
  <c r="O29" i="42" s="1"/>
  <c r="P29" i="42" s="1"/>
  <c r="N30" i="42"/>
  <c r="O30" i="42" s="1"/>
  <c r="P30" i="42" s="1"/>
  <c r="N31" i="42"/>
  <c r="O31" i="42" s="1"/>
  <c r="P31" i="42" s="1"/>
  <c r="N32" i="42"/>
  <c r="O32" i="42" s="1"/>
  <c r="P32" i="42" s="1"/>
  <c r="N33" i="42"/>
  <c r="O33" i="42" s="1"/>
  <c r="N34" i="42"/>
  <c r="O34" i="42" s="1"/>
  <c r="P34" i="42" s="1"/>
  <c r="N35" i="42"/>
  <c r="O35" i="42" s="1"/>
  <c r="P35" i="42" s="1"/>
  <c r="N36" i="42"/>
  <c r="O36" i="42" s="1"/>
  <c r="P36" i="42" s="1"/>
  <c r="N37" i="42"/>
  <c r="O37" i="42" s="1"/>
  <c r="P37" i="42" s="1"/>
  <c r="N38" i="42"/>
  <c r="O38" i="42" s="1"/>
  <c r="P38" i="42" s="1"/>
  <c r="N39" i="42"/>
  <c r="O39" i="42" s="1"/>
  <c r="P39" i="42" s="1"/>
  <c r="N40" i="42"/>
  <c r="O40" i="42" s="1"/>
  <c r="P40" i="42" s="1"/>
  <c r="N41" i="42"/>
  <c r="O41" i="42" s="1"/>
  <c r="P41" i="42" s="1"/>
  <c r="N42" i="42"/>
  <c r="O42" i="42" s="1"/>
  <c r="P42" i="42" s="1"/>
  <c r="N43" i="42"/>
  <c r="O43" i="42" s="1"/>
  <c r="P43" i="42" s="1"/>
  <c r="N44" i="42"/>
  <c r="O44" i="42" s="1"/>
  <c r="P44" i="42" s="1"/>
  <c r="N25" i="42"/>
  <c r="N46" i="42" l="1"/>
  <c r="O123" i="42"/>
  <c r="O50" i="42"/>
  <c r="P50" i="42" s="1"/>
  <c r="O25" i="42"/>
  <c r="O46" i="42" s="1"/>
  <c r="P142" i="42"/>
  <c r="O133" i="42"/>
  <c r="P133" i="42" s="1"/>
  <c r="O77" i="42"/>
  <c r="P77" i="42" s="1"/>
  <c r="P33" i="42"/>
  <c r="N14" i="42"/>
  <c r="O14" i="42" s="1"/>
  <c r="P14" i="42" s="1"/>
  <c r="N149" i="42"/>
  <c r="N152" i="42" s="1"/>
  <c r="N15" i="42"/>
  <c r="O15" i="42" s="1"/>
  <c r="P15" i="42" s="1"/>
  <c r="N150" i="42"/>
  <c r="O150" i="42" s="1"/>
  <c r="P150" i="42" s="1"/>
  <c r="N16" i="42"/>
  <c r="O16" i="42" s="1"/>
  <c r="P16" i="42" s="1"/>
  <c r="N17" i="42"/>
  <c r="O17" i="42" s="1"/>
  <c r="P17" i="42" s="1"/>
  <c r="N18" i="42"/>
  <c r="O18" i="42" s="1"/>
  <c r="P18" i="42" s="1"/>
  <c r="N19" i="42"/>
  <c r="O19" i="42" s="1"/>
  <c r="P19" i="42" s="1"/>
  <c r="N13" i="42"/>
  <c r="R11" i="42"/>
  <c r="L89" i="39"/>
  <c r="M89" i="39" s="1"/>
  <c r="N89" i="39" s="1"/>
  <c r="L90" i="39"/>
  <c r="M90" i="39" s="1"/>
  <c r="N90" i="39" s="1"/>
  <c r="L99" i="39"/>
  <c r="M99" i="39" s="1"/>
  <c r="N99" i="39" s="1"/>
  <c r="L102" i="39"/>
  <c r="M102" i="39" s="1"/>
  <c r="N102" i="39" s="1"/>
  <c r="L103" i="39"/>
  <c r="M103" i="39" s="1"/>
  <c r="N103" i="39" s="1"/>
  <c r="L104" i="39"/>
  <c r="M104" i="39" s="1"/>
  <c r="N104" i="39" s="1"/>
  <c r="L105" i="39"/>
  <c r="M105" i="39" s="1"/>
  <c r="N105" i="39" s="1"/>
  <c r="L109" i="39"/>
  <c r="M109" i="39" s="1"/>
  <c r="N109" i="39" s="1"/>
  <c r="L110" i="39"/>
  <c r="L111" i="39"/>
  <c r="M111" i="39" s="1"/>
  <c r="N111" i="39" s="1"/>
  <c r="L112" i="39"/>
  <c r="M112" i="39" s="1"/>
  <c r="N112" i="39" s="1"/>
  <c r="L117" i="39"/>
  <c r="M117" i="39" s="1"/>
  <c r="N117" i="39" s="1"/>
  <c r="L409" i="39"/>
  <c r="L410" i="39"/>
  <c r="M410" i="39" s="1"/>
  <c r="N410" i="39" s="1"/>
  <c r="L411" i="39"/>
  <c r="M411" i="39" s="1"/>
  <c r="N411" i="39" s="1"/>
  <c r="L412" i="39"/>
  <c r="M412" i="39" s="1"/>
  <c r="N412" i="39" s="1"/>
  <c r="L413" i="39"/>
  <c r="M413" i="39" s="1"/>
  <c r="N413" i="39" s="1"/>
  <c r="L414" i="39"/>
  <c r="M414" i="39" s="1"/>
  <c r="N414" i="39" s="1"/>
  <c r="L415" i="39"/>
  <c r="M415" i="39" s="1"/>
  <c r="N415" i="39" s="1"/>
  <c r="L416" i="39"/>
  <c r="M416" i="39" s="1"/>
  <c r="N416" i="39" s="1"/>
  <c r="L417" i="39"/>
  <c r="M417" i="39" s="1"/>
  <c r="N417" i="39" s="1"/>
  <c r="L418" i="39"/>
  <c r="M418" i="39" s="1"/>
  <c r="N418" i="39" s="1"/>
  <c r="L419" i="39"/>
  <c r="M419" i="39" s="1"/>
  <c r="N419" i="39" s="1"/>
  <c r="L420" i="39"/>
  <c r="M420" i="39" s="1"/>
  <c r="N420" i="39" s="1"/>
  <c r="L421" i="39"/>
  <c r="M421" i="39" s="1"/>
  <c r="N421" i="39" s="1"/>
  <c r="L422" i="39"/>
  <c r="M422" i="39" s="1"/>
  <c r="N422" i="39" s="1"/>
  <c r="L423" i="39"/>
  <c r="M423" i="39" s="1"/>
  <c r="N423" i="39" s="1"/>
  <c r="L424" i="39"/>
  <c r="M424" i="39" s="1"/>
  <c r="N424" i="39" s="1"/>
  <c r="L425" i="39"/>
  <c r="M425" i="39" s="1"/>
  <c r="N425" i="39" s="1"/>
  <c r="L426" i="39"/>
  <c r="M426" i="39" s="1"/>
  <c r="N426" i="39" s="1"/>
  <c r="L427" i="39"/>
  <c r="M427" i="39" s="1"/>
  <c r="N427" i="39" s="1"/>
  <c r="L428" i="39"/>
  <c r="M428" i="39" s="1"/>
  <c r="N428" i="39" s="1"/>
  <c r="L429" i="39"/>
  <c r="M429" i="39" s="1"/>
  <c r="N429" i="39" s="1"/>
  <c r="L430" i="39"/>
  <c r="M430" i="39" s="1"/>
  <c r="N430" i="39" s="1"/>
  <c r="L431" i="39"/>
  <c r="M431" i="39" s="1"/>
  <c r="N431" i="39" s="1"/>
  <c r="L432" i="39"/>
  <c r="M432" i="39" s="1"/>
  <c r="N432" i="39" s="1"/>
  <c r="L433" i="39"/>
  <c r="M433" i="39" s="1"/>
  <c r="N433" i="39" s="1"/>
  <c r="L434" i="39"/>
  <c r="M434" i="39" s="1"/>
  <c r="N434" i="39" s="1"/>
  <c r="L435" i="39"/>
  <c r="M435" i="39" s="1"/>
  <c r="N435" i="39" s="1"/>
  <c r="L436" i="39"/>
  <c r="M436" i="39" s="1"/>
  <c r="N436" i="39" s="1"/>
  <c r="L437" i="39"/>
  <c r="M437" i="39" s="1"/>
  <c r="N437" i="39" s="1"/>
  <c r="L438" i="39"/>
  <c r="M438" i="39" s="1"/>
  <c r="N438" i="39" s="1"/>
  <c r="L439" i="39"/>
  <c r="M439" i="39" s="1"/>
  <c r="N439" i="39" s="1"/>
  <c r="L440" i="39"/>
  <c r="M440" i="39" s="1"/>
  <c r="N440" i="39" s="1"/>
  <c r="L441" i="39"/>
  <c r="M441" i="39" s="1"/>
  <c r="N441" i="39" s="1"/>
  <c r="L442" i="39"/>
  <c r="M442" i="39" s="1"/>
  <c r="N442" i="39" s="1"/>
  <c r="L443" i="39"/>
  <c r="M443" i="39" s="1"/>
  <c r="N443" i="39" s="1"/>
  <c r="L444" i="39"/>
  <c r="M444" i="39" s="1"/>
  <c r="N444" i="39" s="1"/>
  <c r="L445" i="39"/>
  <c r="M445" i="39" s="1"/>
  <c r="N445" i="39" s="1"/>
  <c r="L446" i="39"/>
  <c r="M446" i="39" s="1"/>
  <c r="N446" i="39" s="1"/>
  <c r="L447" i="39"/>
  <c r="M447" i="39" s="1"/>
  <c r="N447" i="39" s="1"/>
  <c r="L448" i="39"/>
  <c r="M448" i="39" s="1"/>
  <c r="N448" i="39" s="1"/>
  <c r="L449" i="39"/>
  <c r="M449" i="39" s="1"/>
  <c r="N449" i="39" s="1"/>
  <c r="L450" i="39"/>
  <c r="M450" i="39" s="1"/>
  <c r="N450" i="39" s="1"/>
  <c r="L451" i="39"/>
  <c r="M451" i="39" s="1"/>
  <c r="N451" i="39" s="1"/>
  <c r="L370" i="39"/>
  <c r="L371" i="39"/>
  <c r="M371" i="39" s="1"/>
  <c r="N371" i="39" s="1"/>
  <c r="L372" i="39"/>
  <c r="M372" i="39" s="1"/>
  <c r="N372" i="39" s="1"/>
  <c r="L373" i="39"/>
  <c r="M373" i="39" s="1"/>
  <c r="N373" i="39" s="1"/>
  <c r="L374" i="39"/>
  <c r="M374" i="39" s="1"/>
  <c r="N374" i="39" s="1"/>
  <c r="L375" i="39"/>
  <c r="M375" i="39" s="1"/>
  <c r="N375" i="39" s="1"/>
  <c r="L376" i="39"/>
  <c r="M376" i="39" s="1"/>
  <c r="N376" i="39" s="1"/>
  <c r="L377" i="39"/>
  <c r="M377" i="39" s="1"/>
  <c r="N377" i="39" s="1"/>
  <c r="L378" i="39"/>
  <c r="M378" i="39" s="1"/>
  <c r="N378" i="39" s="1"/>
  <c r="L382" i="39"/>
  <c r="M382" i="39" s="1"/>
  <c r="N382" i="39" s="1"/>
  <c r="L383" i="39"/>
  <c r="M383" i="39" s="1"/>
  <c r="N383" i="39" s="1"/>
  <c r="L384" i="39"/>
  <c r="M384" i="39" s="1"/>
  <c r="N384" i="39" s="1"/>
  <c r="L386" i="39"/>
  <c r="M386" i="39" s="1"/>
  <c r="N386" i="39" s="1"/>
  <c r="L387" i="39"/>
  <c r="M387" i="39" s="1"/>
  <c r="N387" i="39" s="1"/>
  <c r="L388" i="39"/>
  <c r="M388" i="39" s="1"/>
  <c r="N388" i="39" s="1"/>
  <c r="L389" i="39"/>
  <c r="M389" i="39" s="1"/>
  <c r="N389" i="39" s="1"/>
  <c r="L390" i="39"/>
  <c r="M390" i="39" s="1"/>
  <c r="N390" i="39" s="1"/>
  <c r="L391" i="39"/>
  <c r="M391" i="39" s="1"/>
  <c r="N391" i="39" s="1"/>
  <c r="L392" i="39"/>
  <c r="M392" i="39" s="1"/>
  <c r="N392" i="39" s="1"/>
  <c r="L393" i="39"/>
  <c r="M393" i="39" s="1"/>
  <c r="N393" i="39" s="1"/>
  <c r="L394" i="39"/>
  <c r="M394" i="39" s="1"/>
  <c r="N394" i="39" s="1"/>
  <c r="L395" i="39"/>
  <c r="M395" i="39" s="1"/>
  <c r="N395" i="39" s="1"/>
  <c r="L396" i="39"/>
  <c r="M396" i="39" s="1"/>
  <c r="N396" i="39" s="1"/>
  <c r="L397" i="39"/>
  <c r="M397" i="39" s="1"/>
  <c r="N397" i="39" s="1"/>
  <c r="L299" i="39"/>
  <c r="L300" i="39"/>
  <c r="M300" i="39" s="1"/>
  <c r="N300" i="39" s="1"/>
  <c r="L301" i="39"/>
  <c r="M301" i="39" s="1"/>
  <c r="N301" i="39" s="1"/>
  <c r="L302" i="39"/>
  <c r="M302" i="39" s="1"/>
  <c r="N302" i="39" s="1"/>
  <c r="L303" i="39"/>
  <c r="M303" i="39" s="1"/>
  <c r="N303" i="39" s="1"/>
  <c r="L304" i="39"/>
  <c r="M304" i="39" s="1"/>
  <c r="N304" i="39" s="1"/>
  <c r="L305" i="39"/>
  <c r="M305" i="39" s="1"/>
  <c r="N305" i="39" s="1"/>
  <c r="L306" i="39"/>
  <c r="M306" i="39" s="1"/>
  <c r="N306" i="39" s="1"/>
  <c r="L307" i="39"/>
  <c r="M307" i="39" s="1"/>
  <c r="N307" i="39" s="1"/>
  <c r="L308" i="39"/>
  <c r="M308" i="39" s="1"/>
  <c r="N308" i="39" s="1"/>
  <c r="L309" i="39"/>
  <c r="M309" i="39" s="1"/>
  <c r="N309" i="39" s="1"/>
  <c r="L310" i="39"/>
  <c r="M310" i="39" s="1"/>
  <c r="N310" i="39" s="1"/>
  <c r="L311" i="39"/>
  <c r="M311" i="39" s="1"/>
  <c r="N311" i="39" s="1"/>
  <c r="L312" i="39"/>
  <c r="M312" i="39" s="1"/>
  <c r="N312" i="39" s="1"/>
  <c r="L313" i="39"/>
  <c r="M313" i="39" s="1"/>
  <c r="N313" i="39" s="1"/>
  <c r="L314" i="39"/>
  <c r="M314" i="39" s="1"/>
  <c r="N314" i="39" s="1"/>
  <c r="L315" i="39"/>
  <c r="M315" i="39" s="1"/>
  <c r="N315" i="39" s="1"/>
  <c r="L316" i="39"/>
  <c r="M316" i="39" s="1"/>
  <c r="N316" i="39" s="1"/>
  <c r="L317" i="39"/>
  <c r="M317" i="39" s="1"/>
  <c r="N317" i="39" s="1"/>
  <c r="L318" i="39"/>
  <c r="M318" i="39" s="1"/>
  <c r="N318" i="39" s="1"/>
  <c r="L319" i="39"/>
  <c r="M319" i="39" s="1"/>
  <c r="N319" i="39" s="1"/>
  <c r="L320" i="39"/>
  <c r="M320" i="39" s="1"/>
  <c r="N320" i="39" s="1"/>
  <c r="L321" i="39"/>
  <c r="M321" i="39" s="1"/>
  <c r="N321" i="39" s="1"/>
  <c r="L322" i="39"/>
  <c r="M322" i="39" s="1"/>
  <c r="N322" i="39" s="1"/>
  <c r="L323" i="39"/>
  <c r="M323" i="39" s="1"/>
  <c r="N323" i="39" s="1"/>
  <c r="L324" i="39"/>
  <c r="M324" i="39" s="1"/>
  <c r="N324" i="39" s="1"/>
  <c r="L325" i="39"/>
  <c r="M325" i="39" s="1"/>
  <c r="N325" i="39" s="1"/>
  <c r="L326" i="39"/>
  <c r="M326" i="39" s="1"/>
  <c r="N326" i="39" s="1"/>
  <c r="L327" i="39"/>
  <c r="M327" i="39" s="1"/>
  <c r="N327" i="39" s="1"/>
  <c r="L328" i="39"/>
  <c r="M328" i="39" s="1"/>
  <c r="N328" i="39" s="1"/>
  <c r="L329" i="39"/>
  <c r="M329" i="39" s="1"/>
  <c r="N329" i="39" s="1"/>
  <c r="L330" i="39"/>
  <c r="M330" i="39" s="1"/>
  <c r="N330" i="39" s="1"/>
  <c r="L331" i="39"/>
  <c r="M331" i="39" s="1"/>
  <c r="N331" i="39" s="1"/>
  <c r="L332" i="39"/>
  <c r="M332" i="39" s="1"/>
  <c r="N332" i="39" s="1"/>
  <c r="L333" i="39"/>
  <c r="M333" i="39" s="1"/>
  <c r="N333" i="39" s="1"/>
  <c r="L334" i="39"/>
  <c r="M334" i="39" s="1"/>
  <c r="N334" i="39" s="1"/>
  <c r="L335" i="39"/>
  <c r="M335" i="39" s="1"/>
  <c r="N335" i="39" s="1"/>
  <c r="L336" i="39"/>
  <c r="M336" i="39" s="1"/>
  <c r="N336" i="39" s="1"/>
  <c r="L337" i="39"/>
  <c r="M337" i="39" s="1"/>
  <c r="N337" i="39" s="1"/>
  <c r="L338" i="39"/>
  <c r="M338" i="39" s="1"/>
  <c r="N338" i="39" s="1"/>
  <c r="L339" i="39"/>
  <c r="M339" i="39" s="1"/>
  <c r="N339" i="39" s="1"/>
  <c r="L351" i="39"/>
  <c r="M351" i="39" s="1"/>
  <c r="N351" i="39" s="1"/>
  <c r="L352" i="39"/>
  <c r="M352" i="39" s="1"/>
  <c r="N352" i="39" s="1"/>
  <c r="L353" i="39"/>
  <c r="M353" i="39" s="1"/>
  <c r="N353" i="39" s="1"/>
  <c r="L354" i="39"/>
  <c r="M354" i="39" s="1"/>
  <c r="N354" i="39" s="1"/>
  <c r="L355" i="39"/>
  <c r="M355" i="39" s="1"/>
  <c r="N355" i="39" s="1"/>
  <c r="L356" i="39"/>
  <c r="M356" i="39" s="1"/>
  <c r="N356" i="39" s="1"/>
  <c r="L357" i="39"/>
  <c r="M357" i="39" s="1"/>
  <c r="N357" i="39" s="1"/>
  <c r="L358" i="39"/>
  <c r="M358" i="39" s="1"/>
  <c r="N358" i="39" s="1"/>
  <c r="L359" i="39"/>
  <c r="M359" i="39" s="1"/>
  <c r="N359" i="39" s="1"/>
  <c r="L360" i="39"/>
  <c r="M360" i="39" s="1"/>
  <c r="N360" i="39" s="1"/>
  <c r="L361" i="39"/>
  <c r="M361" i="39" s="1"/>
  <c r="N361" i="39" s="1"/>
  <c r="L169" i="39"/>
  <c r="L170" i="39"/>
  <c r="M170" i="39" s="1"/>
  <c r="N170" i="39" s="1"/>
  <c r="L171" i="39"/>
  <c r="M171" i="39" s="1"/>
  <c r="N171" i="39" s="1"/>
  <c r="L172" i="39"/>
  <c r="M172" i="39" s="1"/>
  <c r="N172" i="39" s="1"/>
  <c r="L173" i="39"/>
  <c r="M173" i="39" s="1"/>
  <c r="N173" i="39" s="1"/>
  <c r="L174" i="39"/>
  <c r="M174" i="39" s="1"/>
  <c r="N174" i="39" s="1"/>
  <c r="L175" i="39"/>
  <c r="M175" i="39" s="1"/>
  <c r="N175" i="39" s="1"/>
  <c r="L176" i="39"/>
  <c r="L177" i="39"/>
  <c r="M177" i="39" s="1"/>
  <c r="N177" i="39" s="1"/>
  <c r="L178" i="39"/>
  <c r="M178" i="39" s="1"/>
  <c r="N178" i="39" s="1"/>
  <c r="L179" i="39"/>
  <c r="L180" i="39"/>
  <c r="M180" i="39" s="1"/>
  <c r="N180" i="39" s="1"/>
  <c r="L181" i="39"/>
  <c r="M181" i="39" s="1"/>
  <c r="N181" i="39" s="1"/>
  <c r="L182" i="39"/>
  <c r="M182" i="39" s="1"/>
  <c r="N182" i="39" s="1"/>
  <c r="L183" i="39"/>
  <c r="M183" i="39" s="1"/>
  <c r="N183" i="39" s="1"/>
  <c r="L184" i="39"/>
  <c r="M184" i="39" s="1"/>
  <c r="N184" i="39" s="1"/>
  <c r="L185" i="39"/>
  <c r="M185" i="39" s="1"/>
  <c r="N185" i="39" s="1"/>
  <c r="L186" i="39"/>
  <c r="M186" i="39" s="1"/>
  <c r="N186" i="39" s="1"/>
  <c r="L187" i="39"/>
  <c r="M187" i="39" s="1"/>
  <c r="N187" i="39" s="1"/>
  <c r="L188" i="39"/>
  <c r="M188" i="39" s="1"/>
  <c r="N188" i="39" s="1"/>
  <c r="L189" i="39"/>
  <c r="M189" i="39" s="1"/>
  <c r="N189" i="39" s="1"/>
  <c r="L190" i="39"/>
  <c r="M190" i="39" s="1"/>
  <c r="N190" i="39" s="1"/>
  <c r="L191" i="39"/>
  <c r="M191" i="39" s="1"/>
  <c r="N191" i="39" s="1"/>
  <c r="L192" i="39"/>
  <c r="M192" i="39" s="1"/>
  <c r="N192" i="39" s="1"/>
  <c r="L193" i="39"/>
  <c r="M193" i="39" s="1"/>
  <c r="N193" i="39" s="1"/>
  <c r="L194" i="39"/>
  <c r="M194" i="39" s="1"/>
  <c r="N194" i="39" s="1"/>
  <c r="L195" i="39"/>
  <c r="M195" i="39" s="1"/>
  <c r="N195" i="39" s="1"/>
  <c r="L196" i="39"/>
  <c r="M196" i="39" s="1"/>
  <c r="N196" i="39" s="1"/>
  <c r="L197" i="39"/>
  <c r="M197" i="39" s="1"/>
  <c r="N197" i="39" s="1"/>
  <c r="L198" i="39"/>
  <c r="M198" i="39" s="1"/>
  <c r="N198" i="39" s="1"/>
  <c r="L199" i="39"/>
  <c r="M199" i="39" s="1"/>
  <c r="N199" i="39" s="1"/>
  <c r="L200" i="39"/>
  <c r="M200" i="39" s="1"/>
  <c r="N200" i="39" s="1"/>
  <c r="L201" i="39"/>
  <c r="M201" i="39" s="1"/>
  <c r="N201" i="39" s="1"/>
  <c r="L202" i="39"/>
  <c r="M202" i="39" s="1"/>
  <c r="N202" i="39" s="1"/>
  <c r="L203" i="39"/>
  <c r="M203" i="39" s="1"/>
  <c r="N203" i="39" s="1"/>
  <c r="L204" i="39"/>
  <c r="M204" i="39" s="1"/>
  <c r="N204" i="39" s="1"/>
  <c r="L205" i="39"/>
  <c r="M205" i="39" s="1"/>
  <c r="N205" i="39" s="1"/>
  <c r="L206" i="39"/>
  <c r="M206" i="39" s="1"/>
  <c r="N206" i="39" s="1"/>
  <c r="L207" i="39"/>
  <c r="M207" i="39" s="1"/>
  <c r="N207" i="39" s="1"/>
  <c r="L208" i="39"/>
  <c r="M208" i="39" s="1"/>
  <c r="N208" i="39" s="1"/>
  <c r="L209" i="39"/>
  <c r="M209" i="39" s="1"/>
  <c r="N209" i="39" s="1"/>
  <c r="L210" i="39"/>
  <c r="M210" i="39" s="1"/>
  <c r="N210" i="39" s="1"/>
  <c r="L211" i="39"/>
  <c r="M211" i="39" s="1"/>
  <c r="N211" i="39" s="1"/>
  <c r="L212" i="39"/>
  <c r="M212" i="39" s="1"/>
  <c r="N212" i="39" s="1"/>
  <c r="L213" i="39"/>
  <c r="M213" i="39" s="1"/>
  <c r="N213" i="39" s="1"/>
  <c r="L214" i="39"/>
  <c r="M214" i="39" s="1"/>
  <c r="N214" i="39" s="1"/>
  <c r="L215" i="39"/>
  <c r="M215" i="39" s="1"/>
  <c r="N215" i="39" s="1"/>
  <c r="L216" i="39"/>
  <c r="M216" i="39" s="1"/>
  <c r="N216" i="39" s="1"/>
  <c r="L217" i="39"/>
  <c r="M217" i="39" s="1"/>
  <c r="N217" i="39" s="1"/>
  <c r="L218" i="39"/>
  <c r="M218" i="39" s="1"/>
  <c r="N218" i="39" s="1"/>
  <c r="L219" i="39"/>
  <c r="M219" i="39" s="1"/>
  <c r="N219" i="39" s="1"/>
  <c r="L220" i="39"/>
  <c r="M220" i="39" s="1"/>
  <c r="N220" i="39" s="1"/>
  <c r="L221" i="39"/>
  <c r="M221" i="39" s="1"/>
  <c r="N221" i="39" s="1"/>
  <c r="L222" i="39"/>
  <c r="M222" i="39" s="1"/>
  <c r="N222" i="39" s="1"/>
  <c r="L223" i="39"/>
  <c r="M223" i="39" s="1"/>
  <c r="N223" i="39" s="1"/>
  <c r="L224" i="39"/>
  <c r="M224" i="39" s="1"/>
  <c r="N224" i="39" s="1"/>
  <c r="L227" i="39"/>
  <c r="M227" i="39" s="1"/>
  <c r="N227" i="39" s="1"/>
  <c r="L225" i="39"/>
  <c r="M225" i="39" s="1"/>
  <c r="N225" i="39" s="1"/>
  <c r="L226" i="39"/>
  <c r="M226" i="39" s="1"/>
  <c r="N226" i="39" s="1"/>
  <c r="L228" i="39"/>
  <c r="M228" i="39" s="1"/>
  <c r="N228" i="39" s="1"/>
  <c r="L229" i="39"/>
  <c r="M229" i="39" s="1"/>
  <c r="N229" i="39" s="1"/>
  <c r="L230" i="39"/>
  <c r="M230" i="39" s="1"/>
  <c r="N230" i="39" s="1"/>
  <c r="L231" i="39"/>
  <c r="M231" i="39" s="1"/>
  <c r="N231" i="39" s="1"/>
  <c r="L232" i="39"/>
  <c r="M232" i="39" s="1"/>
  <c r="N232" i="39" s="1"/>
  <c r="L234" i="39"/>
  <c r="M234" i="39" s="1"/>
  <c r="N234" i="39" s="1"/>
  <c r="L235" i="39"/>
  <c r="M235" i="39" s="1"/>
  <c r="N235" i="39" s="1"/>
  <c r="L233" i="39"/>
  <c r="M233" i="39" s="1"/>
  <c r="N233" i="39" s="1"/>
  <c r="L236" i="39"/>
  <c r="M236" i="39" s="1"/>
  <c r="N236" i="39" s="1"/>
  <c r="L238" i="39"/>
  <c r="M238" i="39" s="1"/>
  <c r="N238" i="39" s="1"/>
  <c r="L237" i="39"/>
  <c r="M237" i="39" s="1"/>
  <c r="N237" i="39" s="1"/>
  <c r="L239" i="39"/>
  <c r="L240" i="39"/>
  <c r="M240" i="39" s="1"/>
  <c r="N240" i="39" s="1"/>
  <c r="L245" i="39"/>
  <c r="M245" i="39" s="1"/>
  <c r="N245" i="39" s="1"/>
  <c r="L244" i="39"/>
  <c r="M244" i="39" s="1"/>
  <c r="N244" i="39" s="1"/>
  <c r="L243" i="39"/>
  <c r="M243" i="39" s="1"/>
  <c r="N243" i="39" s="1"/>
  <c r="L242" i="39"/>
  <c r="M242" i="39" s="1"/>
  <c r="N242" i="39" s="1"/>
  <c r="L247" i="39"/>
  <c r="M247" i="39" s="1"/>
  <c r="N247" i="39" s="1"/>
  <c r="L246" i="39"/>
  <c r="M246" i="39" s="1"/>
  <c r="N246" i="39" s="1"/>
  <c r="L248" i="39"/>
  <c r="M248" i="39" s="1"/>
  <c r="N248" i="39" s="1"/>
  <c r="L250" i="39"/>
  <c r="M250" i="39" s="1"/>
  <c r="N250" i="39" s="1"/>
  <c r="L249" i="39"/>
  <c r="M249" i="39" s="1"/>
  <c r="N249" i="39" s="1"/>
  <c r="L251" i="39"/>
  <c r="M251" i="39" s="1"/>
  <c r="N251" i="39" s="1"/>
  <c r="L252" i="39"/>
  <c r="M252" i="39" s="1"/>
  <c r="N252" i="39" s="1"/>
  <c r="L253" i="39"/>
  <c r="M253" i="39" s="1"/>
  <c r="N253" i="39" s="1"/>
  <c r="L257" i="39"/>
  <c r="M257" i="39" s="1"/>
  <c r="N257" i="39" s="1"/>
  <c r="L256" i="39"/>
  <c r="L255" i="39"/>
  <c r="M255" i="39" s="1"/>
  <c r="N255" i="39" s="1"/>
  <c r="L258" i="39"/>
  <c r="M258" i="39" s="1"/>
  <c r="N258" i="39" s="1"/>
  <c r="L259" i="39"/>
  <c r="M259" i="39" s="1"/>
  <c r="N259" i="39" s="1"/>
  <c r="L260" i="39"/>
  <c r="M260" i="39" s="1"/>
  <c r="N260" i="39" s="1"/>
  <c r="L261" i="39"/>
  <c r="M261" i="39" s="1"/>
  <c r="N261" i="39" s="1"/>
  <c r="L262" i="39"/>
  <c r="M262" i="39" s="1"/>
  <c r="N262" i="39" s="1"/>
  <c r="L263" i="39"/>
  <c r="M263" i="39" s="1"/>
  <c r="N263" i="39" s="1"/>
  <c r="L265" i="39"/>
  <c r="M265" i="39" s="1"/>
  <c r="N265" i="39" s="1"/>
  <c r="L264" i="39"/>
  <c r="M264" i="39" s="1"/>
  <c r="N264" i="39" s="1"/>
  <c r="L267" i="39"/>
  <c r="M267" i="39" s="1"/>
  <c r="N267" i="39" s="1"/>
  <c r="L266" i="39"/>
  <c r="M266" i="39" s="1"/>
  <c r="N266" i="39" s="1"/>
  <c r="L268" i="39"/>
  <c r="M268" i="39" s="1"/>
  <c r="N268" i="39" s="1"/>
  <c r="L269" i="39"/>
  <c r="M269" i="39" s="1"/>
  <c r="N269" i="39" s="1"/>
  <c r="L270" i="39"/>
  <c r="M270" i="39" s="1"/>
  <c r="N270" i="39" s="1"/>
  <c r="L271" i="39"/>
  <c r="M271" i="39" s="1"/>
  <c r="N271" i="39" s="1"/>
  <c r="L272" i="39"/>
  <c r="M272" i="39" s="1"/>
  <c r="N272" i="39" s="1"/>
  <c r="L273" i="39"/>
  <c r="M273" i="39" s="1"/>
  <c r="N273" i="39" s="1"/>
  <c r="L274" i="39"/>
  <c r="M274" i="39" s="1"/>
  <c r="N274" i="39" s="1"/>
  <c r="L276" i="39"/>
  <c r="M276" i="39" s="1"/>
  <c r="N276" i="39" s="1"/>
  <c r="L277" i="39"/>
  <c r="M277" i="39" s="1"/>
  <c r="N277" i="39" s="1"/>
  <c r="L275" i="39"/>
  <c r="M275" i="39" s="1"/>
  <c r="N275" i="39" s="1"/>
  <c r="L279" i="39"/>
  <c r="M279" i="39" s="1"/>
  <c r="N279" i="39" s="1"/>
  <c r="L281" i="39"/>
  <c r="M281" i="39" s="1"/>
  <c r="N281" i="39" s="1"/>
  <c r="L280" i="39"/>
  <c r="M280" i="39" s="1"/>
  <c r="N280" i="39" s="1"/>
  <c r="L278" i="39"/>
  <c r="M278" i="39" s="1"/>
  <c r="N278" i="39" s="1"/>
  <c r="L285" i="39"/>
  <c r="M285" i="39" s="1"/>
  <c r="N285" i="39" s="1"/>
  <c r="L284" i="39"/>
  <c r="M284" i="39" s="1"/>
  <c r="N284" i="39" s="1"/>
  <c r="L282" i="39"/>
  <c r="M282" i="39" s="1"/>
  <c r="N282" i="39" s="1"/>
  <c r="P11" i="39"/>
  <c r="M56" i="17"/>
  <c r="N56" i="17" s="1"/>
  <c r="O56" i="17" s="1"/>
  <c r="J56" i="17"/>
  <c r="K56" i="17" s="1"/>
  <c r="N21" i="42" l="1"/>
  <c r="P123" i="42"/>
  <c r="M409" i="39"/>
  <c r="L457" i="39"/>
  <c r="M299" i="39"/>
  <c r="M370" i="39"/>
  <c r="M169" i="39"/>
  <c r="O149" i="42"/>
  <c r="O152" i="42" s="1"/>
  <c r="D44" i="26"/>
  <c r="O13" i="42"/>
  <c r="O21" i="42" s="1"/>
  <c r="P25" i="42"/>
  <c r="P46" i="42" s="1"/>
  <c r="M110" i="39"/>
  <c r="N110" i="39" s="1"/>
  <c r="M256" i="39"/>
  <c r="N256" i="39" s="1"/>
  <c r="M239" i="39"/>
  <c r="N239" i="39" s="1"/>
  <c r="M179" i="39"/>
  <c r="N179" i="39" s="1"/>
  <c r="M176" i="39"/>
  <c r="N176" i="39" s="1"/>
  <c r="M5" i="17"/>
  <c r="I449" i="39"/>
  <c r="J449" i="39" s="1"/>
  <c r="I450" i="39"/>
  <c r="J450" i="39" s="1"/>
  <c r="I451" i="39"/>
  <c r="J451" i="39" s="1"/>
  <c r="I396" i="39"/>
  <c r="J396" i="39" s="1"/>
  <c r="I397" i="39"/>
  <c r="J397" i="39" s="1"/>
  <c r="I281" i="39"/>
  <c r="J281" i="39" s="1"/>
  <c r="I280" i="39"/>
  <c r="J280" i="39" s="1"/>
  <c r="I278" i="39"/>
  <c r="J278" i="39" s="1"/>
  <c r="I285" i="39"/>
  <c r="J285" i="39" s="1"/>
  <c r="I284" i="39"/>
  <c r="J284" i="39" s="1"/>
  <c r="I282" i="39"/>
  <c r="J282" i="39" s="1"/>
  <c r="I279" i="39"/>
  <c r="J279" i="39" s="1"/>
  <c r="K114" i="42"/>
  <c r="L114" i="42" s="1"/>
  <c r="M68" i="17"/>
  <c r="N68" i="17" s="1"/>
  <c r="O68" i="17" s="1"/>
  <c r="M67" i="17"/>
  <c r="N67" i="17" s="1"/>
  <c r="O67" i="17" s="1"/>
  <c r="J67" i="17"/>
  <c r="K67" i="17" s="1"/>
  <c r="J68" i="17"/>
  <c r="K68" i="17" s="1"/>
  <c r="M65" i="17"/>
  <c r="N65" i="17" s="1"/>
  <c r="O65" i="17" s="1"/>
  <c r="J65" i="17"/>
  <c r="K65" i="17" s="1"/>
  <c r="M63" i="17"/>
  <c r="N63" i="17" s="1"/>
  <c r="O63" i="17" s="1"/>
  <c r="J63" i="17"/>
  <c r="K63" i="17" s="1"/>
  <c r="N223" i="17"/>
  <c r="O223" i="17" s="1"/>
  <c r="J223" i="17"/>
  <c r="K223" i="17" s="1"/>
  <c r="M175" i="17"/>
  <c r="N175" i="17" s="1"/>
  <c r="O175" i="17" s="1"/>
  <c r="J175" i="17"/>
  <c r="K175" i="17" s="1"/>
  <c r="M72" i="17"/>
  <c r="N72" i="17" s="1"/>
  <c r="O72" i="17" s="1"/>
  <c r="N222" i="17"/>
  <c r="O222" i="17" s="1"/>
  <c r="J72" i="17"/>
  <c r="K72" i="17" s="1"/>
  <c r="J222" i="17"/>
  <c r="K222" i="17" s="1"/>
  <c r="M70" i="17"/>
  <c r="N70" i="17" s="1"/>
  <c r="O70" i="17" s="1"/>
  <c r="J70" i="17"/>
  <c r="K70" i="17" s="1"/>
  <c r="M62" i="17"/>
  <c r="N62" i="17" s="1"/>
  <c r="O62" i="17" s="1"/>
  <c r="M64" i="17"/>
  <c r="N64" i="17" s="1"/>
  <c r="O64" i="17" s="1"/>
  <c r="M66" i="17"/>
  <c r="N66" i="17" s="1"/>
  <c r="O66" i="17" s="1"/>
  <c r="M177" i="17"/>
  <c r="N177" i="17" s="1"/>
  <c r="O177" i="17" s="1"/>
  <c r="M69" i="17"/>
  <c r="N69" i="17" s="1"/>
  <c r="O69" i="17" s="1"/>
  <c r="J69" i="17"/>
  <c r="K69" i="17" s="1"/>
  <c r="J177" i="17"/>
  <c r="K177" i="17" s="1"/>
  <c r="J66" i="17"/>
  <c r="K66" i="17" s="1"/>
  <c r="J64" i="17"/>
  <c r="K64" i="17" s="1"/>
  <c r="J62" i="17"/>
  <c r="K62" i="17" s="1"/>
  <c r="K75" i="43"/>
  <c r="K95" i="42"/>
  <c r="L95" i="42" s="1"/>
  <c r="L154" i="39"/>
  <c r="M154" i="39" s="1"/>
  <c r="N154" i="39" s="1"/>
  <c r="I154" i="39"/>
  <c r="J154" i="39" s="1"/>
  <c r="K457" i="39"/>
  <c r="I361" i="39"/>
  <c r="J361" i="39" s="1"/>
  <c r="I395" i="39"/>
  <c r="J395" i="39" s="1"/>
  <c r="I359" i="39"/>
  <c r="J359" i="39" s="1"/>
  <c r="I358" i="39"/>
  <c r="J358" i="39" s="1"/>
  <c r="I357" i="39"/>
  <c r="J357" i="39" s="1"/>
  <c r="I356" i="39"/>
  <c r="J356" i="39" s="1"/>
  <c r="I355" i="39"/>
  <c r="J355" i="39" s="1"/>
  <c r="I393" i="39"/>
  <c r="J393" i="39" s="1"/>
  <c r="I394" i="39"/>
  <c r="J394" i="39" s="1"/>
  <c r="I274" i="39"/>
  <c r="J274" i="39" s="1"/>
  <c r="I277" i="39"/>
  <c r="J277" i="39" s="1"/>
  <c r="I276" i="39"/>
  <c r="J276" i="39" s="1"/>
  <c r="I275" i="39"/>
  <c r="J275" i="39" s="1"/>
  <c r="M59" i="17"/>
  <c r="N59" i="17" s="1"/>
  <c r="O59" i="17" s="1"/>
  <c r="M58" i="17"/>
  <c r="N58" i="17" s="1"/>
  <c r="O58" i="17" s="1"/>
  <c r="M57" i="17"/>
  <c r="N57" i="17" s="1"/>
  <c r="O57" i="17" s="1"/>
  <c r="J59" i="17"/>
  <c r="K59" i="17" s="1"/>
  <c r="J58" i="17"/>
  <c r="K58" i="17" s="1"/>
  <c r="J57" i="17"/>
  <c r="K57" i="17" s="1"/>
  <c r="J256" i="17"/>
  <c r="K256" i="17" s="1"/>
  <c r="N224" i="17"/>
  <c r="O224" i="17" s="1"/>
  <c r="M256" i="17"/>
  <c r="N256" i="17" s="1"/>
  <c r="O256" i="17" s="1"/>
  <c r="J224" i="17"/>
  <c r="K224" i="17" s="1"/>
  <c r="M125" i="17"/>
  <c r="N125" i="17" s="1"/>
  <c r="O125" i="17" s="1"/>
  <c r="J125" i="17"/>
  <c r="K125" i="17" s="1"/>
  <c r="M61" i="17"/>
  <c r="N61" i="17" s="1"/>
  <c r="O61" i="17" s="1"/>
  <c r="J61" i="17"/>
  <c r="K61" i="17" s="1"/>
  <c r="M60" i="17"/>
  <c r="N60" i="17" s="1"/>
  <c r="O60" i="17" s="1"/>
  <c r="J60" i="17"/>
  <c r="K60" i="17" s="1"/>
  <c r="AH214" i="44"/>
  <c r="AG214" i="44"/>
  <c r="AD214" i="44"/>
  <c r="S214" i="44"/>
  <c r="P214" i="44"/>
  <c r="Q214" i="44"/>
  <c r="K214" i="44"/>
  <c r="AF214" i="44"/>
  <c r="AH210" i="44"/>
  <c r="AD210" i="44"/>
  <c r="S210" i="44"/>
  <c r="P210" i="44"/>
  <c r="Q210" i="44" s="1"/>
  <c r="K210" i="44"/>
  <c r="AF210" i="44" s="1"/>
  <c r="AH209" i="44"/>
  <c r="AD209" i="44"/>
  <c r="S209" i="44"/>
  <c r="P209" i="44"/>
  <c r="Q209" i="44"/>
  <c r="K209" i="44"/>
  <c r="AF209" i="44"/>
  <c r="AH208" i="44"/>
  <c r="AD208" i="44"/>
  <c r="S208" i="44"/>
  <c r="P208" i="44"/>
  <c r="Q208" i="44" s="1"/>
  <c r="K208" i="44"/>
  <c r="AF208" i="44" s="1"/>
  <c r="AH207" i="44"/>
  <c r="AD207" i="44"/>
  <c r="S207" i="44"/>
  <c r="P207" i="44"/>
  <c r="Q207" i="44"/>
  <c r="K207" i="44"/>
  <c r="AF207" i="44"/>
  <c r="AH206" i="44"/>
  <c r="AD206" i="44"/>
  <c r="S206" i="44"/>
  <c r="P206" i="44"/>
  <c r="Q206" i="44" s="1"/>
  <c r="K206" i="44"/>
  <c r="AF206" i="44" s="1"/>
  <c r="AH205" i="44"/>
  <c r="AD205" i="44"/>
  <c r="S205" i="44"/>
  <c r="P205" i="44"/>
  <c r="Q205" i="44"/>
  <c r="K205" i="44"/>
  <c r="AF205" i="44"/>
  <c r="AH204" i="44"/>
  <c r="AD204" i="44"/>
  <c r="S204" i="44"/>
  <c r="P204" i="44"/>
  <c r="Q204" i="44" s="1"/>
  <c r="K204" i="44"/>
  <c r="AF204" i="44" s="1"/>
  <c r="AH203" i="44"/>
  <c r="AD203" i="44"/>
  <c r="S203" i="44"/>
  <c r="P203" i="44"/>
  <c r="Q203" i="44"/>
  <c r="K203" i="44"/>
  <c r="AF203" i="44"/>
  <c r="AH202" i="44"/>
  <c r="AD202" i="44"/>
  <c r="S202" i="44"/>
  <c r="P202" i="44"/>
  <c r="Q202" i="44" s="1"/>
  <c r="K202" i="44"/>
  <c r="AF202" i="44" s="1"/>
  <c r="AH201" i="44"/>
  <c r="AD201" i="44"/>
  <c r="S201" i="44"/>
  <c r="P201" i="44"/>
  <c r="Q201" i="44"/>
  <c r="K201" i="44"/>
  <c r="AF201" i="44"/>
  <c r="AH200" i="44"/>
  <c r="AD200" i="44"/>
  <c r="S200" i="44"/>
  <c r="P200" i="44"/>
  <c r="Q200" i="44" s="1"/>
  <c r="K200" i="44"/>
  <c r="AF200" i="44" s="1"/>
  <c r="AH199" i="44"/>
  <c r="AD199" i="44"/>
  <c r="S199" i="44"/>
  <c r="P199" i="44"/>
  <c r="Q199" i="44"/>
  <c r="K199" i="44"/>
  <c r="AF199" i="44"/>
  <c r="AH198" i="44"/>
  <c r="AD198" i="44"/>
  <c r="S198" i="44"/>
  <c r="P198" i="44"/>
  <c r="Q198" i="44" s="1"/>
  <c r="K198" i="44"/>
  <c r="AF198" i="44" s="1"/>
  <c r="AH197" i="44"/>
  <c r="AD197" i="44"/>
  <c r="S197" i="44"/>
  <c r="P197" i="44"/>
  <c r="Q197" i="44"/>
  <c r="K197" i="44"/>
  <c r="AF197" i="44"/>
  <c r="AH196" i="44"/>
  <c r="AD196" i="44"/>
  <c r="S196" i="44"/>
  <c r="P196" i="44"/>
  <c r="Q196" i="44" s="1"/>
  <c r="K196" i="44"/>
  <c r="AF196" i="44" s="1"/>
  <c r="AH195" i="44"/>
  <c r="AD195" i="44"/>
  <c r="S195" i="44"/>
  <c r="P195" i="44"/>
  <c r="Q195" i="44"/>
  <c r="K195" i="44"/>
  <c r="AF195" i="44"/>
  <c r="AH194" i="44"/>
  <c r="AD194" i="44"/>
  <c r="S194" i="44"/>
  <c r="P194" i="44"/>
  <c r="Q194" i="44" s="1"/>
  <c r="K194" i="44"/>
  <c r="AF194" i="44" s="1"/>
  <c r="AH193" i="44"/>
  <c r="AD193" i="44"/>
  <c r="S193" i="44"/>
  <c r="P193" i="44"/>
  <c r="Q193" i="44"/>
  <c r="K193" i="44"/>
  <c r="AF193" i="44"/>
  <c r="AH192" i="44"/>
  <c r="AD192" i="44"/>
  <c r="S192" i="44"/>
  <c r="P192" i="44"/>
  <c r="Q192" i="44" s="1"/>
  <c r="K192" i="44"/>
  <c r="AF192" i="44" s="1"/>
  <c r="AH191" i="44"/>
  <c r="AD191" i="44"/>
  <c r="S191" i="44"/>
  <c r="P191" i="44"/>
  <c r="Q191" i="44"/>
  <c r="K191" i="44"/>
  <c r="AF191" i="44"/>
  <c r="AH190" i="44"/>
  <c r="AD190" i="44"/>
  <c r="S190" i="44"/>
  <c r="P190" i="44"/>
  <c r="Q190" i="44" s="1"/>
  <c r="K190" i="44"/>
  <c r="AF190" i="44" s="1"/>
  <c r="AH189" i="44"/>
  <c r="AD189" i="44"/>
  <c r="S189" i="44"/>
  <c r="P189" i="44"/>
  <c r="Q189" i="44"/>
  <c r="K189" i="44"/>
  <c r="AF189" i="44"/>
  <c r="AH188" i="44"/>
  <c r="AD188" i="44"/>
  <c r="S188" i="44"/>
  <c r="Q188" i="44"/>
  <c r="P188" i="44"/>
  <c r="K188" i="44"/>
  <c r="AF188" i="44"/>
  <c r="AH187" i="44"/>
  <c r="AD187" i="44"/>
  <c r="S187" i="44"/>
  <c r="P187" i="44"/>
  <c r="Q187" i="44" s="1"/>
  <c r="K187" i="44"/>
  <c r="AF187" i="44"/>
  <c r="AH186" i="44"/>
  <c r="AD186" i="44"/>
  <c r="S186" i="44"/>
  <c r="P186" i="44"/>
  <c r="Q186" i="44" s="1"/>
  <c r="K186" i="44"/>
  <c r="AF186" i="44" s="1"/>
  <c r="AH185" i="44"/>
  <c r="AD185" i="44"/>
  <c r="S185" i="44"/>
  <c r="P185" i="44"/>
  <c r="Q185" i="44"/>
  <c r="K185" i="44"/>
  <c r="AF185" i="44" s="1"/>
  <c r="AH184" i="44"/>
  <c r="AD184" i="44"/>
  <c r="S184" i="44"/>
  <c r="P184" i="44"/>
  <c r="Q184" i="44" s="1"/>
  <c r="K184" i="44"/>
  <c r="AF184" i="44" s="1"/>
  <c r="AH183" i="44"/>
  <c r="AD183" i="44"/>
  <c r="S183" i="44"/>
  <c r="Q183" i="44"/>
  <c r="P183" i="44"/>
  <c r="K183" i="44"/>
  <c r="AF183" i="44"/>
  <c r="AH182" i="44"/>
  <c r="AD182" i="44"/>
  <c r="S182" i="44"/>
  <c r="P182" i="44"/>
  <c r="Q182" i="44"/>
  <c r="K182" i="44"/>
  <c r="AF182" i="44" s="1"/>
  <c r="AH181" i="44"/>
  <c r="AF181" i="44"/>
  <c r="AD181" i="44"/>
  <c r="S181" i="44"/>
  <c r="P181" i="44"/>
  <c r="Q181" i="44" s="1"/>
  <c r="K181" i="44"/>
  <c r="AH180" i="44"/>
  <c r="AD180" i="44"/>
  <c r="S180" i="44"/>
  <c r="P180" i="44"/>
  <c r="Q180" i="44" s="1"/>
  <c r="K180" i="44"/>
  <c r="AF180" i="44" s="1"/>
  <c r="AH179" i="44"/>
  <c r="AD179" i="44"/>
  <c r="S179" i="44"/>
  <c r="Q179" i="44"/>
  <c r="P179" i="44"/>
  <c r="K179" i="44"/>
  <c r="AF179" i="44"/>
  <c r="AH176" i="44"/>
  <c r="AD176" i="44"/>
  <c r="S176" i="44"/>
  <c r="P176" i="44"/>
  <c r="Q176" i="44"/>
  <c r="K176" i="44"/>
  <c r="AF176" i="44" s="1"/>
  <c r="AQ155" i="44"/>
  <c r="AO155" i="44"/>
  <c r="AM155" i="44"/>
  <c r="AK155" i="44"/>
  <c r="AH153" i="44"/>
  <c r="AD153" i="44"/>
  <c r="S153" i="44"/>
  <c r="P153" i="44"/>
  <c r="Q153" i="44"/>
  <c r="K153" i="44"/>
  <c r="AF153" i="44" s="1"/>
  <c r="AH152" i="44"/>
  <c r="AD152" i="44"/>
  <c r="S152" i="44"/>
  <c r="P152" i="44"/>
  <c r="Q152" i="44" s="1"/>
  <c r="K152" i="44"/>
  <c r="AF152" i="44"/>
  <c r="AH151" i="44"/>
  <c r="AD151" i="44"/>
  <c r="S151" i="44"/>
  <c r="P151" i="44"/>
  <c r="Q151" i="44" s="1"/>
  <c r="K151" i="44"/>
  <c r="AF151" i="44"/>
  <c r="AH150" i="44"/>
  <c r="AD150" i="44"/>
  <c r="S150" i="44"/>
  <c r="P150" i="44"/>
  <c r="Q150" i="44"/>
  <c r="K150" i="44"/>
  <c r="AF150" i="44" s="1"/>
  <c r="AH149" i="44"/>
  <c r="AD149" i="44"/>
  <c r="S149" i="44"/>
  <c r="P149" i="44"/>
  <c r="Q149" i="44"/>
  <c r="K149" i="44"/>
  <c r="AF149" i="44" s="1"/>
  <c r="AH148" i="44"/>
  <c r="AD148" i="44"/>
  <c r="S148" i="44"/>
  <c r="P148" i="44"/>
  <c r="Q148" i="44" s="1"/>
  <c r="K148" i="44"/>
  <c r="AF148" i="44"/>
  <c r="AH147" i="44"/>
  <c r="AD147" i="44"/>
  <c r="S147" i="44"/>
  <c r="Q147" i="44"/>
  <c r="P147" i="44"/>
  <c r="K147" i="44"/>
  <c r="AF147" i="44"/>
  <c r="AH146" i="44"/>
  <c r="AD146" i="44"/>
  <c r="S146" i="44"/>
  <c r="P146" i="44"/>
  <c r="Q146" i="44" s="1"/>
  <c r="K146" i="44"/>
  <c r="AF146" i="44" s="1"/>
  <c r="AH145" i="44"/>
  <c r="AF145" i="44"/>
  <c r="AD145" i="44"/>
  <c r="S145" i="44"/>
  <c r="P145" i="44"/>
  <c r="Q145" i="44" s="1"/>
  <c r="K145" i="44"/>
  <c r="AH144" i="44"/>
  <c r="AD144" i="44"/>
  <c r="S144" i="44"/>
  <c r="Q144" i="44"/>
  <c r="P144" i="44"/>
  <c r="K144" i="44"/>
  <c r="AF144" i="44"/>
  <c r="AH143" i="44"/>
  <c r="AD143" i="44"/>
  <c r="S143" i="44"/>
  <c r="Q143" i="44"/>
  <c r="P143" i="44"/>
  <c r="K143" i="44"/>
  <c r="AF143" i="44" s="1"/>
  <c r="AH142" i="44"/>
  <c r="AD142" i="44"/>
  <c r="S142" i="44"/>
  <c r="P142" i="44"/>
  <c r="Q142" i="44" s="1"/>
  <c r="K142" i="44"/>
  <c r="AF142" i="44" s="1"/>
  <c r="AH141" i="44"/>
  <c r="AF141" i="44"/>
  <c r="AD141" i="44"/>
  <c r="S141" i="44"/>
  <c r="P141" i="44"/>
  <c r="Q141" i="44" s="1"/>
  <c r="K141" i="44"/>
  <c r="AH140" i="44"/>
  <c r="AD140" i="44"/>
  <c r="S140" i="44"/>
  <c r="Q140" i="44"/>
  <c r="P140" i="44"/>
  <c r="K140" i="44"/>
  <c r="AF140" i="44"/>
  <c r="AH139" i="44"/>
  <c r="AD139" i="44"/>
  <c r="S139" i="44"/>
  <c r="Q139" i="44"/>
  <c r="P139" i="44"/>
  <c r="K139" i="44"/>
  <c r="AF139" i="44" s="1"/>
  <c r="AH138" i="44"/>
  <c r="AD138" i="44"/>
  <c r="S138" i="44"/>
  <c r="P138" i="44"/>
  <c r="Q138" i="44" s="1"/>
  <c r="K138" i="44"/>
  <c r="AF138" i="44" s="1"/>
  <c r="AH137" i="44"/>
  <c r="AF137" i="44"/>
  <c r="AD137" i="44"/>
  <c r="S137" i="44"/>
  <c r="P137" i="44"/>
  <c r="Q137" i="44" s="1"/>
  <c r="K137" i="44"/>
  <c r="AH136" i="44"/>
  <c r="AD136" i="44"/>
  <c r="S136" i="44"/>
  <c r="N136" i="44"/>
  <c r="K136" i="44"/>
  <c r="AF136" i="44" s="1"/>
  <c r="AH135" i="44"/>
  <c r="AD135" i="44"/>
  <c r="S135" i="44"/>
  <c r="P135" i="44"/>
  <c r="Q135" i="44"/>
  <c r="K135" i="44"/>
  <c r="AF135" i="44" s="1"/>
  <c r="AH134" i="44"/>
  <c r="AD134" i="44"/>
  <c r="S134" i="44"/>
  <c r="P134" i="44"/>
  <c r="Q134" i="44"/>
  <c r="K134" i="44"/>
  <c r="AF134" i="44" s="1"/>
  <c r="AH133" i="44"/>
  <c r="AD133" i="44"/>
  <c r="S133" i="44"/>
  <c r="P133" i="44"/>
  <c r="Q133" i="44" s="1"/>
  <c r="K133" i="44"/>
  <c r="AF133" i="44"/>
  <c r="AH132" i="44"/>
  <c r="AD132" i="44"/>
  <c r="S132" i="44"/>
  <c r="P132" i="44"/>
  <c r="Q132" i="44" s="1"/>
  <c r="K132" i="44"/>
  <c r="AF132" i="44"/>
  <c r="AH131" i="44"/>
  <c r="AD131" i="44"/>
  <c r="S131" i="44"/>
  <c r="P131" i="44"/>
  <c r="Q131" i="44"/>
  <c r="K131" i="44"/>
  <c r="AF131" i="44" s="1"/>
  <c r="AH130" i="44"/>
  <c r="AD130" i="44"/>
  <c r="S130" i="44"/>
  <c r="P130" i="44"/>
  <c r="Q130" i="44"/>
  <c r="K130" i="44"/>
  <c r="AF130" i="44" s="1"/>
  <c r="AH129" i="44"/>
  <c r="AD129" i="44"/>
  <c r="S129" i="44"/>
  <c r="P129" i="44"/>
  <c r="Q129" i="44" s="1"/>
  <c r="K129" i="44"/>
  <c r="AF129" i="44"/>
  <c r="AH128" i="44"/>
  <c r="AD128" i="44"/>
  <c r="S128" i="44"/>
  <c r="P128" i="44"/>
  <c r="Q128" i="44" s="1"/>
  <c r="K128" i="44"/>
  <c r="AF128" i="44"/>
  <c r="AH127" i="44"/>
  <c r="AD127" i="44"/>
  <c r="S127" i="44"/>
  <c r="P127" i="44"/>
  <c r="Q127" i="44"/>
  <c r="K127" i="44"/>
  <c r="AF127" i="44" s="1"/>
  <c r="AH126" i="44"/>
  <c r="AD126" i="44"/>
  <c r="S126" i="44"/>
  <c r="P126" i="44"/>
  <c r="Q126" i="44"/>
  <c r="K126" i="44"/>
  <c r="AF126" i="44" s="1"/>
  <c r="AH125" i="44"/>
  <c r="AD125" i="44"/>
  <c r="S125" i="44"/>
  <c r="P125" i="44"/>
  <c r="Q125" i="44" s="1"/>
  <c r="K125" i="44"/>
  <c r="AF125" i="44"/>
  <c r="AH124" i="44"/>
  <c r="AD124" i="44"/>
  <c r="S124" i="44"/>
  <c r="P124" i="44"/>
  <c r="K124" i="44"/>
  <c r="AF124" i="44" s="1"/>
  <c r="AQ119" i="44"/>
  <c r="AO119" i="44"/>
  <c r="AM119" i="44"/>
  <c r="AK119" i="44"/>
  <c r="N119" i="44"/>
  <c r="AH117" i="44"/>
  <c r="AG117" i="44"/>
  <c r="AD117" i="44"/>
  <c r="S117" i="44"/>
  <c r="N117" i="44"/>
  <c r="P117" i="44" s="1"/>
  <c r="Q117" i="44" s="1"/>
  <c r="K117" i="44"/>
  <c r="AF117" i="44" s="1"/>
  <c r="AH116" i="44"/>
  <c r="AG116" i="44"/>
  <c r="AD116" i="44"/>
  <c r="S116" i="44"/>
  <c r="P116" i="44"/>
  <c r="K116" i="44"/>
  <c r="AF116" i="44" s="1"/>
  <c r="AN116" i="44" s="1"/>
  <c r="AH115" i="44"/>
  <c r="AG115" i="44"/>
  <c r="AD115" i="44"/>
  <c r="S115" i="44"/>
  <c r="P115" i="44"/>
  <c r="Q115" i="44" s="1"/>
  <c r="K115" i="44"/>
  <c r="AF115" i="44"/>
  <c r="AH114" i="44"/>
  <c r="AD114" i="44"/>
  <c r="S114" i="44"/>
  <c r="P114" i="44"/>
  <c r="Q114" i="44" s="1"/>
  <c r="K114" i="44"/>
  <c r="AF114" i="44" s="1"/>
  <c r="AH113" i="44"/>
  <c r="AD113" i="44"/>
  <c r="S113" i="44"/>
  <c r="P113" i="44"/>
  <c r="M106" i="42" s="1"/>
  <c r="N106" i="42" s="1"/>
  <c r="O106" i="42" s="1"/>
  <c r="P106" i="42" s="1"/>
  <c r="Q113" i="44"/>
  <c r="K113" i="44"/>
  <c r="AF113" i="44" s="1"/>
  <c r="AH112" i="44"/>
  <c r="AD112" i="44"/>
  <c r="S112" i="44"/>
  <c r="P112" i="44"/>
  <c r="M104" i="42" s="1"/>
  <c r="N104" i="42" s="1"/>
  <c r="K112" i="44"/>
  <c r="AF112" i="44" s="1"/>
  <c r="AQ107" i="44"/>
  <c r="AO107" i="44"/>
  <c r="AM107" i="44"/>
  <c r="AK107" i="44"/>
  <c r="AH105" i="44"/>
  <c r="AD105" i="44"/>
  <c r="S105" i="44"/>
  <c r="P105" i="44"/>
  <c r="Q105" i="44" s="1"/>
  <c r="K105" i="44"/>
  <c r="AF105" i="44"/>
  <c r="AH104" i="44"/>
  <c r="AD104" i="44"/>
  <c r="S104" i="44"/>
  <c r="P104" i="44"/>
  <c r="Q104" i="44"/>
  <c r="N104" i="44"/>
  <c r="K104" i="44"/>
  <c r="AF104" i="44"/>
  <c r="AH103" i="44"/>
  <c r="AD103" i="44"/>
  <c r="S103" i="44"/>
  <c r="N103" i="44"/>
  <c r="P103" i="44" s="1"/>
  <c r="Q103" i="44" s="1"/>
  <c r="K103" i="44"/>
  <c r="AF103" i="44" s="1"/>
  <c r="AH102" i="44"/>
  <c r="AD102" i="44"/>
  <c r="S102" i="44"/>
  <c r="P102" i="44"/>
  <c r="Q102" i="44" s="1"/>
  <c r="K102" i="44"/>
  <c r="AF102" i="44" s="1"/>
  <c r="AH101" i="44"/>
  <c r="AD101" i="44"/>
  <c r="S101" i="44"/>
  <c r="P101" i="44"/>
  <c r="Q101" i="44"/>
  <c r="K101" i="44"/>
  <c r="AF101" i="44" s="1"/>
  <c r="AH100" i="44"/>
  <c r="AD100" i="44"/>
  <c r="S100" i="44"/>
  <c r="P100" i="44"/>
  <c r="Q100" i="44"/>
  <c r="K100" i="44"/>
  <c r="AF100" i="44" s="1"/>
  <c r="AH99" i="44"/>
  <c r="AD99" i="44"/>
  <c r="S99" i="44"/>
  <c r="P99" i="44"/>
  <c r="Q99" i="44" s="1"/>
  <c r="K99" i="44"/>
  <c r="AF99" i="44"/>
  <c r="AH98" i="44"/>
  <c r="AD98" i="44"/>
  <c r="S98" i="44"/>
  <c r="P98" i="44"/>
  <c r="Q98" i="44" s="1"/>
  <c r="K98" i="44"/>
  <c r="AF98" i="44" s="1"/>
  <c r="AH97" i="44"/>
  <c r="AD97" i="44"/>
  <c r="S97" i="44"/>
  <c r="N97" i="44"/>
  <c r="P97" i="44" s="1"/>
  <c r="Q97" i="44" s="1"/>
  <c r="K97" i="44"/>
  <c r="AF97" i="44"/>
  <c r="AH96" i="44"/>
  <c r="AD96" i="44"/>
  <c r="S96" i="44"/>
  <c r="P96" i="44"/>
  <c r="Q96" i="44" s="1"/>
  <c r="K96" i="44"/>
  <c r="AF96" i="44" s="1"/>
  <c r="AH95" i="44"/>
  <c r="AF95" i="44"/>
  <c r="AD95" i="44"/>
  <c r="S95" i="44"/>
  <c r="P95" i="44"/>
  <c r="Q95" i="44" s="1"/>
  <c r="K95" i="44"/>
  <c r="AH94" i="44"/>
  <c r="AD94" i="44"/>
  <c r="S94" i="44"/>
  <c r="P94" i="44"/>
  <c r="Q94" i="44" s="1"/>
  <c r="K94" i="44"/>
  <c r="AF94" i="44"/>
  <c r="AH93" i="44"/>
  <c r="AD93" i="44"/>
  <c r="S93" i="44"/>
  <c r="Q93" i="44"/>
  <c r="P93" i="44"/>
  <c r="K93" i="44"/>
  <c r="AF93" i="44"/>
  <c r="AH92" i="44"/>
  <c r="AD92" i="44"/>
  <c r="S92" i="44"/>
  <c r="P92" i="44"/>
  <c r="Q92" i="44" s="1"/>
  <c r="K92" i="44"/>
  <c r="AF92" i="44" s="1"/>
  <c r="AH91" i="44"/>
  <c r="AG91" i="44"/>
  <c r="AE91" i="44"/>
  <c r="AD91" i="44"/>
  <c r="S91" i="44"/>
  <c r="Q91" i="44"/>
  <c r="P91" i="44"/>
  <c r="K91" i="44"/>
  <c r="AF91" i="44"/>
  <c r="AH90" i="44"/>
  <c r="AD90" i="44"/>
  <c r="S90" i="44"/>
  <c r="P90" i="44"/>
  <c r="Q90" i="44" s="1"/>
  <c r="K90" i="44"/>
  <c r="AF90" i="44" s="1"/>
  <c r="AH89" i="44"/>
  <c r="AD89" i="44"/>
  <c r="S89" i="44"/>
  <c r="P89" i="44"/>
  <c r="Q89" i="44" s="1"/>
  <c r="K89" i="44"/>
  <c r="AF89" i="44" s="1"/>
  <c r="AH88" i="44"/>
  <c r="AD88" i="44"/>
  <c r="S88" i="44"/>
  <c r="P88" i="44"/>
  <c r="Q88" i="44" s="1"/>
  <c r="K88" i="44"/>
  <c r="AF88" i="44"/>
  <c r="AH87" i="44"/>
  <c r="AD87" i="44"/>
  <c r="S87" i="44"/>
  <c r="Q87" i="44"/>
  <c r="P87" i="44"/>
  <c r="K87" i="44"/>
  <c r="AF87" i="44"/>
  <c r="AH86" i="44"/>
  <c r="AD86" i="44"/>
  <c r="S86" i="44"/>
  <c r="P86" i="44"/>
  <c r="Q86" i="44" s="1"/>
  <c r="K86" i="44"/>
  <c r="AF86" i="44" s="1"/>
  <c r="AH85" i="44"/>
  <c r="AD85" i="44"/>
  <c r="S85" i="44"/>
  <c r="P85" i="44"/>
  <c r="Q85" i="44" s="1"/>
  <c r="K85" i="44"/>
  <c r="AF85" i="44" s="1"/>
  <c r="AH84" i="44"/>
  <c r="AD84" i="44"/>
  <c r="S84" i="44"/>
  <c r="P84" i="44"/>
  <c r="Q84" i="44"/>
  <c r="K84" i="44"/>
  <c r="AF84" i="44" s="1"/>
  <c r="AH83" i="44"/>
  <c r="AD83" i="44"/>
  <c r="S83" i="44"/>
  <c r="Q83" i="44"/>
  <c r="P83" i="44"/>
  <c r="K83" i="44"/>
  <c r="AF83" i="44"/>
  <c r="AH82" i="44"/>
  <c r="AD82" i="44"/>
  <c r="S82" i="44"/>
  <c r="P82" i="44"/>
  <c r="Q82" i="44" s="1"/>
  <c r="K82" i="44"/>
  <c r="AF82" i="44" s="1"/>
  <c r="AH81" i="44"/>
  <c r="AD81" i="44"/>
  <c r="S81" i="44"/>
  <c r="P81" i="44"/>
  <c r="Q81" i="44" s="1"/>
  <c r="K81" i="44"/>
  <c r="AF81" i="44" s="1"/>
  <c r="AH80" i="44"/>
  <c r="AD80" i="44"/>
  <c r="S80" i="44"/>
  <c r="P80" i="44"/>
  <c r="Q80" i="44"/>
  <c r="K80" i="44"/>
  <c r="AF80" i="44" s="1"/>
  <c r="AH79" i="44"/>
  <c r="AD79" i="44"/>
  <c r="S79" i="44"/>
  <c r="Q79" i="44"/>
  <c r="P79" i="44"/>
  <c r="K79" i="44"/>
  <c r="AF79" i="44"/>
  <c r="AH78" i="44"/>
  <c r="AD78" i="44"/>
  <c r="S78" i="44"/>
  <c r="P78" i="44"/>
  <c r="Q78" i="44" s="1"/>
  <c r="K78" i="44"/>
  <c r="AF78" i="44" s="1"/>
  <c r="AH77" i="44"/>
  <c r="AF77" i="44"/>
  <c r="AD77" i="44"/>
  <c r="S77" i="44"/>
  <c r="P77" i="44"/>
  <c r="Q77" i="44" s="1"/>
  <c r="K77" i="44"/>
  <c r="AH76" i="44"/>
  <c r="AD76" i="44"/>
  <c r="S76" i="44"/>
  <c r="P76" i="44"/>
  <c r="Q76" i="44"/>
  <c r="K76" i="44"/>
  <c r="AF76" i="44" s="1"/>
  <c r="AH75" i="44"/>
  <c r="AD75" i="44"/>
  <c r="S75" i="44"/>
  <c r="Q75" i="44"/>
  <c r="P75" i="44"/>
  <c r="K75" i="44"/>
  <c r="AF75" i="44" s="1"/>
  <c r="AH74" i="44"/>
  <c r="AD74" i="44"/>
  <c r="S74" i="44"/>
  <c r="Q74" i="44"/>
  <c r="P74" i="44"/>
  <c r="K74" i="44"/>
  <c r="AF74" i="44" s="1"/>
  <c r="AH73" i="44"/>
  <c r="AD73" i="44"/>
  <c r="S73" i="44"/>
  <c r="Q73" i="44"/>
  <c r="P73" i="44"/>
  <c r="K73" i="44"/>
  <c r="AF73" i="44" s="1"/>
  <c r="AH72" i="44"/>
  <c r="AD72" i="44"/>
  <c r="S72" i="44"/>
  <c r="P72" i="44"/>
  <c r="Q72" i="44"/>
  <c r="K72" i="44"/>
  <c r="AF72" i="44"/>
  <c r="AH71" i="44"/>
  <c r="AD71" i="44"/>
  <c r="S71" i="44"/>
  <c r="Q71" i="44"/>
  <c r="P71" i="44"/>
  <c r="K71" i="44"/>
  <c r="AF71" i="44" s="1"/>
  <c r="AH70" i="44"/>
  <c r="AD70" i="44"/>
  <c r="S70" i="44"/>
  <c r="P70" i="44"/>
  <c r="Q70" i="44" s="1"/>
  <c r="K70" i="44"/>
  <c r="AF70" i="44" s="1"/>
  <c r="AH69" i="44"/>
  <c r="AD69" i="44"/>
  <c r="S69" i="44"/>
  <c r="Q69" i="44"/>
  <c r="P69" i="44"/>
  <c r="K69" i="44"/>
  <c r="AF69" i="44" s="1"/>
  <c r="AH68" i="44"/>
  <c r="AD68" i="44"/>
  <c r="S68" i="44"/>
  <c r="P68" i="44"/>
  <c r="Q68" i="44" s="1"/>
  <c r="K68" i="44"/>
  <c r="AF68" i="44" s="1"/>
  <c r="AH67" i="44"/>
  <c r="AD67" i="44"/>
  <c r="S67" i="44"/>
  <c r="Q67" i="44"/>
  <c r="P67" i="44"/>
  <c r="K67" i="44"/>
  <c r="AF67" i="44" s="1"/>
  <c r="AH66" i="44"/>
  <c r="AD66" i="44"/>
  <c r="S66" i="44"/>
  <c r="P66" i="44"/>
  <c r="Q66" i="44" s="1"/>
  <c r="K66" i="44"/>
  <c r="AF66" i="44" s="1"/>
  <c r="AH65" i="44"/>
  <c r="AD65" i="44"/>
  <c r="S65" i="44"/>
  <c r="P65" i="44"/>
  <c r="Q65" i="44" s="1"/>
  <c r="K65" i="44"/>
  <c r="AF65" i="44" s="1"/>
  <c r="AH64" i="44"/>
  <c r="AD64" i="44"/>
  <c r="S64" i="44"/>
  <c r="P64" i="44"/>
  <c r="Q64" i="44" s="1"/>
  <c r="K64" i="44"/>
  <c r="AF64" i="44" s="1"/>
  <c r="AH63" i="44"/>
  <c r="AD63" i="44"/>
  <c r="S63" i="44"/>
  <c r="P63" i="44"/>
  <c r="M58" i="42" s="1"/>
  <c r="N58" i="42" s="1"/>
  <c r="O58" i="42" s="1"/>
  <c r="P58" i="42" s="1"/>
  <c r="K63" i="44"/>
  <c r="AF63" i="44" s="1"/>
  <c r="AH62" i="44"/>
  <c r="AD62" i="44"/>
  <c r="S62" i="44"/>
  <c r="P62" i="44"/>
  <c r="Q62" i="44" s="1"/>
  <c r="K62" i="44"/>
  <c r="AF62" i="44" s="1"/>
  <c r="AH61" i="44"/>
  <c r="AD61" i="44"/>
  <c r="S61" i="44"/>
  <c r="P61" i="44"/>
  <c r="Q61" i="44" s="1"/>
  <c r="K61" i="44"/>
  <c r="AF61" i="44" s="1"/>
  <c r="AH60" i="44"/>
  <c r="AD60" i="44"/>
  <c r="S60" i="44"/>
  <c r="P60" i="44"/>
  <c r="Q60" i="44" s="1"/>
  <c r="K60" i="44"/>
  <c r="AF60" i="44" s="1"/>
  <c r="AH59" i="44"/>
  <c r="AD59" i="44"/>
  <c r="S59" i="44"/>
  <c r="P59" i="44"/>
  <c r="Q59" i="44" s="1"/>
  <c r="K59" i="44"/>
  <c r="AF59" i="44" s="1"/>
  <c r="AH58" i="44"/>
  <c r="AD58" i="44"/>
  <c r="S58" i="44"/>
  <c r="P58" i="44"/>
  <c r="Q58" i="44" s="1"/>
  <c r="K58" i="44"/>
  <c r="AF58" i="44" s="1"/>
  <c r="AH57" i="44"/>
  <c r="AD57" i="44"/>
  <c r="S57" i="44"/>
  <c r="P57" i="44"/>
  <c r="Q57" i="44" s="1"/>
  <c r="K57" i="44"/>
  <c r="AF57" i="44" s="1"/>
  <c r="AH56" i="44"/>
  <c r="AD56" i="44"/>
  <c r="S56" i="44"/>
  <c r="P56" i="44"/>
  <c r="Q56" i="44" s="1"/>
  <c r="K56" i="44"/>
  <c r="AF56" i="44" s="1"/>
  <c r="AH55" i="44"/>
  <c r="AD55" i="44"/>
  <c r="S55" i="44"/>
  <c r="P55" i="44"/>
  <c r="M52" i="42" s="1"/>
  <c r="N52" i="42" s="1"/>
  <c r="K55" i="44"/>
  <c r="AF55" i="44" s="1"/>
  <c r="AH54" i="44"/>
  <c r="AD54" i="44"/>
  <c r="S54" i="44"/>
  <c r="P54" i="44"/>
  <c r="Q54" i="44" s="1"/>
  <c r="K54" i="44"/>
  <c r="AF54" i="44" s="1"/>
  <c r="AH53" i="44"/>
  <c r="AD53" i="44"/>
  <c r="S53" i="44"/>
  <c r="P53" i="44"/>
  <c r="Q53" i="44" s="1"/>
  <c r="K53" i="44"/>
  <c r="AF53" i="44"/>
  <c r="AQ48" i="44"/>
  <c r="AO48" i="44"/>
  <c r="AM48" i="44"/>
  <c r="AK48" i="44"/>
  <c r="O48" i="44"/>
  <c r="N48" i="44"/>
  <c r="AH46" i="44"/>
  <c r="AF46" i="44"/>
  <c r="AD46" i="44"/>
  <c r="S46" i="44"/>
  <c r="P46" i="44"/>
  <c r="Q46" i="44" s="1"/>
  <c r="K46" i="44"/>
  <c r="AH45" i="44"/>
  <c r="AD45" i="44"/>
  <c r="S45" i="44"/>
  <c r="P45" i="44"/>
  <c r="Q45" i="44"/>
  <c r="K45" i="44"/>
  <c r="AF45" i="44"/>
  <c r="AH44" i="44"/>
  <c r="AF44" i="44"/>
  <c r="AD44" i="44"/>
  <c r="S44" i="44"/>
  <c r="P44" i="44"/>
  <c r="Q44" i="44" s="1"/>
  <c r="K44" i="44"/>
  <c r="AH43" i="44"/>
  <c r="AD43" i="44"/>
  <c r="S43" i="44"/>
  <c r="P43" i="44"/>
  <c r="Q43" i="44"/>
  <c r="K43" i="44"/>
  <c r="AF43" i="44"/>
  <c r="AH42" i="44"/>
  <c r="AF42" i="44"/>
  <c r="AD42" i="44"/>
  <c r="S42" i="44"/>
  <c r="P42" i="44"/>
  <c r="Q42" i="44" s="1"/>
  <c r="K42" i="44"/>
  <c r="AH41" i="44"/>
  <c r="AD41" i="44"/>
  <c r="S41" i="44"/>
  <c r="P41" i="44"/>
  <c r="Q41" i="44"/>
  <c r="K41" i="44"/>
  <c r="AF41" i="44"/>
  <c r="AH40" i="44"/>
  <c r="AF40" i="44"/>
  <c r="AD40" i="44"/>
  <c r="S40" i="44"/>
  <c r="P40" i="44"/>
  <c r="Q40" i="44" s="1"/>
  <c r="K40" i="44"/>
  <c r="AH39" i="44"/>
  <c r="AD39" i="44"/>
  <c r="S39" i="44"/>
  <c r="P39" i="44"/>
  <c r="Q39" i="44"/>
  <c r="K39" i="44"/>
  <c r="AF39" i="44"/>
  <c r="AH38" i="44"/>
  <c r="AD38" i="44"/>
  <c r="S38" i="44"/>
  <c r="Q38" i="44"/>
  <c r="P38" i="44"/>
  <c r="K38" i="44"/>
  <c r="AF38" i="44" s="1"/>
  <c r="AH37" i="44"/>
  <c r="AD37" i="44"/>
  <c r="S37" i="44"/>
  <c r="P37" i="44"/>
  <c r="Q37" i="44"/>
  <c r="K37" i="44"/>
  <c r="AF37" i="44"/>
  <c r="AH36" i="44"/>
  <c r="AD36" i="44"/>
  <c r="S36" i="44"/>
  <c r="Q36" i="44"/>
  <c r="P36" i="44"/>
  <c r="K36" i="44"/>
  <c r="AF36" i="44" s="1"/>
  <c r="AH35" i="44"/>
  <c r="AD35" i="44"/>
  <c r="S35" i="44"/>
  <c r="Q35" i="44"/>
  <c r="P35" i="44"/>
  <c r="K35" i="44"/>
  <c r="AF35" i="44" s="1"/>
  <c r="AH34" i="44"/>
  <c r="AD34" i="44"/>
  <c r="S34" i="44"/>
  <c r="Q34" i="44"/>
  <c r="P34" i="44"/>
  <c r="K34" i="44"/>
  <c r="AF34" i="44" s="1"/>
  <c r="AH33" i="44"/>
  <c r="AD33" i="44"/>
  <c r="S33" i="44"/>
  <c r="P33" i="44"/>
  <c r="Q33" i="44"/>
  <c r="K33" i="44"/>
  <c r="AF33" i="44"/>
  <c r="AH32" i="44"/>
  <c r="AD32" i="44"/>
  <c r="S32" i="44"/>
  <c r="Q32" i="44"/>
  <c r="P32" i="44"/>
  <c r="K32" i="44"/>
  <c r="AF32" i="44" s="1"/>
  <c r="AH31" i="44"/>
  <c r="AD31" i="44"/>
  <c r="S31" i="44"/>
  <c r="Q31" i="44"/>
  <c r="P31" i="44"/>
  <c r="K31" i="44"/>
  <c r="AF31" i="44" s="1"/>
  <c r="AH30" i="44"/>
  <c r="AD30" i="44"/>
  <c r="S30" i="44"/>
  <c r="Q30" i="44"/>
  <c r="P30" i="44"/>
  <c r="K30" i="44"/>
  <c r="AF30" i="44" s="1"/>
  <c r="AH29" i="44"/>
  <c r="AD29" i="44"/>
  <c r="S29" i="44"/>
  <c r="Q29" i="44"/>
  <c r="P29" i="44"/>
  <c r="K29" i="44"/>
  <c r="AF29" i="44" s="1"/>
  <c r="AH28" i="44"/>
  <c r="AD28" i="44"/>
  <c r="S28" i="44"/>
  <c r="Q28" i="44"/>
  <c r="P28" i="44"/>
  <c r="K28" i="44"/>
  <c r="AF28" i="44" s="1"/>
  <c r="AH27" i="44"/>
  <c r="AD27" i="44"/>
  <c r="S27" i="44"/>
  <c r="Q27" i="44"/>
  <c r="P27" i="44"/>
  <c r="K27" i="44"/>
  <c r="AF27" i="44" s="1"/>
  <c r="AQ22" i="44"/>
  <c r="AO22" i="44"/>
  <c r="AM22" i="44"/>
  <c r="AK22" i="44"/>
  <c r="Z22" i="44"/>
  <c r="W22" i="44"/>
  <c r="U22" i="44"/>
  <c r="T22" i="44"/>
  <c r="S22" i="44"/>
  <c r="O22" i="44"/>
  <c r="N22" i="44"/>
  <c r="M22" i="44"/>
  <c r="AH20" i="44"/>
  <c r="AF20" i="44"/>
  <c r="AD20" i="44"/>
  <c r="S20" i="44"/>
  <c r="P20" i="44"/>
  <c r="Q20" i="44" s="1"/>
  <c r="K20" i="44"/>
  <c r="AH19" i="44"/>
  <c r="AD19" i="44"/>
  <c r="S19" i="44"/>
  <c r="P19" i="44"/>
  <c r="Q19" i="44" s="1"/>
  <c r="K19" i="44"/>
  <c r="AF19" i="44"/>
  <c r="AH18" i="44"/>
  <c r="AF18" i="44"/>
  <c r="AD18" i="44"/>
  <c r="S18" i="44"/>
  <c r="P18" i="44"/>
  <c r="Q18" i="44" s="1"/>
  <c r="K18" i="44"/>
  <c r="AH17" i="44"/>
  <c r="AD17" i="44"/>
  <c r="S17" i="44"/>
  <c r="P17" i="44"/>
  <c r="Q17" i="44" s="1"/>
  <c r="K17" i="44"/>
  <c r="AF17" i="44"/>
  <c r="AH16" i="44"/>
  <c r="AF16" i="44"/>
  <c r="AD16" i="44"/>
  <c r="S16" i="44"/>
  <c r="P16" i="44"/>
  <c r="Q16" i="44" s="1"/>
  <c r="K16" i="44"/>
  <c r="AH15" i="44"/>
  <c r="AD15" i="44"/>
  <c r="S15" i="44"/>
  <c r="P15" i="44"/>
  <c r="Q15" i="44" s="1"/>
  <c r="K15" i="44"/>
  <c r="AF15" i="44"/>
  <c r="AH14" i="44"/>
  <c r="AF14" i="44"/>
  <c r="AD14" i="44"/>
  <c r="S14" i="44"/>
  <c r="P14" i="44"/>
  <c r="Q14" i="44" s="1"/>
  <c r="K14" i="44"/>
  <c r="AH13" i="44"/>
  <c r="AD13" i="44"/>
  <c r="S13" i="44"/>
  <c r="P13" i="44"/>
  <c r="Q13" i="44" s="1"/>
  <c r="K13" i="44"/>
  <c r="AF13" i="44"/>
  <c r="AH12" i="44"/>
  <c r="AF12" i="44"/>
  <c r="AD12" i="44"/>
  <c r="S12" i="44"/>
  <c r="P12" i="44"/>
  <c r="Q12" i="44" s="1"/>
  <c r="Q22" i="44" s="1"/>
  <c r="K12" i="44"/>
  <c r="X11" i="44"/>
  <c r="AA11" i="44" s="1"/>
  <c r="P5" i="44"/>
  <c r="P4" i="44"/>
  <c r="P3" i="44"/>
  <c r="P2" i="44"/>
  <c r="M39" i="17"/>
  <c r="P48" i="44"/>
  <c r="Q48" i="44"/>
  <c r="P107" i="44"/>
  <c r="Q116" i="44"/>
  <c r="AJ116" i="44"/>
  <c r="AN115" i="44"/>
  <c r="AJ115" i="44"/>
  <c r="P119" i="44"/>
  <c r="Q112" i="44"/>
  <c r="AJ117" i="44"/>
  <c r="AP117" i="44"/>
  <c r="AN117" i="44"/>
  <c r="AK158" i="44"/>
  <c r="N155" i="44"/>
  <c r="P136" i="44"/>
  <c r="Q136" i="44" s="1"/>
  <c r="Q155" i="44" s="1"/>
  <c r="Q124" i="44"/>
  <c r="AO158" i="44"/>
  <c r="AQ158" i="44"/>
  <c r="AM158" i="44"/>
  <c r="N217" i="17"/>
  <c r="O217" i="17" s="1"/>
  <c r="M278" i="17"/>
  <c r="N278" i="17" s="1"/>
  <c r="O278" i="17" s="1"/>
  <c r="M249" i="17"/>
  <c r="N249" i="17" s="1"/>
  <c r="O249" i="17" s="1"/>
  <c r="M283" i="17"/>
  <c r="N283" i="17" s="1"/>
  <c r="O283" i="17" s="1"/>
  <c r="J239" i="17"/>
  <c r="K239" i="17" s="1"/>
  <c r="P239" i="17" s="1"/>
  <c r="J254" i="17"/>
  <c r="J274" i="17"/>
  <c r="K274" i="17" s="1"/>
  <c r="P274" i="17" s="1"/>
  <c r="J136" i="17"/>
  <c r="K136" i="17" s="1"/>
  <c r="P136" i="17" s="1"/>
  <c r="J138" i="17"/>
  <c r="K138" i="17" s="1"/>
  <c r="P138" i="17" s="1"/>
  <c r="J250" i="17"/>
  <c r="J140" i="17"/>
  <c r="I141" i="17" s="1"/>
  <c r="J142" i="17"/>
  <c r="K142" i="17" s="1"/>
  <c r="P142" i="17" s="1"/>
  <c r="J144" i="17"/>
  <c r="I145" i="17" s="1"/>
  <c r="J145" i="17" s="1"/>
  <c r="K145" i="17" s="1"/>
  <c r="J146" i="17"/>
  <c r="J148" i="17"/>
  <c r="K148" i="17" s="1"/>
  <c r="P148" i="17" s="1"/>
  <c r="J150" i="17"/>
  <c r="K150" i="17" s="1"/>
  <c r="P150" i="17" s="1"/>
  <c r="J154" i="17"/>
  <c r="K154" i="17" s="1"/>
  <c r="P154" i="17" s="1"/>
  <c r="J158" i="17"/>
  <c r="I159" i="17" s="1"/>
  <c r="J159" i="17" s="1"/>
  <c r="K159" i="17" s="1"/>
  <c r="J160" i="17"/>
  <c r="K160" i="17" s="1"/>
  <c r="P160" i="17" s="1"/>
  <c r="J162" i="17"/>
  <c r="K162" i="17" s="1"/>
  <c r="P162" i="17" s="1"/>
  <c r="J252" i="17"/>
  <c r="K252" i="17" s="1"/>
  <c r="P252" i="17" s="1"/>
  <c r="J163" i="17"/>
  <c r="J165" i="17"/>
  <c r="K165" i="17" s="1"/>
  <c r="P165" i="17" s="1"/>
  <c r="J167" i="17"/>
  <c r="K167" i="17" s="1"/>
  <c r="P167" i="17" s="1"/>
  <c r="J171" i="17"/>
  <c r="K171" i="17" s="1"/>
  <c r="P171" i="17" s="1"/>
  <c r="J172" i="17"/>
  <c r="K172" i="17" s="1"/>
  <c r="J173" i="17"/>
  <c r="K173" i="17" s="1"/>
  <c r="J174" i="17"/>
  <c r="K174" i="17" s="1"/>
  <c r="J241" i="17"/>
  <c r="K241" i="17" s="1"/>
  <c r="P241" i="17" s="1"/>
  <c r="M162" i="17"/>
  <c r="N162" i="17" s="1"/>
  <c r="O162" i="17" s="1"/>
  <c r="M252" i="17"/>
  <c r="N252" i="17" s="1"/>
  <c r="O252" i="17" s="1"/>
  <c r="M167" i="17"/>
  <c r="N167" i="17" s="1"/>
  <c r="O167" i="17" s="1"/>
  <c r="M173" i="17"/>
  <c r="N173" i="17" s="1"/>
  <c r="O173" i="17" s="1"/>
  <c r="J257" i="17"/>
  <c r="J259" i="17"/>
  <c r="I260" i="17" s="1"/>
  <c r="J260" i="17" s="1"/>
  <c r="K260" i="17" s="1"/>
  <c r="J94" i="17"/>
  <c r="K94" i="17" s="1"/>
  <c r="P94" i="17" s="1"/>
  <c r="J96" i="17"/>
  <c r="K96" i="17" s="1"/>
  <c r="P96" i="17" s="1"/>
  <c r="J98" i="17"/>
  <c r="K98" i="17" s="1"/>
  <c r="P98" i="17" s="1"/>
  <c r="J100" i="17"/>
  <c r="I101" i="17" s="1"/>
  <c r="J101" i="17" s="1"/>
  <c r="K101" i="17" s="1"/>
  <c r="J102" i="17"/>
  <c r="K102" i="17" s="1"/>
  <c r="P102" i="17" s="1"/>
  <c r="J104" i="17"/>
  <c r="K104" i="17" s="1"/>
  <c r="P104" i="17" s="1"/>
  <c r="J106" i="17"/>
  <c r="K106" i="17" s="1"/>
  <c r="P106" i="17" s="1"/>
  <c r="J108" i="17"/>
  <c r="I109" i="17" s="1"/>
  <c r="J109" i="17" s="1"/>
  <c r="K109" i="17" s="1"/>
  <c r="J110" i="17"/>
  <c r="K110" i="17" s="1"/>
  <c r="P110" i="17" s="1"/>
  <c r="J263" i="17"/>
  <c r="K263" i="17" s="1"/>
  <c r="P263" i="17" s="1"/>
  <c r="J264" i="17"/>
  <c r="K264" i="17" s="1"/>
  <c r="P264" i="17" s="1"/>
  <c r="J269" i="17"/>
  <c r="K269" i="17" s="1"/>
  <c r="P269" i="17" s="1"/>
  <c r="J270" i="17"/>
  <c r="K270" i="17" s="1"/>
  <c r="P270" i="17" s="1"/>
  <c r="J112" i="17"/>
  <c r="K112" i="17" s="1"/>
  <c r="P112" i="17" s="1"/>
  <c r="J271" i="17"/>
  <c r="K271" i="17" s="1"/>
  <c r="P271" i="17" s="1"/>
  <c r="J113" i="17"/>
  <c r="K113" i="17" s="1"/>
  <c r="P113" i="17" s="1"/>
  <c r="J114" i="17"/>
  <c r="K114" i="17" s="1"/>
  <c r="P114" i="17" s="1"/>
  <c r="J115" i="17"/>
  <c r="K115" i="17" s="1"/>
  <c r="P115" i="17" s="1"/>
  <c r="J116" i="17"/>
  <c r="K116" i="17" s="1"/>
  <c r="P116" i="17" s="1"/>
  <c r="J117" i="17"/>
  <c r="K117" i="17" s="1"/>
  <c r="P117" i="17" s="1"/>
  <c r="J118" i="17"/>
  <c r="K118" i="17" s="1"/>
  <c r="P118" i="17" s="1"/>
  <c r="J119" i="17"/>
  <c r="K119" i="17" s="1"/>
  <c r="P119" i="17" s="1"/>
  <c r="J265" i="17"/>
  <c r="K265" i="17" s="1"/>
  <c r="P265" i="17" s="1"/>
  <c r="J120" i="17"/>
  <c r="K120" i="17" s="1"/>
  <c r="P120" i="17" s="1"/>
  <c r="J121" i="17"/>
  <c r="K121" i="17" s="1"/>
  <c r="P121" i="17" s="1"/>
  <c r="J122" i="17"/>
  <c r="K122" i="17" s="1"/>
  <c r="J123" i="17"/>
  <c r="K123" i="17" s="1"/>
  <c r="J124" i="17"/>
  <c r="K124" i="17" s="1"/>
  <c r="J267" i="17"/>
  <c r="I268" i="17" s="1"/>
  <c r="J268" i="17" s="1"/>
  <c r="K268" i="17" s="1"/>
  <c r="M263" i="17"/>
  <c r="N263" i="17" s="1"/>
  <c r="O263" i="17" s="1"/>
  <c r="M264" i="17"/>
  <c r="N264" i="17" s="1"/>
  <c r="O264" i="17" s="1"/>
  <c r="M269" i="17"/>
  <c r="N269" i="17" s="1"/>
  <c r="O269" i="17" s="1"/>
  <c r="M270" i="17"/>
  <c r="N270" i="17" s="1"/>
  <c r="O270" i="17" s="1"/>
  <c r="M271" i="17"/>
  <c r="N271" i="17" s="1"/>
  <c r="O271" i="17" s="1"/>
  <c r="M113" i="17"/>
  <c r="N113" i="17" s="1"/>
  <c r="O113" i="17" s="1"/>
  <c r="M114" i="17"/>
  <c r="N114" i="17" s="1"/>
  <c r="O114" i="17" s="1"/>
  <c r="M115" i="17"/>
  <c r="N115" i="17" s="1"/>
  <c r="O115" i="17" s="1"/>
  <c r="M116" i="17"/>
  <c r="N116" i="17" s="1"/>
  <c r="O116" i="17" s="1"/>
  <c r="M117" i="17"/>
  <c r="N117" i="17" s="1"/>
  <c r="O117" i="17" s="1"/>
  <c r="M118" i="17"/>
  <c r="N118" i="17" s="1"/>
  <c r="O118" i="17" s="1"/>
  <c r="M119" i="17"/>
  <c r="N119" i="17" s="1"/>
  <c r="O119" i="17" s="1"/>
  <c r="M265" i="17"/>
  <c r="N265" i="17" s="1"/>
  <c r="O265" i="17" s="1"/>
  <c r="M120" i="17"/>
  <c r="N120" i="17" s="1"/>
  <c r="O120" i="17" s="1"/>
  <c r="M122" i="17"/>
  <c r="N122" i="17" s="1"/>
  <c r="O122" i="17" s="1"/>
  <c r="M123" i="17"/>
  <c r="N123" i="17" s="1"/>
  <c r="O123" i="17" s="1"/>
  <c r="M124" i="17"/>
  <c r="N124" i="17" s="1"/>
  <c r="O124" i="17" s="1"/>
  <c r="J243" i="17"/>
  <c r="J245" i="17"/>
  <c r="K245" i="17" s="1"/>
  <c r="P245" i="17" s="1"/>
  <c r="J13" i="17"/>
  <c r="K13" i="17" s="1"/>
  <c r="P13" i="17" s="1"/>
  <c r="J279" i="17"/>
  <c r="I280" i="17" s="1"/>
  <c r="J280" i="17" s="1"/>
  <c r="K280" i="17" s="1"/>
  <c r="J205" i="17"/>
  <c r="J294" i="17"/>
  <c r="K294" i="17" s="1"/>
  <c r="P294" i="17" s="1"/>
  <c r="J296" i="17"/>
  <c r="I297" i="17" s="1"/>
  <c r="J297" i="17" s="1"/>
  <c r="K297" i="17" s="1"/>
  <c r="J208" i="17"/>
  <c r="J209" i="17"/>
  <c r="J284" i="17"/>
  <c r="K284" i="17" s="1"/>
  <c r="P284" i="17" s="1"/>
  <c r="J19" i="17"/>
  <c r="K19" i="17" s="1"/>
  <c r="P19" i="17" s="1"/>
  <c r="J210" i="17"/>
  <c r="J21" i="17"/>
  <c r="J211" i="17"/>
  <c r="K211" i="17" s="1"/>
  <c r="P211" i="17" s="1"/>
  <c r="J23" i="17"/>
  <c r="I24" i="17" s="1"/>
  <c r="J24" i="17" s="1"/>
  <c r="K24" i="17" s="1"/>
  <c r="J212" i="17"/>
  <c r="K212" i="17" s="1"/>
  <c r="P212" i="17" s="1"/>
  <c r="J25" i="17"/>
  <c r="J187" i="17"/>
  <c r="K187" i="17" s="1"/>
  <c r="P187" i="17" s="1"/>
  <c r="J287" i="17"/>
  <c r="K287" i="17" s="1"/>
  <c r="P287" i="17" s="1"/>
  <c r="J214" i="17"/>
  <c r="K214" i="17" s="1"/>
  <c r="P214" i="17" s="1"/>
  <c r="J289" i="17"/>
  <c r="K289" i="17" s="1"/>
  <c r="P289" i="17" s="1"/>
  <c r="J213" i="17"/>
  <c r="K213" i="17" s="1"/>
  <c r="P213" i="17" s="1"/>
  <c r="J152" i="17"/>
  <c r="K152" i="17" s="1"/>
  <c r="P152" i="17" s="1"/>
  <c r="J27" i="17"/>
  <c r="K27" i="17" s="1"/>
  <c r="P27" i="17" s="1"/>
  <c r="J29" i="17"/>
  <c r="K29" i="17" s="1"/>
  <c r="P29" i="17" s="1"/>
  <c r="J31" i="17"/>
  <c r="I32" i="17" s="1"/>
  <c r="J32" i="17" s="1"/>
  <c r="K32" i="17" s="1"/>
  <c r="J261" i="17"/>
  <c r="K261" i="17" s="1"/>
  <c r="P261" i="17" s="1"/>
  <c r="J194" i="17"/>
  <c r="J33" i="17"/>
  <c r="K33" i="17" s="1"/>
  <c r="P33" i="17" s="1"/>
  <c r="J192" i="17"/>
  <c r="K192" i="17" s="1"/>
  <c r="P192" i="17" s="1"/>
  <c r="J286" i="17"/>
  <c r="K286" i="17" s="1"/>
  <c r="P286" i="17" s="1"/>
  <c r="J35" i="17"/>
  <c r="K35" i="17" s="1"/>
  <c r="P35" i="17" s="1"/>
  <c r="J253" i="17"/>
  <c r="K253" i="17" s="1"/>
  <c r="P253" i="17" s="1"/>
  <c r="J37" i="17"/>
  <c r="K37" i="17" s="1"/>
  <c r="P37" i="17" s="1"/>
  <c r="J38" i="17"/>
  <c r="K38" i="17" s="1"/>
  <c r="P38" i="17" s="1"/>
  <c r="J40" i="17"/>
  <c r="J42" i="17"/>
  <c r="K42" i="17" s="1"/>
  <c r="P42" i="17" s="1"/>
  <c r="J44" i="17"/>
  <c r="K44" i="17" s="1"/>
  <c r="P44" i="17" s="1"/>
  <c r="J196" i="17"/>
  <c r="I197" i="17" s="1"/>
  <c r="J197" i="17" s="1"/>
  <c r="K197" i="17" s="1"/>
  <c r="J45" i="17"/>
  <c r="K45" i="17" s="1"/>
  <c r="P45" i="17" s="1"/>
  <c r="J47" i="17"/>
  <c r="K47" i="17" s="1"/>
  <c r="P47" i="17" s="1"/>
  <c r="J166" i="17"/>
  <c r="K166" i="17" s="1"/>
  <c r="J220" i="17"/>
  <c r="K220" i="17" s="1"/>
  <c r="J48" i="17"/>
  <c r="K48" i="17" s="1"/>
  <c r="P48" i="17" s="1"/>
  <c r="J49" i="17"/>
  <c r="K49" i="17" s="1"/>
  <c r="P49" i="17" s="1"/>
  <c r="J186" i="17"/>
  <c r="K186" i="17" s="1"/>
  <c r="J168" i="17"/>
  <c r="K168" i="17" s="1"/>
  <c r="J169" i="17"/>
  <c r="K169" i="17" s="1"/>
  <c r="J170" i="17"/>
  <c r="K170" i="17" s="1"/>
  <c r="J50" i="17"/>
  <c r="K50" i="17" s="1"/>
  <c r="J51" i="17"/>
  <c r="K51" i="17" s="1"/>
  <c r="J52" i="17"/>
  <c r="K52" i="17" s="1"/>
  <c r="J266" i="17"/>
  <c r="K266" i="17" s="1"/>
  <c r="P266" i="17" s="1"/>
  <c r="J53" i="17"/>
  <c r="K53" i="17" s="1"/>
  <c r="P53" i="17" s="1"/>
  <c r="J291" i="17"/>
  <c r="K291" i="17" s="1"/>
  <c r="J292" i="17"/>
  <c r="K292" i="17" s="1"/>
  <c r="J54" i="17"/>
  <c r="K54" i="17" s="1"/>
  <c r="P54" i="17" s="1"/>
  <c r="J55" i="17"/>
  <c r="K55" i="17" s="1"/>
  <c r="M286" i="17"/>
  <c r="N286" i="17" s="1"/>
  <c r="O286" i="17" s="1"/>
  <c r="M253" i="17"/>
  <c r="N253" i="17" s="1"/>
  <c r="O253" i="17" s="1"/>
  <c r="M37" i="17"/>
  <c r="N37" i="17" s="1"/>
  <c r="O37" i="17" s="1"/>
  <c r="M38" i="17"/>
  <c r="N38" i="17" s="1"/>
  <c r="O38" i="17" s="1"/>
  <c r="N220" i="17"/>
  <c r="O220" i="17" s="1"/>
  <c r="M48" i="17"/>
  <c r="N48" i="17" s="1"/>
  <c r="O48" i="17" s="1"/>
  <c r="M49" i="17"/>
  <c r="N49" i="17" s="1"/>
  <c r="O49" i="17" s="1"/>
  <c r="M186" i="17"/>
  <c r="M168" i="17"/>
  <c r="N168" i="17" s="1"/>
  <c r="O168" i="17" s="1"/>
  <c r="M169" i="17"/>
  <c r="N169" i="17" s="1"/>
  <c r="O169" i="17" s="1"/>
  <c r="M50" i="17"/>
  <c r="N50" i="17" s="1"/>
  <c r="O50" i="17" s="1"/>
  <c r="M51" i="17"/>
  <c r="N51" i="17" s="1"/>
  <c r="O51" i="17" s="1"/>
  <c r="M52" i="17"/>
  <c r="N52" i="17" s="1"/>
  <c r="O52" i="17" s="1"/>
  <c r="M53" i="17"/>
  <c r="N53" i="17" s="1"/>
  <c r="O53" i="17" s="1"/>
  <c r="M291" i="17"/>
  <c r="N291" i="17" s="1"/>
  <c r="O291" i="17" s="1"/>
  <c r="M292" i="17"/>
  <c r="N292" i="17" s="1"/>
  <c r="O292" i="17" s="1"/>
  <c r="M55" i="17"/>
  <c r="N55" i="17" s="1"/>
  <c r="O55" i="17" s="1"/>
  <c r="J272" i="17"/>
  <c r="AH277" i="43"/>
  <c r="AG277" i="43"/>
  <c r="AE277" i="43"/>
  <c r="AD277" i="43"/>
  <c r="S277" i="43"/>
  <c r="Q277" i="43"/>
  <c r="P277" i="43"/>
  <c r="K277" i="43"/>
  <c r="AF277" i="43"/>
  <c r="R277" i="43"/>
  <c r="V277" i="43" s="1"/>
  <c r="AH272" i="43"/>
  <c r="AG272" i="43"/>
  <c r="AE272" i="43"/>
  <c r="AD272" i="43"/>
  <c r="S272" i="43"/>
  <c r="P272" i="43"/>
  <c r="Q272" i="43"/>
  <c r="K272" i="43"/>
  <c r="AF272" i="43" s="1"/>
  <c r="AH271" i="43"/>
  <c r="AG271" i="43"/>
  <c r="AE271" i="43"/>
  <c r="AD271" i="43"/>
  <c r="S271" i="43"/>
  <c r="Q271" i="43"/>
  <c r="P271" i="43"/>
  <c r="K271" i="43"/>
  <c r="AF271" i="43"/>
  <c r="AH270" i="43"/>
  <c r="AG270" i="43"/>
  <c r="AF270" i="43"/>
  <c r="X270" i="43" s="1"/>
  <c r="Y270" i="43" s="1"/>
  <c r="AA270" i="43" s="1"/>
  <c r="AE270" i="43"/>
  <c r="AD270" i="43"/>
  <c r="R270" i="43" s="1"/>
  <c r="V270" i="43" s="1"/>
  <c r="S270" i="43"/>
  <c r="P270" i="43"/>
  <c r="Q270" i="43"/>
  <c r="K270" i="43"/>
  <c r="AH269" i="43"/>
  <c r="AG269" i="43"/>
  <c r="AE269" i="43"/>
  <c r="AD269" i="43"/>
  <c r="S269" i="43"/>
  <c r="P269" i="43"/>
  <c r="Q269" i="43" s="1"/>
  <c r="K269" i="43"/>
  <c r="AF269" i="43" s="1"/>
  <c r="AH268" i="43"/>
  <c r="AG268" i="43"/>
  <c r="AE268" i="43"/>
  <c r="AD268" i="43"/>
  <c r="S268" i="43"/>
  <c r="P268" i="43"/>
  <c r="Q268" i="43" s="1"/>
  <c r="K268" i="43"/>
  <c r="AF268" i="43"/>
  <c r="AH267" i="43"/>
  <c r="AG267" i="43"/>
  <c r="AE267" i="43"/>
  <c r="AD267" i="43"/>
  <c r="S267" i="43"/>
  <c r="P267" i="43"/>
  <c r="Q267" i="43" s="1"/>
  <c r="K267" i="43"/>
  <c r="AF267" i="43" s="1"/>
  <c r="AH266" i="43"/>
  <c r="AG266" i="43"/>
  <c r="AF266" i="43"/>
  <c r="R266" i="43" s="1"/>
  <c r="AE266" i="43"/>
  <c r="AD266" i="43"/>
  <c r="S266" i="43"/>
  <c r="P266" i="43"/>
  <c r="Q266" i="43"/>
  <c r="K266" i="43"/>
  <c r="AH265" i="43"/>
  <c r="AG265" i="43"/>
  <c r="AE265" i="43"/>
  <c r="AD265" i="43"/>
  <c r="S265" i="43"/>
  <c r="P265" i="43"/>
  <c r="Q265" i="43" s="1"/>
  <c r="K265" i="43"/>
  <c r="AF265" i="43" s="1"/>
  <c r="AH262" i="43"/>
  <c r="AG262" i="43"/>
  <c r="AE262" i="43"/>
  <c r="AD262" i="43"/>
  <c r="S262" i="43"/>
  <c r="P262" i="43"/>
  <c r="Q262" i="43" s="1"/>
  <c r="K262" i="43"/>
  <c r="AF262" i="43"/>
  <c r="AH261" i="43"/>
  <c r="AG261" i="43"/>
  <c r="AE261" i="43"/>
  <c r="AD261" i="43"/>
  <c r="S261" i="43"/>
  <c r="P261" i="43"/>
  <c r="Q261" i="43" s="1"/>
  <c r="K261" i="43"/>
  <c r="AF261" i="43" s="1"/>
  <c r="AH260" i="43"/>
  <c r="AG260" i="43"/>
  <c r="AE260" i="43"/>
  <c r="AD260" i="43"/>
  <c r="S260" i="43"/>
  <c r="P260" i="43"/>
  <c r="Q260" i="43"/>
  <c r="K260" i="43"/>
  <c r="AF260" i="43" s="1"/>
  <c r="AH259" i="43"/>
  <c r="AG259" i="43"/>
  <c r="AF259" i="43"/>
  <c r="AE259" i="43"/>
  <c r="AD259" i="43"/>
  <c r="S259" i="43"/>
  <c r="N259" i="43"/>
  <c r="P259" i="43"/>
  <c r="Q259" i="43" s="1"/>
  <c r="K259" i="43"/>
  <c r="AH258" i="43"/>
  <c r="AG258" i="43"/>
  <c r="AE258" i="43"/>
  <c r="AD258" i="43"/>
  <c r="S258" i="43"/>
  <c r="P258" i="43"/>
  <c r="Q258" i="43" s="1"/>
  <c r="K258" i="43"/>
  <c r="AF258" i="43" s="1"/>
  <c r="AH257" i="43"/>
  <c r="AG257" i="43"/>
  <c r="AE257" i="43"/>
  <c r="AD257" i="43"/>
  <c r="S257" i="43"/>
  <c r="P257" i="43"/>
  <c r="Q257" i="43"/>
  <c r="K257" i="43"/>
  <c r="AF257" i="43" s="1"/>
  <c r="R257" i="43" s="1"/>
  <c r="AH256" i="43"/>
  <c r="AG256" i="43"/>
  <c r="AE256" i="43"/>
  <c r="AD256" i="43"/>
  <c r="S256" i="43"/>
  <c r="P256" i="43"/>
  <c r="Q256" i="43" s="1"/>
  <c r="K256" i="43"/>
  <c r="AF256" i="43"/>
  <c r="AH255" i="43"/>
  <c r="AG255" i="43"/>
  <c r="AE255" i="43"/>
  <c r="AD255" i="43"/>
  <c r="S255" i="43"/>
  <c r="P255" i="43"/>
  <c r="Q255" i="43" s="1"/>
  <c r="K255" i="43"/>
  <c r="AF255" i="43"/>
  <c r="AH254" i="43"/>
  <c r="AG254" i="43"/>
  <c r="AE254" i="43"/>
  <c r="AD254" i="43"/>
  <c r="S254" i="43"/>
  <c r="P254" i="43"/>
  <c r="Q254" i="43" s="1"/>
  <c r="K254" i="43"/>
  <c r="AF254" i="43" s="1"/>
  <c r="AH253" i="43"/>
  <c r="AG253" i="43"/>
  <c r="AF253" i="43"/>
  <c r="AE253" i="43"/>
  <c r="AD253" i="43"/>
  <c r="S253" i="43"/>
  <c r="P253" i="43"/>
  <c r="Q253" i="43"/>
  <c r="K253" i="43"/>
  <c r="AH252" i="43"/>
  <c r="AG252" i="43"/>
  <c r="AE252" i="43"/>
  <c r="AD252" i="43"/>
  <c r="S252" i="43"/>
  <c r="P252" i="43"/>
  <c r="Q252" i="43" s="1"/>
  <c r="K252" i="43"/>
  <c r="AF252" i="43"/>
  <c r="AH251" i="43"/>
  <c r="AG251" i="43"/>
  <c r="AE251" i="43"/>
  <c r="AD251" i="43"/>
  <c r="S251" i="43"/>
  <c r="P251" i="43"/>
  <c r="Q251" i="43" s="1"/>
  <c r="K251" i="43"/>
  <c r="AF251" i="43"/>
  <c r="AH250" i="43"/>
  <c r="AG250" i="43"/>
  <c r="AE250" i="43"/>
  <c r="AD250" i="43"/>
  <c r="S250" i="43"/>
  <c r="P250" i="43"/>
  <c r="Q250" i="43" s="1"/>
  <c r="K250" i="43"/>
  <c r="AF250" i="43" s="1"/>
  <c r="AH249" i="43"/>
  <c r="AG249" i="43"/>
  <c r="AE249" i="43"/>
  <c r="AD249" i="43"/>
  <c r="S249" i="43"/>
  <c r="N249" i="43"/>
  <c r="P249" i="43" s="1"/>
  <c r="Q249" i="43" s="1"/>
  <c r="K249" i="43"/>
  <c r="AF249" i="43"/>
  <c r="AH248" i="43"/>
  <c r="AG248" i="43"/>
  <c r="AE248" i="43"/>
  <c r="AD248" i="43"/>
  <c r="S248" i="43"/>
  <c r="P248" i="43"/>
  <c r="Q248" i="43" s="1"/>
  <c r="K248" i="43"/>
  <c r="AF248" i="43"/>
  <c r="AH247" i="43"/>
  <c r="AG247" i="43"/>
  <c r="AE247" i="43"/>
  <c r="AD247" i="43"/>
  <c r="S247" i="43"/>
  <c r="P247" i="43"/>
  <c r="Q247" i="43" s="1"/>
  <c r="K247" i="43"/>
  <c r="AF247" i="43" s="1"/>
  <c r="AH246" i="43"/>
  <c r="AG246" i="43"/>
  <c r="AF246" i="43"/>
  <c r="AE246" i="43"/>
  <c r="AD246" i="43"/>
  <c r="S246" i="43"/>
  <c r="P246" i="43"/>
  <c r="Q246" i="43"/>
  <c r="K246" i="43"/>
  <c r="AH245" i="43"/>
  <c r="AG245" i="43"/>
  <c r="AE245" i="43"/>
  <c r="AD245" i="43"/>
  <c r="S245" i="43"/>
  <c r="P245" i="43"/>
  <c r="Q245" i="43" s="1"/>
  <c r="K245" i="43"/>
  <c r="AF245" i="43"/>
  <c r="AH239" i="43"/>
  <c r="AG239" i="43"/>
  <c r="AE239" i="43"/>
  <c r="AD239" i="43"/>
  <c r="X239" i="43" s="1"/>
  <c r="Y239" i="43" s="1"/>
  <c r="AA239" i="43" s="1"/>
  <c r="S239" i="43"/>
  <c r="P239" i="43"/>
  <c r="Q239" i="43"/>
  <c r="K239" i="43"/>
  <c r="AF239" i="43"/>
  <c r="AH238" i="43"/>
  <c r="AG238" i="43"/>
  <c r="AE238" i="43"/>
  <c r="AD238" i="43"/>
  <c r="S238" i="43"/>
  <c r="P238" i="43"/>
  <c r="Q238" i="43"/>
  <c r="K238" i="43"/>
  <c r="AF238" i="43" s="1"/>
  <c r="AH237" i="43"/>
  <c r="AG237" i="43"/>
  <c r="AE237" i="43"/>
  <c r="AD237" i="43"/>
  <c r="S237" i="43"/>
  <c r="P237" i="43"/>
  <c r="Q237" i="43"/>
  <c r="K237" i="43"/>
  <c r="AF237" i="43" s="1"/>
  <c r="X237" i="43" s="1"/>
  <c r="Y237" i="43" s="1"/>
  <c r="AA237" i="43" s="1"/>
  <c r="AH236" i="43"/>
  <c r="AG236" i="43"/>
  <c r="AE236" i="43"/>
  <c r="AD236" i="43"/>
  <c r="S236" i="43"/>
  <c r="Q236" i="43"/>
  <c r="P236" i="43"/>
  <c r="K236" i="43"/>
  <c r="AF236" i="43"/>
  <c r="X236" i="43" s="1"/>
  <c r="Y236" i="43" s="1"/>
  <c r="AA236" i="43" s="1"/>
  <c r="AH235" i="43"/>
  <c r="AG235" i="43"/>
  <c r="AE235" i="43"/>
  <c r="AD235" i="43"/>
  <c r="S235" i="43"/>
  <c r="P235" i="43"/>
  <c r="Q235" i="43"/>
  <c r="K235" i="43"/>
  <c r="AF235" i="43"/>
  <c r="AH234" i="43"/>
  <c r="AG234" i="43"/>
  <c r="AF234" i="43"/>
  <c r="AE234" i="43"/>
  <c r="AD234" i="43"/>
  <c r="S234" i="43"/>
  <c r="P234" i="43"/>
  <c r="Q234" i="43"/>
  <c r="K234" i="43"/>
  <c r="AH233" i="43"/>
  <c r="AG233" i="43"/>
  <c r="AE233" i="43"/>
  <c r="AD233" i="43"/>
  <c r="S233" i="43"/>
  <c r="P233" i="43"/>
  <c r="Q233" i="43"/>
  <c r="K233" i="43"/>
  <c r="AF233" i="43"/>
  <c r="AH232" i="43"/>
  <c r="AG232" i="43"/>
  <c r="AE232" i="43"/>
  <c r="AD232" i="43"/>
  <c r="S232" i="43"/>
  <c r="P232" i="43"/>
  <c r="Q232" i="43" s="1"/>
  <c r="K232" i="43"/>
  <c r="AF232" i="43"/>
  <c r="AH227" i="43"/>
  <c r="AG227" i="43"/>
  <c r="AE227" i="43"/>
  <c r="AD227" i="43"/>
  <c r="S227" i="43"/>
  <c r="P227" i="43"/>
  <c r="Q227" i="43"/>
  <c r="K227" i="43"/>
  <c r="AF227" i="43" s="1"/>
  <c r="AH226" i="43"/>
  <c r="AG226" i="43"/>
  <c r="AE226" i="43"/>
  <c r="AD226" i="43"/>
  <c r="S226" i="43"/>
  <c r="P226" i="43"/>
  <c r="Q226" i="43" s="1"/>
  <c r="K226" i="43"/>
  <c r="AF226" i="43" s="1"/>
  <c r="AH225" i="43"/>
  <c r="AG225" i="43"/>
  <c r="AE225" i="43"/>
  <c r="AD225" i="43"/>
  <c r="S225" i="43"/>
  <c r="P225" i="43"/>
  <c r="Q225" i="43"/>
  <c r="K225" i="43"/>
  <c r="AF225" i="43" s="1"/>
  <c r="AH224" i="43"/>
  <c r="AG224" i="43"/>
  <c r="AE224" i="43"/>
  <c r="AD224" i="43"/>
  <c r="S224" i="43"/>
  <c r="P224" i="43"/>
  <c r="Q224" i="43"/>
  <c r="K224" i="43"/>
  <c r="AF224" i="43"/>
  <c r="AH223" i="43"/>
  <c r="AG223" i="43"/>
  <c r="AE223" i="43"/>
  <c r="AD223" i="43"/>
  <c r="S223" i="43"/>
  <c r="P223" i="43"/>
  <c r="Q223" i="43"/>
  <c r="K223" i="43"/>
  <c r="AF223" i="43" s="1"/>
  <c r="AH222" i="43"/>
  <c r="AG222" i="43"/>
  <c r="AF222" i="43"/>
  <c r="AE222" i="43"/>
  <c r="AD222" i="43"/>
  <c r="S222" i="43"/>
  <c r="P222" i="43"/>
  <c r="Q222" i="43" s="1"/>
  <c r="K222" i="43"/>
  <c r="AH221" i="43"/>
  <c r="AG221" i="43"/>
  <c r="AE221" i="43"/>
  <c r="AD221" i="43"/>
  <c r="S221" i="43"/>
  <c r="P221" i="43"/>
  <c r="Q221" i="43" s="1"/>
  <c r="K221" i="43"/>
  <c r="AF221" i="43"/>
  <c r="AH220" i="43"/>
  <c r="AG220" i="43"/>
  <c r="AE220" i="43"/>
  <c r="AD220" i="43"/>
  <c r="S220" i="43"/>
  <c r="P220" i="43"/>
  <c r="Q220" i="43" s="1"/>
  <c r="K220" i="43"/>
  <c r="AF220" i="43"/>
  <c r="AH219" i="43"/>
  <c r="AG219" i="43"/>
  <c r="AE219" i="43"/>
  <c r="AD219" i="43"/>
  <c r="S219" i="43"/>
  <c r="P219" i="43"/>
  <c r="Q219" i="43"/>
  <c r="K219" i="43"/>
  <c r="AF219" i="43"/>
  <c r="AH218" i="43"/>
  <c r="AG218" i="43"/>
  <c r="AF218" i="43"/>
  <c r="AE218" i="43"/>
  <c r="AD218" i="43"/>
  <c r="S218" i="43"/>
  <c r="P218" i="43"/>
  <c r="Q218" i="43" s="1"/>
  <c r="K218" i="43"/>
  <c r="AH217" i="43"/>
  <c r="AG217" i="43"/>
  <c r="AE217" i="43"/>
  <c r="AD217" i="43"/>
  <c r="S217" i="43"/>
  <c r="P217" i="43"/>
  <c r="Q217" i="43" s="1"/>
  <c r="K217" i="43"/>
  <c r="AF217" i="43"/>
  <c r="AH214" i="43"/>
  <c r="AG214" i="43"/>
  <c r="AE214" i="43"/>
  <c r="AD214" i="43"/>
  <c r="S214" i="43"/>
  <c r="P214" i="43"/>
  <c r="Q214" i="43" s="1"/>
  <c r="K214" i="43"/>
  <c r="AF214" i="43"/>
  <c r="AH211" i="43"/>
  <c r="AG211" i="43"/>
  <c r="AE211" i="43"/>
  <c r="AD211" i="43"/>
  <c r="S211" i="43"/>
  <c r="P211" i="43"/>
  <c r="Q211" i="43"/>
  <c r="K211" i="43"/>
  <c r="AF211" i="43"/>
  <c r="AH210" i="43"/>
  <c r="AG210" i="43"/>
  <c r="AF210" i="43"/>
  <c r="AE210" i="43"/>
  <c r="AD210" i="43"/>
  <c r="S210" i="43"/>
  <c r="P210" i="43"/>
  <c r="Q210" i="43" s="1"/>
  <c r="K210" i="43"/>
  <c r="AH209" i="43"/>
  <c r="AG209" i="43"/>
  <c r="AE209" i="43"/>
  <c r="AD209" i="43"/>
  <c r="X209" i="43" s="1"/>
  <c r="Y209" i="43" s="1"/>
  <c r="AA209" i="43" s="1"/>
  <c r="S209" i="43"/>
  <c r="P209" i="43"/>
  <c r="Q209" i="43" s="1"/>
  <c r="K209" i="43"/>
  <c r="AF209" i="43" s="1"/>
  <c r="AH208" i="43"/>
  <c r="AG208" i="43"/>
  <c r="AE208" i="43"/>
  <c r="AD208" i="43"/>
  <c r="S208" i="43"/>
  <c r="P208" i="43"/>
  <c r="Q208" i="43"/>
  <c r="K208" i="43"/>
  <c r="AF208" i="43"/>
  <c r="AH207" i="43"/>
  <c r="AG207" i="43"/>
  <c r="AE207" i="43"/>
  <c r="AD207" i="43"/>
  <c r="S207" i="43"/>
  <c r="P207" i="43"/>
  <c r="Q207" i="43" s="1"/>
  <c r="K207" i="43"/>
  <c r="AF207" i="43"/>
  <c r="AH203" i="43"/>
  <c r="AG203" i="43"/>
  <c r="AE203" i="43"/>
  <c r="AD203" i="43"/>
  <c r="S203" i="43"/>
  <c r="P203" i="43"/>
  <c r="Q203" i="43" s="1"/>
  <c r="K203" i="43"/>
  <c r="AF203" i="43" s="1"/>
  <c r="AH185" i="43"/>
  <c r="AG185" i="43"/>
  <c r="AE185" i="43"/>
  <c r="AD185" i="43"/>
  <c r="S185" i="43"/>
  <c r="N185" i="43"/>
  <c r="K185" i="43"/>
  <c r="AF185" i="43" s="1"/>
  <c r="AH184" i="43"/>
  <c r="AG184" i="43"/>
  <c r="AE184" i="43"/>
  <c r="AD184" i="43"/>
  <c r="S184" i="43"/>
  <c r="N184" i="43"/>
  <c r="P184" i="43" s="1"/>
  <c r="Q184" i="43" s="1"/>
  <c r="K184" i="43"/>
  <c r="AF184" i="43" s="1"/>
  <c r="AH183" i="43"/>
  <c r="AG183" i="43"/>
  <c r="AF183" i="43"/>
  <c r="AP183" i="43"/>
  <c r="AE183" i="43"/>
  <c r="AD183" i="43"/>
  <c r="S183" i="43"/>
  <c r="P183" i="43"/>
  <c r="K183" i="43"/>
  <c r="AH182" i="43"/>
  <c r="AG182" i="43"/>
  <c r="AE182" i="43"/>
  <c r="AD182" i="43"/>
  <c r="S182" i="43"/>
  <c r="P182" i="43"/>
  <c r="Q182" i="43" s="1"/>
  <c r="K182" i="43"/>
  <c r="AF182" i="43"/>
  <c r="AH181" i="43"/>
  <c r="AG181" i="43"/>
  <c r="AF181" i="43"/>
  <c r="AP181" i="43" s="1"/>
  <c r="AE181" i="43"/>
  <c r="AD181" i="43"/>
  <c r="S181" i="43"/>
  <c r="P181" i="43"/>
  <c r="Q181" i="43"/>
  <c r="K181" i="43"/>
  <c r="AH180" i="43"/>
  <c r="AG180" i="43"/>
  <c r="AE180" i="43"/>
  <c r="AD180" i="43"/>
  <c r="S180" i="43"/>
  <c r="P180" i="43"/>
  <c r="Q180" i="43" s="1"/>
  <c r="K180" i="43"/>
  <c r="AF180" i="43"/>
  <c r="AH179" i="43"/>
  <c r="AG179" i="43"/>
  <c r="AE179" i="43"/>
  <c r="AD179" i="43"/>
  <c r="S179" i="43"/>
  <c r="P179" i="43"/>
  <c r="Q179" i="43"/>
  <c r="K179" i="43"/>
  <c r="AF179" i="43"/>
  <c r="AH178" i="43"/>
  <c r="AG178" i="43"/>
  <c r="AE178" i="43"/>
  <c r="AD178" i="43"/>
  <c r="S178" i="43"/>
  <c r="P178" i="43"/>
  <c r="Q178" i="43"/>
  <c r="K178" i="43"/>
  <c r="AF178" i="43" s="1"/>
  <c r="AH177" i="43"/>
  <c r="AG177" i="43"/>
  <c r="AE177" i="43"/>
  <c r="AD177" i="43"/>
  <c r="R177" i="43" s="1"/>
  <c r="S177" i="43"/>
  <c r="P177" i="43"/>
  <c r="K177" i="43"/>
  <c r="AF177" i="43"/>
  <c r="AH176" i="43"/>
  <c r="AG176" i="43"/>
  <c r="AE176" i="43"/>
  <c r="AD176" i="43"/>
  <c r="S176" i="43"/>
  <c r="P176" i="43"/>
  <c r="L17" i="17" s="1"/>
  <c r="Q176" i="43"/>
  <c r="K176" i="43"/>
  <c r="AF176" i="43"/>
  <c r="AP176" i="43" s="1"/>
  <c r="AH175" i="43"/>
  <c r="AG175" i="43"/>
  <c r="AE175" i="43"/>
  <c r="AD175" i="43"/>
  <c r="S175" i="43"/>
  <c r="P175" i="43"/>
  <c r="N175" i="43"/>
  <c r="K175" i="43"/>
  <c r="AF175" i="43" s="1"/>
  <c r="AH174" i="43"/>
  <c r="AG174" i="43"/>
  <c r="AE174" i="43"/>
  <c r="AD174" i="43"/>
  <c r="S174" i="43"/>
  <c r="P174" i="43"/>
  <c r="K174" i="43"/>
  <c r="AF174" i="43"/>
  <c r="AH173" i="43"/>
  <c r="AG173" i="43"/>
  <c r="AE173" i="43"/>
  <c r="AD173" i="43"/>
  <c r="S173" i="43"/>
  <c r="P173" i="43"/>
  <c r="K173" i="43"/>
  <c r="AF173" i="43" s="1"/>
  <c r="AH172" i="43"/>
  <c r="AG172" i="43"/>
  <c r="AE172" i="43"/>
  <c r="AD172" i="43"/>
  <c r="S172" i="43"/>
  <c r="P172" i="43"/>
  <c r="L15" i="17" s="1"/>
  <c r="K172" i="43"/>
  <c r="AF172" i="43" s="1"/>
  <c r="AH171" i="43"/>
  <c r="AG171" i="43"/>
  <c r="AE171" i="43"/>
  <c r="AD171" i="43"/>
  <c r="S171" i="43"/>
  <c r="P171" i="43"/>
  <c r="K171" i="43"/>
  <c r="AF171" i="43" s="1"/>
  <c r="AH170" i="43"/>
  <c r="AG170" i="43"/>
  <c r="AE170" i="43"/>
  <c r="AD170" i="43"/>
  <c r="S170" i="43"/>
  <c r="P170" i="43"/>
  <c r="K170" i="43"/>
  <c r="AF170" i="43" s="1"/>
  <c r="AH169" i="43"/>
  <c r="AG169" i="43"/>
  <c r="AF169" i="43"/>
  <c r="AE169" i="43"/>
  <c r="AD169" i="43"/>
  <c r="S169" i="43"/>
  <c r="Q169" i="43"/>
  <c r="P169" i="43"/>
  <c r="K169" i="43"/>
  <c r="AH162" i="43"/>
  <c r="AG162" i="43"/>
  <c r="AE162" i="43"/>
  <c r="AD162" i="43"/>
  <c r="S162" i="43"/>
  <c r="N162" i="43"/>
  <c r="N164" i="43" s="1"/>
  <c r="K162" i="43"/>
  <c r="AF162" i="43"/>
  <c r="AH161" i="43"/>
  <c r="AG161" i="43"/>
  <c r="AE161" i="43"/>
  <c r="AD161" i="43"/>
  <c r="S161" i="43"/>
  <c r="N161" i="43"/>
  <c r="K161" i="43"/>
  <c r="AF161" i="43" s="1"/>
  <c r="AH160" i="43"/>
  <c r="AG160" i="43"/>
  <c r="AF160" i="43"/>
  <c r="AE160" i="43"/>
  <c r="AD160" i="43"/>
  <c r="S160" i="43"/>
  <c r="Q160" i="43"/>
  <c r="P160" i="43"/>
  <c r="K160" i="43"/>
  <c r="AH159" i="43"/>
  <c r="AG159" i="43"/>
  <c r="AE159" i="43"/>
  <c r="AD159" i="43"/>
  <c r="S159" i="43"/>
  <c r="P159" i="43"/>
  <c r="Q159" i="43" s="1"/>
  <c r="K159" i="43"/>
  <c r="AF159" i="43"/>
  <c r="AH158" i="43"/>
  <c r="AG158" i="43"/>
  <c r="AE158" i="43"/>
  <c r="AD158" i="43"/>
  <c r="S158" i="43"/>
  <c r="P158" i="43"/>
  <c r="K158" i="43"/>
  <c r="AF158" i="43" s="1"/>
  <c r="AH157" i="43"/>
  <c r="AG157" i="43"/>
  <c r="AE157" i="43"/>
  <c r="AD157" i="43"/>
  <c r="S157" i="43"/>
  <c r="P157" i="43"/>
  <c r="L281" i="17" s="1"/>
  <c r="Q157" i="43"/>
  <c r="K157" i="43"/>
  <c r="AF157" i="43" s="1"/>
  <c r="AH156" i="43"/>
  <c r="AG156" i="43"/>
  <c r="AF156" i="43"/>
  <c r="AE156" i="43"/>
  <c r="AD156" i="43"/>
  <c r="S156" i="43"/>
  <c r="Q156" i="43"/>
  <c r="P156" i="43"/>
  <c r="L247" i="17" s="1"/>
  <c r="L248" i="17" s="1"/>
  <c r="K156" i="43"/>
  <c r="AC151" i="43"/>
  <c r="AB151" i="43"/>
  <c r="AA151" i="43"/>
  <c r="V151" i="43"/>
  <c r="R151" i="43"/>
  <c r="Q151" i="43"/>
  <c r="P151" i="43"/>
  <c r="N151" i="43"/>
  <c r="AH143" i="43"/>
  <c r="AG143" i="43"/>
  <c r="AE143" i="43"/>
  <c r="AD143" i="43"/>
  <c r="S143" i="43"/>
  <c r="N143" i="43"/>
  <c r="P143" i="43" s="1"/>
  <c r="Q143" i="43" s="1"/>
  <c r="K143" i="43"/>
  <c r="AF143" i="43" s="1"/>
  <c r="AN143" i="43" s="1"/>
  <c r="AH142" i="43"/>
  <c r="AG142" i="43"/>
  <c r="AE142" i="43"/>
  <c r="AD142" i="43"/>
  <c r="S142" i="43"/>
  <c r="P142" i="43"/>
  <c r="Q142" i="43"/>
  <c r="K142" i="43"/>
  <c r="AF142" i="43" s="1"/>
  <c r="AH141" i="43"/>
  <c r="AG141" i="43"/>
  <c r="AE141" i="43"/>
  <c r="AD141" i="43"/>
  <c r="S141" i="43"/>
  <c r="N141" i="43"/>
  <c r="P141" i="43" s="1"/>
  <c r="Q141" i="43" s="1"/>
  <c r="K141" i="43"/>
  <c r="AF141" i="43" s="1"/>
  <c r="X141" i="43" s="1"/>
  <c r="Y141" i="43" s="1"/>
  <c r="AA141" i="43" s="1"/>
  <c r="AH140" i="43"/>
  <c r="AG140" i="43"/>
  <c r="AE140" i="43"/>
  <c r="AD140" i="43"/>
  <c r="S140" i="43"/>
  <c r="P140" i="43"/>
  <c r="Q140" i="43" s="1"/>
  <c r="N140" i="43"/>
  <c r="N145" i="43"/>
  <c r="K140" i="43"/>
  <c r="AF140" i="43" s="1"/>
  <c r="AN140" i="43" s="1"/>
  <c r="AH139" i="43"/>
  <c r="AG139" i="43"/>
  <c r="AE139" i="43"/>
  <c r="AD139" i="43"/>
  <c r="S139" i="43"/>
  <c r="P139" i="43"/>
  <c r="Q139" i="43"/>
  <c r="K139" i="43"/>
  <c r="AF139" i="43" s="1"/>
  <c r="AP139" i="43" s="1"/>
  <c r="AH138" i="43"/>
  <c r="AG138" i="43"/>
  <c r="AF138" i="43"/>
  <c r="AJ138" i="43" s="1"/>
  <c r="AE138" i="43"/>
  <c r="AD138" i="43"/>
  <c r="S138" i="43"/>
  <c r="P138" i="43"/>
  <c r="Q138" i="43"/>
  <c r="N138" i="43"/>
  <c r="K138" i="43"/>
  <c r="AH137" i="43"/>
  <c r="AG137" i="43"/>
  <c r="AE137" i="43"/>
  <c r="AD137" i="43"/>
  <c r="S137" i="43"/>
  <c r="Q137" i="43"/>
  <c r="P137" i="43"/>
  <c r="L163" i="17" s="1"/>
  <c r="M163" i="17" s="1"/>
  <c r="N163" i="17" s="1"/>
  <c r="O163" i="17" s="1"/>
  <c r="K137" i="43"/>
  <c r="AF137" i="43"/>
  <c r="AH136" i="43"/>
  <c r="AG136" i="43"/>
  <c r="AE136" i="43"/>
  <c r="AD136" i="43"/>
  <c r="S136" i="43"/>
  <c r="Q136" i="43"/>
  <c r="P136" i="43"/>
  <c r="K136" i="43"/>
  <c r="AF136" i="43"/>
  <c r="AH135" i="43"/>
  <c r="AG135" i="43"/>
  <c r="AE135" i="43"/>
  <c r="AD135" i="43"/>
  <c r="S135" i="43"/>
  <c r="P135" i="43"/>
  <c r="Q135" i="43" s="1"/>
  <c r="K135" i="43"/>
  <c r="AF135" i="43" s="1"/>
  <c r="AH134" i="43"/>
  <c r="AG134" i="43"/>
  <c r="AE134" i="43"/>
  <c r="AD134" i="43"/>
  <c r="S134" i="43"/>
  <c r="P134" i="43"/>
  <c r="L160" i="17" s="1"/>
  <c r="K134" i="43"/>
  <c r="AF134" i="43" s="1"/>
  <c r="AH133" i="43"/>
  <c r="AG133" i="43"/>
  <c r="AE133" i="43"/>
  <c r="AD133" i="43"/>
  <c r="S133" i="43"/>
  <c r="Q133" i="43"/>
  <c r="P133" i="43"/>
  <c r="L158" i="17" s="1"/>
  <c r="L159" i="17" s="1"/>
  <c r="M159" i="17" s="1"/>
  <c r="K133" i="43"/>
  <c r="AF133" i="43"/>
  <c r="AH132" i="43"/>
  <c r="AG132" i="43"/>
  <c r="AE132" i="43"/>
  <c r="AD132" i="43"/>
  <c r="S132" i="43"/>
  <c r="Q132" i="43"/>
  <c r="P132" i="43"/>
  <c r="L154" i="17" s="1"/>
  <c r="K132" i="43"/>
  <c r="AF132" i="43"/>
  <c r="AH131" i="43"/>
  <c r="AG131" i="43"/>
  <c r="AF131" i="43"/>
  <c r="AP131" i="43" s="1"/>
  <c r="AE131" i="43"/>
  <c r="AD131" i="43"/>
  <c r="S131" i="43"/>
  <c r="P131" i="43"/>
  <c r="L150" i="17" s="1"/>
  <c r="L151" i="17" s="1"/>
  <c r="M151" i="17" s="1"/>
  <c r="K131" i="43"/>
  <c r="AH130" i="43"/>
  <c r="AG130" i="43"/>
  <c r="AE130" i="43"/>
  <c r="AD130" i="43"/>
  <c r="S130" i="43"/>
  <c r="P130" i="43"/>
  <c r="L148" i="17" s="1"/>
  <c r="K130" i="43"/>
  <c r="AF130" i="43"/>
  <c r="AH129" i="43"/>
  <c r="AG129" i="43"/>
  <c r="AF129" i="43"/>
  <c r="AP129" i="43" s="1"/>
  <c r="AE129" i="43"/>
  <c r="AD129" i="43"/>
  <c r="S129" i="43"/>
  <c r="P129" i="43"/>
  <c r="L146" i="17" s="1"/>
  <c r="M146" i="17" s="1"/>
  <c r="N146" i="17" s="1"/>
  <c r="O146" i="17" s="1"/>
  <c r="Q129" i="43"/>
  <c r="K129" i="43"/>
  <c r="AH128" i="43"/>
  <c r="AG128" i="43"/>
  <c r="AE128" i="43"/>
  <c r="AD128" i="43"/>
  <c r="S128" i="43"/>
  <c r="P128" i="43"/>
  <c r="L144" i="17" s="1"/>
  <c r="L145" i="17" s="1"/>
  <c r="M145" i="17" s="1"/>
  <c r="N145" i="17" s="1"/>
  <c r="O145" i="17" s="1"/>
  <c r="Q128" i="43"/>
  <c r="K128" i="43"/>
  <c r="AF128" i="43"/>
  <c r="AH127" i="43"/>
  <c r="AG127" i="43"/>
  <c r="AE127" i="43"/>
  <c r="AD127" i="43"/>
  <c r="S127" i="43"/>
  <c r="P127" i="43"/>
  <c r="L142" i="17" s="1"/>
  <c r="M142" i="17" s="1"/>
  <c r="N142" i="17" s="1"/>
  <c r="O142" i="17" s="1"/>
  <c r="K127" i="43"/>
  <c r="AF127" i="43" s="1"/>
  <c r="AH126" i="43"/>
  <c r="AG126" i="43"/>
  <c r="AE126" i="43"/>
  <c r="AD126" i="43"/>
  <c r="S126" i="43"/>
  <c r="P126" i="43"/>
  <c r="L140" i="17" s="1"/>
  <c r="L141" i="17" s="1"/>
  <c r="M141" i="17" s="1"/>
  <c r="Q126" i="43"/>
  <c r="K126" i="43"/>
  <c r="AF126" i="43"/>
  <c r="AH125" i="43"/>
  <c r="AG125" i="43"/>
  <c r="AF125" i="43"/>
  <c r="AP125" i="43" s="1"/>
  <c r="AE125" i="43"/>
  <c r="AD125" i="43"/>
  <c r="S125" i="43"/>
  <c r="Q125" i="43"/>
  <c r="P125" i="43"/>
  <c r="L250" i="17" s="1"/>
  <c r="M250" i="17" s="1"/>
  <c r="N250" i="17" s="1"/>
  <c r="O250" i="17" s="1"/>
  <c r="K125" i="43"/>
  <c r="AH124" i="43"/>
  <c r="AG124" i="43"/>
  <c r="AE124" i="43"/>
  <c r="AD124" i="43"/>
  <c r="S124" i="43"/>
  <c r="P124" i="43"/>
  <c r="L138" i="17" s="1"/>
  <c r="K124" i="43"/>
  <c r="AF124" i="43"/>
  <c r="AH123" i="43"/>
  <c r="AG123" i="43"/>
  <c r="AE123" i="43"/>
  <c r="AD123" i="43"/>
  <c r="S123" i="43"/>
  <c r="P123" i="43"/>
  <c r="L136" i="17" s="1"/>
  <c r="K123" i="43"/>
  <c r="AF123" i="43" s="1"/>
  <c r="AH122" i="43"/>
  <c r="AG122" i="43"/>
  <c r="AE122" i="43"/>
  <c r="AD122" i="43"/>
  <c r="S122" i="43"/>
  <c r="P122" i="43"/>
  <c r="L274" i="17" s="1"/>
  <c r="L275" i="17" s="1"/>
  <c r="M275" i="17" s="1"/>
  <c r="Q122" i="43"/>
  <c r="K122" i="43"/>
  <c r="AF122" i="43" s="1"/>
  <c r="AH121" i="43"/>
  <c r="AG121" i="43"/>
  <c r="AE121" i="43"/>
  <c r="AD121" i="43"/>
  <c r="S121" i="43"/>
  <c r="P121" i="43"/>
  <c r="L254" i="17" s="1"/>
  <c r="K121" i="43"/>
  <c r="AF121" i="43" s="1"/>
  <c r="AP121" i="43" s="1"/>
  <c r="AH120" i="43"/>
  <c r="AG120" i="43"/>
  <c r="AE120" i="43"/>
  <c r="AD120" i="43"/>
  <c r="S120" i="43"/>
  <c r="P120" i="43"/>
  <c r="L239" i="17" s="1"/>
  <c r="M239" i="17" s="1"/>
  <c r="N239" i="17" s="1"/>
  <c r="O239" i="17" s="1"/>
  <c r="Q120" i="43"/>
  <c r="K120" i="43"/>
  <c r="AF120" i="43"/>
  <c r="AH119" i="43"/>
  <c r="AG119" i="43"/>
  <c r="AF119" i="43"/>
  <c r="AP119" i="43" s="1"/>
  <c r="AE119" i="43"/>
  <c r="AD119" i="43"/>
  <c r="S119" i="43"/>
  <c r="Q119" i="43"/>
  <c r="P119" i="43"/>
  <c r="L241" i="17" s="1"/>
  <c r="M241" i="17" s="1"/>
  <c r="N241" i="17" s="1"/>
  <c r="O241" i="17" s="1"/>
  <c r="K119" i="43"/>
  <c r="AH112" i="43"/>
  <c r="AG112" i="43"/>
  <c r="AF112" i="43"/>
  <c r="AE112" i="43"/>
  <c r="AD112" i="43"/>
  <c r="S112" i="43"/>
  <c r="Q112" i="43"/>
  <c r="P112" i="43"/>
  <c r="K112" i="43"/>
  <c r="AH111" i="43"/>
  <c r="AG111" i="43"/>
  <c r="AE111" i="43"/>
  <c r="AD111" i="43"/>
  <c r="S111" i="43"/>
  <c r="Q111" i="43"/>
  <c r="P111" i="43"/>
  <c r="K111" i="43"/>
  <c r="AF111" i="43"/>
  <c r="AH110" i="43"/>
  <c r="AG110" i="43"/>
  <c r="AE110" i="43"/>
  <c r="AD110" i="43"/>
  <c r="S110" i="43"/>
  <c r="P110" i="43"/>
  <c r="Q110" i="43" s="1"/>
  <c r="K110" i="43"/>
  <c r="AF110" i="43" s="1"/>
  <c r="AH109" i="43"/>
  <c r="AG109" i="43"/>
  <c r="AE109" i="43"/>
  <c r="AD109" i="43"/>
  <c r="S109" i="43"/>
  <c r="N109" i="43"/>
  <c r="P109" i="43"/>
  <c r="Q109" i="43" s="1"/>
  <c r="K109" i="43"/>
  <c r="AF109" i="43" s="1"/>
  <c r="AH108" i="43"/>
  <c r="AG108" i="43"/>
  <c r="AE108" i="43"/>
  <c r="AD108" i="43"/>
  <c r="S108" i="43"/>
  <c r="P108" i="43"/>
  <c r="Q108" i="43" s="1"/>
  <c r="K108" i="43"/>
  <c r="AF108" i="43" s="1"/>
  <c r="AN108" i="43" s="1"/>
  <c r="AH107" i="43"/>
  <c r="AG107" i="43"/>
  <c r="AE107" i="43"/>
  <c r="AD107" i="43"/>
  <c r="S107" i="43"/>
  <c r="P107" i="43"/>
  <c r="Q107" i="43"/>
  <c r="K107" i="43"/>
  <c r="AF107" i="43" s="1"/>
  <c r="AH106" i="43"/>
  <c r="AG106" i="43"/>
  <c r="AN106" i="43" s="1"/>
  <c r="AF106" i="43"/>
  <c r="AE106" i="43"/>
  <c r="AD106" i="43"/>
  <c r="X106" i="43" s="1"/>
  <c r="Y106" i="43" s="1"/>
  <c r="AA106" i="43" s="1"/>
  <c r="S106" i="43"/>
  <c r="Q106" i="43"/>
  <c r="P106" i="43"/>
  <c r="K106" i="43"/>
  <c r="AH105" i="43"/>
  <c r="AG105" i="43"/>
  <c r="AE105" i="43"/>
  <c r="AD105" i="43"/>
  <c r="S105" i="43"/>
  <c r="P105" i="43"/>
  <c r="Q105" i="43" s="1"/>
  <c r="K105" i="43"/>
  <c r="AF105" i="43"/>
  <c r="AH104" i="43"/>
  <c r="AG104" i="43"/>
  <c r="AF104" i="43"/>
  <c r="AN104" i="43" s="1"/>
  <c r="AE104" i="43"/>
  <c r="AD104" i="43"/>
  <c r="S104" i="43"/>
  <c r="Q104" i="43"/>
  <c r="P104" i="43"/>
  <c r="K104" i="43"/>
  <c r="AH103" i="43"/>
  <c r="AG103" i="43"/>
  <c r="AE103" i="43"/>
  <c r="AD103" i="43"/>
  <c r="S103" i="43"/>
  <c r="P103" i="43"/>
  <c r="Q103" i="43" s="1"/>
  <c r="K103" i="43"/>
  <c r="AF103" i="43" s="1"/>
  <c r="AH102" i="43"/>
  <c r="AG102" i="43"/>
  <c r="AE102" i="43"/>
  <c r="AD102" i="43"/>
  <c r="S102" i="43"/>
  <c r="P102" i="43"/>
  <c r="Q102" i="43" s="1"/>
  <c r="K102" i="43"/>
  <c r="AF102" i="43" s="1"/>
  <c r="AN102" i="43" s="1"/>
  <c r="AH101" i="43"/>
  <c r="AG101" i="43"/>
  <c r="AE101" i="43"/>
  <c r="AD101" i="43"/>
  <c r="S101" i="43"/>
  <c r="P101" i="43"/>
  <c r="Q101" i="43"/>
  <c r="K101" i="43"/>
  <c r="AF101" i="43" s="1"/>
  <c r="AH100" i="43"/>
  <c r="AG100" i="43"/>
  <c r="AF100" i="43"/>
  <c r="AE100" i="43"/>
  <c r="X100" i="43" s="1"/>
  <c r="Y100" i="43" s="1"/>
  <c r="AA100" i="43" s="1"/>
  <c r="AD100" i="43"/>
  <c r="S100" i="43"/>
  <c r="Q100" i="43"/>
  <c r="P100" i="43"/>
  <c r="K100" i="43"/>
  <c r="AH99" i="43"/>
  <c r="AG99" i="43"/>
  <c r="AE99" i="43"/>
  <c r="AD99" i="43"/>
  <c r="S99" i="43"/>
  <c r="P99" i="43"/>
  <c r="Q99" i="43" s="1"/>
  <c r="K99" i="43"/>
  <c r="AF99" i="43" s="1"/>
  <c r="AN99" i="43" s="1"/>
  <c r="AH98" i="43"/>
  <c r="AG98" i="43"/>
  <c r="AE98" i="43"/>
  <c r="AD98" i="43"/>
  <c r="S98" i="43"/>
  <c r="N98" i="43"/>
  <c r="P98" i="43" s="1"/>
  <c r="Q98" i="43" s="1"/>
  <c r="K98" i="43"/>
  <c r="AF98" i="43" s="1"/>
  <c r="AH97" i="43"/>
  <c r="AG97" i="43"/>
  <c r="AF97" i="43"/>
  <c r="AE97" i="43"/>
  <c r="AD97" i="43"/>
  <c r="S97" i="43"/>
  <c r="Q97" i="43"/>
  <c r="P97" i="43"/>
  <c r="K97" i="43"/>
  <c r="AH96" i="43"/>
  <c r="AG96" i="43"/>
  <c r="AE96" i="43"/>
  <c r="AD96" i="43"/>
  <c r="S96" i="43"/>
  <c r="Q96" i="43"/>
  <c r="P96" i="43"/>
  <c r="K96" i="43"/>
  <c r="AF96" i="43"/>
  <c r="AH95" i="43"/>
  <c r="AG95" i="43"/>
  <c r="AF95" i="43"/>
  <c r="AJ95" i="43" s="1"/>
  <c r="AE95" i="43"/>
  <c r="AD95" i="43"/>
  <c r="S95" i="43"/>
  <c r="P95" i="43"/>
  <c r="K95" i="43"/>
  <c r="AH94" i="43"/>
  <c r="AG94" i="43"/>
  <c r="AE94" i="43"/>
  <c r="AD94" i="43"/>
  <c r="S94" i="43"/>
  <c r="Q94" i="43"/>
  <c r="P94" i="43"/>
  <c r="K94" i="43"/>
  <c r="AF94" i="43" s="1"/>
  <c r="AH93" i="43"/>
  <c r="AG93" i="43"/>
  <c r="AE93" i="43"/>
  <c r="AD93" i="43"/>
  <c r="S93" i="43"/>
  <c r="Q93" i="43"/>
  <c r="P93" i="43"/>
  <c r="L110" i="17" s="1"/>
  <c r="M110" i="17" s="1"/>
  <c r="N110" i="17" s="1"/>
  <c r="O110" i="17" s="1"/>
  <c r="K93" i="43"/>
  <c r="AF93" i="43" s="1"/>
  <c r="AH92" i="43"/>
  <c r="AG92" i="43"/>
  <c r="AE92" i="43"/>
  <c r="AD92" i="43"/>
  <c r="S92" i="43"/>
  <c r="Q92" i="43"/>
  <c r="P92" i="43"/>
  <c r="L108" i="17" s="1"/>
  <c r="K92" i="43"/>
  <c r="AF92" i="43" s="1"/>
  <c r="AH91" i="43"/>
  <c r="AG91" i="43"/>
  <c r="AF91" i="43"/>
  <c r="AE91" i="43"/>
  <c r="AD91" i="43"/>
  <c r="S91" i="43"/>
  <c r="P91" i="43"/>
  <c r="L106" i="17" s="1"/>
  <c r="L107" i="17" s="1"/>
  <c r="K91" i="43"/>
  <c r="AH90" i="43"/>
  <c r="AG90" i="43"/>
  <c r="AF90" i="43"/>
  <c r="AE90" i="43"/>
  <c r="AD90" i="43"/>
  <c r="S90" i="43"/>
  <c r="Q90" i="43"/>
  <c r="P90" i="43"/>
  <c r="L104" i="17" s="1"/>
  <c r="M104" i="17" s="1"/>
  <c r="N104" i="17" s="1"/>
  <c r="O104" i="17" s="1"/>
  <c r="K90" i="43"/>
  <c r="AH89" i="43"/>
  <c r="AG89" i="43"/>
  <c r="AE89" i="43"/>
  <c r="AD89" i="43"/>
  <c r="S89" i="43"/>
  <c r="P89" i="43"/>
  <c r="L102" i="17" s="1"/>
  <c r="K89" i="43"/>
  <c r="AF89" i="43"/>
  <c r="AH88" i="43"/>
  <c r="AG88" i="43"/>
  <c r="AE88" i="43"/>
  <c r="AD88" i="43"/>
  <c r="S88" i="43"/>
  <c r="P88" i="43"/>
  <c r="L100" i="17" s="1"/>
  <c r="L101" i="17" s="1"/>
  <c r="M101" i="17" s="1"/>
  <c r="N101" i="17" s="1"/>
  <c r="O101" i="17" s="1"/>
  <c r="P101" i="17" s="1"/>
  <c r="K88" i="43"/>
  <c r="AF88" i="43" s="1"/>
  <c r="AH87" i="43"/>
  <c r="AG87" i="43"/>
  <c r="AE87" i="43"/>
  <c r="AD87" i="43"/>
  <c r="S87" i="43"/>
  <c r="P87" i="43"/>
  <c r="L98" i="17" s="1"/>
  <c r="Q87" i="43"/>
  <c r="K87" i="43"/>
  <c r="AF87" i="43" s="1"/>
  <c r="AH86" i="43"/>
  <c r="AG86" i="43"/>
  <c r="AF86" i="43"/>
  <c r="AE86" i="43"/>
  <c r="AD86" i="43"/>
  <c r="S86" i="43"/>
  <c r="Q86" i="43"/>
  <c r="P86" i="43"/>
  <c r="L96" i="17" s="1"/>
  <c r="M96" i="17" s="1"/>
  <c r="N96" i="17" s="1"/>
  <c r="O96" i="17" s="1"/>
  <c r="K86" i="43"/>
  <c r="AH85" i="43"/>
  <c r="AG85" i="43"/>
  <c r="AE85" i="43"/>
  <c r="AD85" i="43"/>
  <c r="S85" i="43"/>
  <c r="P85" i="43"/>
  <c r="L94" i="17" s="1"/>
  <c r="K85" i="43"/>
  <c r="AF85" i="43"/>
  <c r="AH84" i="43"/>
  <c r="AG84" i="43"/>
  <c r="AE84" i="43"/>
  <c r="AD84" i="43"/>
  <c r="S84" i="43"/>
  <c r="P84" i="43"/>
  <c r="L259" i="17" s="1"/>
  <c r="L260" i="17" s="1"/>
  <c r="M260" i="17" s="1"/>
  <c r="K84" i="43"/>
  <c r="AF84" i="43" s="1"/>
  <c r="AH83" i="43"/>
  <c r="AG83" i="43"/>
  <c r="AE83" i="43"/>
  <c r="AD83" i="43"/>
  <c r="S83" i="43"/>
  <c r="P83" i="43"/>
  <c r="L257" i="17" s="1"/>
  <c r="L258" i="17" s="1"/>
  <c r="Q83" i="43"/>
  <c r="K83" i="43"/>
  <c r="AF83" i="43" s="1"/>
  <c r="AH82" i="43"/>
  <c r="AG82" i="43"/>
  <c r="AF82" i="43"/>
  <c r="AE82" i="43"/>
  <c r="AD82" i="43"/>
  <c r="S82" i="43"/>
  <c r="Q82" i="43"/>
  <c r="P82" i="43"/>
  <c r="L267" i="17" s="1"/>
  <c r="M267" i="17" s="1"/>
  <c r="N267" i="17" s="1"/>
  <c r="O267" i="17" s="1"/>
  <c r="K82" i="43"/>
  <c r="AH75" i="43"/>
  <c r="AG75" i="43"/>
  <c r="AF75" i="43"/>
  <c r="AJ75" i="43" s="1"/>
  <c r="AE75" i="43"/>
  <c r="AD75" i="43"/>
  <c r="S75" i="43"/>
  <c r="P75" i="43"/>
  <c r="Q75" i="43" s="1"/>
  <c r="AH74" i="43"/>
  <c r="AG74" i="43"/>
  <c r="AE74" i="43"/>
  <c r="AD74" i="43"/>
  <c r="S74" i="43"/>
  <c r="P74" i="43"/>
  <c r="Q74" i="43" s="1"/>
  <c r="K74" i="43"/>
  <c r="AF74" i="43"/>
  <c r="AH73" i="43"/>
  <c r="AG73" i="43"/>
  <c r="AE73" i="43"/>
  <c r="AD73" i="43"/>
  <c r="S73" i="43"/>
  <c r="N73" i="43"/>
  <c r="P73" i="43" s="1"/>
  <c r="Q73" i="43" s="1"/>
  <c r="K73" i="43"/>
  <c r="AF73" i="43" s="1"/>
  <c r="AH72" i="43"/>
  <c r="AG72" i="43"/>
  <c r="AE72" i="43"/>
  <c r="AD72" i="43"/>
  <c r="S72" i="43"/>
  <c r="P72" i="43"/>
  <c r="Q72" i="43" s="1"/>
  <c r="K72" i="43"/>
  <c r="AF72" i="43" s="1"/>
  <c r="AH71" i="43"/>
  <c r="AG71" i="43"/>
  <c r="AE71" i="43"/>
  <c r="AD71" i="43"/>
  <c r="S71" i="43"/>
  <c r="Q71" i="43"/>
  <c r="P71" i="43"/>
  <c r="K71" i="43"/>
  <c r="AF71" i="43" s="1"/>
  <c r="AH70" i="43"/>
  <c r="AG70" i="43"/>
  <c r="AE70" i="43"/>
  <c r="AD70" i="43"/>
  <c r="S70" i="43"/>
  <c r="P70" i="43"/>
  <c r="Q70" i="43" s="1"/>
  <c r="K70" i="43"/>
  <c r="AF70" i="43" s="1"/>
  <c r="AH69" i="43"/>
  <c r="AG69" i="43"/>
  <c r="AF69" i="43"/>
  <c r="AE69" i="43"/>
  <c r="AD69" i="43"/>
  <c r="S69" i="43"/>
  <c r="N69" i="43"/>
  <c r="P69" i="43" s="1"/>
  <c r="Q69" i="43" s="1"/>
  <c r="K69" i="43"/>
  <c r="AH68" i="43"/>
  <c r="AG68" i="43"/>
  <c r="AE68" i="43"/>
  <c r="AD68" i="43"/>
  <c r="S68" i="43"/>
  <c r="P68" i="43"/>
  <c r="Q68" i="43" s="1"/>
  <c r="K68" i="43"/>
  <c r="AF68" i="43" s="1"/>
  <c r="AH67" i="43"/>
  <c r="AG67" i="43"/>
  <c r="AE67" i="43"/>
  <c r="AD67" i="43"/>
  <c r="S67" i="43"/>
  <c r="Q67" i="43"/>
  <c r="P67" i="43"/>
  <c r="K67" i="43"/>
  <c r="AF67" i="43" s="1"/>
  <c r="AH66" i="43"/>
  <c r="AG66" i="43"/>
  <c r="AJ66" i="43"/>
  <c r="AF66" i="43"/>
  <c r="AE66" i="43"/>
  <c r="AD66" i="43"/>
  <c r="S66" i="43"/>
  <c r="P66" i="43"/>
  <c r="Q66" i="43" s="1"/>
  <c r="K66" i="43"/>
  <c r="AH65" i="43"/>
  <c r="AG65" i="43"/>
  <c r="AE65" i="43"/>
  <c r="AD65" i="43"/>
  <c r="S65" i="43"/>
  <c r="N65" i="43"/>
  <c r="P65" i="43"/>
  <c r="Q65" i="43" s="1"/>
  <c r="K65" i="43"/>
  <c r="AF65" i="43" s="1"/>
  <c r="AJ65" i="43" s="1"/>
  <c r="AH64" i="43"/>
  <c r="AG64" i="43"/>
  <c r="AF64" i="43"/>
  <c r="AE64" i="43"/>
  <c r="AD64" i="43"/>
  <c r="S64" i="43"/>
  <c r="P64" i="43"/>
  <c r="Q64" i="43" s="1"/>
  <c r="K64" i="43"/>
  <c r="AH63" i="43"/>
  <c r="AG63" i="43"/>
  <c r="AE63" i="43"/>
  <c r="AD63" i="43"/>
  <c r="S63" i="43"/>
  <c r="P63" i="43"/>
  <c r="Q63" i="43"/>
  <c r="K63" i="43"/>
  <c r="AF63" i="43"/>
  <c r="AN63" i="43" s="1"/>
  <c r="AH62" i="43"/>
  <c r="AG62" i="43"/>
  <c r="AF62" i="43"/>
  <c r="AE62" i="43"/>
  <c r="AD62" i="43"/>
  <c r="S62" i="43"/>
  <c r="Q62" i="43"/>
  <c r="P62" i="43"/>
  <c r="K62" i="43"/>
  <c r="AH61" i="43"/>
  <c r="AG61" i="43"/>
  <c r="AE61" i="43"/>
  <c r="AD61" i="43"/>
  <c r="S61" i="43"/>
  <c r="P61" i="43"/>
  <c r="Q61" i="43" s="1"/>
  <c r="K61" i="43"/>
  <c r="AF61" i="43" s="1"/>
  <c r="AH60" i="43"/>
  <c r="AG60" i="43"/>
  <c r="AE60" i="43"/>
  <c r="AD60" i="43"/>
  <c r="S60" i="43"/>
  <c r="P60" i="43"/>
  <c r="Q60" i="43"/>
  <c r="K60" i="43"/>
  <c r="AF60" i="43" s="1"/>
  <c r="AJ60" i="43" s="1"/>
  <c r="AH59" i="43"/>
  <c r="AG59" i="43"/>
  <c r="AE59" i="43"/>
  <c r="AD59" i="43"/>
  <c r="S59" i="43"/>
  <c r="P59" i="43"/>
  <c r="Q59" i="43"/>
  <c r="K59" i="43"/>
  <c r="AF59" i="43"/>
  <c r="AN59" i="43" s="1"/>
  <c r="AH58" i="43"/>
  <c r="AG58" i="43"/>
  <c r="AE58" i="43"/>
  <c r="AD58" i="43"/>
  <c r="S58" i="43"/>
  <c r="P58" i="43"/>
  <c r="Q58" i="43" s="1"/>
  <c r="N58" i="43"/>
  <c r="K58" i="43"/>
  <c r="AF58" i="43" s="1"/>
  <c r="AJ58" i="43" s="1"/>
  <c r="AH57" i="43"/>
  <c r="AG57" i="43"/>
  <c r="AE57" i="43"/>
  <c r="AD57" i="43"/>
  <c r="S57" i="43"/>
  <c r="N57" i="43"/>
  <c r="P57" i="43"/>
  <c r="Q57" i="43" s="1"/>
  <c r="K57" i="43"/>
  <c r="AF57" i="43" s="1"/>
  <c r="AP57" i="43" s="1"/>
  <c r="AH56" i="43"/>
  <c r="AG56" i="43"/>
  <c r="AE56" i="43"/>
  <c r="AD56" i="43"/>
  <c r="S56" i="43"/>
  <c r="P56" i="43"/>
  <c r="L45" i="17" s="1"/>
  <c r="K56" i="43"/>
  <c r="AF56" i="43" s="1"/>
  <c r="AH55" i="43"/>
  <c r="AG55" i="43"/>
  <c r="AE55" i="43"/>
  <c r="AD55" i="43"/>
  <c r="S55" i="43"/>
  <c r="Q55" i="43"/>
  <c r="P55" i="43"/>
  <c r="L196" i="17" s="1"/>
  <c r="K55" i="43"/>
  <c r="AF55" i="43" s="1"/>
  <c r="AH54" i="43"/>
  <c r="AG54" i="43"/>
  <c r="AE54" i="43"/>
  <c r="AD54" i="43"/>
  <c r="S54" i="43"/>
  <c r="N54" i="43"/>
  <c r="P54" i="43" s="1"/>
  <c r="Q54" i="43" s="1"/>
  <c r="K54" i="43"/>
  <c r="AF54" i="43"/>
  <c r="AH53" i="43"/>
  <c r="AG53" i="43"/>
  <c r="AE53" i="43"/>
  <c r="AD53" i="43"/>
  <c r="S53" i="43"/>
  <c r="Q53" i="43"/>
  <c r="P53" i="43"/>
  <c r="L42" i="17" s="1"/>
  <c r="L43" i="17" s="1"/>
  <c r="M43" i="17" s="1"/>
  <c r="K53" i="43"/>
  <c r="AF53" i="43" s="1"/>
  <c r="AH52" i="43"/>
  <c r="AG52" i="43"/>
  <c r="AE52" i="43"/>
  <c r="AD52" i="43"/>
  <c r="S52" i="43"/>
  <c r="P52" i="43"/>
  <c r="L40" i="17" s="1"/>
  <c r="L41" i="17" s="1"/>
  <c r="M41" i="17" s="1"/>
  <c r="Q52" i="43"/>
  <c r="K52" i="43"/>
  <c r="AF52" i="43"/>
  <c r="AH51" i="43"/>
  <c r="AG51" i="43"/>
  <c r="AF51" i="43"/>
  <c r="AE51" i="43"/>
  <c r="AD51" i="43"/>
  <c r="S51" i="43"/>
  <c r="P51" i="43"/>
  <c r="Q51" i="43" s="1"/>
  <c r="K51" i="43"/>
  <c r="AH50" i="43"/>
  <c r="AG50" i="43"/>
  <c r="AE50" i="43"/>
  <c r="AD50" i="43"/>
  <c r="S50" i="43"/>
  <c r="P50" i="43"/>
  <c r="Q50" i="43"/>
  <c r="K50" i="43"/>
  <c r="AF50" i="43"/>
  <c r="AH49" i="43"/>
  <c r="AG49" i="43"/>
  <c r="AE49" i="43"/>
  <c r="AD49" i="43"/>
  <c r="S49" i="43"/>
  <c r="P49" i="43"/>
  <c r="Q49" i="43" s="1"/>
  <c r="K49" i="43"/>
  <c r="AF49" i="43" s="1"/>
  <c r="AH48" i="43"/>
  <c r="AG48" i="43"/>
  <c r="AE48" i="43"/>
  <c r="AD48" i="43"/>
  <c r="S48" i="43"/>
  <c r="P48" i="43"/>
  <c r="L35" i="17" s="1"/>
  <c r="L36" i="17" s="1"/>
  <c r="M36" i="17" s="1"/>
  <c r="Q48" i="43"/>
  <c r="K48" i="43"/>
  <c r="AF48" i="43"/>
  <c r="AH47" i="43"/>
  <c r="AG47" i="43"/>
  <c r="AE47" i="43"/>
  <c r="AD47" i="43"/>
  <c r="S47" i="43"/>
  <c r="Q47" i="43"/>
  <c r="P47" i="43"/>
  <c r="K47" i="43"/>
  <c r="AF47" i="43" s="1"/>
  <c r="AH46" i="43"/>
  <c r="AG46" i="43"/>
  <c r="AE46" i="43"/>
  <c r="AD46" i="43"/>
  <c r="S46" i="43"/>
  <c r="N46" i="43"/>
  <c r="P46" i="43" s="1"/>
  <c r="K46" i="43"/>
  <c r="AF46" i="43"/>
  <c r="AH45" i="43"/>
  <c r="AG45" i="43"/>
  <c r="AE45" i="43"/>
  <c r="AD45" i="43"/>
  <c r="S45" i="43"/>
  <c r="Q45" i="43"/>
  <c r="P45" i="43"/>
  <c r="L33" i="17" s="1"/>
  <c r="K45" i="43"/>
  <c r="AF45" i="43" s="1"/>
  <c r="AH44" i="43"/>
  <c r="AG44" i="43"/>
  <c r="AE44" i="43"/>
  <c r="AD44" i="43"/>
  <c r="S44" i="43"/>
  <c r="P44" i="43"/>
  <c r="L194" i="17" s="1"/>
  <c r="L195" i="17" s="1"/>
  <c r="M195" i="17" s="1"/>
  <c r="K44" i="43"/>
  <c r="AF44" i="43"/>
  <c r="AJ44" i="43"/>
  <c r="AH43" i="43"/>
  <c r="AG43" i="43"/>
  <c r="AF43" i="43"/>
  <c r="AP43" i="43" s="1"/>
  <c r="AE43" i="43"/>
  <c r="AD43" i="43"/>
  <c r="S43" i="43"/>
  <c r="Q43" i="43"/>
  <c r="P43" i="43"/>
  <c r="L261" i="17" s="1"/>
  <c r="K43" i="43"/>
  <c r="AH42" i="43"/>
  <c r="AG42" i="43"/>
  <c r="AE42" i="43"/>
  <c r="AD42" i="43"/>
  <c r="S42" i="43"/>
  <c r="P42" i="43"/>
  <c r="L31" i="17" s="1"/>
  <c r="M31" i="17" s="1"/>
  <c r="N31" i="17" s="1"/>
  <c r="O31" i="17" s="1"/>
  <c r="K42" i="43"/>
  <c r="AF42" i="43"/>
  <c r="AJ42" i="43"/>
  <c r="AH41" i="43"/>
  <c r="AG41" i="43"/>
  <c r="AF41" i="43"/>
  <c r="AP41" i="43" s="1"/>
  <c r="AE41" i="43"/>
  <c r="AD41" i="43"/>
  <c r="S41" i="43"/>
  <c r="Q41" i="43"/>
  <c r="P41" i="43"/>
  <c r="L29" i="17" s="1"/>
  <c r="M29" i="17" s="1"/>
  <c r="N29" i="17" s="1"/>
  <c r="O29" i="17" s="1"/>
  <c r="K41" i="43"/>
  <c r="AH40" i="43"/>
  <c r="AG40" i="43"/>
  <c r="AE40" i="43"/>
  <c r="AD40" i="43"/>
  <c r="S40" i="43"/>
  <c r="P40" i="43"/>
  <c r="K40" i="43"/>
  <c r="AF40" i="43"/>
  <c r="AJ40" i="43"/>
  <c r="AH39" i="43"/>
  <c r="AG39" i="43"/>
  <c r="AF39" i="43"/>
  <c r="X39" i="43" s="1"/>
  <c r="Y39" i="43" s="1"/>
  <c r="AA39" i="43" s="1"/>
  <c r="AE39" i="43"/>
  <c r="AD39" i="43"/>
  <c r="S39" i="43"/>
  <c r="P39" i="43"/>
  <c r="L27" i="17" s="1"/>
  <c r="K39" i="43"/>
  <c r="AH38" i="43"/>
  <c r="AG38" i="43"/>
  <c r="AE38" i="43"/>
  <c r="AD38" i="43"/>
  <c r="S38" i="43"/>
  <c r="P38" i="43"/>
  <c r="L152" i="17" s="1"/>
  <c r="M152" i="17" s="1"/>
  <c r="N152" i="17" s="1"/>
  <c r="O152" i="17" s="1"/>
  <c r="Q38" i="43"/>
  <c r="K38" i="43"/>
  <c r="AF38" i="43"/>
  <c r="AJ38" i="43"/>
  <c r="AH37" i="43"/>
  <c r="AG37" i="43"/>
  <c r="AE37" i="43"/>
  <c r="AD37" i="43"/>
  <c r="S37" i="43"/>
  <c r="P37" i="43"/>
  <c r="N213" i="17" s="1"/>
  <c r="K37" i="43"/>
  <c r="AF37" i="43" s="1"/>
  <c r="X37" i="43" s="1"/>
  <c r="Y37" i="43" s="1"/>
  <c r="AA37" i="43" s="1"/>
  <c r="AH36" i="43"/>
  <c r="AG36" i="43"/>
  <c r="AE36" i="43"/>
  <c r="AD36" i="43"/>
  <c r="S36" i="43"/>
  <c r="P36" i="43"/>
  <c r="L289" i="17" s="1"/>
  <c r="L290" i="17" s="1"/>
  <c r="M290" i="17" s="1"/>
  <c r="Q36" i="43"/>
  <c r="K36" i="43"/>
  <c r="AF36" i="43"/>
  <c r="AJ36" i="43" s="1"/>
  <c r="AH35" i="43"/>
  <c r="AG35" i="43"/>
  <c r="AE35" i="43"/>
  <c r="AD35" i="43"/>
  <c r="S35" i="43"/>
  <c r="P35" i="43"/>
  <c r="K35" i="43"/>
  <c r="AF35" i="43" s="1"/>
  <c r="AH34" i="43"/>
  <c r="AG34" i="43"/>
  <c r="AE34" i="43"/>
  <c r="AD34" i="43"/>
  <c r="S34" i="43"/>
  <c r="P34" i="43"/>
  <c r="L287" i="17" s="1"/>
  <c r="M287" i="17" s="1"/>
  <c r="N287" i="17" s="1"/>
  <c r="O287" i="17" s="1"/>
  <c r="Q34" i="43"/>
  <c r="K34" i="43"/>
  <c r="AF34" i="43" s="1"/>
  <c r="AJ34" i="43" s="1"/>
  <c r="AH33" i="43"/>
  <c r="AG33" i="43"/>
  <c r="AE33" i="43"/>
  <c r="AD33" i="43"/>
  <c r="S33" i="43"/>
  <c r="Q33" i="43"/>
  <c r="P33" i="43"/>
  <c r="L187" i="17" s="1"/>
  <c r="K33" i="43"/>
  <c r="AF33" i="43" s="1"/>
  <c r="AH32" i="43"/>
  <c r="AG32" i="43"/>
  <c r="AE32" i="43"/>
  <c r="AD32" i="43"/>
  <c r="S32" i="43"/>
  <c r="P32" i="43"/>
  <c r="L25" i="17" s="1"/>
  <c r="K32" i="43"/>
  <c r="AF32" i="43"/>
  <c r="AJ32" i="43"/>
  <c r="AH31" i="43"/>
  <c r="AG31" i="43"/>
  <c r="AE31" i="43"/>
  <c r="AD31" i="43"/>
  <c r="R31" i="43" s="1"/>
  <c r="V31" i="43" s="1"/>
  <c r="S31" i="43"/>
  <c r="N31" i="43"/>
  <c r="P31" i="43" s="1"/>
  <c r="K31" i="43"/>
  <c r="AF31" i="43"/>
  <c r="AH30" i="43"/>
  <c r="AG30" i="43"/>
  <c r="AE30" i="43"/>
  <c r="AD30" i="43"/>
  <c r="X30" i="43" s="1"/>
  <c r="Y30" i="43" s="1"/>
  <c r="AA30" i="43" s="1"/>
  <c r="S30" i="43"/>
  <c r="P30" i="43"/>
  <c r="L23" i="17" s="1"/>
  <c r="M23" i="17" s="1"/>
  <c r="N23" i="17" s="1"/>
  <c r="O23" i="17" s="1"/>
  <c r="K30" i="43"/>
  <c r="AF30" i="43" s="1"/>
  <c r="AH29" i="43"/>
  <c r="AG29" i="43"/>
  <c r="AE29" i="43"/>
  <c r="AD29" i="43"/>
  <c r="S29" i="43"/>
  <c r="P29" i="43"/>
  <c r="N211" i="17" s="1"/>
  <c r="O211" i="17" s="1"/>
  <c r="Q29" i="43"/>
  <c r="K29" i="43"/>
  <c r="AF29" i="43" s="1"/>
  <c r="AH28" i="43"/>
  <c r="AG28" i="43"/>
  <c r="AF28" i="43"/>
  <c r="AE28" i="43"/>
  <c r="AD28" i="43"/>
  <c r="S28" i="43"/>
  <c r="Q28" i="43"/>
  <c r="P28" i="43"/>
  <c r="L21" i="17" s="1"/>
  <c r="M21" i="17" s="1"/>
  <c r="N21" i="17" s="1"/>
  <c r="O21" i="17" s="1"/>
  <c r="K28" i="43"/>
  <c r="AH27" i="43"/>
  <c r="AG27" i="43"/>
  <c r="AE27" i="43"/>
  <c r="AD27" i="43"/>
  <c r="S27" i="43"/>
  <c r="P27" i="43"/>
  <c r="K27" i="43"/>
  <c r="AF27" i="43"/>
  <c r="AH26" i="43"/>
  <c r="AG26" i="43"/>
  <c r="AE26" i="43"/>
  <c r="AD26" i="43"/>
  <c r="S26" i="43"/>
  <c r="P26" i="43"/>
  <c r="L19" i="17" s="1"/>
  <c r="L20" i="17" s="1"/>
  <c r="M20" i="17" s="1"/>
  <c r="K26" i="43"/>
  <c r="AF26" i="43" s="1"/>
  <c r="AH25" i="43"/>
  <c r="AG25" i="43"/>
  <c r="AE25" i="43"/>
  <c r="AD25" i="43"/>
  <c r="S25" i="43"/>
  <c r="P25" i="43"/>
  <c r="L284" i="17" s="1"/>
  <c r="L285" i="17" s="1"/>
  <c r="M285" i="17" s="1"/>
  <c r="Q25" i="43"/>
  <c r="K25" i="43"/>
  <c r="AF25" i="43" s="1"/>
  <c r="AH24" i="43"/>
  <c r="AG24" i="43"/>
  <c r="AF24" i="43"/>
  <c r="AE24" i="43"/>
  <c r="AD24" i="43"/>
  <c r="S24" i="43"/>
  <c r="Q24" i="43"/>
  <c r="P24" i="43"/>
  <c r="N209" i="17" s="1"/>
  <c r="O209" i="17" s="1"/>
  <c r="K24" i="43"/>
  <c r="AH23" i="43"/>
  <c r="AG23" i="43"/>
  <c r="AE23" i="43"/>
  <c r="AD23" i="43"/>
  <c r="S23" i="43"/>
  <c r="P23" i="43"/>
  <c r="K23" i="43"/>
  <c r="AF23" i="43"/>
  <c r="AH22" i="43"/>
  <c r="AG22" i="43"/>
  <c r="AE22" i="43"/>
  <c r="AD22" i="43"/>
  <c r="S22" i="43"/>
  <c r="P22" i="43"/>
  <c r="L296" i="17" s="1"/>
  <c r="M296" i="17" s="1"/>
  <c r="N296" i="17" s="1"/>
  <c r="O296" i="17" s="1"/>
  <c r="K22" i="43"/>
  <c r="AF22" i="43" s="1"/>
  <c r="AH21" i="43"/>
  <c r="AG21" i="43"/>
  <c r="AP21" i="43"/>
  <c r="AE21" i="43"/>
  <c r="AD21" i="43"/>
  <c r="S21" i="43"/>
  <c r="P21" i="43"/>
  <c r="L294" i="17" s="1"/>
  <c r="M294" i="17" s="1"/>
  <c r="N294" i="17" s="1"/>
  <c r="O294" i="17" s="1"/>
  <c r="Q21" i="43"/>
  <c r="K21" i="43"/>
  <c r="AF21" i="43"/>
  <c r="AH20" i="43"/>
  <c r="AG20" i="43"/>
  <c r="AE20" i="43"/>
  <c r="AD20" i="43"/>
  <c r="S20" i="43"/>
  <c r="P20" i="43"/>
  <c r="Q20" i="43"/>
  <c r="K20" i="43"/>
  <c r="AF20" i="43" s="1"/>
  <c r="AP20" i="43" s="1"/>
  <c r="AH19" i="43"/>
  <c r="AG19" i="43"/>
  <c r="AE19" i="43"/>
  <c r="AD19" i="43"/>
  <c r="S19" i="43"/>
  <c r="P19" i="43"/>
  <c r="L279" i="17" s="1"/>
  <c r="M279" i="17" s="1"/>
  <c r="N279" i="17" s="1"/>
  <c r="O279" i="17" s="1"/>
  <c r="Q19" i="43"/>
  <c r="K19" i="43"/>
  <c r="AF19" i="43" s="1"/>
  <c r="AH18" i="43"/>
  <c r="AG18" i="43"/>
  <c r="AE18" i="43"/>
  <c r="AD18" i="43"/>
  <c r="S18" i="43"/>
  <c r="P18" i="43"/>
  <c r="L13" i="17" s="1"/>
  <c r="K18" i="43"/>
  <c r="AF18" i="43" s="1"/>
  <c r="AH17" i="43"/>
  <c r="AG17" i="43"/>
  <c r="AE17" i="43"/>
  <c r="AD17" i="43"/>
  <c r="X17" i="43" s="1"/>
  <c r="Y17" i="43" s="1"/>
  <c r="AA17" i="43" s="1"/>
  <c r="S17" i="43"/>
  <c r="P17" i="43"/>
  <c r="L245" i="17" s="1"/>
  <c r="M245" i="17" s="1"/>
  <c r="N245" i="17" s="1"/>
  <c r="O245" i="17" s="1"/>
  <c r="Q17" i="43"/>
  <c r="K17" i="43"/>
  <c r="AF17" i="43"/>
  <c r="AP17" i="43" s="1"/>
  <c r="AH16" i="43"/>
  <c r="AG16" i="43"/>
  <c r="AE16" i="43"/>
  <c r="AD16" i="43"/>
  <c r="S16" i="43"/>
  <c r="P16" i="43"/>
  <c r="L243" i="17" s="1"/>
  <c r="L244" i="17" s="1"/>
  <c r="K16" i="43"/>
  <c r="AF16" i="43" s="1"/>
  <c r="AH15" i="43"/>
  <c r="AG15" i="43"/>
  <c r="AE15" i="43"/>
  <c r="AD15" i="43"/>
  <c r="S15" i="43"/>
  <c r="P15" i="43"/>
  <c r="Q15" i="43"/>
  <c r="K15" i="43"/>
  <c r="AF15" i="43" s="1"/>
  <c r="AH14" i="43"/>
  <c r="AG14" i="43"/>
  <c r="AE14" i="43"/>
  <c r="AD14" i="43"/>
  <c r="S14" i="43"/>
  <c r="Q14" i="43"/>
  <c r="P14" i="43"/>
  <c r="K14" i="43"/>
  <c r="AF14" i="43" s="1"/>
  <c r="X11" i="43"/>
  <c r="AA11" i="43" s="1"/>
  <c r="K143" i="42"/>
  <c r="L143" i="42" s="1"/>
  <c r="L151" i="39"/>
  <c r="M151" i="39" s="1"/>
  <c r="N151" i="39" s="1"/>
  <c r="I151" i="39"/>
  <c r="J151" i="39" s="1"/>
  <c r="L153" i="39"/>
  <c r="M153" i="39" s="1"/>
  <c r="N153" i="39" s="1"/>
  <c r="I153" i="39"/>
  <c r="J153" i="39" s="1"/>
  <c r="L158" i="39"/>
  <c r="M158" i="39" s="1"/>
  <c r="N158" i="39" s="1"/>
  <c r="I158" i="39"/>
  <c r="J158" i="39" s="1"/>
  <c r="I268" i="39"/>
  <c r="J268" i="39" s="1"/>
  <c r="L149" i="39"/>
  <c r="M149" i="39" s="1"/>
  <c r="N149" i="39" s="1"/>
  <c r="I149" i="39"/>
  <c r="J149" i="39" s="1"/>
  <c r="L152" i="39"/>
  <c r="M152" i="39" s="1"/>
  <c r="N152" i="39" s="1"/>
  <c r="I152" i="39"/>
  <c r="J152" i="39" s="1"/>
  <c r="L156" i="39"/>
  <c r="M156" i="39" s="1"/>
  <c r="N156" i="39" s="1"/>
  <c r="I156" i="39"/>
  <c r="J156" i="39" s="1"/>
  <c r="I392" i="39"/>
  <c r="J392" i="39" s="1"/>
  <c r="I447" i="39"/>
  <c r="J447" i="39" s="1"/>
  <c r="I446" i="39"/>
  <c r="J446" i="39" s="1"/>
  <c r="I269" i="39"/>
  <c r="J269" i="39" s="1"/>
  <c r="I270" i="39"/>
  <c r="J270" i="39" s="1"/>
  <c r="I271" i="39"/>
  <c r="J271" i="39" s="1"/>
  <c r="I391" i="39"/>
  <c r="J391" i="39" s="1"/>
  <c r="I273" i="39"/>
  <c r="J273" i="39" s="1"/>
  <c r="I272" i="39"/>
  <c r="J272" i="39" s="1"/>
  <c r="I448" i="39"/>
  <c r="J448" i="39" s="1"/>
  <c r="L150" i="39"/>
  <c r="M150" i="39" s="1"/>
  <c r="N150" i="39" s="1"/>
  <c r="I150" i="39"/>
  <c r="J150" i="39" s="1"/>
  <c r="L155" i="39"/>
  <c r="M155" i="39" s="1"/>
  <c r="N155" i="39" s="1"/>
  <c r="I155" i="39"/>
  <c r="J155" i="39" s="1"/>
  <c r="L157" i="39"/>
  <c r="M157" i="39" s="1"/>
  <c r="N157" i="39" s="1"/>
  <c r="I157" i="39"/>
  <c r="J157" i="39" s="1"/>
  <c r="I360" i="39"/>
  <c r="J360" i="39" s="1"/>
  <c r="L146" i="39"/>
  <c r="M146" i="39" s="1"/>
  <c r="N146" i="39" s="1"/>
  <c r="I146" i="39"/>
  <c r="J146" i="39" s="1"/>
  <c r="L121" i="39"/>
  <c r="M121" i="39" s="1"/>
  <c r="N121" i="39" s="1"/>
  <c r="I121" i="39"/>
  <c r="J121" i="39" s="1"/>
  <c r="I390" i="39"/>
  <c r="J390" i="39" s="1"/>
  <c r="I266" i="39"/>
  <c r="J266" i="39" s="1"/>
  <c r="I267" i="39"/>
  <c r="J267" i="39" s="1"/>
  <c r="K44" i="42"/>
  <c r="L44" i="42" s="1"/>
  <c r="K94" i="42"/>
  <c r="L94" i="42" s="1"/>
  <c r="M113" i="42"/>
  <c r="N113" i="42" s="1"/>
  <c r="O113" i="42" s="1"/>
  <c r="P113" i="42" s="1"/>
  <c r="K113" i="42"/>
  <c r="L113" i="42" s="1"/>
  <c r="L174" i="17"/>
  <c r="M174" i="17" s="1"/>
  <c r="N174" i="17" s="1"/>
  <c r="O174" i="17" s="1"/>
  <c r="L172" i="17"/>
  <c r="N3" i="42"/>
  <c r="N4" i="42"/>
  <c r="J79" i="42" s="1"/>
  <c r="N5" i="42"/>
  <c r="N2" i="42"/>
  <c r="L3" i="39"/>
  <c r="L4" i="39"/>
  <c r="L5" i="39"/>
  <c r="I264" i="39"/>
  <c r="J264" i="39" s="1"/>
  <c r="L145" i="39"/>
  <c r="M145" i="39" s="1"/>
  <c r="N145" i="39" s="1"/>
  <c r="I145" i="39"/>
  <c r="J145" i="39" s="1"/>
  <c r="L144" i="39"/>
  <c r="M144" i="39" s="1"/>
  <c r="N144" i="39" s="1"/>
  <c r="I144" i="39"/>
  <c r="J144" i="39" s="1"/>
  <c r="L147" i="39"/>
  <c r="M147" i="39" s="1"/>
  <c r="N147" i="39" s="1"/>
  <c r="I147" i="39"/>
  <c r="J147" i="39" s="1"/>
  <c r="I445" i="39"/>
  <c r="J445" i="39" s="1"/>
  <c r="I389" i="39"/>
  <c r="J389" i="39" s="1"/>
  <c r="I265" i="39"/>
  <c r="J265" i="39" s="1"/>
  <c r="I263" i="39"/>
  <c r="J263" i="39" s="1"/>
  <c r="I444" i="39"/>
  <c r="J444" i="39" s="1"/>
  <c r="K142" i="42"/>
  <c r="L142" i="42" s="1"/>
  <c r="I354" i="39"/>
  <c r="J354" i="39" s="1"/>
  <c r="L221" i="17"/>
  <c r="L190" i="17"/>
  <c r="L171" i="17"/>
  <c r="M171" i="17" s="1"/>
  <c r="L121" i="17"/>
  <c r="M121" i="17" s="1"/>
  <c r="N121" i="17" s="1"/>
  <c r="O121" i="17" s="1"/>
  <c r="L54" i="17"/>
  <c r="M54" i="17" s="1"/>
  <c r="N54" i="17" s="1"/>
  <c r="O54" i="17" s="1"/>
  <c r="I353" i="39"/>
  <c r="J353" i="39" s="1"/>
  <c r="J221" i="17"/>
  <c r="K221" i="17" s="1"/>
  <c r="P221" i="17" s="1"/>
  <c r="J190" i="17"/>
  <c r="K190" i="17" s="1"/>
  <c r="P190" i="17" s="1"/>
  <c r="I352" i="39"/>
  <c r="J352" i="39" s="1"/>
  <c r="L148" i="39"/>
  <c r="M148" i="39" s="1"/>
  <c r="N148" i="39" s="1"/>
  <c r="I148" i="39"/>
  <c r="J148" i="39" s="1"/>
  <c r="I262" i="39"/>
  <c r="J262" i="39" s="1"/>
  <c r="I261" i="39"/>
  <c r="J261" i="39" s="1"/>
  <c r="I260" i="39"/>
  <c r="J260" i="39" s="1"/>
  <c r="K141" i="42"/>
  <c r="L141" i="42" s="1"/>
  <c r="K112" i="42"/>
  <c r="L112" i="42" s="1"/>
  <c r="I259" i="39"/>
  <c r="J259" i="39" s="1"/>
  <c r="I388" i="39"/>
  <c r="J388" i="39" s="1"/>
  <c r="I387" i="39"/>
  <c r="J387" i="39" s="1"/>
  <c r="I258" i="39"/>
  <c r="J258" i="39" s="1"/>
  <c r="L140" i="39"/>
  <c r="M140" i="39" s="1"/>
  <c r="N140" i="39" s="1"/>
  <c r="I140" i="39"/>
  <c r="J140" i="39" s="1"/>
  <c r="L137" i="39"/>
  <c r="M137" i="39" s="1"/>
  <c r="N137" i="39" s="1"/>
  <c r="I137" i="39"/>
  <c r="J137" i="39" s="1"/>
  <c r="L143" i="39"/>
  <c r="M143" i="39" s="1"/>
  <c r="N143" i="39" s="1"/>
  <c r="I143" i="39"/>
  <c r="J143" i="39" s="1"/>
  <c r="L142" i="39"/>
  <c r="M142" i="39" s="1"/>
  <c r="N142" i="39" s="1"/>
  <c r="I142" i="39"/>
  <c r="J142" i="39" s="1"/>
  <c r="L134" i="39"/>
  <c r="M134" i="39" s="1"/>
  <c r="N134" i="39" s="1"/>
  <c r="I134" i="39"/>
  <c r="J134" i="39" s="1"/>
  <c r="I255" i="39"/>
  <c r="J255" i="39" s="1"/>
  <c r="K31" i="42"/>
  <c r="L31" i="42" s="1"/>
  <c r="K32" i="42"/>
  <c r="L32" i="42" s="1"/>
  <c r="K33" i="42"/>
  <c r="L33" i="42" s="1"/>
  <c r="K34" i="42"/>
  <c r="L34" i="42" s="1"/>
  <c r="K35" i="42"/>
  <c r="L35" i="42" s="1"/>
  <c r="K36" i="42"/>
  <c r="L36" i="42" s="1"/>
  <c r="K37" i="42"/>
  <c r="L37" i="42" s="1"/>
  <c r="K38" i="42"/>
  <c r="L38" i="42" s="1"/>
  <c r="K39" i="42"/>
  <c r="L39" i="42" s="1"/>
  <c r="K40" i="42"/>
  <c r="L40" i="42" s="1"/>
  <c r="K41" i="42"/>
  <c r="L41" i="42" s="1"/>
  <c r="K42" i="42"/>
  <c r="L42" i="42" s="1"/>
  <c r="K43" i="42"/>
  <c r="L43" i="42" s="1"/>
  <c r="M93" i="42"/>
  <c r="N93" i="42" s="1"/>
  <c r="O93" i="42" s="1"/>
  <c r="P93" i="42" s="1"/>
  <c r="K93" i="42"/>
  <c r="L93" i="42" s="1"/>
  <c r="K140" i="42"/>
  <c r="L140" i="42" s="1"/>
  <c r="K139" i="42"/>
  <c r="L139" i="42" s="1"/>
  <c r="K138" i="42"/>
  <c r="L138" i="42" s="1"/>
  <c r="K137" i="42"/>
  <c r="L137" i="42" s="1"/>
  <c r="Q137" i="42" s="1"/>
  <c r="R137" i="42" s="1"/>
  <c r="S137" i="42" s="1"/>
  <c r="T137" i="42" s="1"/>
  <c r="K136" i="42"/>
  <c r="L136" i="42" s="1"/>
  <c r="L266" i="17"/>
  <c r="M266" i="17" s="1"/>
  <c r="N266" i="17" s="1"/>
  <c r="O266" i="17" s="1"/>
  <c r="I351" i="39"/>
  <c r="J351" i="39" s="1"/>
  <c r="L139" i="39"/>
  <c r="M139" i="39" s="1"/>
  <c r="N139" i="39" s="1"/>
  <c r="I139" i="39"/>
  <c r="J139" i="39" s="1"/>
  <c r="L136" i="39"/>
  <c r="M136" i="39" s="1"/>
  <c r="N136" i="39" s="1"/>
  <c r="L135" i="39"/>
  <c r="M135" i="39" s="1"/>
  <c r="N135" i="39" s="1"/>
  <c r="L133" i="39"/>
  <c r="M133" i="39" s="1"/>
  <c r="N133" i="39" s="1"/>
  <c r="L141" i="39"/>
  <c r="M141" i="39" s="1"/>
  <c r="N141" i="39" s="1"/>
  <c r="L138" i="39"/>
  <c r="M138" i="39" s="1"/>
  <c r="N138" i="39" s="1"/>
  <c r="I136" i="39"/>
  <c r="J136" i="39" s="1"/>
  <c r="I135" i="39"/>
  <c r="J135" i="39" s="1"/>
  <c r="I133" i="39"/>
  <c r="J133" i="39" s="1"/>
  <c r="I141" i="39"/>
  <c r="J141" i="39" s="1"/>
  <c r="I114" i="39"/>
  <c r="J114" i="39" s="1"/>
  <c r="I116" i="39"/>
  <c r="J116" i="39" s="1"/>
  <c r="O116" i="39" s="1"/>
  <c r="I118" i="39"/>
  <c r="J118" i="39" s="1"/>
  <c r="I119" i="39"/>
  <c r="J119" i="39" s="1"/>
  <c r="I120" i="39"/>
  <c r="J120" i="39" s="1"/>
  <c r="I123" i="39"/>
  <c r="J123" i="39" s="1"/>
  <c r="I122" i="39"/>
  <c r="J122" i="39" s="1"/>
  <c r="I124" i="39"/>
  <c r="J124" i="39" s="1"/>
  <c r="I125" i="39"/>
  <c r="J125" i="39" s="1"/>
  <c r="I127" i="39"/>
  <c r="J127" i="39" s="1"/>
  <c r="I128" i="39"/>
  <c r="J128" i="39" s="1"/>
  <c r="I126" i="39"/>
  <c r="J126" i="39" s="1"/>
  <c r="I130" i="39"/>
  <c r="J130" i="39" s="1"/>
  <c r="I132" i="39"/>
  <c r="J132" i="39" s="1"/>
  <c r="I131" i="39"/>
  <c r="J131" i="39" s="1"/>
  <c r="I129" i="39"/>
  <c r="J129" i="39" s="1"/>
  <c r="I138" i="39"/>
  <c r="J138" i="39" s="1"/>
  <c r="I443" i="39"/>
  <c r="J443" i="39" s="1"/>
  <c r="I386" i="39"/>
  <c r="J386" i="39" s="1"/>
  <c r="K385" i="39"/>
  <c r="L385" i="39" s="1"/>
  <c r="M385" i="39" s="1"/>
  <c r="N385" i="39" s="1"/>
  <c r="I385" i="39"/>
  <c r="J385" i="39" s="1"/>
  <c r="B385" i="39"/>
  <c r="I384" i="39"/>
  <c r="J384" i="39" s="1"/>
  <c r="I256" i="39"/>
  <c r="J256" i="39" s="1"/>
  <c r="I257" i="39"/>
  <c r="J257" i="39" s="1"/>
  <c r="K254" i="39"/>
  <c r="L254" i="39" s="1"/>
  <c r="M254" i="39" s="1"/>
  <c r="N254" i="39" s="1"/>
  <c r="I254" i="39"/>
  <c r="J254" i="39" s="1"/>
  <c r="B254" i="39"/>
  <c r="I253" i="39"/>
  <c r="J253" i="39" s="1"/>
  <c r="I252" i="39"/>
  <c r="J252" i="39" s="1"/>
  <c r="I251" i="39"/>
  <c r="J251" i="39" s="1"/>
  <c r="I249" i="39"/>
  <c r="J249" i="39" s="1"/>
  <c r="I250" i="39"/>
  <c r="J250" i="39" s="1"/>
  <c r="I89" i="39"/>
  <c r="I90" i="39"/>
  <c r="I99" i="39"/>
  <c r="I102" i="39"/>
  <c r="I103" i="39"/>
  <c r="I104" i="39"/>
  <c r="I105" i="39"/>
  <c r="I109" i="39"/>
  <c r="I110" i="39"/>
  <c r="I111" i="39"/>
  <c r="I112" i="39"/>
  <c r="I117" i="39"/>
  <c r="I435" i="39"/>
  <c r="J435" i="39" s="1"/>
  <c r="I436" i="39"/>
  <c r="J436" i="39" s="1"/>
  <c r="I437" i="39"/>
  <c r="J437" i="39" s="1"/>
  <c r="O437" i="39" s="1"/>
  <c r="I438" i="39"/>
  <c r="J438" i="39" s="1"/>
  <c r="K110" i="42"/>
  <c r="L110" i="42" s="1"/>
  <c r="L219" i="17"/>
  <c r="J219" i="17"/>
  <c r="K219" i="17" s="1"/>
  <c r="P219" i="17" s="1"/>
  <c r="J218" i="17"/>
  <c r="J278" i="17"/>
  <c r="K278" i="17" s="1"/>
  <c r="P278" i="17" s="1"/>
  <c r="Q278" i="17" s="1"/>
  <c r="R278" i="17" s="1"/>
  <c r="S278" i="17" s="1"/>
  <c r="J217" i="17"/>
  <c r="K217" i="17" s="1"/>
  <c r="P217" i="17" s="1"/>
  <c r="J216" i="17"/>
  <c r="K216" i="17" s="1"/>
  <c r="P216" i="17" s="1"/>
  <c r="J215" i="17"/>
  <c r="K215" i="17" s="1"/>
  <c r="P215" i="17" s="1"/>
  <c r="J276" i="17"/>
  <c r="K276" i="17" s="1"/>
  <c r="P276" i="17" s="1"/>
  <c r="J17" i="17"/>
  <c r="J207" i="17"/>
  <c r="K207" i="17" s="1"/>
  <c r="P207" i="17" s="1"/>
  <c r="J206" i="17"/>
  <c r="K206" i="17" s="1"/>
  <c r="P206" i="17" s="1"/>
  <c r="J204" i="17"/>
  <c r="K204" i="17" s="1"/>
  <c r="P204" i="17" s="1"/>
  <c r="J15" i="17"/>
  <c r="K350" i="39"/>
  <c r="L350" i="39" s="1"/>
  <c r="M350" i="39" s="1"/>
  <c r="N350" i="39" s="1"/>
  <c r="I350" i="39"/>
  <c r="J350" i="39" s="1"/>
  <c r="M92" i="42"/>
  <c r="N92" i="42" s="1"/>
  <c r="O92" i="42" s="1"/>
  <c r="P92" i="42" s="1"/>
  <c r="K92" i="42"/>
  <c r="L92" i="42" s="1"/>
  <c r="L129" i="39"/>
  <c r="M129" i="39" s="1"/>
  <c r="N129" i="39" s="1"/>
  <c r="L131" i="39"/>
  <c r="M131" i="39" s="1"/>
  <c r="N131" i="39" s="1"/>
  <c r="L132" i="39"/>
  <c r="M132" i="39" s="1"/>
  <c r="N132" i="39" s="1"/>
  <c r="L130" i="39"/>
  <c r="M130" i="39" s="1"/>
  <c r="N130" i="39" s="1"/>
  <c r="K90" i="42"/>
  <c r="L90" i="42" s="1"/>
  <c r="K91" i="42"/>
  <c r="L91" i="42" s="1"/>
  <c r="L126" i="39"/>
  <c r="M126" i="39" s="1"/>
  <c r="N126" i="39" s="1"/>
  <c r="L128" i="39"/>
  <c r="M128" i="39" s="1"/>
  <c r="N128" i="39" s="1"/>
  <c r="L127" i="39"/>
  <c r="M127" i="39" s="1"/>
  <c r="N127" i="39" s="1"/>
  <c r="I442" i="39"/>
  <c r="J442" i="39" s="1"/>
  <c r="I248" i="39"/>
  <c r="J248" i="39" s="1"/>
  <c r="I246" i="39"/>
  <c r="J246" i="39" s="1"/>
  <c r="I247" i="39"/>
  <c r="J247" i="39" s="1"/>
  <c r="I383" i="39"/>
  <c r="J383" i="39" s="1"/>
  <c r="K135" i="42"/>
  <c r="L135" i="42" s="1"/>
  <c r="I441" i="39"/>
  <c r="J441" i="39" s="1"/>
  <c r="I440" i="39"/>
  <c r="J440" i="39" s="1"/>
  <c r="I439" i="39"/>
  <c r="J439" i="39" s="1"/>
  <c r="I434" i="39"/>
  <c r="J434" i="39" s="1"/>
  <c r="I433" i="39"/>
  <c r="J433" i="39" s="1"/>
  <c r="I432" i="39"/>
  <c r="J432" i="39" s="1"/>
  <c r="I431" i="39"/>
  <c r="J431" i="39" s="1"/>
  <c r="I430" i="39"/>
  <c r="J430" i="39" s="1"/>
  <c r="I429" i="39"/>
  <c r="J429" i="39" s="1"/>
  <c r="I428" i="39"/>
  <c r="J428" i="39" s="1"/>
  <c r="I427" i="39"/>
  <c r="J427" i="39" s="1"/>
  <c r="I426" i="39"/>
  <c r="J426" i="39" s="1"/>
  <c r="I425" i="39"/>
  <c r="J425" i="39" s="1"/>
  <c r="I424" i="39"/>
  <c r="J424" i="39" s="1"/>
  <c r="I423" i="39"/>
  <c r="J423" i="39" s="1"/>
  <c r="I422" i="39"/>
  <c r="J422" i="39" s="1"/>
  <c r="I421" i="39"/>
  <c r="J421" i="39" s="1"/>
  <c r="I420" i="39"/>
  <c r="J420" i="39" s="1"/>
  <c r="I419" i="39"/>
  <c r="J419" i="39" s="1"/>
  <c r="I418" i="39"/>
  <c r="J418" i="39" s="1"/>
  <c r="I417" i="39"/>
  <c r="J417" i="39" s="1"/>
  <c r="I416" i="39"/>
  <c r="J416" i="39" s="1"/>
  <c r="I415" i="39"/>
  <c r="J415" i="39" s="1"/>
  <c r="I414" i="39"/>
  <c r="J414" i="39" s="1"/>
  <c r="I413" i="39"/>
  <c r="J413" i="39" s="1"/>
  <c r="I412" i="39"/>
  <c r="J412" i="39" s="1"/>
  <c r="I411" i="39"/>
  <c r="J411" i="39" s="1"/>
  <c r="I410" i="39"/>
  <c r="J410" i="39" s="1"/>
  <c r="I409" i="39"/>
  <c r="J409" i="39" s="1"/>
  <c r="I242" i="39"/>
  <c r="J242" i="39" s="1"/>
  <c r="I243" i="39"/>
  <c r="J243" i="39" s="1"/>
  <c r="I244" i="39"/>
  <c r="J244" i="39" s="1"/>
  <c r="I245" i="39"/>
  <c r="J245" i="39" s="1"/>
  <c r="I240" i="39"/>
  <c r="J240" i="39" s="1"/>
  <c r="I239" i="39"/>
  <c r="J239" i="39" s="1"/>
  <c r="I241" i="39"/>
  <c r="J241" i="39" s="1"/>
  <c r="I237" i="39"/>
  <c r="J237" i="39" s="1"/>
  <c r="I238" i="39"/>
  <c r="J238" i="39" s="1"/>
  <c r="I236" i="39"/>
  <c r="J236" i="39" s="1"/>
  <c r="I233" i="39"/>
  <c r="J233" i="39" s="1"/>
  <c r="I235" i="39"/>
  <c r="J235" i="39" s="1"/>
  <c r="I234" i="39"/>
  <c r="J234" i="39" s="1"/>
  <c r="I232" i="39"/>
  <c r="J232" i="39" s="1"/>
  <c r="I231" i="39"/>
  <c r="J231" i="39" s="1"/>
  <c r="I230" i="39"/>
  <c r="J230" i="39" s="1"/>
  <c r="I229" i="39"/>
  <c r="J229" i="39" s="1"/>
  <c r="I228" i="39"/>
  <c r="J228" i="39" s="1"/>
  <c r="I226" i="39"/>
  <c r="J226" i="39" s="1"/>
  <c r="I225" i="39"/>
  <c r="J225" i="39" s="1"/>
  <c r="I227" i="39"/>
  <c r="J227" i="39" s="1"/>
  <c r="I224" i="39"/>
  <c r="J224" i="39" s="1"/>
  <c r="I223" i="39"/>
  <c r="J223" i="39" s="1"/>
  <c r="I222" i="39"/>
  <c r="J222" i="39" s="1"/>
  <c r="I221" i="39"/>
  <c r="J221" i="39" s="1"/>
  <c r="I220" i="39"/>
  <c r="J220" i="39" s="1"/>
  <c r="I219" i="39"/>
  <c r="J219" i="39" s="1"/>
  <c r="I218" i="39"/>
  <c r="J218" i="39" s="1"/>
  <c r="I217" i="39"/>
  <c r="J217" i="39" s="1"/>
  <c r="I216" i="39"/>
  <c r="J216" i="39" s="1"/>
  <c r="I215" i="39"/>
  <c r="J215" i="39" s="1"/>
  <c r="I214" i="39"/>
  <c r="J214" i="39" s="1"/>
  <c r="I213" i="39"/>
  <c r="J213" i="39" s="1"/>
  <c r="I212" i="39"/>
  <c r="J212" i="39" s="1"/>
  <c r="I211" i="39"/>
  <c r="J211" i="39" s="1"/>
  <c r="I210" i="39"/>
  <c r="J210" i="39" s="1"/>
  <c r="I209" i="39"/>
  <c r="J209" i="39" s="1"/>
  <c r="I208" i="39"/>
  <c r="J208" i="39" s="1"/>
  <c r="I207" i="39"/>
  <c r="J207" i="39" s="1"/>
  <c r="I206" i="39"/>
  <c r="J206" i="39" s="1"/>
  <c r="I205" i="39"/>
  <c r="J205" i="39" s="1"/>
  <c r="I204" i="39"/>
  <c r="J204" i="39" s="1"/>
  <c r="I203" i="39"/>
  <c r="J203" i="39" s="1"/>
  <c r="I202" i="39"/>
  <c r="J202" i="39" s="1"/>
  <c r="I201" i="39"/>
  <c r="J201" i="39" s="1"/>
  <c r="I200" i="39"/>
  <c r="J200" i="39" s="1"/>
  <c r="I199" i="39"/>
  <c r="J199" i="39" s="1"/>
  <c r="I198" i="39"/>
  <c r="J198" i="39" s="1"/>
  <c r="I197" i="39"/>
  <c r="J197" i="39" s="1"/>
  <c r="I196" i="39"/>
  <c r="J196" i="39" s="1"/>
  <c r="I195" i="39"/>
  <c r="J195" i="39" s="1"/>
  <c r="I382" i="39"/>
  <c r="J382" i="39" s="1"/>
  <c r="I381" i="39"/>
  <c r="J381" i="39" s="1"/>
  <c r="I380" i="39"/>
  <c r="J380" i="39" s="1"/>
  <c r="I379" i="39"/>
  <c r="J379" i="39" s="1"/>
  <c r="I378" i="39"/>
  <c r="J378" i="39" s="1"/>
  <c r="I377" i="39"/>
  <c r="J377" i="39" s="1"/>
  <c r="I376" i="39"/>
  <c r="J376" i="39" s="1"/>
  <c r="I375" i="39"/>
  <c r="J375" i="39" s="1"/>
  <c r="I374" i="39"/>
  <c r="J374" i="39" s="1"/>
  <c r="I373" i="39"/>
  <c r="J373" i="39" s="1"/>
  <c r="I372" i="39"/>
  <c r="J372" i="39" s="1"/>
  <c r="I371" i="39"/>
  <c r="J371" i="39" s="1"/>
  <c r="I370" i="39"/>
  <c r="J370" i="39" s="1"/>
  <c r="K89" i="42"/>
  <c r="L89" i="42" s="1"/>
  <c r="L170" i="17"/>
  <c r="M170" i="17" s="1"/>
  <c r="N170" i="17" s="1"/>
  <c r="O170" i="17" s="1"/>
  <c r="K104" i="42"/>
  <c r="L104" i="42" s="1"/>
  <c r="K108" i="42"/>
  <c r="L108" i="42" s="1"/>
  <c r="K106" i="42"/>
  <c r="L106" i="42" s="1"/>
  <c r="K134" i="42"/>
  <c r="L134" i="42" s="1"/>
  <c r="K381" i="39"/>
  <c r="L381" i="39" s="1"/>
  <c r="M381" i="39" s="1"/>
  <c r="N381" i="39" s="1"/>
  <c r="B381" i="39"/>
  <c r="K241" i="39"/>
  <c r="L241" i="39" s="1"/>
  <c r="M241" i="39" s="1"/>
  <c r="N241" i="39" s="1"/>
  <c r="K133" i="42"/>
  <c r="L133" i="42" s="1"/>
  <c r="K125" i="39"/>
  <c r="L125" i="39" s="1"/>
  <c r="M125" i="39" s="1"/>
  <c r="N125" i="39" s="1"/>
  <c r="B125" i="39"/>
  <c r="B166" i="39" s="1"/>
  <c r="K124" i="39"/>
  <c r="L122" i="39"/>
  <c r="M122" i="39" s="1"/>
  <c r="N122" i="39" s="1"/>
  <c r="L123" i="39"/>
  <c r="M123" i="39" s="1"/>
  <c r="N123" i="39" s="1"/>
  <c r="K380" i="39"/>
  <c r="L380" i="39" s="1"/>
  <c r="M380" i="39" s="1"/>
  <c r="N380" i="39" s="1"/>
  <c r="B380" i="39"/>
  <c r="B30" i="26"/>
  <c r="K87" i="42"/>
  <c r="L87" i="42" s="1"/>
  <c r="K379" i="39"/>
  <c r="L379" i="39" s="1"/>
  <c r="M379" i="39" s="1"/>
  <c r="N379" i="39" s="1"/>
  <c r="M86" i="42"/>
  <c r="N86" i="42" s="1"/>
  <c r="O86" i="42" s="1"/>
  <c r="P86" i="42" s="1"/>
  <c r="Q11" i="17"/>
  <c r="K128" i="42"/>
  <c r="L128" i="42" s="1"/>
  <c r="K129" i="42"/>
  <c r="L129" i="42" s="1"/>
  <c r="K130" i="42"/>
  <c r="L130" i="42" s="1"/>
  <c r="K131" i="42"/>
  <c r="L131" i="42" s="1"/>
  <c r="K132" i="42"/>
  <c r="L132" i="42" s="1"/>
  <c r="K123" i="42"/>
  <c r="L123" i="42" s="1"/>
  <c r="K124" i="42"/>
  <c r="L124" i="42" s="1"/>
  <c r="K125" i="42"/>
  <c r="L125" i="42" s="1"/>
  <c r="K126" i="42"/>
  <c r="L126" i="42" s="1"/>
  <c r="K127" i="42"/>
  <c r="L127" i="42" s="1"/>
  <c r="K86" i="42"/>
  <c r="L86" i="42" s="1"/>
  <c r="L166" i="17"/>
  <c r="M166" i="17" s="1"/>
  <c r="N166" i="17" s="1"/>
  <c r="O166" i="17" s="1"/>
  <c r="K78" i="42"/>
  <c r="L78" i="42" s="1"/>
  <c r="L47" i="17"/>
  <c r="M47" i="17" s="1"/>
  <c r="N47" i="17" s="1"/>
  <c r="O47" i="17" s="1"/>
  <c r="L165" i="17"/>
  <c r="M165" i="17" s="1"/>
  <c r="N165" i="17" s="1"/>
  <c r="O165" i="17" s="1"/>
  <c r="L189" i="17"/>
  <c r="M189" i="17" s="1"/>
  <c r="N189" i="17" s="1"/>
  <c r="O189" i="17" s="1"/>
  <c r="J189" i="17"/>
  <c r="K189" i="17" s="1"/>
  <c r="P189" i="17" s="1"/>
  <c r="L112" i="17"/>
  <c r="M112" i="17" s="1"/>
  <c r="L44" i="17"/>
  <c r="M44" i="17" s="1"/>
  <c r="N44" i="17" s="1"/>
  <c r="O44" i="17" s="1"/>
  <c r="M129" i="42"/>
  <c r="N129" i="42" s="1"/>
  <c r="N146" i="42" s="1"/>
  <c r="K83" i="42"/>
  <c r="L83" i="42" s="1"/>
  <c r="K84" i="42"/>
  <c r="L84" i="42" s="1"/>
  <c r="K85" i="42"/>
  <c r="L85" i="42" s="1"/>
  <c r="K80" i="42"/>
  <c r="L80" i="42" s="1"/>
  <c r="M46" i="42"/>
  <c r="B40" i="26" s="1"/>
  <c r="L119" i="39"/>
  <c r="M119" i="39" s="1"/>
  <c r="N119" i="39" s="1"/>
  <c r="L118" i="39"/>
  <c r="M118" i="39" s="1"/>
  <c r="N118" i="39" s="1"/>
  <c r="L120" i="39"/>
  <c r="M120" i="39" s="1"/>
  <c r="N120" i="39" s="1"/>
  <c r="I324" i="39"/>
  <c r="J324" i="39" s="1"/>
  <c r="I313" i="39"/>
  <c r="J313" i="39" s="1"/>
  <c r="I336" i="39"/>
  <c r="J336" i="39" s="1"/>
  <c r="I332" i="39"/>
  <c r="J332" i="39" s="1"/>
  <c r="I309" i="39"/>
  <c r="J309" i="39" s="1"/>
  <c r="I319" i="39"/>
  <c r="J319" i="39" s="1"/>
  <c r="I320" i="39"/>
  <c r="J320" i="39" s="1"/>
  <c r="I321" i="39"/>
  <c r="J321" i="39" s="1"/>
  <c r="I325" i="39"/>
  <c r="J325" i="39" s="1"/>
  <c r="I329" i="39"/>
  <c r="J329" i="39" s="1"/>
  <c r="I330" i="39"/>
  <c r="J330" i="39" s="1"/>
  <c r="I333" i="39"/>
  <c r="J333" i="39" s="1"/>
  <c r="I334" i="39"/>
  <c r="J334" i="39" s="1"/>
  <c r="I335" i="39"/>
  <c r="J335" i="39" s="1"/>
  <c r="I339" i="39"/>
  <c r="J339" i="39" s="1"/>
  <c r="I338" i="39"/>
  <c r="J338" i="39" s="1"/>
  <c r="I337" i="39"/>
  <c r="J337" i="39" s="1"/>
  <c r="I310" i="39"/>
  <c r="J310" i="39" s="1"/>
  <c r="I311" i="39"/>
  <c r="J311" i="39" s="1"/>
  <c r="I314" i="39"/>
  <c r="J314" i="39" s="1"/>
  <c r="I318" i="39"/>
  <c r="J318" i="39" s="1"/>
  <c r="I315" i="39"/>
  <c r="J315" i="39" s="1"/>
  <c r="I326" i="39"/>
  <c r="J326" i="39" s="1"/>
  <c r="I327" i="39"/>
  <c r="J327" i="39" s="1"/>
  <c r="I322" i="39"/>
  <c r="J322" i="39" s="1"/>
  <c r="I323" i="39"/>
  <c r="J323" i="39" s="1"/>
  <c r="I301" i="39"/>
  <c r="J301" i="39" s="1"/>
  <c r="I299" i="39"/>
  <c r="J299" i="39" s="1"/>
  <c r="I302" i="39"/>
  <c r="J302" i="39" s="1"/>
  <c r="I305" i="39"/>
  <c r="J305" i="39" s="1"/>
  <c r="I312" i="39"/>
  <c r="J312" i="39" s="1"/>
  <c r="I328" i="39"/>
  <c r="J328" i="39" s="1"/>
  <c r="I331" i="39"/>
  <c r="J331" i="39" s="1"/>
  <c r="I306" i="39"/>
  <c r="J306" i="39" s="1"/>
  <c r="I307" i="39"/>
  <c r="J307" i="39" s="1"/>
  <c r="I308" i="39"/>
  <c r="J308" i="39" s="1"/>
  <c r="I316" i="39"/>
  <c r="J316" i="39" s="1"/>
  <c r="I317" i="39"/>
  <c r="J317" i="39" s="1"/>
  <c r="I300" i="39"/>
  <c r="J300" i="39" s="1"/>
  <c r="I303" i="39"/>
  <c r="J303" i="39" s="1"/>
  <c r="I51" i="39"/>
  <c r="J51" i="39" s="1"/>
  <c r="L51" i="39"/>
  <c r="M51" i="39" s="1"/>
  <c r="N51" i="39" s="1"/>
  <c r="I65" i="39"/>
  <c r="J65" i="39" s="1"/>
  <c r="L65" i="39"/>
  <c r="M65" i="39" s="1"/>
  <c r="N65" i="39" s="1"/>
  <c r="I66" i="39"/>
  <c r="J66" i="39" s="1"/>
  <c r="L66" i="39"/>
  <c r="M66" i="39" s="1"/>
  <c r="N66" i="39" s="1"/>
  <c r="I67" i="39"/>
  <c r="J67" i="39" s="1"/>
  <c r="L67" i="39"/>
  <c r="M67" i="39" s="1"/>
  <c r="N67" i="39" s="1"/>
  <c r="I69" i="39"/>
  <c r="J69" i="39" s="1"/>
  <c r="L69" i="39"/>
  <c r="M69" i="39" s="1"/>
  <c r="N69" i="39" s="1"/>
  <c r="I72" i="39"/>
  <c r="J72" i="39" s="1"/>
  <c r="L72" i="39"/>
  <c r="M72" i="39" s="1"/>
  <c r="N72" i="39" s="1"/>
  <c r="I84" i="39"/>
  <c r="J84" i="39" s="1"/>
  <c r="L84" i="39"/>
  <c r="M84" i="39" s="1"/>
  <c r="N84" i="39" s="1"/>
  <c r="I82" i="39"/>
  <c r="J82" i="39" s="1"/>
  <c r="L82" i="39"/>
  <c r="M82" i="39" s="1"/>
  <c r="N82" i="39" s="1"/>
  <c r="I80" i="39"/>
  <c r="J80" i="39" s="1"/>
  <c r="L80" i="39"/>
  <c r="M80" i="39" s="1"/>
  <c r="N80" i="39" s="1"/>
  <c r="I83" i="39"/>
  <c r="J83" i="39" s="1"/>
  <c r="L83" i="39"/>
  <c r="M83" i="39" s="1"/>
  <c r="N83" i="39" s="1"/>
  <c r="I81" i="39"/>
  <c r="J81" i="39" s="1"/>
  <c r="L81" i="39"/>
  <c r="M81" i="39" s="1"/>
  <c r="N81" i="39" s="1"/>
  <c r="I91" i="39"/>
  <c r="J91" i="39" s="1"/>
  <c r="L91" i="39"/>
  <c r="M91" i="39" s="1"/>
  <c r="N91" i="39" s="1"/>
  <c r="I92" i="39"/>
  <c r="J92" i="39" s="1"/>
  <c r="L92" i="39"/>
  <c r="M92" i="39" s="1"/>
  <c r="N92" i="39" s="1"/>
  <c r="I100" i="39"/>
  <c r="J100" i="39" s="1"/>
  <c r="L100" i="39"/>
  <c r="M100" i="39" s="1"/>
  <c r="N100" i="39" s="1"/>
  <c r="I41" i="39"/>
  <c r="J41" i="39" s="1"/>
  <c r="L41" i="39"/>
  <c r="M41" i="39" s="1"/>
  <c r="N41" i="39" s="1"/>
  <c r="I106" i="39"/>
  <c r="J106" i="39" s="1"/>
  <c r="L106" i="39"/>
  <c r="M106" i="39" s="1"/>
  <c r="N106" i="39" s="1"/>
  <c r="L114" i="39"/>
  <c r="M114" i="39" s="1"/>
  <c r="N114" i="39" s="1"/>
  <c r="I42" i="39"/>
  <c r="J42" i="39" s="1"/>
  <c r="L42" i="39"/>
  <c r="M42" i="39" s="1"/>
  <c r="N42" i="39" s="1"/>
  <c r="I43" i="39"/>
  <c r="J43" i="39" s="1"/>
  <c r="L43" i="39"/>
  <c r="M43" i="39" s="1"/>
  <c r="N43" i="39" s="1"/>
  <c r="I52" i="39"/>
  <c r="J52" i="39" s="1"/>
  <c r="L52" i="39"/>
  <c r="M52" i="39" s="1"/>
  <c r="N52" i="39" s="1"/>
  <c r="I44" i="39"/>
  <c r="J44" i="39" s="1"/>
  <c r="L44" i="39"/>
  <c r="M44" i="39" s="1"/>
  <c r="N44" i="39" s="1"/>
  <c r="I73" i="39"/>
  <c r="J73" i="39" s="1"/>
  <c r="L73" i="39"/>
  <c r="M73" i="39" s="1"/>
  <c r="N73" i="39" s="1"/>
  <c r="I101" i="39"/>
  <c r="J101" i="39" s="1"/>
  <c r="L101" i="39"/>
  <c r="M101" i="39" s="1"/>
  <c r="N101" i="39" s="1"/>
  <c r="I45" i="39"/>
  <c r="J45" i="39" s="1"/>
  <c r="L45" i="39"/>
  <c r="M45" i="39" s="1"/>
  <c r="N45" i="39" s="1"/>
  <c r="I29" i="39"/>
  <c r="J29" i="39" s="1"/>
  <c r="L29" i="39"/>
  <c r="M29" i="39" s="1"/>
  <c r="N29" i="39" s="1"/>
  <c r="I30" i="39"/>
  <c r="J30" i="39" s="1"/>
  <c r="L30" i="39"/>
  <c r="M30" i="39" s="1"/>
  <c r="N30" i="39" s="1"/>
  <c r="I53" i="39"/>
  <c r="J53" i="39" s="1"/>
  <c r="L53" i="39"/>
  <c r="M53" i="39" s="1"/>
  <c r="N53" i="39" s="1"/>
  <c r="I13" i="39"/>
  <c r="J13" i="39" s="1"/>
  <c r="L13" i="39"/>
  <c r="I19" i="39"/>
  <c r="J19" i="39" s="1"/>
  <c r="L19" i="39"/>
  <c r="M19" i="39" s="1"/>
  <c r="N19" i="39" s="1"/>
  <c r="I54" i="39"/>
  <c r="J54" i="39" s="1"/>
  <c r="L54" i="39"/>
  <c r="M54" i="39" s="1"/>
  <c r="N54" i="39" s="1"/>
  <c r="I20" i="39"/>
  <c r="J20" i="39" s="1"/>
  <c r="L20" i="39"/>
  <c r="M20" i="39" s="1"/>
  <c r="N20" i="39" s="1"/>
  <c r="I35" i="39"/>
  <c r="J35" i="39" s="1"/>
  <c r="L35" i="39"/>
  <c r="M35" i="39" s="1"/>
  <c r="N35" i="39" s="1"/>
  <c r="I56" i="39"/>
  <c r="J56" i="39" s="1"/>
  <c r="L56" i="39"/>
  <c r="M56" i="39" s="1"/>
  <c r="N56" i="39" s="1"/>
  <c r="I68" i="39"/>
  <c r="J68" i="39" s="1"/>
  <c r="L68" i="39"/>
  <c r="M68" i="39" s="1"/>
  <c r="N68" i="39" s="1"/>
  <c r="I86" i="39"/>
  <c r="J86" i="39" s="1"/>
  <c r="L86" i="39"/>
  <c r="M86" i="39" s="1"/>
  <c r="N86" i="39" s="1"/>
  <c r="I21" i="39"/>
  <c r="J21" i="39" s="1"/>
  <c r="L21" i="39"/>
  <c r="M21" i="39" s="1"/>
  <c r="N21" i="39" s="1"/>
  <c r="I46" i="39"/>
  <c r="J46" i="39" s="1"/>
  <c r="L46" i="39"/>
  <c r="M46" i="39" s="1"/>
  <c r="N46" i="39" s="1"/>
  <c r="I14" i="39"/>
  <c r="J14" i="39" s="1"/>
  <c r="L14" i="39"/>
  <c r="M14" i="39" s="1"/>
  <c r="N14" i="39" s="1"/>
  <c r="I47" i="39"/>
  <c r="J47" i="39" s="1"/>
  <c r="L47" i="39"/>
  <c r="M47" i="39" s="1"/>
  <c r="N47" i="39" s="1"/>
  <c r="I48" i="39"/>
  <c r="J48" i="39" s="1"/>
  <c r="L48" i="39"/>
  <c r="M48" i="39" s="1"/>
  <c r="N48" i="39" s="1"/>
  <c r="I57" i="39"/>
  <c r="J57" i="39" s="1"/>
  <c r="L57" i="39"/>
  <c r="M57" i="39" s="1"/>
  <c r="N57" i="39" s="1"/>
  <c r="I58" i="39"/>
  <c r="J58" i="39" s="1"/>
  <c r="L58" i="39"/>
  <c r="M58" i="39" s="1"/>
  <c r="N58" i="39" s="1"/>
  <c r="I93" i="39"/>
  <c r="J93" i="39" s="1"/>
  <c r="L93" i="39"/>
  <c r="M93" i="39" s="1"/>
  <c r="N93" i="39" s="1"/>
  <c r="I107" i="39"/>
  <c r="J107" i="39" s="1"/>
  <c r="L107" i="39"/>
  <c r="M107" i="39" s="1"/>
  <c r="N107" i="39" s="1"/>
  <c r="I36" i="39"/>
  <c r="J36" i="39" s="1"/>
  <c r="L36" i="39"/>
  <c r="M36" i="39" s="1"/>
  <c r="N36" i="39" s="1"/>
  <c r="I37" i="39"/>
  <c r="J37" i="39" s="1"/>
  <c r="L37" i="39"/>
  <c r="M37" i="39" s="1"/>
  <c r="N37" i="39" s="1"/>
  <c r="I38" i="39"/>
  <c r="J38" i="39" s="1"/>
  <c r="L38" i="39"/>
  <c r="M38" i="39" s="1"/>
  <c r="N38" i="39" s="1"/>
  <c r="I27" i="39"/>
  <c r="J27" i="39" s="1"/>
  <c r="L27" i="39"/>
  <c r="M27" i="39" s="1"/>
  <c r="N27" i="39" s="1"/>
  <c r="I49" i="39"/>
  <c r="J49" i="39" s="1"/>
  <c r="L49" i="39"/>
  <c r="M49" i="39" s="1"/>
  <c r="N49" i="39" s="1"/>
  <c r="I39" i="39"/>
  <c r="J39" i="39" s="1"/>
  <c r="L39" i="39"/>
  <c r="M39" i="39" s="1"/>
  <c r="N39" i="39" s="1"/>
  <c r="I174" i="39"/>
  <c r="J174" i="39" s="1"/>
  <c r="I169" i="39"/>
  <c r="J169" i="39" s="1"/>
  <c r="I188" i="39"/>
  <c r="J188" i="39" s="1"/>
  <c r="I175" i="39"/>
  <c r="J175" i="39" s="1"/>
  <c r="I170" i="39"/>
  <c r="J170" i="39" s="1"/>
  <c r="I15" i="39"/>
  <c r="J15" i="39" s="1"/>
  <c r="L15" i="39"/>
  <c r="M15" i="39" s="1"/>
  <c r="N15" i="39" s="1"/>
  <c r="I60" i="39"/>
  <c r="J60" i="39" s="1"/>
  <c r="L60" i="39"/>
  <c r="M60" i="39" s="1"/>
  <c r="N60" i="39" s="1"/>
  <c r="I70" i="39"/>
  <c r="J70" i="39" s="1"/>
  <c r="L70" i="39"/>
  <c r="M70" i="39" s="1"/>
  <c r="N70" i="39" s="1"/>
  <c r="I94" i="39"/>
  <c r="J94" i="39" s="1"/>
  <c r="L94" i="39"/>
  <c r="M94" i="39" s="1"/>
  <c r="N94" i="39" s="1"/>
  <c r="I95" i="39"/>
  <c r="J95" i="39" s="1"/>
  <c r="L95" i="39"/>
  <c r="M95" i="39" s="1"/>
  <c r="N95" i="39" s="1"/>
  <c r="I96" i="39"/>
  <c r="J96" i="39" s="1"/>
  <c r="L96" i="39"/>
  <c r="M96" i="39" s="1"/>
  <c r="N96" i="39" s="1"/>
  <c r="I97" i="39"/>
  <c r="J97" i="39" s="1"/>
  <c r="L97" i="39"/>
  <c r="M97" i="39" s="1"/>
  <c r="N97" i="39" s="1"/>
  <c r="I108" i="39"/>
  <c r="J108" i="39" s="1"/>
  <c r="L108" i="39"/>
  <c r="M108" i="39" s="1"/>
  <c r="N108" i="39" s="1"/>
  <c r="I59" i="39"/>
  <c r="J59" i="39" s="1"/>
  <c r="L59" i="39"/>
  <c r="M59" i="39" s="1"/>
  <c r="N59" i="39" s="1"/>
  <c r="I76" i="39"/>
  <c r="J76" i="39" s="1"/>
  <c r="L76" i="39"/>
  <c r="M76" i="39" s="1"/>
  <c r="N76" i="39" s="1"/>
  <c r="I32" i="39"/>
  <c r="J32" i="39" s="1"/>
  <c r="L32" i="39"/>
  <c r="M32" i="39" s="1"/>
  <c r="N32" i="39" s="1"/>
  <c r="I33" i="39"/>
  <c r="J33" i="39" s="1"/>
  <c r="L33" i="39"/>
  <c r="M33" i="39" s="1"/>
  <c r="N33" i="39" s="1"/>
  <c r="I22" i="39"/>
  <c r="J22" i="39" s="1"/>
  <c r="L22" i="39"/>
  <c r="M22" i="39" s="1"/>
  <c r="N22" i="39" s="1"/>
  <c r="I34" i="39"/>
  <c r="J34" i="39" s="1"/>
  <c r="L34" i="39"/>
  <c r="M34" i="39" s="1"/>
  <c r="N34" i="39" s="1"/>
  <c r="I23" i="39"/>
  <c r="J23" i="39" s="1"/>
  <c r="L23" i="39"/>
  <c r="M23" i="39" s="1"/>
  <c r="N23" i="39" s="1"/>
  <c r="I50" i="39"/>
  <c r="J50" i="39" s="1"/>
  <c r="L50" i="39"/>
  <c r="M50" i="39" s="1"/>
  <c r="N50" i="39" s="1"/>
  <c r="I190" i="39"/>
  <c r="J190" i="39" s="1"/>
  <c r="I191" i="39"/>
  <c r="J191" i="39" s="1"/>
  <c r="I171" i="39"/>
  <c r="J171" i="39" s="1"/>
  <c r="I172" i="39"/>
  <c r="J172" i="39" s="1"/>
  <c r="I173" i="39"/>
  <c r="J173" i="39" s="1"/>
  <c r="I63" i="39"/>
  <c r="J63" i="39" s="1"/>
  <c r="L63" i="39"/>
  <c r="M63" i="39" s="1"/>
  <c r="N63" i="39" s="1"/>
  <c r="L116" i="39"/>
  <c r="M116" i="39" s="1"/>
  <c r="N116" i="39" s="1"/>
  <c r="I61" i="39"/>
  <c r="J61" i="39" s="1"/>
  <c r="L61" i="39"/>
  <c r="M61" i="39" s="1"/>
  <c r="N61" i="39" s="1"/>
  <c r="I62" i="39"/>
  <c r="J62" i="39" s="1"/>
  <c r="L62" i="39"/>
  <c r="M62" i="39" s="1"/>
  <c r="N62" i="39" s="1"/>
  <c r="I304" i="39"/>
  <c r="J304" i="39" s="1"/>
  <c r="I24" i="39"/>
  <c r="J24" i="39" s="1"/>
  <c r="L24" i="39"/>
  <c r="M24" i="39" s="1"/>
  <c r="N24" i="39" s="1"/>
  <c r="I16" i="39"/>
  <c r="J16" i="39" s="1"/>
  <c r="L16" i="39"/>
  <c r="M16" i="39" s="1"/>
  <c r="N16" i="39" s="1"/>
  <c r="I17" i="39"/>
  <c r="J17" i="39" s="1"/>
  <c r="L17" i="39"/>
  <c r="M17" i="39" s="1"/>
  <c r="N17" i="39" s="1"/>
  <c r="I18" i="39"/>
  <c r="J18" i="39" s="1"/>
  <c r="L18" i="39"/>
  <c r="M18" i="39" s="1"/>
  <c r="N18" i="39" s="1"/>
  <c r="I28" i="39"/>
  <c r="J28" i="39" s="1"/>
  <c r="L28" i="39"/>
  <c r="M28" i="39" s="1"/>
  <c r="N28" i="39" s="1"/>
  <c r="I98" i="39"/>
  <c r="J98" i="39" s="1"/>
  <c r="L98" i="39"/>
  <c r="M98" i="39" s="1"/>
  <c r="N98" i="39" s="1"/>
  <c r="I40" i="39"/>
  <c r="J40" i="39" s="1"/>
  <c r="L40" i="39"/>
  <c r="M40" i="39" s="1"/>
  <c r="N40" i="39" s="1"/>
  <c r="I25" i="39"/>
  <c r="J25" i="39" s="1"/>
  <c r="L25" i="39"/>
  <c r="M25" i="39" s="1"/>
  <c r="N25" i="39" s="1"/>
  <c r="I182" i="39"/>
  <c r="J182" i="39" s="1"/>
  <c r="I184" i="39"/>
  <c r="J184" i="39" s="1"/>
  <c r="I186" i="39"/>
  <c r="J186" i="39" s="1"/>
  <c r="I193" i="39"/>
  <c r="J193" i="39" s="1"/>
  <c r="I194" i="39"/>
  <c r="J194" i="39" s="1"/>
  <c r="I189" i="39"/>
  <c r="J189" i="39" s="1"/>
  <c r="I176" i="39"/>
  <c r="J176" i="39" s="1"/>
  <c r="I181" i="39"/>
  <c r="J181" i="39" s="1"/>
  <c r="I187" i="39"/>
  <c r="J187" i="39" s="1"/>
  <c r="I185" i="39"/>
  <c r="J185" i="39" s="1"/>
  <c r="I183" i="39"/>
  <c r="J183" i="39" s="1"/>
  <c r="I192" i="39"/>
  <c r="J192" i="39" s="1"/>
  <c r="I178" i="39"/>
  <c r="J178" i="39" s="1"/>
  <c r="I177" i="39"/>
  <c r="J177" i="39" s="1"/>
  <c r="I179" i="39"/>
  <c r="J179" i="39" s="1"/>
  <c r="I180" i="39"/>
  <c r="J180" i="39" s="1"/>
  <c r="I74" i="39"/>
  <c r="J74" i="39" s="1"/>
  <c r="L74" i="39"/>
  <c r="M74" i="39" s="1"/>
  <c r="N74" i="39" s="1"/>
  <c r="I85" i="39"/>
  <c r="J85" i="39" s="1"/>
  <c r="L85" i="39"/>
  <c r="M85" i="39" s="1"/>
  <c r="N85" i="39" s="1"/>
  <c r="I75" i="39"/>
  <c r="J75" i="39" s="1"/>
  <c r="L75" i="39"/>
  <c r="M75" i="39" s="1"/>
  <c r="N75" i="39" s="1"/>
  <c r="I26" i="39"/>
  <c r="J26" i="39" s="1"/>
  <c r="L26" i="39"/>
  <c r="M26" i="39" s="1"/>
  <c r="N26" i="39" s="1"/>
  <c r="I31" i="39"/>
  <c r="J31" i="39" s="1"/>
  <c r="L31" i="39"/>
  <c r="M31" i="39" s="1"/>
  <c r="N31" i="39" s="1"/>
  <c r="I55" i="39"/>
  <c r="J55" i="39" s="1"/>
  <c r="L55" i="39"/>
  <c r="M55" i="39" s="1"/>
  <c r="N55" i="39" s="1"/>
  <c r="I77" i="39"/>
  <c r="J77" i="39" s="1"/>
  <c r="L77" i="39"/>
  <c r="M77" i="39" s="1"/>
  <c r="N77" i="39" s="1"/>
  <c r="I71" i="39"/>
  <c r="J71" i="39" s="1"/>
  <c r="L71" i="39"/>
  <c r="M71" i="39" s="1"/>
  <c r="N71" i="39" s="1"/>
  <c r="I78" i="39"/>
  <c r="J78" i="39" s="1"/>
  <c r="L78" i="39"/>
  <c r="M78" i="39" s="1"/>
  <c r="N78" i="39" s="1"/>
  <c r="I79" i="39"/>
  <c r="J79" i="39" s="1"/>
  <c r="L79" i="39"/>
  <c r="M79" i="39" s="1"/>
  <c r="N79" i="39" s="1"/>
  <c r="I87" i="39"/>
  <c r="J87" i="39" s="1"/>
  <c r="L87" i="39"/>
  <c r="M87" i="39" s="1"/>
  <c r="N87" i="39" s="1"/>
  <c r="I88" i="39"/>
  <c r="J88" i="39" s="1"/>
  <c r="L88" i="39"/>
  <c r="M88" i="39" s="1"/>
  <c r="N88" i="39" s="1"/>
  <c r="I64" i="39"/>
  <c r="J64" i="39" s="1"/>
  <c r="L64" i="39"/>
  <c r="M64" i="39" s="1"/>
  <c r="N64" i="39" s="1"/>
  <c r="K52" i="42"/>
  <c r="L52" i="42" s="1"/>
  <c r="K74" i="42"/>
  <c r="L74" i="42" s="1"/>
  <c r="K75" i="42"/>
  <c r="L75" i="42" s="1"/>
  <c r="Q75" i="42" s="1"/>
  <c r="K76" i="42"/>
  <c r="L76" i="42" s="1"/>
  <c r="K77" i="42"/>
  <c r="L77" i="42" s="1"/>
  <c r="K73" i="42"/>
  <c r="L73" i="42" s="1"/>
  <c r="Q73" i="42" s="1"/>
  <c r="R73" i="42" s="1"/>
  <c r="S73" i="42" s="1"/>
  <c r="T73" i="42" s="1"/>
  <c r="K70" i="42"/>
  <c r="L70" i="42" s="1"/>
  <c r="K71" i="42"/>
  <c r="L71" i="42" s="1"/>
  <c r="K72" i="42"/>
  <c r="L72" i="42" s="1"/>
  <c r="K68" i="42"/>
  <c r="L68" i="42" s="1"/>
  <c r="Q68" i="42" s="1"/>
  <c r="R68" i="42" s="1"/>
  <c r="S68" i="42" s="1"/>
  <c r="T68" i="42" s="1"/>
  <c r="K60" i="42"/>
  <c r="L60" i="42" s="1"/>
  <c r="K61" i="42"/>
  <c r="L61" i="42" s="1"/>
  <c r="K62" i="42"/>
  <c r="L62" i="42" s="1"/>
  <c r="K69" i="42"/>
  <c r="L69" i="42" s="1"/>
  <c r="K64" i="42"/>
  <c r="L64" i="42" s="1"/>
  <c r="K65" i="42"/>
  <c r="L65" i="42" s="1"/>
  <c r="K66" i="42"/>
  <c r="L66" i="42" s="1"/>
  <c r="Q66" i="42" s="1"/>
  <c r="K67" i="42"/>
  <c r="L67" i="42" s="1"/>
  <c r="K63" i="42"/>
  <c r="L63" i="42" s="1"/>
  <c r="K55" i="42"/>
  <c r="L55" i="42" s="1"/>
  <c r="K56" i="42"/>
  <c r="L56" i="42" s="1"/>
  <c r="K57" i="42"/>
  <c r="L57" i="42" s="1"/>
  <c r="K54" i="42"/>
  <c r="L54" i="42" s="1"/>
  <c r="Q54" i="42" s="1"/>
  <c r="K50" i="42"/>
  <c r="L50" i="42" s="1"/>
  <c r="K51" i="42"/>
  <c r="L51" i="42" s="1"/>
  <c r="K82" i="42"/>
  <c r="L82" i="42" s="1"/>
  <c r="K58" i="42"/>
  <c r="L58" i="42" s="1"/>
  <c r="K25" i="42"/>
  <c r="L25" i="42" s="1"/>
  <c r="K26" i="42"/>
  <c r="L26" i="42" s="1"/>
  <c r="K27" i="42"/>
  <c r="L27" i="42" s="1"/>
  <c r="K28" i="42"/>
  <c r="L28" i="42" s="1"/>
  <c r="K29" i="42"/>
  <c r="L29" i="42" s="1"/>
  <c r="K30" i="42"/>
  <c r="L30" i="42" s="1"/>
  <c r="K19" i="42"/>
  <c r="K16" i="42"/>
  <c r="K17" i="42"/>
  <c r="K18" i="42"/>
  <c r="K150" i="42"/>
  <c r="K15" i="42"/>
  <c r="K13" i="42"/>
  <c r="K14" i="42"/>
  <c r="L14" i="42" s="1"/>
  <c r="K149" i="42"/>
  <c r="L149" i="42" s="1"/>
  <c r="B42" i="26"/>
  <c r="J247" i="17"/>
  <c r="K247" i="17" s="1"/>
  <c r="P247" i="17" s="1"/>
  <c r="J249" i="17"/>
  <c r="K249" i="17" s="1"/>
  <c r="P249" i="17" s="1"/>
  <c r="J281" i="17"/>
  <c r="K281" i="17" s="1"/>
  <c r="P281" i="17" s="1"/>
  <c r="J283" i="17"/>
  <c r="K283" i="17" s="1"/>
  <c r="P283" i="17" s="1"/>
  <c r="Q283" i="17" s="1"/>
  <c r="J156" i="17"/>
  <c r="K156" i="17" s="1"/>
  <c r="P156" i="17" s="1"/>
  <c r="H46" i="26"/>
  <c r="D46" i="26"/>
  <c r="H7" i="26"/>
  <c r="C3" i="44" s="1"/>
  <c r="AP14" i="43"/>
  <c r="AJ15" i="43"/>
  <c r="R18" i="43"/>
  <c r="X22" i="43"/>
  <c r="Y22" i="43" s="1"/>
  <c r="AA22" i="43" s="1"/>
  <c r="R22" i="43"/>
  <c r="AJ22" i="43"/>
  <c r="AP22" i="43"/>
  <c r="AJ23" i="43"/>
  <c r="X23" i="43"/>
  <c r="Y23" i="43"/>
  <c r="AA23" i="43" s="1"/>
  <c r="R23" i="43"/>
  <c r="V23" i="43"/>
  <c r="AP23" i="43"/>
  <c r="AJ30" i="43"/>
  <c r="AP30" i="43"/>
  <c r="AP31" i="43"/>
  <c r="AJ31" i="43"/>
  <c r="X31" i="43"/>
  <c r="Y31" i="43" s="1"/>
  <c r="AA31" i="43" s="1"/>
  <c r="AJ47" i="43"/>
  <c r="AP47" i="43"/>
  <c r="AJ48" i="43"/>
  <c r="X48" i="43"/>
  <c r="Y48" i="43"/>
  <c r="AA48" i="43" s="1"/>
  <c r="AB48" i="43" s="1"/>
  <c r="R48" i="43"/>
  <c r="V48" i="43"/>
  <c r="AP48" i="43"/>
  <c r="X49" i="43"/>
  <c r="Y49" i="43" s="1"/>
  <c r="AA49" i="43" s="1"/>
  <c r="R53" i="43"/>
  <c r="V53" i="43" s="1"/>
  <c r="R15" i="43"/>
  <c r="AP16" i="43"/>
  <c r="AJ17" i="43"/>
  <c r="R20" i="43"/>
  <c r="AJ21" i="43"/>
  <c r="X24" i="43"/>
  <c r="Y24" i="43" s="1"/>
  <c r="AA24" i="43" s="1"/>
  <c r="R24" i="43"/>
  <c r="AJ24" i="43"/>
  <c r="AP24" i="43"/>
  <c r="AJ25" i="43"/>
  <c r="X25" i="43"/>
  <c r="Y25" i="43"/>
  <c r="AA25" i="43"/>
  <c r="R25" i="43"/>
  <c r="V25" i="43" s="1"/>
  <c r="AB25" i="43" s="1"/>
  <c r="AC25" i="43" s="1"/>
  <c r="AP25" i="43"/>
  <c r="X26" i="43"/>
  <c r="Y26" i="43" s="1"/>
  <c r="AA26" i="43" s="1"/>
  <c r="AJ49" i="43"/>
  <c r="AP49" i="43"/>
  <c r="AJ50" i="43"/>
  <c r="X50" i="43"/>
  <c r="Y50" i="43"/>
  <c r="AA50" i="43"/>
  <c r="R50" i="43"/>
  <c r="V50" i="43" s="1"/>
  <c r="AP50" i="43"/>
  <c r="X51" i="43"/>
  <c r="Y51" i="43" s="1"/>
  <c r="AA51" i="43" s="1"/>
  <c r="R14" i="43"/>
  <c r="R17" i="43"/>
  <c r="V17" i="43" s="1"/>
  <c r="AL17" i="43" s="1"/>
  <c r="AP18" i="43"/>
  <c r="AJ19" i="43"/>
  <c r="AJ20" i="43"/>
  <c r="T23" i="43"/>
  <c r="AJ26" i="43"/>
  <c r="AP26" i="43"/>
  <c r="AJ27" i="43"/>
  <c r="X27" i="43"/>
  <c r="Y27" i="43" s="1"/>
  <c r="AA27" i="43" s="1"/>
  <c r="R27" i="43"/>
  <c r="V27" i="43" s="1"/>
  <c r="AL27" i="43" s="1"/>
  <c r="AP27" i="43"/>
  <c r="X28" i="43"/>
  <c r="Y28" i="43"/>
  <c r="AA28" i="43" s="1"/>
  <c r="AB28" i="43" s="1"/>
  <c r="T48" i="43"/>
  <c r="AJ51" i="43"/>
  <c r="AP51" i="43"/>
  <c r="AJ52" i="43"/>
  <c r="X52" i="43"/>
  <c r="Y52" i="43"/>
  <c r="AA52" i="43"/>
  <c r="R52" i="43"/>
  <c r="V52" i="43" s="1"/>
  <c r="AP52" i="43"/>
  <c r="AJ57" i="43"/>
  <c r="X21" i="43"/>
  <c r="Y21" i="43" s="1"/>
  <c r="AA21" i="43" s="1"/>
  <c r="R21" i="43"/>
  <c r="V21" i="43" s="1"/>
  <c r="AL21" i="43" s="1"/>
  <c r="AJ28" i="43"/>
  <c r="AP28" i="43"/>
  <c r="AJ29" i="43"/>
  <c r="X29" i="43"/>
  <c r="Y29" i="43" s="1"/>
  <c r="AA29" i="43" s="1"/>
  <c r="R29" i="43"/>
  <c r="V29" i="43" s="1"/>
  <c r="AL29" i="43" s="1"/>
  <c r="AP29" i="43"/>
  <c r="T31" i="43"/>
  <c r="AP32" i="43"/>
  <c r="AP34" i="43"/>
  <c r="AP36" i="43"/>
  <c r="AP38" i="43"/>
  <c r="AP40" i="43"/>
  <c r="AP42" i="43"/>
  <c r="AP44" i="43"/>
  <c r="AJ46" i="43"/>
  <c r="X46" i="43"/>
  <c r="Y46" i="43" s="1"/>
  <c r="AA46" i="43" s="1"/>
  <c r="R46" i="43"/>
  <c r="T46" i="43"/>
  <c r="AP46" i="43"/>
  <c r="AJ53" i="43"/>
  <c r="AN53" i="43"/>
  <c r="R32" i="43"/>
  <c r="X32" i="43"/>
  <c r="Y32" i="43" s="1"/>
  <c r="AA32" i="43" s="1"/>
  <c r="AB32" i="43" s="1"/>
  <c r="AJ33" i="43"/>
  <c r="R34" i="43"/>
  <c r="X34" i="43"/>
  <c r="Y34" i="43"/>
  <c r="AA34" i="43"/>
  <c r="AJ35" i="43"/>
  <c r="R36" i="43"/>
  <c r="X36" i="43"/>
  <c r="Y36" i="43"/>
  <c r="AA36" i="43" s="1"/>
  <c r="AJ37" i="43"/>
  <c r="R38" i="43"/>
  <c r="X38" i="43"/>
  <c r="Y38" i="43" s="1"/>
  <c r="AA38" i="43" s="1"/>
  <c r="AJ39" i="43"/>
  <c r="R40" i="43"/>
  <c r="X40" i="43"/>
  <c r="Y40" i="43" s="1"/>
  <c r="AA40" i="43" s="1"/>
  <c r="AJ41" i="43"/>
  <c r="R42" i="43"/>
  <c r="X42" i="43"/>
  <c r="Y42" i="43"/>
  <c r="AA42" i="43"/>
  <c r="AJ43" i="43"/>
  <c r="R44" i="43"/>
  <c r="X44" i="43"/>
  <c r="Y44" i="43"/>
  <c r="AA44" i="43" s="1"/>
  <c r="AB44" i="43" s="1"/>
  <c r="AJ45" i="43"/>
  <c r="AJ54" i="43"/>
  <c r="AP54" i="43"/>
  <c r="R58" i="43"/>
  <c r="R62" i="43"/>
  <c r="AJ62" i="43"/>
  <c r="AN62" i="43"/>
  <c r="R65" i="43"/>
  <c r="V65" i="43" s="1"/>
  <c r="AL65" i="43" s="1"/>
  <c r="AJ74" i="43"/>
  <c r="AP74" i="43" s="1"/>
  <c r="X84" i="43"/>
  <c r="Y84" i="43" s="1"/>
  <c r="AA84" i="43" s="1"/>
  <c r="R84" i="43"/>
  <c r="AJ84" i="43"/>
  <c r="AP84" i="43"/>
  <c r="AJ85" i="43"/>
  <c r="X85" i="43"/>
  <c r="Y85" i="43" s="1"/>
  <c r="AA85" i="43" s="1"/>
  <c r="R85" i="43"/>
  <c r="V85" i="43"/>
  <c r="AP85" i="43"/>
  <c r="AJ98" i="43"/>
  <c r="R98" i="43"/>
  <c r="R54" i="43"/>
  <c r="V54" i="43" s="1"/>
  <c r="AL54" i="43" s="1"/>
  <c r="AJ56" i="43"/>
  <c r="R60" i="43"/>
  <c r="AJ64" i="43"/>
  <c r="AN64" i="43"/>
  <c r="AN65" i="43"/>
  <c r="AN66" i="43"/>
  <c r="AN69" i="43"/>
  <c r="X69" i="43"/>
  <c r="Y69" i="43"/>
  <c r="AA69" i="43"/>
  <c r="R69" i="43"/>
  <c r="AJ69" i="43"/>
  <c r="AJ70" i="43"/>
  <c r="AP70" i="43"/>
  <c r="AN70" i="43"/>
  <c r="X70" i="43"/>
  <c r="Y70" i="43"/>
  <c r="AA70" i="43"/>
  <c r="R70" i="43"/>
  <c r="V70" i="43" s="1"/>
  <c r="X86" i="43"/>
  <c r="Y86" i="43"/>
  <c r="AA86" i="43" s="1"/>
  <c r="R86" i="43"/>
  <c r="AJ86" i="43"/>
  <c r="AP86" i="43"/>
  <c r="AJ87" i="43"/>
  <c r="X87" i="43"/>
  <c r="Y87" i="43"/>
  <c r="AA87" i="43"/>
  <c r="R87" i="43"/>
  <c r="V87" i="43" s="1"/>
  <c r="AP87" i="43"/>
  <c r="AP91" i="43"/>
  <c r="AJ91" i="43"/>
  <c r="R91" i="43"/>
  <c r="V91" i="43"/>
  <c r="AJ92" i="43"/>
  <c r="X92" i="43"/>
  <c r="Y92" i="43" s="1"/>
  <c r="AA92" i="43" s="1"/>
  <c r="AB92" i="43" s="1"/>
  <c r="AJ96" i="43"/>
  <c r="AP96" i="43"/>
  <c r="X96" i="43"/>
  <c r="Y96" i="43"/>
  <c r="AA96" i="43"/>
  <c r="R96" i="43"/>
  <c r="V96" i="43" s="1"/>
  <c r="AL96" i="43" s="1"/>
  <c r="AP97" i="43"/>
  <c r="AJ97" i="43"/>
  <c r="AJ59" i="43"/>
  <c r="AJ61" i="43"/>
  <c r="X65" i="43"/>
  <c r="Y65" i="43" s="1"/>
  <c r="AA65" i="43" s="1"/>
  <c r="AJ68" i="43"/>
  <c r="AN71" i="43"/>
  <c r="X71" i="43"/>
  <c r="Y71" i="43"/>
  <c r="AA71" i="43"/>
  <c r="R71" i="43"/>
  <c r="AJ71" i="43"/>
  <c r="AJ72" i="43"/>
  <c r="AN72" i="43"/>
  <c r="X72" i="43"/>
  <c r="Y72" i="43" s="1"/>
  <c r="AA72" i="43" s="1"/>
  <c r="R72" i="43"/>
  <c r="V72" i="43" s="1"/>
  <c r="AL72" i="43" s="1"/>
  <c r="X88" i="43"/>
  <c r="Y88" i="43"/>
  <c r="AA88" i="43"/>
  <c r="R88" i="43"/>
  <c r="AJ88" i="43"/>
  <c r="AP88" i="43"/>
  <c r="AJ89" i="43"/>
  <c r="X89" i="43"/>
  <c r="Y89" i="43" s="1"/>
  <c r="AA89" i="43" s="1"/>
  <c r="R89" i="43"/>
  <c r="V89" i="43" s="1"/>
  <c r="AL89" i="43" s="1"/>
  <c r="AP89" i="43"/>
  <c r="R94" i="43"/>
  <c r="V94" i="43"/>
  <c r="AP94" i="43"/>
  <c r="X94" i="43"/>
  <c r="Y94" i="43"/>
  <c r="AA94" i="43"/>
  <c r="R26" i="43"/>
  <c r="R28" i="43"/>
  <c r="R30" i="43"/>
  <c r="R47" i="43"/>
  <c r="R49" i="43"/>
  <c r="R51" i="43"/>
  <c r="R55" i="43"/>
  <c r="X55" i="43"/>
  <c r="Y55" i="43" s="1"/>
  <c r="AA55" i="43" s="1"/>
  <c r="AB55" i="43" s="1"/>
  <c r="X57" i="43"/>
  <c r="Y57" i="43"/>
  <c r="AA57" i="43" s="1"/>
  <c r="AB57" i="43" s="1"/>
  <c r="R57" i="43"/>
  <c r="AN58" i="43"/>
  <c r="AP61" i="43"/>
  <c r="X63" i="43"/>
  <c r="Y63" i="43" s="1"/>
  <c r="AA63" i="43" s="1"/>
  <c r="R63" i="43"/>
  <c r="V63" i="43" s="1"/>
  <c r="AL63" i="43" s="1"/>
  <c r="AJ63" i="43"/>
  <c r="AJ67" i="43"/>
  <c r="AN67" i="43"/>
  <c r="AN74" i="43"/>
  <c r="X82" i="43"/>
  <c r="Y82" i="43"/>
  <c r="AA82" i="43"/>
  <c r="R82" i="43"/>
  <c r="AJ82" i="43"/>
  <c r="AP82" i="43"/>
  <c r="AJ83" i="43"/>
  <c r="X83" i="43"/>
  <c r="Y83" i="43" s="1"/>
  <c r="AA83" i="43" s="1"/>
  <c r="R83" i="43"/>
  <c r="V83" i="43" s="1"/>
  <c r="AL83" i="43" s="1"/>
  <c r="AP83" i="43"/>
  <c r="X90" i="43"/>
  <c r="Y90" i="43"/>
  <c r="AA90" i="43" s="1"/>
  <c r="R90" i="43"/>
  <c r="AJ90" i="43"/>
  <c r="AP90" i="43"/>
  <c r="R92" i="43"/>
  <c r="V92" i="43" s="1"/>
  <c r="AL92" i="43" s="1"/>
  <c r="AP92" i="43"/>
  <c r="AP93" i="43"/>
  <c r="AJ93" i="43"/>
  <c r="R66" i="43"/>
  <c r="X66" i="43"/>
  <c r="Y66" i="43"/>
  <c r="AA66" i="43" s="1"/>
  <c r="R68" i="43"/>
  <c r="X68" i="43"/>
  <c r="Y68" i="43"/>
  <c r="AA68" i="43" s="1"/>
  <c r="AB68" i="43" s="1"/>
  <c r="AN68" i="43"/>
  <c r="R73" i="43"/>
  <c r="AN73" i="43"/>
  <c r="R75" i="43"/>
  <c r="X75" i="43"/>
  <c r="Y75" i="43"/>
  <c r="AA75" i="43"/>
  <c r="AN75" i="43"/>
  <c r="X91" i="43"/>
  <c r="Y91" i="43"/>
  <c r="AA91" i="43"/>
  <c r="X93" i="43"/>
  <c r="Y93" i="43" s="1"/>
  <c r="AA93" i="43" s="1"/>
  <c r="R93" i="43"/>
  <c r="V93" i="43" s="1"/>
  <c r="AL93" i="43" s="1"/>
  <c r="AJ94" i="43"/>
  <c r="Q95" i="43"/>
  <c r="AP95" i="43"/>
  <c r="R102" i="43"/>
  <c r="R104" i="43"/>
  <c r="R106" i="43"/>
  <c r="R108" i="43"/>
  <c r="X111" i="43"/>
  <c r="Y111" i="43"/>
  <c r="AA111" i="43"/>
  <c r="R111" i="43"/>
  <c r="V111" i="43" s="1"/>
  <c r="R119" i="43"/>
  <c r="R121" i="43"/>
  <c r="P114" i="43"/>
  <c r="AJ100" i="43"/>
  <c r="AN100" i="43"/>
  <c r="AN112" i="43"/>
  <c r="AJ112" i="43"/>
  <c r="AP112" i="43" s="1"/>
  <c r="N114" i="43"/>
  <c r="AJ128" i="43"/>
  <c r="AP128" i="43"/>
  <c r="R128" i="43"/>
  <c r="AN101" i="43"/>
  <c r="AN103" i="43"/>
  <c r="AN105" i="43"/>
  <c r="AN107" i="43"/>
  <c r="AJ109" i="43"/>
  <c r="AP109" i="43"/>
  <c r="AN109" i="43"/>
  <c r="R109" i="43"/>
  <c r="V109" i="43"/>
  <c r="T111" i="43"/>
  <c r="AP120" i="43"/>
  <c r="AP122" i="43"/>
  <c r="AP124" i="43"/>
  <c r="AP126" i="43"/>
  <c r="AJ130" i="43"/>
  <c r="AP130" i="43"/>
  <c r="X130" i="43"/>
  <c r="Y130" i="43"/>
  <c r="AA130" i="43" s="1"/>
  <c r="X99" i="43"/>
  <c r="Y99" i="43"/>
  <c r="AA99" i="43"/>
  <c r="AB99" i="43" s="1"/>
  <c r="AC99" i="43" s="1"/>
  <c r="AR99" i="43" s="1"/>
  <c r="R99" i="43"/>
  <c r="V99" i="43"/>
  <c r="AJ99" i="43"/>
  <c r="AJ101" i="43"/>
  <c r="AJ103" i="43"/>
  <c r="AJ105" i="43"/>
  <c r="AJ107" i="43"/>
  <c r="AN110" i="43"/>
  <c r="AJ110" i="43"/>
  <c r="AP110" i="43"/>
  <c r="AJ111" i="43"/>
  <c r="AN111" i="43"/>
  <c r="AJ120" i="43"/>
  <c r="AJ122" i="43"/>
  <c r="AJ124" i="43"/>
  <c r="AJ126" i="43"/>
  <c r="AJ132" i="43"/>
  <c r="X132" i="43"/>
  <c r="Y132" i="43"/>
  <c r="AA132" i="43" s="1"/>
  <c r="AP132" i="43"/>
  <c r="R132" i="43"/>
  <c r="V132" i="43"/>
  <c r="AP133" i="43"/>
  <c r="AJ133" i="43"/>
  <c r="AJ134" i="43"/>
  <c r="X134" i="43"/>
  <c r="Y134" i="43" s="1"/>
  <c r="AA134" i="43" s="1"/>
  <c r="AB134" i="43" s="1"/>
  <c r="AP134" i="43"/>
  <c r="R134" i="43"/>
  <c r="V134" i="43" s="1"/>
  <c r="AL134" i="43" s="1"/>
  <c r="AP135" i="43"/>
  <c r="AJ135" i="43"/>
  <c r="AJ136" i="43"/>
  <c r="X136" i="43"/>
  <c r="Y136" i="43" s="1"/>
  <c r="AA136" i="43" s="1"/>
  <c r="AP136" i="43"/>
  <c r="R136" i="43"/>
  <c r="V136" i="43" s="1"/>
  <c r="AL136" i="43" s="1"/>
  <c r="AP137" i="43"/>
  <c r="AJ137" i="43"/>
  <c r="R101" i="43"/>
  <c r="X101" i="43"/>
  <c r="Y101" i="43"/>
  <c r="AA101" i="43"/>
  <c r="AJ102" i="43"/>
  <c r="R103" i="43"/>
  <c r="X103" i="43"/>
  <c r="Y103" i="43"/>
  <c r="AA103" i="43"/>
  <c r="AJ104" i="43"/>
  <c r="R105" i="43"/>
  <c r="X105" i="43"/>
  <c r="Y105" i="43" s="1"/>
  <c r="AA105" i="43" s="1"/>
  <c r="AJ106" i="43"/>
  <c r="R107" i="43"/>
  <c r="AJ108" i="43"/>
  <c r="P145" i="43"/>
  <c r="AJ119" i="43"/>
  <c r="R120" i="43"/>
  <c r="X120" i="43"/>
  <c r="Y120" i="43" s="1"/>
  <c r="AA120" i="43" s="1"/>
  <c r="AJ121" i="43"/>
  <c r="R122" i="43"/>
  <c r="X122" i="43"/>
  <c r="Y122" i="43"/>
  <c r="AA122" i="43"/>
  <c r="AJ123" i="43"/>
  <c r="R124" i="43"/>
  <c r="X124" i="43"/>
  <c r="Y124" i="43"/>
  <c r="AA124" i="43" s="1"/>
  <c r="AB124" i="43" s="1"/>
  <c r="AJ125" i="43"/>
  <c r="R126" i="43"/>
  <c r="X126" i="43"/>
  <c r="Y126" i="43" s="1"/>
  <c r="AA126" i="43" s="1"/>
  <c r="AJ127" i="43"/>
  <c r="X128" i="43"/>
  <c r="Y128" i="43" s="1"/>
  <c r="AA128" i="43" s="1"/>
  <c r="AJ129" i="43"/>
  <c r="R130" i="43"/>
  <c r="AJ131" i="43"/>
  <c r="R138" i="43"/>
  <c r="AJ156" i="43"/>
  <c r="AP156" i="43"/>
  <c r="AJ157" i="43"/>
  <c r="X157" i="43"/>
  <c r="Y157" i="43"/>
  <c r="AA157" i="43" s="1"/>
  <c r="R157" i="43"/>
  <c r="V157" i="43" s="1"/>
  <c r="AL157" i="43" s="1"/>
  <c r="AP157" i="43"/>
  <c r="X158" i="43"/>
  <c r="Y158" i="43"/>
  <c r="AA158" i="43" s="1"/>
  <c r="AJ169" i="43"/>
  <c r="AJ170" i="43"/>
  <c r="AP170" i="43"/>
  <c r="X170" i="43"/>
  <c r="Y170" i="43"/>
  <c r="AA170" i="43" s="1"/>
  <c r="R170" i="43"/>
  <c r="V170" i="43"/>
  <c r="AL170" i="43"/>
  <c r="AJ139" i="43"/>
  <c r="AJ158" i="43"/>
  <c r="AP158" i="43"/>
  <c r="AJ159" i="43"/>
  <c r="X159" i="43"/>
  <c r="Y159" i="43"/>
  <c r="AA159" i="43"/>
  <c r="R159" i="43"/>
  <c r="V159" i="43" s="1"/>
  <c r="AL159" i="43" s="1"/>
  <c r="AP159" i="43"/>
  <c r="X160" i="43"/>
  <c r="Y160" i="43" s="1"/>
  <c r="AA160" i="43" s="1"/>
  <c r="AP138" i="43"/>
  <c r="R140" i="43"/>
  <c r="V140" i="43" s="1"/>
  <c r="AL140" i="43" s="1"/>
  <c r="AJ160" i="43"/>
  <c r="AP160" i="43"/>
  <c r="AJ173" i="43"/>
  <c r="AJ174" i="43"/>
  <c r="AP174" i="43"/>
  <c r="R95" i="43"/>
  <c r="X95" i="43"/>
  <c r="Y95" i="43" s="1"/>
  <c r="AA95" i="43" s="1"/>
  <c r="AB95" i="43" s="1"/>
  <c r="R97" i="43"/>
  <c r="X97" i="43"/>
  <c r="Y97" i="43" s="1"/>
  <c r="AA97" i="43" s="1"/>
  <c r="R110" i="43"/>
  <c r="X110" i="43"/>
  <c r="Y110" i="43" s="1"/>
  <c r="AA110" i="43" s="1"/>
  <c r="R112" i="43"/>
  <c r="T112" i="43"/>
  <c r="X112" i="43"/>
  <c r="Y112" i="43" s="1"/>
  <c r="AA112" i="43" s="1"/>
  <c r="X133" i="43"/>
  <c r="Y133" i="43" s="1"/>
  <c r="AA133" i="43" s="1"/>
  <c r="R133" i="43"/>
  <c r="X135" i="43"/>
  <c r="Y135" i="43" s="1"/>
  <c r="AA135" i="43" s="1"/>
  <c r="R135" i="43"/>
  <c r="X137" i="43"/>
  <c r="Y137" i="43" s="1"/>
  <c r="AA137" i="43" s="1"/>
  <c r="R137" i="43"/>
  <c r="AJ140" i="43"/>
  <c r="AN141" i="43"/>
  <c r="AJ141" i="43"/>
  <c r="AP141" i="43"/>
  <c r="AJ142" i="43"/>
  <c r="AP142" i="43" s="1"/>
  <c r="AN142" i="43"/>
  <c r="X142" i="43"/>
  <c r="Y142" i="43"/>
  <c r="AA142" i="43" s="1"/>
  <c r="AB142" i="43" s="1"/>
  <c r="R142" i="43"/>
  <c r="V142" i="43"/>
  <c r="AJ143" i="43"/>
  <c r="X156" i="43"/>
  <c r="Y156" i="43" s="1"/>
  <c r="AA156" i="43" s="1"/>
  <c r="AB156" i="43" s="1"/>
  <c r="AN162" i="43"/>
  <c r="AP169" i="43"/>
  <c r="T170" i="43"/>
  <c r="AJ171" i="43"/>
  <c r="AJ172" i="43"/>
  <c r="AP172" i="43"/>
  <c r="X172" i="43"/>
  <c r="Y172" i="43" s="1"/>
  <c r="AA172" i="43" s="1"/>
  <c r="R172" i="43"/>
  <c r="V172" i="43"/>
  <c r="R143" i="43"/>
  <c r="X143" i="43"/>
  <c r="Y143" i="43"/>
  <c r="AA143" i="43"/>
  <c r="P161" i="43"/>
  <c r="Q161" i="43" s="1"/>
  <c r="X169" i="43"/>
  <c r="Y169" i="43" s="1"/>
  <c r="AA169" i="43" s="1"/>
  <c r="R169" i="43"/>
  <c r="T169" i="43" s="1"/>
  <c r="X171" i="43"/>
  <c r="Y171" i="43"/>
  <c r="AA171" i="43"/>
  <c r="R171" i="43"/>
  <c r="V171" i="43" s="1"/>
  <c r="X173" i="43"/>
  <c r="Y173" i="43"/>
  <c r="AA173" i="43" s="1"/>
  <c r="R173" i="43"/>
  <c r="V173" i="43"/>
  <c r="AL173" i="43"/>
  <c r="AP177" i="43"/>
  <c r="AP179" i="43"/>
  <c r="X181" i="43"/>
  <c r="Y181" i="43"/>
  <c r="AA181" i="43" s="1"/>
  <c r="AB181" i="43" s="1"/>
  <c r="R181" i="43"/>
  <c r="V181" i="43"/>
  <c r="AJ181" i="43"/>
  <c r="R182" i="43"/>
  <c r="R209" i="43"/>
  <c r="V209" i="43"/>
  <c r="AB209" i="43" s="1"/>
  <c r="AC209" i="43" s="1"/>
  <c r="AJ176" i="43"/>
  <c r="X177" i="43"/>
  <c r="Y177" i="43" s="1"/>
  <c r="AA177" i="43" s="1"/>
  <c r="AJ178" i="43"/>
  <c r="AP178" i="43"/>
  <c r="X178" i="43"/>
  <c r="Y178" i="43" s="1"/>
  <c r="AA178" i="43" s="1"/>
  <c r="AJ179" i="43"/>
  <c r="AJ184" i="43"/>
  <c r="AP184" i="43"/>
  <c r="AN185" i="43"/>
  <c r="X174" i="43"/>
  <c r="Y174" i="43"/>
  <c r="AA174" i="43"/>
  <c r="R174" i="43"/>
  <c r="V174" i="43" s="1"/>
  <c r="X176" i="43"/>
  <c r="Y176" i="43" s="1"/>
  <c r="AA176" i="43" s="1"/>
  <c r="X179" i="43"/>
  <c r="Y179" i="43"/>
  <c r="AA179" i="43" s="1"/>
  <c r="AB179" i="43" s="1"/>
  <c r="R179" i="43"/>
  <c r="V179" i="43"/>
  <c r="AL179" i="43"/>
  <c r="AJ182" i="43"/>
  <c r="AP182" i="43"/>
  <c r="X182" i="43"/>
  <c r="Y182" i="43"/>
  <c r="AA182" i="43" s="1"/>
  <c r="R141" i="43"/>
  <c r="V141" i="43"/>
  <c r="R156" i="43"/>
  <c r="R158" i="43"/>
  <c r="R160" i="43"/>
  <c r="X175" i="43"/>
  <c r="Y175" i="43" s="1"/>
  <c r="AA175" i="43" s="1"/>
  <c r="AJ177" i="43"/>
  <c r="R178" i="43"/>
  <c r="AJ180" i="43"/>
  <c r="AP180" i="43"/>
  <c r="X180" i="43"/>
  <c r="Y180" i="43" s="1"/>
  <c r="AA180" i="43" s="1"/>
  <c r="X183" i="43"/>
  <c r="Y183" i="43"/>
  <c r="AA183" i="43" s="1"/>
  <c r="R183" i="43"/>
  <c r="AJ183" i="43"/>
  <c r="X221" i="43"/>
  <c r="Y221" i="43" s="1"/>
  <c r="AA221" i="43" s="1"/>
  <c r="R221" i="43"/>
  <c r="V221" i="43"/>
  <c r="X225" i="43"/>
  <c r="Y225" i="43" s="1"/>
  <c r="AA225" i="43" s="1"/>
  <c r="R225" i="43"/>
  <c r="V225" i="43" s="1"/>
  <c r="R184" i="43"/>
  <c r="T184" i="43"/>
  <c r="X184" i="43"/>
  <c r="Y184" i="43" s="1"/>
  <c r="AA184" i="43" s="1"/>
  <c r="R217" i="43"/>
  <c r="V217" i="43"/>
  <c r="X218" i="43"/>
  <c r="Y218" i="43" s="1"/>
  <c r="AA218" i="43" s="1"/>
  <c r="R218" i="43"/>
  <c r="T218" i="43" s="1"/>
  <c r="R236" i="43"/>
  <c r="V236" i="43"/>
  <c r="AB236" i="43"/>
  <c r="AC236" i="43" s="1"/>
  <c r="X210" i="43"/>
  <c r="Y210" i="43"/>
  <c r="AA210" i="43"/>
  <c r="R210" i="43"/>
  <c r="T210" i="43" s="1"/>
  <c r="X214" i="43"/>
  <c r="Y214" i="43"/>
  <c r="AA214" i="43" s="1"/>
  <c r="R214" i="43"/>
  <c r="V214" i="43"/>
  <c r="X208" i="43"/>
  <c r="Y208" i="43" s="1"/>
  <c r="AA208" i="43" s="1"/>
  <c r="R208" i="43"/>
  <c r="V208" i="43" s="1"/>
  <c r="T209" i="43"/>
  <c r="X233" i="43"/>
  <c r="Y233" i="43" s="1"/>
  <c r="AA233" i="43" s="1"/>
  <c r="R233" i="43"/>
  <c r="T233" i="43" s="1"/>
  <c r="R222" i="43"/>
  <c r="V222" i="43"/>
  <c r="R226" i="43"/>
  <c r="V226" i="43" s="1"/>
  <c r="R235" i="43"/>
  <c r="V235" i="43"/>
  <c r="X245" i="43"/>
  <c r="Y245" i="43" s="1"/>
  <c r="AA245" i="43" s="1"/>
  <c r="R245" i="43"/>
  <c r="V245" i="43"/>
  <c r="X248" i="43"/>
  <c r="Y248" i="43" s="1"/>
  <c r="AA248" i="43" s="1"/>
  <c r="R248" i="43"/>
  <c r="V248" i="43" s="1"/>
  <c r="X268" i="43"/>
  <c r="Y268" i="43"/>
  <c r="AA268" i="43"/>
  <c r="R207" i="43"/>
  <c r="V207" i="43" s="1"/>
  <c r="X207" i="43"/>
  <c r="Y207" i="43" s="1"/>
  <c r="AA207" i="43" s="1"/>
  <c r="AB207" i="43" s="1"/>
  <c r="R211" i="43"/>
  <c r="X211" i="43"/>
  <c r="Y211" i="43" s="1"/>
  <c r="AA211" i="43" s="1"/>
  <c r="AB211" i="43" s="1"/>
  <c r="R219" i="43"/>
  <c r="T219" i="43"/>
  <c r="X219" i="43"/>
  <c r="Y219" i="43" s="1"/>
  <c r="AA219" i="43" s="1"/>
  <c r="X223" i="43"/>
  <c r="Y223" i="43" s="1"/>
  <c r="AA223" i="43" s="1"/>
  <c r="R227" i="43"/>
  <c r="T227" i="43"/>
  <c r="X234" i="43"/>
  <c r="Y234" i="43" s="1"/>
  <c r="AA234" i="43" s="1"/>
  <c r="R234" i="43"/>
  <c r="V234" i="43" s="1"/>
  <c r="R237" i="43"/>
  <c r="T237" i="43"/>
  <c r="X272" i="43"/>
  <c r="Y272" i="43" s="1"/>
  <c r="AA272" i="43" s="1"/>
  <c r="R272" i="43"/>
  <c r="T272" i="43"/>
  <c r="R220" i="43"/>
  <c r="X220" i="43"/>
  <c r="Y220" i="43"/>
  <c r="AA220" i="43"/>
  <c r="AB220" i="43" s="1"/>
  <c r="R224" i="43"/>
  <c r="V224" i="43" s="1"/>
  <c r="X224" i="43"/>
  <c r="Y224" i="43"/>
  <c r="AA224" i="43" s="1"/>
  <c r="R232" i="43"/>
  <c r="T232" i="43"/>
  <c r="X232" i="43"/>
  <c r="Y232" i="43" s="1"/>
  <c r="AA232" i="43" s="1"/>
  <c r="X238" i="43"/>
  <c r="Y238" i="43"/>
  <c r="AA238" i="43" s="1"/>
  <c r="R238" i="43"/>
  <c r="T238" i="43"/>
  <c r="X262" i="43"/>
  <c r="Y262" i="43" s="1"/>
  <c r="AA262" i="43" s="1"/>
  <c r="X235" i="43"/>
  <c r="Y235" i="43"/>
  <c r="AA235" i="43" s="1"/>
  <c r="AB235" i="43" s="1"/>
  <c r="X251" i="43"/>
  <c r="Y251" i="43"/>
  <c r="AA251" i="43"/>
  <c r="R251" i="43"/>
  <c r="X252" i="43"/>
  <c r="Y252" i="43"/>
  <c r="AA252" i="43"/>
  <c r="R252" i="43"/>
  <c r="X255" i="43"/>
  <c r="Y255" i="43"/>
  <c r="AA255" i="43"/>
  <c r="R255" i="43"/>
  <c r="V255" i="43" s="1"/>
  <c r="X256" i="43"/>
  <c r="Y256" i="43"/>
  <c r="AA256" i="43"/>
  <c r="R256" i="43"/>
  <c r="T277" i="43"/>
  <c r="R247" i="43"/>
  <c r="T247" i="43"/>
  <c r="X247" i="43"/>
  <c r="Y247" i="43" s="1"/>
  <c r="AA247" i="43" s="1"/>
  <c r="AB247" i="43" s="1"/>
  <c r="R250" i="43"/>
  <c r="V250" i="43" s="1"/>
  <c r="X250" i="43"/>
  <c r="Y250" i="43"/>
  <c r="AA250" i="43"/>
  <c r="R254" i="43"/>
  <c r="V254" i="43" s="1"/>
  <c r="X254" i="43"/>
  <c r="Y254" i="43"/>
  <c r="AA254" i="43" s="1"/>
  <c r="R258" i="43"/>
  <c r="V258" i="43"/>
  <c r="R261" i="43"/>
  <c r="X261" i="43"/>
  <c r="Y261" i="43" s="1"/>
  <c r="AA261" i="43" s="1"/>
  <c r="R267" i="43"/>
  <c r="T267" i="43" s="1"/>
  <c r="X267" i="43" s="1"/>
  <c r="Y267" i="43" s="1"/>
  <c r="AA267" i="43" s="1"/>
  <c r="R271" i="43"/>
  <c r="V271" i="43" s="1"/>
  <c r="X271" i="43"/>
  <c r="Y271" i="43"/>
  <c r="AA271" i="43" s="1"/>
  <c r="R262" i="43"/>
  <c r="V262" i="43"/>
  <c r="R268" i="43"/>
  <c r="T268" i="43"/>
  <c r="T270" i="43"/>
  <c r="R259" i="43"/>
  <c r="X259" i="43"/>
  <c r="Y259" i="43"/>
  <c r="AA259" i="43"/>
  <c r="R265" i="43"/>
  <c r="T265" i="43" s="1"/>
  <c r="X265" i="43"/>
  <c r="Y265" i="43"/>
  <c r="AA265" i="43" s="1"/>
  <c r="R269" i="43"/>
  <c r="V269" i="43"/>
  <c r="X269" i="43"/>
  <c r="Y269" i="43" s="1"/>
  <c r="AA269" i="43" s="1"/>
  <c r="X277" i="43"/>
  <c r="Y277" i="43"/>
  <c r="AA277" i="43" s="1"/>
  <c r="AB277" i="43" s="1"/>
  <c r="V220" i="43"/>
  <c r="T220" i="43"/>
  <c r="V227" i="43"/>
  <c r="T224" i="43"/>
  <c r="V218" i="43"/>
  <c r="T269" i="43"/>
  <c r="T248" i="43"/>
  <c r="T255" i="43"/>
  <c r="T207" i="43"/>
  <c r="T158" i="43"/>
  <c r="V158" i="43"/>
  <c r="AL158" i="43" s="1"/>
  <c r="T214" i="43"/>
  <c r="V182" i="43"/>
  <c r="T182" i="43"/>
  <c r="T173" i="43"/>
  <c r="T171" i="43"/>
  <c r="T159" i="43"/>
  <c r="AL142" i="43"/>
  <c r="AP140" i="43"/>
  <c r="V133" i="43"/>
  <c r="AL133" i="43" s="1"/>
  <c r="T133" i="43"/>
  <c r="V97" i="43"/>
  <c r="AL97" i="43" s="1"/>
  <c r="T97" i="43"/>
  <c r="V120" i="43"/>
  <c r="AL120" i="43" s="1"/>
  <c r="T120" i="43"/>
  <c r="V105" i="43"/>
  <c r="T105" i="43"/>
  <c r="T140" i="43"/>
  <c r="X140" i="43"/>
  <c r="Y140" i="43"/>
  <c r="AA140" i="43" s="1"/>
  <c r="AL132" i="43"/>
  <c r="R161" i="43"/>
  <c r="V121" i="43"/>
  <c r="AL121" i="43"/>
  <c r="T121" i="43"/>
  <c r="V104" i="43"/>
  <c r="T104" i="43"/>
  <c r="V73" i="43"/>
  <c r="T73" i="43"/>
  <c r="X73" i="43"/>
  <c r="Y73" i="43"/>
  <c r="AA73" i="43" s="1"/>
  <c r="T70" i="43"/>
  <c r="T47" i="43"/>
  <c r="V47" i="43"/>
  <c r="T26" i="43"/>
  <c r="V26" i="43"/>
  <c r="AB94" i="43"/>
  <c r="AC94" i="43"/>
  <c r="T88" i="43"/>
  <c r="V88" i="43"/>
  <c r="AB88" i="43"/>
  <c r="T72" i="43"/>
  <c r="V40" i="43"/>
  <c r="AL40" i="43"/>
  <c r="T40" i="43"/>
  <c r="V32" i="43"/>
  <c r="AL32" i="43"/>
  <c r="T32" i="43"/>
  <c r="T63" i="43"/>
  <c r="T29" i="43"/>
  <c r="T52" i="43"/>
  <c r="T22" i="43"/>
  <c r="V22" i="43"/>
  <c r="V18" i="43"/>
  <c r="T18" i="43"/>
  <c r="T21" i="43"/>
  <c r="T156" i="43"/>
  <c r="V156" i="43"/>
  <c r="AL156" i="43"/>
  <c r="V122" i="43"/>
  <c r="AB122" i="43" s="1"/>
  <c r="AC122" i="43" s="1"/>
  <c r="T122" i="43"/>
  <c r="V107" i="43"/>
  <c r="T107" i="43"/>
  <c r="X107" i="43"/>
  <c r="Y107" i="43"/>
  <c r="AA107" i="43" s="1"/>
  <c r="AL104" i="43"/>
  <c r="AL105" i="43"/>
  <c r="V119" i="43"/>
  <c r="T119" i="43"/>
  <c r="T109" i="43"/>
  <c r="X109" i="43"/>
  <c r="Y109" i="43"/>
  <c r="AA109" i="43" s="1"/>
  <c r="V102" i="43"/>
  <c r="AL102" i="43"/>
  <c r="T102" i="43"/>
  <c r="V75" i="43"/>
  <c r="AB75" i="43" s="1"/>
  <c r="AC75" i="43" s="1"/>
  <c r="T75" i="43"/>
  <c r="T66" i="43"/>
  <c r="V66" i="43"/>
  <c r="AL66" i="43"/>
  <c r="T99" i="43"/>
  <c r="T93" i="43"/>
  <c r="T87" i="43"/>
  <c r="V57" i="43"/>
  <c r="AL57" i="43" s="1"/>
  <c r="T57" i="43"/>
  <c r="V55" i="43"/>
  <c r="T55" i="43"/>
  <c r="T91" i="43"/>
  <c r="T83" i="43"/>
  <c r="T60" i="43"/>
  <c r="V60" i="43"/>
  <c r="T89" i="43"/>
  <c r="V58" i="43"/>
  <c r="T58" i="43"/>
  <c r="V42" i="43"/>
  <c r="AL42" i="43"/>
  <c r="T42" i="43"/>
  <c r="V34" i="43"/>
  <c r="AB34" i="43"/>
  <c r="AC34" i="43"/>
  <c r="T34" i="43"/>
  <c r="AL26" i="43"/>
  <c r="V14" i="43"/>
  <c r="T14" i="43"/>
  <c r="V15" i="43"/>
  <c r="AL15" i="43" s="1"/>
  <c r="T15" i="43"/>
  <c r="AL23" i="43"/>
  <c r="V178" i="43"/>
  <c r="AL178" i="43" s="1"/>
  <c r="T178" i="43"/>
  <c r="T179" i="43"/>
  <c r="V169" i="43"/>
  <c r="AL172" i="43"/>
  <c r="V135" i="43"/>
  <c r="AL135" i="43"/>
  <c r="T135" i="43"/>
  <c r="T172" i="43"/>
  <c r="AJ161" i="43"/>
  <c r="V130" i="43"/>
  <c r="AL130" i="43"/>
  <c r="T130" i="43"/>
  <c r="V251" i="43"/>
  <c r="T251" i="43"/>
  <c r="V272" i="43"/>
  <c r="T258" i="43"/>
  <c r="X258" i="43"/>
  <c r="Y258" i="43"/>
  <c r="AA258" i="43" s="1"/>
  <c r="V211" i="43"/>
  <c r="T211" i="43"/>
  <c r="T271" i="43"/>
  <c r="T226" i="43"/>
  <c r="T217" i="43"/>
  <c r="T235" i="43"/>
  <c r="T141" i="43"/>
  <c r="T181" i="43"/>
  <c r="AP143" i="43"/>
  <c r="V137" i="43"/>
  <c r="AL137" i="43" s="1"/>
  <c r="T137" i="43"/>
  <c r="T110" i="43"/>
  <c r="V110" i="43"/>
  <c r="V95" i="43"/>
  <c r="T95" i="43"/>
  <c r="T142" i="43"/>
  <c r="T132" i="43"/>
  <c r="V124" i="43"/>
  <c r="AL124" i="43"/>
  <c r="T124" i="43"/>
  <c r="V101" i="43"/>
  <c r="AB101" i="43" s="1"/>
  <c r="AP101" i="43" s="1"/>
  <c r="T101" i="43"/>
  <c r="AL107" i="43"/>
  <c r="AL109" i="43"/>
  <c r="AP107" i="43"/>
  <c r="V128" i="43"/>
  <c r="T128" i="43"/>
  <c r="T92" i="43"/>
  <c r="V108" i="43"/>
  <c r="AL108" i="43" s="1"/>
  <c r="T108" i="43"/>
  <c r="AP99" i="43"/>
  <c r="T90" i="43"/>
  <c r="V90" i="43"/>
  <c r="AL90" i="43"/>
  <c r="T82" i="43"/>
  <c r="V82" i="43"/>
  <c r="AB82" i="43"/>
  <c r="AC82" i="43"/>
  <c r="T51" i="43"/>
  <c r="V51" i="43"/>
  <c r="T30" i="43"/>
  <c r="V30" i="43"/>
  <c r="AB30" i="43"/>
  <c r="AC30" i="43" s="1"/>
  <c r="T71" i="43"/>
  <c r="V71" i="43"/>
  <c r="AL71" i="43" s="1"/>
  <c r="AL91" i="43"/>
  <c r="T86" i="43"/>
  <c r="V86" i="43"/>
  <c r="T69" i="43"/>
  <c r="V69" i="43"/>
  <c r="AL69" i="43" s="1"/>
  <c r="T98" i="43"/>
  <c r="X98" i="43"/>
  <c r="Y98" i="43" s="1"/>
  <c r="AA98" i="43" s="1"/>
  <c r="V98" i="43"/>
  <c r="AL98" i="43"/>
  <c r="AP98" i="43"/>
  <c r="T84" i="43"/>
  <c r="V84" i="43"/>
  <c r="AL84" i="43"/>
  <c r="T62" i="43"/>
  <c r="V62" i="43"/>
  <c r="AL62" i="43"/>
  <c r="V44" i="43"/>
  <c r="AL44" i="43" s="1"/>
  <c r="T44" i="43"/>
  <c r="V36" i="43"/>
  <c r="AL36" i="43" s="1"/>
  <c r="T36" i="43"/>
  <c r="T50" i="43"/>
  <c r="T54" i="43"/>
  <c r="X54" i="43"/>
  <c r="Y54" i="43" s="1"/>
  <c r="AA54" i="43" s="1"/>
  <c r="T24" i="43"/>
  <c r="V24" i="43"/>
  <c r="AL24" i="43" s="1"/>
  <c r="T17" i="43"/>
  <c r="V210" i="43"/>
  <c r="AB210" i="43" s="1"/>
  <c r="AC210" i="43" s="1"/>
  <c r="V183" i="43"/>
  <c r="AL183" i="43" s="1"/>
  <c r="T183" i="43"/>
  <c r="T160" i="43"/>
  <c r="V160" i="43"/>
  <c r="AL182" i="43"/>
  <c r="V143" i="43"/>
  <c r="AB143" i="43" s="1"/>
  <c r="AC143" i="43" s="1"/>
  <c r="AR143" i="43" s="1"/>
  <c r="T143" i="43"/>
  <c r="T174" i="43"/>
  <c r="V138" i="43"/>
  <c r="T138" i="43"/>
  <c r="X138" i="43"/>
  <c r="Y138" i="43" s="1"/>
  <c r="AA138" i="43" s="1"/>
  <c r="V126" i="43"/>
  <c r="T126" i="43"/>
  <c r="V103" i="43"/>
  <c r="AL103" i="43" s="1"/>
  <c r="T103" i="43"/>
  <c r="AL110" i="43"/>
  <c r="AL101" i="43"/>
  <c r="AP108" i="43"/>
  <c r="V106" i="43"/>
  <c r="AB106" i="43"/>
  <c r="T106" i="43"/>
  <c r="V68" i="43"/>
  <c r="T68" i="43"/>
  <c r="T49" i="43"/>
  <c r="V49" i="43"/>
  <c r="AL49" i="43"/>
  <c r="T28" i="43"/>
  <c r="V28" i="43"/>
  <c r="AL28" i="43"/>
  <c r="AL88" i="43"/>
  <c r="AP111" i="43"/>
  <c r="AL85" i="43"/>
  <c r="AB84" i="43"/>
  <c r="V38" i="43"/>
  <c r="AL38" i="43" s="1"/>
  <c r="T38" i="43"/>
  <c r="AC32" i="43"/>
  <c r="AL25" i="43"/>
  <c r="T20" i="43"/>
  <c r="V20" i="43"/>
  <c r="AL20" i="43"/>
  <c r="AL48" i="43"/>
  <c r="T27" i="43"/>
  <c r="AP161" i="43"/>
  <c r="AL128" i="43"/>
  <c r="AL119" i="43"/>
  <c r="AC124" i="43"/>
  <c r="AN124" i="43" s="1"/>
  <c r="V161" i="43"/>
  <c r="T161" i="43"/>
  <c r="X161" i="43"/>
  <c r="Y161" i="43"/>
  <c r="AA161" i="43" s="1"/>
  <c r="AB90" i="43"/>
  <c r="AB137" i="43"/>
  <c r="AL82" i="43"/>
  <c r="AC95" i="43"/>
  <c r="AN95" i="43" s="1"/>
  <c r="AC57" i="43"/>
  <c r="AC44" i="43"/>
  <c r="AN44" i="43" s="1"/>
  <c r="AB42" i="43"/>
  <c r="AC42" i="43"/>
  <c r="AN42" i="43"/>
  <c r="V257" i="43"/>
  <c r="T257" i="43"/>
  <c r="X257" i="43"/>
  <c r="Y257" i="43"/>
  <c r="AA257" i="43" s="1"/>
  <c r="V177" i="43"/>
  <c r="AL177" i="43" s="1"/>
  <c r="T177" i="43"/>
  <c r="AL68" i="43"/>
  <c r="AB69" i="43"/>
  <c r="AL86" i="43"/>
  <c r="AB133" i="43"/>
  <c r="AC133" i="43" s="1"/>
  <c r="T25" i="43"/>
  <c r="X15" i="43"/>
  <c r="Y15" i="43"/>
  <c r="AA15" i="43" s="1"/>
  <c r="AL60" i="43"/>
  <c r="AB251" i="43"/>
  <c r="AC251" i="43" s="1"/>
  <c r="AB107" i="43"/>
  <c r="AC107" i="43" s="1"/>
  <c r="AR107" i="43" s="1"/>
  <c r="V219" i="43"/>
  <c r="AB269" i="43"/>
  <c r="R37" i="43"/>
  <c r="R61" i="43"/>
  <c r="X123" i="43"/>
  <c r="Y123" i="43" s="1"/>
  <c r="AA123" i="43" s="1"/>
  <c r="R246" i="43"/>
  <c r="R249" i="43"/>
  <c r="T249" i="43" s="1"/>
  <c r="X249" i="43"/>
  <c r="Y249" i="43" s="1"/>
  <c r="AA249" i="43"/>
  <c r="R253" i="43"/>
  <c r="V253" i="43" s="1"/>
  <c r="AL30" i="43"/>
  <c r="V268" i="43"/>
  <c r="AB268" i="43" s="1"/>
  <c r="AC268" i="43" s="1"/>
  <c r="AB221" i="43"/>
  <c r="AC221" i="43" s="1"/>
  <c r="AB182" i="43"/>
  <c r="AC182" i="43"/>
  <c r="AN182" i="43" s="1"/>
  <c r="AL181" i="43"/>
  <c r="AC181" i="43"/>
  <c r="AC48" i="43"/>
  <c r="AC55" i="43"/>
  <c r="AB141" i="43"/>
  <c r="AC141" i="43" s="1"/>
  <c r="AR141" i="43" s="1"/>
  <c r="AL141" i="43"/>
  <c r="AL58" i="43"/>
  <c r="V249" i="43"/>
  <c r="AC179" i="43"/>
  <c r="AN25" i="43"/>
  <c r="AR25" i="43"/>
  <c r="AL126" i="43"/>
  <c r="AL22" i="43"/>
  <c r="AL169" i="43"/>
  <c r="AL95" i="43"/>
  <c r="AC211" i="43"/>
  <c r="V112" i="43"/>
  <c r="T236" i="43"/>
  <c r="T222" i="43"/>
  <c r="X16" i="43"/>
  <c r="Y16" i="43" s="1"/>
  <c r="AA16" i="43" s="1"/>
  <c r="X45" i="43"/>
  <c r="Y45" i="43"/>
  <c r="AA45" i="43" s="1"/>
  <c r="AP60" i="43"/>
  <c r="X62" i="43"/>
  <c r="Y62" i="43"/>
  <c r="AA62" i="43" s="1"/>
  <c r="X104" i="43"/>
  <c r="Y104" i="43"/>
  <c r="AA104" i="43"/>
  <c r="AB104" i="43" s="1"/>
  <c r="R176" i="43"/>
  <c r="AR44" i="43"/>
  <c r="AL161" i="43"/>
  <c r="AB66" i="43"/>
  <c r="AL106" i="43"/>
  <c r="AB120" i="43"/>
  <c r="AL160" i="43"/>
  <c r="T250" i="43"/>
  <c r="AL47" i="43"/>
  <c r="T262" i="43"/>
  <c r="T245" i="43"/>
  <c r="T221" i="43"/>
  <c r="T136" i="43"/>
  <c r="AL99" i="43"/>
  <c r="AL53" i="43"/>
  <c r="AB270" i="43"/>
  <c r="AC270" i="43"/>
  <c r="AL138" i="43"/>
  <c r="X131" i="43"/>
  <c r="Y131" i="43"/>
  <c r="AA131" i="43"/>
  <c r="AL51" i="43"/>
  <c r="AB170" i="43"/>
  <c r="AC170" i="43"/>
  <c r="AL94" i="43"/>
  <c r="R39" i="43"/>
  <c r="X64" i="43"/>
  <c r="Y64" i="43"/>
  <c r="AA64" i="43" s="1"/>
  <c r="X121" i="43"/>
  <c r="Y121" i="43" s="1"/>
  <c r="AA121" i="43" s="1"/>
  <c r="X125" i="43"/>
  <c r="Y125" i="43"/>
  <c r="AA125" i="43" s="1"/>
  <c r="X129" i="43"/>
  <c r="Y129" i="43" s="1"/>
  <c r="AA129" i="43"/>
  <c r="X203" i="43"/>
  <c r="Y203" i="43" s="1"/>
  <c r="AA203" i="43" s="1"/>
  <c r="X217" i="43"/>
  <c r="Y217" i="43"/>
  <c r="AA217" i="43"/>
  <c r="AB217" i="43" s="1"/>
  <c r="X222" i="43"/>
  <c r="Y222" i="43"/>
  <c r="AA222" i="43" s="1"/>
  <c r="AB222" i="43"/>
  <c r="AC222" i="43" s="1"/>
  <c r="AC106" i="43"/>
  <c r="AP106" i="43"/>
  <c r="AR106" i="43" s="1"/>
  <c r="AP68" i="43"/>
  <c r="AC68" i="43"/>
  <c r="AB272" i="43"/>
  <c r="AC272" i="43"/>
  <c r="T254" i="43"/>
  <c r="V237" i="43"/>
  <c r="AB237" i="43"/>
  <c r="AC237" i="43" s="1"/>
  <c r="V259" i="43"/>
  <c r="AB259" i="43"/>
  <c r="AC259" i="43"/>
  <c r="T259" i="43"/>
  <c r="T256" i="43"/>
  <c r="V256" i="43"/>
  <c r="AB256" i="43"/>
  <c r="AC256" i="43" s="1"/>
  <c r="V252" i="43"/>
  <c r="T252" i="43"/>
  <c r="V246" i="43"/>
  <c r="T246" i="43"/>
  <c r="AL34" i="43"/>
  <c r="AB252" i="43"/>
  <c r="AC252" i="43" s="1"/>
  <c r="AC220" i="43"/>
  <c r="V61" i="43"/>
  <c r="AL61" i="43" s="1"/>
  <c r="T61" i="43"/>
  <c r="X61" i="43"/>
  <c r="Y61" i="43"/>
  <c r="AA61" i="43" s="1"/>
  <c r="T261" i="43"/>
  <c r="V261" i="43"/>
  <c r="T37" i="43"/>
  <c r="V37" i="43"/>
  <c r="AL37" i="43"/>
  <c r="V266" i="43"/>
  <c r="T266" i="43"/>
  <c r="X33" i="43"/>
  <c r="Y33" i="43"/>
  <c r="AA33" i="43" s="1"/>
  <c r="AP37" i="43"/>
  <c r="R43" i="43"/>
  <c r="X43" i="43"/>
  <c r="Y43" i="43" s="1"/>
  <c r="AA43" i="43" s="1"/>
  <c r="R59" i="43"/>
  <c r="T59" i="43" s="1"/>
  <c r="X60" i="43"/>
  <c r="Y60" i="43"/>
  <c r="AA60" i="43" s="1"/>
  <c r="X67" i="43"/>
  <c r="Y67" i="43" s="1"/>
  <c r="AA67" i="43" s="1"/>
  <c r="R100" i="43"/>
  <c r="X119" i="43"/>
  <c r="Y119" i="43" s="1"/>
  <c r="AA119" i="43" s="1"/>
  <c r="R123" i="43"/>
  <c r="R125" i="43"/>
  <c r="V238" i="43"/>
  <c r="AB238" i="43" s="1"/>
  <c r="AC238" i="43" s="1"/>
  <c r="V232" i="43"/>
  <c r="AB232" i="43" s="1"/>
  <c r="AC232" i="43" s="1"/>
  <c r="T225" i="43"/>
  <c r="T157" i="43"/>
  <c r="AL111" i="43"/>
  <c r="T94" i="43"/>
  <c r="AB91" i="43"/>
  <c r="AC91" i="43" s="1"/>
  <c r="T85" i="43"/>
  <c r="AL31" i="43"/>
  <c r="X41" i="43"/>
  <c r="Y41" i="43"/>
  <c r="AA41" i="43" s="1"/>
  <c r="R74" i="43"/>
  <c r="X102" i="43"/>
  <c r="Y102" i="43"/>
  <c r="AA102" i="43" s="1"/>
  <c r="X108" i="43"/>
  <c r="Y108" i="43"/>
  <c r="AA108" i="43" s="1"/>
  <c r="AP123" i="43"/>
  <c r="AP175" i="43"/>
  <c r="X226" i="43"/>
  <c r="Y226" i="43"/>
  <c r="AA226" i="43"/>
  <c r="R239" i="43"/>
  <c r="T53" i="43"/>
  <c r="X53" i="43" s="1"/>
  <c r="Y53" i="43" s="1"/>
  <c r="AA53" i="43" s="1"/>
  <c r="V46" i="43"/>
  <c r="AP15" i="43"/>
  <c r="X20" i="43"/>
  <c r="Y20" i="43" s="1"/>
  <c r="AA20" i="43" s="1"/>
  <c r="R41" i="43"/>
  <c r="V41" i="43" s="1"/>
  <c r="AL41" i="43" s="1"/>
  <c r="R139" i="43"/>
  <c r="T139" i="43"/>
  <c r="X139" i="43"/>
  <c r="Y139" i="43" s="1"/>
  <c r="AA139" i="43" s="1"/>
  <c r="R175" i="43"/>
  <c r="V175" i="43" s="1"/>
  <c r="X246" i="43"/>
  <c r="Y246" i="43" s="1"/>
  <c r="AA246" i="43" s="1"/>
  <c r="X253" i="43"/>
  <c r="Y253" i="43" s="1"/>
  <c r="AA253" i="43" s="1"/>
  <c r="AR95" i="43"/>
  <c r="AB161" i="43"/>
  <c r="AC161" i="43" s="1"/>
  <c r="AN161" i="43" s="1"/>
  <c r="AN94" i="43"/>
  <c r="AR94" i="43" s="1"/>
  <c r="AN32" i="43"/>
  <c r="AN82" i="43"/>
  <c r="AR82" i="43"/>
  <c r="AB73" i="43"/>
  <c r="AN181" i="43"/>
  <c r="AR181" i="43" s="1"/>
  <c r="AN30" i="43"/>
  <c r="AR30" i="43" s="1"/>
  <c r="AN34" i="43"/>
  <c r="AR34" i="43"/>
  <c r="AC88" i="43"/>
  <c r="AR124" i="43"/>
  <c r="AB138" i="43"/>
  <c r="AC138" i="43" s="1"/>
  <c r="AN138" i="43" s="1"/>
  <c r="AB98" i="43"/>
  <c r="AC98" i="43"/>
  <c r="AC101" i="43"/>
  <c r="AR101" i="43" s="1"/>
  <c r="AN179" i="43"/>
  <c r="AR179" i="43"/>
  <c r="AB109" i="43"/>
  <c r="AC109" i="43" s="1"/>
  <c r="AR109" i="43" s="1"/>
  <c r="AN122" i="43"/>
  <c r="AR122" i="43"/>
  <c r="AB49" i="43"/>
  <c r="AB130" i="43"/>
  <c r="AC130" i="43" s="1"/>
  <c r="AN130" i="43" s="1"/>
  <c r="AB271" i="43"/>
  <c r="AC271" i="43" s="1"/>
  <c r="AB261" i="43"/>
  <c r="AC261" i="43"/>
  <c r="AB258" i="43"/>
  <c r="AC258" i="43" s="1"/>
  <c r="AB250" i="43"/>
  <c r="AC250" i="43"/>
  <c r="AB245" i="43"/>
  <c r="AC245" i="43"/>
  <c r="AB93" i="43"/>
  <c r="AC93" i="43" s="1"/>
  <c r="AN93" i="43" s="1"/>
  <c r="AB183" i="43"/>
  <c r="AC183" i="43"/>
  <c r="AB103" i="43"/>
  <c r="AL75" i="43"/>
  <c r="AL122" i="43"/>
  <c r="AC269" i="43"/>
  <c r="AB254" i="43"/>
  <c r="AC254" i="43" s="1"/>
  <c r="AB234" i="43"/>
  <c r="AC234" i="43"/>
  <c r="AB132" i="43"/>
  <c r="AC132" i="43" s="1"/>
  <c r="AB111" i="43"/>
  <c r="AC111" i="43"/>
  <c r="AR111" i="43" s="1"/>
  <c r="AB96" i="43"/>
  <c r="AC96" i="43"/>
  <c r="AB255" i="43"/>
  <c r="AC255" i="43" s="1"/>
  <c r="V267" i="43"/>
  <c r="V233" i="43"/>
  <c r="AB233" i="43"/>
  <c r="T208" i="43"/>
  <c r="V184" i="43"/>
  <c r="AL184" i="43"/>
  <c r="V59" i="43"/>
  <c r="AL59" i="43" s="1"/>
  <c r="AB37" i="43"/>
  <c r="AC37" i="43" s="1"/>
  <c r="V247" i="43"/>
  <c r="T234" i="43"/>
  <c r="T96" i="43"/>
  <c r="AB23" i="43"/>
  <c r="AC23" i="43"/>
  <c r="AB41" i="43"/>
  <c r="V74" i="43"/>
  <c r="AL74" i="43"/>
  <c r="T74" i="43"/>
  <c r="V139" i="43"/>
  <c r="R64" i="43"/>
  <c r="R67" i="43"/>
  <c r="R203" i="43"/>
  <c r="T203" i="43" s="1"/>
  <c r="X59" i="43"/>
  <c r="Y59" i="43" s="1"/>
  <c r="AA59" i="43" s="1"/>
  <c r="X74" i="43"/>
  <c r="Y74" i="43" s="1"/>
  <c r="AA74" i="43" s="1"/>
  <c r="R127" i="43"/>
  <c r="R129" i="43"/>
  <c r="T129" i="43" s="1"/>
  <c r="R131" i="43"/>
  <c r="R260" i="43"/>
  <c r="P155" i="44"/>
  <c r="Q119" i="44"/>
  <c r="I242" i="17"/>
  <c r="J242" i="17" s="1"/>
  <c r="K242" i="17" s="1"/>
  <c r="I240" i="17"/>
  <c r="J240" i="17" s="1"/>
  <c r="K240" i="17" s="1"/>
  <c r="I262" i="17"/>
  <c r="J262" i="17" s="1"/>
  <c r="K262" i="17" s="1"/>
  <c r="C3" i="39"/>
  <c r="Q11" i="39" s="1"/>
  <c r="R11" i="39" s="1"/>
  <c r="AB249" i="43"/>
  <c r="AC249" i="43"/>
  <c r="AP69" i="43"/>
  <c r="AC69" i="43"/>
  <c r="AR69" i="43"/>
  <c r="AP104" i="43"/>
  <c r="AR161" i="43"/>
  <c r="AR68" i="43"/>
  <c r="T39" i="43"/>
  <c r="V39" i="43"/>
  <c r="AN98" i="43"/>
  <c r="AR98" i="43" s="1"/>
  <c r="AL112" i="43"/>
  <c r="AB112" i="43"/>
  <c r="AC112" i="43" s="1"/>
  <c r="AR112" i="43" s="1"/>
  <c r="AR138" i="43"/>
  <c r="AN170" i="43"/>
  <c r="AR170" i="43"/>
  <c r="AC66" i="43"/>
  <c r="AP66" i="43"/>
  <c r="T176" i="43"/>
  <c r="V176" i="43"/>
  <c r="AL176" i="43" s="1"/>
  <c r="T100" i="43"/>
  <c r="V100" i="43"/>
  <c r="AL100" i="43" s="1"/>
  <c r="R114" i="43"/>
  <c r="T175" i="43"/>
  <c r="T239" i="43"/>
  <c r="V239" i="43"/>
  <c r="AB239" i="43"/>
  <c r="AC239" i="43"/>
  <c r="V125" i="43"/>
  <c r="V123" i="43"/>
  <c r="V145" i="43" s="1"/>
  <c r="T123" i="43"/>
  <c r="V43" i="43"/>
  <c r="T43" i="43"/>
  <c r="AB253" i="43"/>
  <c r="AL46" i="43"/>
  <c r="AB46" i="43"/>
  <c r="AC46" i="43"/>
  <c r="AN46" i="43" s="1"/>
  <c r="AB61" i="43"/>
  <c r="AC61" i="43" s="1"/>
  <c r="AN132" i="43"/>
  <c r="AR132" i="43" s="1"/>
  <c r="V260" i="43"/>
  <c r="T260" i="43"/>
  <c r="T64" i="43"/>
  <c r="V64" i="43"/>
  <c r="AB139" i="43"/>
  <c r="AN96" i="43"/>
  <c r="AR96" i="43" s="1"/>
  <c r="AN88" i="43"/>
  <c r="AR88" i="43" s="1"/>
  <c r="V131" i="43"/>
  <c r="T131" i="43"/>
  <c r="AB59" i="43"/>
  <c r="AN23" i="43"/>
  <c r="AR23" i="43" s="1"/>
  <c r="AN183" i="43"/>
  <c r="AR183" i="43"/>
  <c r="V129" i="43"/>
  <c r="AB129" i="43" s="1"/>
  <c r="AC129" i="43" s="1"/>
  <c r="V203" i="43"/>
  <c r="AB203" i="43" s="1"/>
  <c r="AC203" i="43" s="1"/>
  <c r="AR93" i="43"/>
  <c r="AB184" i="43"/>
  <c r="AC184" i="43" s="1"/>
  <c r="V127" i="43"/>
  <c r="T127" i="43"/>
  <c r="V67" i="43"/>
  <c r="T67" i="43"/>
  <c r="AL139" i="43"/>
  <c r="E195" i="43"/>
  <c r="AR130" i="43"/>
  <c r="AR66" i="43"/>
  <c r="AB39" i="43"/>
  <c r="AC39" i="43" s="1"/>
  <c r="AN39" i="43" s="1"/>
  <c r="AL39" i="43"/>
  <c r="AB176" i="43"/>
  <c r="AC176" i="43" s="1"/>
  <c r="AP59" i="43"/>
  <c r="AL43" i="43"/>
  <c r="AB43" i="43"/>
  <c r="AB100" i="43"/>
  <c r="AP100" i="43" s="1"/>
  <c r="V114" i="43"/>
  <c r="AB175" i="43"/>
  <c r="AC175" i="43" s="1"/>
  <c r="AR46" i="43"/>
  <c r="AL123" i="43"/>
  <c r="AB123" i="43"/>
  <c r="AB125" i="43"/>
  <c r="AC125" i="43" s="1"/>
  <c r="AL125" i="43"/>
  <c r="AL67" i="43"/>
  <c r="AB67" i="43"/>
  <c r="AB131" i="43"/>
  <c r="AC131" i="43" s="1"/>
  <c r="AL131" i="43"/>
  <c r="AL64" i="43"/>
  <c r="AB64" i="43"/>
  <c r="AP64" i="43" s="1"/>
  <c r="AL127" i="43"/>
  <c r="AC100" i="43"/>
  <c r="AN131" i="43"/>
  <c r="AR131" i="43" s="1"/>
  <c r="AP67" i="43"/>
  <c r="AC67" i="43"/>
  <c r="AR67" i="43" s="1"/>
  <c r="AC64" i="43"/>
  <c r="AR64" i="43" s="1"/>
  <c r="K405" i="39"/>
  <c r="K295" i="39"/>
  <c r="B24" i="26" s="1"/>
  <c r="AE76" i="44"/>
  <c r="AE67" i="44"/>
  <c r="AG55" i="44"/>
  <c r="AP55" i="44" s="1"/>
  <c r="AE130" i="44"/>
  <c r="AE88" i="44"/>
  <c r="AE127" i="44"/>
  <c r="M105" i="42"/>
  <c r="N105" i="42" s="1"/>
  <c r="M274" i="17"/>
  <c r="N274" i="17" s="1"/>
  <c r="O274" i="17" s="1"/>
  <c r="M284" i="17"/>
  <c r="N284" i="17" s="1"/>
  <c r="O284" i="17" s="1"/>
  <c r="L240" i="17"/>
  <c r="L164" i="17"/>
  <c r="M164" i="17" s="1"/>
  <c r="N112" i="17"/>
  <c r="O112" i="17" s="1"/>
  <c r="D30" i="26"/>
  <c r="Q253" i="17"/>
  <c r="R253" i="17" s="1"/>
  <c r="S253" i="17" s="1"/>
  <c r="I139" i="17"/>
  <c r="J139" i="17" s="1"/>
  <c r="K139" i="17" s="1"/>
  <c r="I99" i="17"/>
  <c r="J99" i="17" s="1"/>
  <c r="K99" i="17" s="1"/>
  <c r="I143" i="17"/>
  <c r="J143" i="17" s="1"/>
  <c r="K143" i="17" s="1"/>
  <c r="K158" i="17"/>
  <c r="P158" i="17" s="1"/>
  <c r="K208" i="17"/>
  <c r="P208" i="17" s="1"/>
  <c r="I97" i="17"/>
  <c r="J97" i="17" s="1"/>
  <c r="K97" i="17" s="1"/>
  <c r="L153" i="17"/>
  <c r="M153" i="17" s="1"/>
  <c r="L32" i="17"/>
  <c r="M32" i="17" s="1"/>
  <c r="M107" i="17"/>
  <c r="L143" i="17"/>
  <c r="M143" i="17" s="1"/>
  <c r="L295" i="17"/>
  <c r="M295" i="17" s="1"/>
  <c r="L97" i="17"/>
  <c r="M97" i="17" s="1"/>
  <c r="K163" i="17"/>
  <c r="P163" i="17" s="1"/>
  <c r="I164" i="17"/>
  <c r="J164" i="17" s="1"/>
  <c r="K164" i="17" s="1"/>
  <c r="I155" i="17"/>
  <c r="J155" i="17" s="1"/>
  <c r="K155" i="17" s="1"/>
  <c r="I137" i="17"/>
  <c r="J137" i="17" s="1"/>
  <c r="K137" i="17" s="1"/>
  <c r="Q269" i="17"/>
  <c r="R269" i="17" s="1"/>
  <c r="S269" i="17" s="1"/>
  <c r="Q271" i="17"/>
  <c r="R271" i="17" s="1"/>
  <c r="S271" i="17" s="1"/>
  <c r="Q245" i="17"/>
  <c r="R245" i="17" s="1"/>
  <c r="S245" i="17" s="1"/>
  <c r="O403" i="39" l="1"/>
  <c r="P403" i="39" s="1"/>
  <c r="Q403" i="39" s="1"/>
  <c r="R403" i="39" s="1"/>
  <c r="O455" i="39"/>
  <c r="O454" i="39"/>
  <c r="N186" i="17"/>
  <c r="O402" i="39"/>
  <c r="O291" i="39"/>
  <c r="L124" i="39"/>
  <c r="M124" i="39" s="1"/>
  <c r="N124" i="39" s="1"/>
  <c r="K166" i="39"/>
  <c r="P402" i="39"/>
  <c r="Q402" i="39" s="1"/>
  <c r="R402" i="39" s="1"/>
  <c r="N409" i="39"/>
  <c r="N457" i="39" s="1"/>
  <c r="M457" i="39"/>
  <c r="O293" i="39"/>
  <c r="O292" i="39"/>
  <c r="P292" i="39" s="1"/>
  <c r="Q292" i="39" s="1"/>
  <c r="R292" i="39" s="1"/>
  <c r="O401" i="39"/>
  <c r="P401" i="39" s="1"/>
  <c r="Q401" i="39" s="1"/>
  <c r="R401" i="39" s="1"/>
  <c r="L405" i="39"/>
  <c r="N370" i="39"/>
  <c r="N405" i="39" s="1"/>
  <c r="M405" i="39"/>
  <c r="L365" i="39"/>
  <c r="D26" i="26" s="1"/>
  <c r="N299" i="39"/>
  <c r="N365" i="39" s="1"/>
  <c r="M365" i="39"/>
  <c r="M13" i="39"/>
  <c r="L166" i="39"/>
  <c r="O400" i="39"/>
  <c r="P400" i="39" s="1"/>
  <c r="Q400" i="39" s="1"/>
  <c r="R400" i="39" s="1"/>
  <c r="O290" i="39"/>
  <c r="L295" i="39"/>
  <c r="D24" i="26" s="1"/>
  <c r="N169" i="39"/>
  <c r="N295" i="39" s="1"/>
  <c r="M295" i="39"/>
  <c r="B28" i="26"/>
  <c r="M219" i="17"/>
  <c r="N221" i="17"/>
  <c r="O221" i="17" s="1"/>
  <c r="M221" i="17"/>
  <c r="C46" i="26"/>
  <c r="M248" i="17"/>
  <c r="D3" i="17"/>
  <c r="S11" i="17" s="1"/>
  <c r="B22" i="26"/>
  <c r="D3" i="43"/>
  <c r="M107" i="42"/>
  <c r="N107" i="42" s="1"/>
  <c r="AE214" i="44"/>
  <c r="AG95" i="44"/>
  <c r="AE75" i="44"/>
  <c r="Q162" i="17"/>
  <c r="R162" i="17" s="1"/>
  <c r="S162" i="17" s="1"/>
  <c r="P256" i="17"/>
  <c r="Q256" i="17" s="1"/>
  <c r="Q270" i="17"/>
  <c r="R270" i="17" s="1"/>
  <c r="S270" i="17" s="1"/>
  <c r="R283" i="17"/>
  <c r="S283" i="17" s="1"/>
  <c r="M243" i="17"/>
  <c r="N243" i="17" s="1"/>
  <c r="O243" i="17" s="1"/>
  <c r="AG77" i="44"/>
  <c r="AJ77" i="44" s="1"/>
  <c r="I111" i="17"/>
  <c r="J111" i="17" s="1"/>
  <c r="K111" i="17" s="1"/>
  <c r="P174" i="17"/>
  <c r="I14" i="17"/>
  <c r="J14" i="17" s="1"/>
  <c r="K14" i="17" s="1"/>
  <c r="AG150" i="44"/>
  <c r="AP150" i="44" s="1"/>
  <c r="I151" i="17"/>
  <c r="J151" i="17" s="1"/>
  <c r="K151" i="17" s="1"/>
  <c r="K267" i="17"/>
  <c r="P267" i="17" s="1"/>
  <c r="Q217" i="17"/>
  <c r="R217" i="17" s="1"/>
  <c r="S217" i="17" s="1"/>
  <c r="I20" i="17"/>
  <c r="J20" i="17" s="1"/>
  <c r="K20" i="17" s="1"/>
  <c r="AG199" i="44"/>
  <c r="I288" i="17"/>
  <c r="J288" i="17" s="1"/>
  <c r="K288" i="17" s="1"/>
  <c r="Q112" i="17"/>
  <c r="R112" i="17" s="1"/>
  <c r="S112" i="17" s="1"/>
  <c r="Q263" i="17"/>
  <c r="R263" i="17" s="1"/>
  <c r="S263" i="17" s="1"/>
  <c r="Q49" i="17"/>
  <c r="R49" i="17" s="1"/>
  <c r="S49" i="17" s="1"/>
  <c r="AG179" i="44"/>
  <c r="P65" i="17"/>
  <c r="Q65" i="17" s="1"/>
  <c r="K196" i="17"/>
  <c r="P196" i="17" s="1"/>
  <c r="M158" i="17"/>
  <c r="N158" i="17" s="1"/>
  <c r="O158" i="17" s="1"/>
  <c r="AE190" i="44"/>
  <c r="AG135" i="44"/>
  <c r="AJ135" i="44" s="1"/>
  <c r="AG196" i="44"/>
  <c r="AE102" i="44"/>
  <c r="K259" i="17"/>
  <c r="P259" i="17" s="1"/>
  <c r="L147" i="17"/>
  <c r="M147" i="17" s="1"/>
  <c r="L111" i="17"/>
  <c r="M111" i="17" s="1"/>
  <c r="AE176" i="44"/>
  <c r="AG69" i="44"/>
  <c r="AJ69" i="44" s="1"/>
  <c r="AG28" i="44"/>
  <c r="AP28" i="44" s="1"/>
  <c r="I295" i="17"/>
  <c r="J295" i="17" s="1"/>
  <c r="K295" i="17" s="1"/>
  <c r="I105" i="17"/>
  <c r="J105" i="17" s="1"/>
  <c r="K105" i="17" s="1"/>
  <c r="Q249" i="17"/>
  <c r="Q171" i="17"/>
  <c r="R171" i="17" s="1"/>
  <c r="S171" i="17" s="1"/>
  <c r="C30" i="26"/>
  <c r="P149" i="42"/>
  <c r="P152" i="42" s="1"/>
  <c r="O363" i="39"/>
  <c r="P363" i="39" s="1"/>
  <c r="Q363" i="39" s="1"/>
  <c r="R363" i="39" s="1"/>
  <c r="O164" i="39"/>
  <c r="M136" i="17"/>
  <c r="Q48" i="17"/>
  <c r="R48" i="17" s="1"/>
  <c r="S48" i="17" s="1"/>
  <c r="I46" i="17"/>
  <c r="J46" i="17" s="1"/>
  <c r="K46" i="17" s="1"/>
  <c r="L105" i="17"/>
  <c r="M105" i="17" s="1"/>
  <c r="N159" i="17"/>
  <c r="O159" i="17" s="1"/>
  <c r="P159" i="17" s="1"/>
  <c r="Q159" i="17" s="1"/>
  <c r="R159" i="17" s="1"/>
  <c r="S159" i="17" s="1"/>
  <c r="M289" i="17"/>
  <c r="N289" i="17" s="1"/>
  <c r="O289" i="17" s="1"/>
  <c r="I290" i="17"/>
  <c r="J290" i="17" s="1"/>
  <c r="K290" i="17" s="1"/>
  <c r="L268" i="17"/>
  <c r="M268" i="17" s="1"/>
  <c r="N268" i="17" s="1"/>
  <c r="O268" i="17" s="1"/>
  <c r="P268" i="17" s="1"/>
  <c r="Q268" i="17" s="1"/>
  <c r="R268" i="17" s="1"/>
  <c r="S268" i="17" s="1"/>
  <c r="L288" i="17"/>
  <c r="M288" i="17" s="1"/>
  <c r="N288" i="17" s="1"/>
  <c r="O288" i="17" s="1"/>
  <c r="P288" i="17" s="1"/>
  <c r="N171" i="17"/>
  <c r="O171" i="17" s="1"/>
  <c r="M40" i="17"/>
  <c r="N40" i="17" s="1"/>
  <c r="O40" i="17" s="1"/>
  <c r="M247" i="17"/>
  <c r="N247" i="17" s="1"/>
  <c r="O247" i="17" s="1"/>
  <c r="I36" i="17"/>
  <c r="J36" i="17" s="1"/>
  <c r="K36" i="17" s="1"/>
  <c r="I107" i="17"/>
  <c r="J107" i="17" s="1"/>
  <c r="K107" i="17" s="1"/>
  <c r="N204" i="17"/>
  <c r="L14" i="17"/>
  <c r="M14" i="17" s="1"/>
  <c r="M187" i="17"/>
  <c r="N187" i="17" s="1"/>
  <c r="O187" i="17" s="1"/>
  <c r="I277" i="17"/>
  <c r="J277" i="17" s="1"/>
  <c r="K277" i="17" s="1"/>
  <c r="P86" i="17"/>
  <c r="P88" i="17"/>
  <c r="AE54" i="44"/>
  <c r="P50" i="17"/>
  <c r="Q50" i="17" s="1"/>
  <c r="R50" i="17" s="1"/>
  <c r="S50" i="17" s="1"/>
  <c r="Q121" i="17"/>
  <c r="R121" i="17" s="1"/>
  <c r="S121" i="17" s="1"/>
  <c r="P59" i="17"/>
  <c r="Q59" i="17" s="1"/>
  <c r="P80" i="17"/>
  <c r="Q80" i="17" s="1"/>
  <c r="R80" i="17" s="1"/>
  <c r="S80" i="17" s="1"/>
  <c r="P81" i="17"/>
  <c r="P85" i="17"/>
  <c r="P129" i="17"/>
  <c r="P128" i="17"/>
  <c r="P87" i="17"/>
  <c r="P83" i="17"/>
  <c r="Q83" i="17" s="1"/>
  <c r="R83" i="17" s="1"/>
  <c r="S83" i="17" s="1"/>
  <c r="P130" i="17"/>
  <c r="Q130" i="17" s="1"/>
  <c r="R130" i="17" s="1"/>
  <c r="S130" i="17" s="1"/>
  <c r="P84" i="17"/>
  <c r="Q84" i="17" s="1"/>
  <c r="R84" i="17" s="1"/>
  <c r="S84" i="17" s="1"/>
  <c r="P82" i="17"/>
  <c r="Q82" i="17" s="1"/>
  <c r="R82" i="17" s="1"/>
  <c r="S82" i="17" s="1"/>
  <c r="Q287" i="17"/>
  <c r="L22" i="17"/>
  <c r="M22" i="17" s="1"/>
  <c r="N32" i="17"/>
  <c r="O32" i="17" s="1"/>
  <c r="Q119" i="17"/>
  <c r="R119" i="17" s="1"/>
  <c r="S119" i="17" s="1"/>
  <c r="K31" i="17"/>
  <c r="P31" i="17" s="1"/>
  <c r="Q31" i="17" s="1"/>
  <c r="R31" i="17" s="1"/>
  <c r="S31" i="17" s="1"/>
  <c r="M257" i="17"/>
  <c r="L251" i="17"/>
  <c r="M251" i="17" s="1"/>
  <c r="L280" i="17"/>
  <c r="M280" i="17" s="1"/>
  <c r="N280" i="17" s="1"/>
  <c r="O280" i="17" s="1"/>
  <c r="P280" i="17" s="1"/>
  <c r="AE134" i="44"/>
  <c r="AE133" i="44"/>
  <c r="AE180" i="44"/>
  <c r="AE90" i="44"/>
  <c r="AE204" i="44"/>
  <c r="AE65" i="44"/>
  <c r="AE59" i="44"/>
  <c r="AE44" i="44"/>
  <c r="AE43" i="44"/>
  <c r="I95" i="17"/>
  <c r="J95" i="17" s="1"/>
  <c r="K95" i="17" s="1"/>
  <c r="K296" i="17"/>
  <c r="P296" i="17" s="1"/>
  <c r="Q296" i="17" s="1"/>
  <c r="R296" i="17" s="1"/>
  <c r="S296" i="17" s="1"/>
  <c r="K23" i="17"/>
  <c r="P23" i="17" s="1"/>
  <c r="Q23" i="17" s="1"/>
  <c r="R23" i="17" s="1"/>
  <c r="S23" i="17" s="1"/>
  <c r="AE69" i="44"/>
  <c r="AE152" i="44"/>
  <c r="AE93" i="44"/>
  <c r="AE61" i="44"/>
  <c r="AE151" i="44"/>
  <c r="AE39" i="44"/>
  <c r="AE15" i="44"/>
  <c r="AE58" i="44"/>
  <c r="AE145" i="44"/>
  <c r="AE195" i="44"/>
  <c r="J109" i="42"/>
  <c r="K109" i="42" s="1"/>
  <c r="L109" i="42" s="1"/>
  <c r="I153" i="17"/>
  <c r="J153" i="17" s="1"/>
  <c r="K153" i="17" s="1"/>
  <c r="Q241" i="17"/>
  <c r="R241" i="17" s="1"/>
  <c r="S241" i="17" s="1"/>
  <c r="Q115" i="17"/>
  <c r="R115" i="17" s="1"/>
  <c r="S115" i="17" s="1"/>
  <c r="M13" i="17"/>
  <c r="L242" i="17"/>
  <c r="M242" i="17" s="1"/>
  <c r="N242" i="17" s="1"/>
  <c r="O242" i="17" s="1"/>
  <c r="P242" i="17" s="1"/>
  <c r="M194" i="17"/>
  <c r="N194" i="17" s="1"/>
  <c r="O194" i="17" s="1"/>
  <c r="AE94" i="44"/>
  <c r="AE186" i="44"/>
  <c r="AE136" i="44"/>
  <c r="AE112" i="44"/>
  <c r="AE197" i="44"/>
  <c r="AE60" i="44"/>
  <c r="AE34" i="44"/>
  <c r="AE35" i="44"/>
  <c r="I193" i="17"/>
  <c r="J193" i="17" s="1"/>
  <c r="K193" i="17" s="1"/>
  <c r="AE142" i="44"/>
  <c r="R214" i="44"/>
  <c r="V214" i="44" s="1"/>
  <c r="O453" i="39"/>
  <c r="P453" i="39" s="1"/>
  <c r="O399" i="39"/>
  <c r="Q144" i="42"/>
  <c r="R144" i="42" s="1"/>
  <c r="Q98" i="42"/>
  <c r="Q286" i="17"/>
  <c r="R286" i="17" s="1"/>
  <c r="S286" i="17" s="1"/>
  <c r="O287" i="39"/>
  <c r="P287" i="39" s="1"/>
  <c r="Q287" i="39" s="1"/>
  <c r="R287" i="39" s="1"/>
  <c r="O288" i="39"/>
  <c r="O289" i="39"/>
  <c r="Q117" i="42"/>
  <c r="Q97" i="42"/>
  <c r="R97" i="42" s="1"/>
  <c r="S97" i="42" s="1"/>
  <c r="T97" i="42" s="1"/>
  <c r="Q96" i="42"/>
  <c r="M240" i="17"/>
  <c r="N240" i="17" s="1"/>
  <c r="O240" i="17" s="1"/>
  <c r="P240" i="17" s="1"/>
  <c r="R117" i="42"/>
  <c r="AB11" i="44"/>
  <c r="AC11" i="44" s="1"/>
  <c r="Y11" i="44"/>
  <c r="C3" i="42"/>
  <c r="S11" i="42" s="1"/>
  <c r="T11" i="42" s="1"/>
  <c r="M258" i="17"/>
  <c r="P51" i="17"/>
  <c r="Q51" i="17" s="1"/>
  <c r="R51" i="17" s="1"/>
  <c r="S51" i="17" s="1"/>
  <c r="M244" i="17"/>
  <c r="K79" i="42"/>
  <c r="L79" i="42" s="1"/>
  <c r="O79" i="42"/>
  <c r="P79" i="42" s="1"/>
  <c r="L30" i="17"/>
  <c r="M30" i="17" s="1"/>
  <c r="M150" i="17"/>
  <c r="N150" i="17" s="1"/>
  <c r="O150" i="17" s="1"/>
  <c r="M100" i="17"/>
  <c r="N100" i="17" s="1"/>
  <c r="O100" i="17" s="1"/>
  <c r="M140" i="17"/>
  <c r="N140" i="17" s="1"/>
  <c r="O140" i="17" s="1"/>
  <c r="AE82" i="44"/>
  <c r="AE77" i="44"/>
  <c r="R77" i="44" s="1"/>
  <c r="AE189" i="44"/>
  <c r="AE182" i="44"/>
  <c r="AE144" i="44"/>
  <c r="AE185" i="44"/>
  <c r="AE206" i="44"/>
  <c r="AE71" i="44"/>
  <c r="AE98" i="44"/>
  <c r="AE95" i="44"/>
  <c r="X95" i="44" s="1"/>
  <c r="Y95" i="44" s="1"/>
  <c r="AA95" i="44" s="1"/>
  <c r="AE138" i="44"/>
  <c r="AE201" i="44"/>
  <c r="AE194" i="44"/>
  <c r="AE68" i="44"/>
  <c r="AE73" i="44"/>
  <c r="AE96" i="44"/>
  <c r="AE117" i="44"/>
  <c r="R117" i="44" s="1"/>
  <c r="T117" i="44" s="1"/>
  <c r="AE140" i="44"/>
  <c r="AE191" i="44"/>
  <c r="AE198" i="44"/>
  <c r="AE13" i="44"/>
  <c r="AE55" i="44"/>
  <c r="R55" i="44" s="1"/>
  <c r="AE30" i="44"/>
  <c r="AE132" i="44"/>
  <c r="AE181" i="44"/>
  <c r="AE29" i="44"/>
  <c r="AE42" i="44"/>
  <c r="AE72" i="44"/>
  <c r="AE139" i="44"/>
  <c r="AE33" i="44"/>
  <c r="AE12" i="44"/>
  <c r="AE74" i="44"/>
  <c r="AE125" i="44"/>
  <c r="AE150" i="44"/>
  <c r="AE32" i="44"/>
  <c r="AE57" i="44"/>
  <c r="AE103" i="44"/>
  <c r="AE202" i="44"/>
  <c r="J111" i="42"/>
  <c r="K111" i="42" s="1"/>
  <c r="L111" i="42" s="1"/>
  <c r="J81" i="42"/>
  <c r="K81" i="42" s="1"/>
  <c r="L81" i="42" s="1"/>
  <c r="K279" i="17"/>
  <c r="P279" i="17" s="1"/>
  <c r="Q279" i="17" s="1"/>
  <c r="K210" i="17"/>
  <c r="P210" i="17" s="1"/>
  <c r="M106" i="17"/>
  <c r="N106" i="17" s="1"/>
  <c r="O106" i="17" s="1"/>
  <c r="M144" i="17"/>
  <c r="N144" i="17" s="1"/>
  <c r="O144" i="17" s="1"/>
  <c r="AE153" i="44"/>
  <c r="AE46" i="44"/>
  <c r="AE84" i="44"/>
  <c r="AE85" i="44"/>
  <c r="AE105" i="44"/>
  <c r="AE141" i="44"/>
  <c r="AE146" i="44"/>
  <c r="AE199" i="44"/>
  <c r="AE210" i="44"/>
  <c r="AE79" i="44"/>
  <c r="AE113" i="44"/>
  <c r="AE205" i="44"/>
  <c r="AE179" i="44"/>
  <c r="AE203" i="44"/>
  <c r="AE45" i="44"/>
  <c r="AE87" i="44"/>
  <c r="AE81" i="44"/>
  <c r="AE100" i="44"/>
  <c r="AE137" i="44"/>
  <c r="AE183" i="44"/>
  <c r="AE207" i="44"/>
  <c r="AE31" i="44"/>
  <c r="AE92" i="44"/>
  <c r="AE27" i="44"/>
  <c r="AE18" i="44"/>
  <c r="AE37" i="44"/>
  <c r="AE20" i="44"/>
  <c r="AE64" i="44"/>
  <c r="AE80" i="44"/>
  <c r="AE187" i="44"/>
  <c r="AE17" i="44"/>
  <c r="AE56" i="44"/>
  <c r="AE99" i="44"/>
  <c r="AE97" i="44"/>
  <c r="AE188" i="44"/>
  <c r="AE40" i="44"/>
  <c r="AE114" i="44"/>
  <c r="AE135" i="44"/>
  <c r="J59" i="42"/>
  <c r="K59" i="42" s="1"/>
  <c r="L59" i="42" s="1"/>
  <c r="J107" i="42"/>
  <c r="K107" i="42" s="1"/>
  <c r="L107" i="42" s="1"/>
  <c r="I39" i="17"/>
  <c r="N39" i="17" s="1"/>
  <c r="O39" i="17" s="1"/>
  <c r="M259" i="17"/>
  <c r="N259" i="17" s="1"/>
  <c r="O259" i="17" s="1"/>
  <c r="AE129" i="44"/>
  <c r="AE104" i="44"/>
  <c r="AE126" i="44"/>
  <c r="AE147" i="44"/>
  <c r="AE193" i="44"/>
  <c r="AE192" i="44"/>
  <c r="AE86" i="44"/>
  <c r="AE116" i="44"/>
  <c r="R116" i="44" s="1"/>
  <c r="V116" i="44" s="1"/>
  <c r="AL116" i="44" s="1"/>
  <c r="AE128" i="44"/>
  <c r="AE149" i="44"/>
  <c r="AE209" i="44"/>
  <c r="AE196" i="44"/>
  <c r="AE53" i="44"/>
  <c r="AE78" i="44"/>
  <c r="AE89" i="44"/>
  <c r="AE115" i="44"/>
  <c r="R115" i="44" s="1"/>
  <c r="T115" i="44" s="1"/>
  <c r="X115" i="44" s="1"/>
  <c r="Y115" i="44" s="1"/>
  <c r="AA115" i="44" s="1"/>
  <c r="AE143" i="44"/>
  <c r="AE148" i="44"/>
  <c r="AE200" i="44"/>
  <c r="AE101" i="44"/>
  <c r="AE14" i="44"/>
  <c r="AE208" i="44"/>
  <c r="AE38" i="44"/>
  <c r="AE41" i="44"/>
  <c r="AE28" i="44"/>
  <c r="X28" i="44" s="1"/>
  <c r="Y28" i="44" s="1"/>
  <c r="AA28" i="44" s="1"/>
  <c r="AE16" i="44"/>
  <c r="AE70" i="44"/>
  <c r="AE83" i="44"/>
  <c r="AE184" i="44"/>
  <c r="AE62" i="44"/>
  <c r="AE36" i="44"/>
  <c r="AE63" i="44"/>
  <c r="AE124" i="44"/>
  <c r="AE19" i="44"/>
  <c r="AE66" i="44"/>
  <c r="AE131" i="44"/>
  <c r="J53" i="42"/>
  <c r="K53" i="42" s="1"/>
  <c r="L53" i="42" s="1"/>
  <c r="J105" i="42"/>
  <c r="K105" i="42" s="1"/>
  <c r="L105" i="42" s="1"/>
  <c r="I28" i="17"/>
  <c r="J28" i="17" s="1"/>
  <c r="K28" i="17" s="1"/>
  <c r="Q29" i="42"/>
  <c r="Q25" i="42"/>
  <c r="Q115" i="42"/>
  <c r="R115" i="42" s="1"/>
  <c r="Q116" i="42"/>
  <c r="O113" i="39"/>
  <c r="O115" i="39"/>
  <c r="O348" i="39"/>
  <c r="O349" i="39"/>
  <c r="O346" i="39"/>
  <c r="P346" i="39" s="1"/>
  <c r="O347" i="39"/>
  <c r="O344" i="39"/>
  <c r="P344" i="39" s="1"/>
  <c r="Q344" i="39" s="1"/>
  <c r="R344" i="39" s="1"/>
  <c r="O345" i="39"/>
  <c r="O342" i="39"/>
  <c r="P342" i="39" s="1"/>
  <c r="O343" i="39"/>
  <c r="P176" i="17"/>
  <c r="Q176" i="17" s="1"/>
  <c r="R176" i="17" s="1"/>
  <c r="S176" i="17" s="1"/>
  <c r="P76" i="17"/>
  <c r="Q76" i="17" s="1"/>
  <c r="R76" i="17" s="1"/>
  <c r="S76" i="17" s="1"/>
  <c r="P78" i="17"/>
  <c r="P77" i="17"/>
  <c r="Q77" i="17" s="1"/>
  <c r="R77" i="17" s="1"/>
  <c r="S77" i="17" s="1"/>
  <c r="P75" i="17"/>
  <c r="Q75" i="17" s="1"/>
  <c r="R75" i="17" s="1"/>
  <c r="S75" i="17" s="1"/>
  <c r="N295" i="17"/>
  <c r="O295" i="17" s="1"/>
  <c r="P295" i="17" s="1"/>
  <c r="Q295" i="17" s="1"/>
  <c r="R295" i="17" s="1"/>
  <c r="S295" i="17" s="1"/>
  <c r="N111" i="17"/>
  <c r="O111" i="17" s="1"/>
  <c r="P111" i="17" s="1"/>
  <c r="Q111" i="17" s="1"/>
  <c r="R111" i="17" s="1"/>
  <c r="S111" i="17" s="1"/>
  <c r="P223" i="17"/>
  <c r="Q223" i="17" s="1"/>
  <c r="R223" i="17" s="1"/>
  <c r="S223" i="17" s="1"/>
  <c r="AG141" i="44"/>
  <c r="AP141" i="44" s="1"/>
  <c r="X91" i="44"/>
  <c r="Y91" i="44" s="1"/>
  <c r="AA91" i="44" s="1"/>
  <c r="Q47" i="17"/>
  <c r="R47" i="17" s="1"/>
  <c r="S47" i="17" s="1"/>
  <c r="Q294" i="17"/>
  <c r="R294" i="17" s="1"/>
  <c r="S294" i="17" s="1"/>
  <c r="Q120" i="17"/>
  <c r="R120" i="17" s="1"/>
  <c r="S120" i="17" s="1"/>
  <c r="P173" i="17"/>
  <c r="Q173" i="17" s="1"/>
  <c r="R173" i="17" s="1"/>
  <c r="S173" i="17" s="1"/>
  <c r="Q165" i="17"/>
  <c r="R165" i="17" s="1"/>
  <c r="S165" i="17" s="1"/>
  <c r="N141" i="17"/>
  <c r="O141" i="17" s="1"/>
  <c r="K100" i="17"/>
  <c r="P100" i="17" s="1"/>
  <c r="L188" i="17"/>
  <c r="M188" i="17" s="1"/>
  <c r="M42" i="17"/>
  <c r="N42" i="17" s="1"/>
  <c r="O42" i="17" s="1"/>
  <c r="I285" i="17"/>
  <c r="J285" i="17" s="1"/>
  <c r="K285" i="17" s="1"/>
  <c r="I149" i="17"/>
  <c r="J149" i="17" s="1"/>
  <c r="K149" i="17" s="1"/>
  <c r="I275" i="17"/>
  <c r="J275" i="17" s="1"/>
  <c r="K275" i="17" s="1"/>
  <c r="P170" i="17"/>
  <c r="Q170" i="17" s="1"/>
  <c r="M35" i="17"/>
  <c r="N35" i="17" s="1"/>
  <c r="O35" i="17" s="1"/>
  <c r="AG134" i="44"/>
  <c r="AJ134" i="44" s="1"/>
  <c r="AG191" i="44"/>
  <c r="AG81" i="44"/>
  <c r="AP81" i="44" s="1"/>
  <c r="AG45" i="44"/>
  <c r="AJ45" i="44" s="1"/>
  <c r="AG96" i="44"/>
  <c r="AP96" i="44" s="1"/>
  <c r="AG89" i="44"/>
  <c r="AP89" i="44" s="1"/>
  <c r="I30" i="17"/>
  <c r="J30" i="17" s="1"/>
  <c r="K30" i="17" s="1"/>
  <c r="N260" i="17"/>
  <c r="O260" i="17" s="1"/>
  <c r="P260" i="17" s="1"/>
  <c r="I43" i="17"/>
  <c r="J43" i="17" s="1"/>
  <c r="K43" i="17" s="1"/>
  <c r="K218" i="17"/>
  <c r="P218" i="17" s="1"/>
  <c r="L137" i="17"/>
  <c r="M137" i="17" s="1"/>
  <c r="N137" i="17" s="1"/>
  <c r="O137" i="17" s="1"/>
  <c r="P137" i="17" s="1"/>
  <c r="Q137" i="17" s="1"/>
  <c r="R137" i="17" s="1"/>
  <c r="S137" i="17" s="1"/>
  <c r="L24" i="17"/>
  <c r="M24" i="17" s="1"/>
  <c r="AG40" i="44"/>
  <c r="R91" i="44"/>
  <c r="AG46" i="44"/>
  <c r="AJ46" i="44" s="1"/>
  <c r="AG200" i="44"/>
  <c r="AG72" i="44"/>
  <c r="AP72" i="44" s="1"/>
  <c r="AG201" i="44"/>
  <c r="AG67" i="44"/>
  <c r="AJ67" i="44" s="1"/>
  <c r="AG145" i="44"/>
  <c r="AJ145" i="44" s="1"/>
  <c r="AG41" i="44"/>
  <c r="AP41" i="44" s="1"/>
  <c r="AG92" i="44"/>
  <c r="AJ92" i="44" s="1"/>
  <c r="I34" i="17"/>
  <c r="J34" i="17" s="1"/>
  <c r="K34" i="17" s="1"/>
  <c r="I161" i="17"/>
  <c r="J161" i="17" s="1"/>
  <c r="K161" i="17" s="1"/>
  <c r="AG139" i="44"/>
  <c r="AJ139" i="44" s="1"/>
  <c r="AG207" i="44"/>
  <c r="AG181" i="44"/>
  <c r="AG12" i="44"/>
  <c r="AJ12" i="44" s="1"/>
  <c r="AG188" i="44"/>
  <c r="K140" i="17"/>
  <c r="P140" i="17" s="1"/>
  <c r="L246" i="17"/>
  <c r="M246" i="17" s="1"/>
  <c r="K108" i="17"/>
  <c r="P108" i="17" s="1"/>
  <c r="R249" i="17"/>
  <c r="S249" i="17" s="1"/>
  <c r="M19" i="17"/>
  <c r="N19" i="17" s="1"/>
  <c r="O19" i="17" s="1"/>
  <c r="AG39" i="44"/>
  <c r="AJ39" i="44" s="1"/>
  <c r="N215" i="17"/>
  <c r="O215" i="17" s="1"/>
  <c r="L297" i="17"/>
  <c r="M297" i="17" s="1"/>
  <c r="AG142" i="44"/>
  <c r="AP142" i="44" s="1"/>
  <c r="AG63" i="44"/>
  <c r="AJ63" i="44" s="1"/>
  <c r="AG99" i="44"/>
  <c r="AJ99" i="44" s="1"/>
  <c r="AG208" i="44"/>
  <c r="AG66" i="44"/>
  <c r="AG189" i="44"/>
  <c r="AG62" i="44"/>
  <c r="AJ62" i="44" s="1"/>
  <c r="I246" i="17"/>
  <c r="J246" i="17" s="1"/>
  <c r="K246" i="17" s="1"/>
  <c r="I188" i="17"/>
  <c r="J188" i="17" s="1"/>
  <c r="K188" i="17" s="1"/>
  <c r="Q54" i="17"/>
  <c r="R54" i="17" s="1"/>
  <c r="S54" i="17" s="1"/>
  <c r="O283" i="39"/>
  <c r="P283" i="39" s="1"/>
  <c r="O398" i="39"/>
  <c r="P293" i="17"/>
  <c r="Q293" i="17" s="1"/>
  <c r="P74" i="17"/>
  <c r="P71" i="17"/>
  <c r="P73" i="17"/>
  <c r="P178" i="17"/>
  <c r="O452" i="39"/>
  <c r="P452" i="39" s="1"/>
  <c r="O286" i="39"/>
  <c r="O159" i="39"/>
  <c r="P159" i="39" s="1"/>
  <c r="Q159" i="39" s="1"/>
  <c r="R159" i="39" s="1"/>
  <c r="O160" i="39"/>
  <c r="O163" i="39"/>
  <c r="O162" i="39"/>
  <c r="O161" i="39"/>
  <c r="X214" i="44"/>
  <c r="Y214" i="44" s="1"/>
  <c r="AA214" i="44" s="1"/>
  <c r="S119" i="44"/>
  <c r="K15" i="17"/>
  <c r="P15" i="17" s="1"/>
  <c r="I16" i="17"/>
  <c r="J16" i="17" s="1"/>
  <c r="K16" i="17" s="1"/>
  <c r="K17" i="17"/>
  <c r="P17" i="17" s="1"/>
  <c r="I18" i="17"/>
  <c r="J18" i="17" s="1"/>
  <c r="K18" i="17" s="1"/>
  <c r="M190" i="17"/>
  <c r="N190" i="17" s="1"/>
  <c r="O190" i="17" s="1"/>
  <c r="K272" i="17"/>
  <c r="P272" i="17" s="1"/>
  <c r="I273" i="17"/>
  <c r="J273" i="17" s="1"/>
  <c r="K273" i="17" s="1"/>
  <c r="K40" i="17"/>
  <c r="P40" i="17" s="1"/>
  <c r="I41" i="17"/>
  <c r="J41" i="17" s="1"/>
  <c r="K41" i="17" s="1"/>
  <c r="K194" i="17"/>
  <c r="P194" i="17" s="1"/>
  <c r="I195" i="17"/>
  <c r="J195" i="17" s="1"/>
  <c r="K195" i="17" s="1"/>
  <c r="K25" i="17"/>
  <c r="P25" i="17" s="1"/>
  <c r="I26" i="17"/>
  <c r="J26" i="17" s="1"/>
  <c r="K26" i="17" s="1"/>
  <c r="K21" i="17"/>
  <c r="P21" i="17" s="1"/>
  <c r="Q21" i="17" s="1"/>
  <c r="I22" i="17"/>
  <c r="J22" i="17" s="1"/>
  <c r="K22" i="17" s="1"/>
  <c r="K209" i="17"/>
  <c r="P209" i="17" s="1"/>
  <c r="Q209" i="17" s="1"/>
  <c r="K205" i="17"/>
  <c r="P205" i="17" s="1"/>
  <c r="P226" i="17" s="1"/>
  <c r="K243" i="17"/>
  <c r="P243" i="17" s="1"/>
  <c r="Q243" i="17" s="1"/>
  <c r="R243" i="17" s="1"/>
  <c r="S243" i="17" s="1"/>
  <c r="I244" i="17"/>
  <c r="J244" i="17" s="1"/>
  <c r="K244" i="17" s="1"/>
  <c r="K257" i="17"/>
  <c r="P257" i="17" s="1"/>
  <c r="I258" i="17"/>
  <c r="J258" i="17" s="1"/>
  <c r="K258" i="17" s="1"/>
  <c r="I147" i="17"/>
  <c r="J147" i="17" s="1"/>
  <c r="K147" i="17" s="1"/>
  <c r="K146" i="17"/>
  <c r="P146" i="17" s="1"/>
  <c r="Q146" i="17" s="1"/>
  <c r="R146" i="17" s="1"/>
  <c r="S146" i="17" s="1"/>
  <c r="K250" i="17"/>
  <c r="P250" i="17" s="1"/>
  <c r="Q250" i="17" s="1"/>
  <c r="R250" i="17" s="1"/>
  <c r="S250" i="17" s="1"/>
  <c r="I251" i="17"/>
  <c r="J251" i="17" s="1"/>
  <c r="K251" i="17" s="1"/>
  <c r="K254" i="17"/>
  <c r="P254" i="17" s="1"/>
  <c r="I255" i="17"/>
  <c r="J255" i="17" s="1"/>
  <c r="K255" i="17" s="1"/>
  <c r="AG186" i="44"/>
  <c r="X186" i="44" s="1"/>
  <c r="Y186" i="44" s="1"/>
  <c r="AA186" i="44" s="1"/>
  <c r="AG149" i="44"/>
  <c r="AJ149" i="44" s="1"/>
  <c r="AG136" i="44"/>
  <c r="AG112" i="44"/>
  <c r="AG78" i="44"/>
  <c r="AG88" i="44"/>
  <c r="AJ88" i="44" s="1"/>
  <c r="AG71" i="44"/>
  <c r="AG17" i="44"/>
  <c r="AG29" i="44"/>
  <c r="AG194" i="44"/>
  <c r="AG153" i="44"/>
  <c r="AG140" i="44"/>
  <c r="AJ140" i="44" s="1"/>
  <c r="AG125" i="44"/>
  <c r="AG82" i="44"/>
  <c r="AJ82" i="44" s="1"/>
  <c r="AG128" i="44"/>
  <c r="AG44" i="44"/>
  <c r="AG15" i="44"/>
  <c r="AJ15" i="44" s="1"/>
  <c r="AG27" i="44"/>
  <c r="AG206" i="44"/>
  <c r="AG183" i="44"/>
  <c r="AG146" i="44"/>
  <c r="AJ146" i="44" s="1"/>
  <c r="AG131" i="44"/>
  <c r="AP131" i="44" s="1"/>
  <c r="AG105" i="44"/>
  <c r="AP105" i="44" s="1"/>
  <c r="AG126" i="44"/>
  <c r="AJ126" i="44" s="1"/>
  <c r="AG56" i="44"/>
  <c r="AJ56" i="44" s="1"/>
  <c r="AG35" i="44"/>
  <c r="AJ35" i="44" s="1"/>
  <c r="AG59" i="44"/>
  <c r="AG180" i="44"/>
  <c r="AG75" i="44"/>
  <c r="X75" i="44" s="1"/>
  <c r="Y75" i="44" s="1"/>
  <c r="AA75" i="44" s="1"/>
  <c r="AG198" i="44"/>
  <c r="AG84" i="44"/>
  <c r="AP84" i="44" s="1"/>
  <c r="AG209" i="44"/>
  <c r="AG76" i="44"/>
  <c r="AP76" i="44" s="1"/>
  <c r="AG34" i="44"/>
  <c r="AG87" i="44"/>
  <c r="AJ87" i="44" s="1"/>
  <c r="AG204" i="44"/>
  <c r="AG197" i="44"/>
  <c r="AG185" i="44"/>
  <c r="AG148" i="44"/>
  <c r="AG97" i="44"/>
  <c r="AJ97" i="44" s="1"/>
  <c r="AG70" i="44"/>
  <c r="AJ70" i="44" s="1"/>
  <c r="AG79" i="44"/>
  <c r="AP79" i="44" s="1"/>
  <c r="AG102" i="44"/>
  <c r="AJ102" i="44" s="1"/>
  <c r="AG30" i="44"/>
  <c r="AP30" i="44" s="1"/>
  <c r="AG53" i="44"/>
  <c r="AP53" i="44" s="1"/>
  <c r="AG205" i="44"/>
  <c r="AG195" i="44"/>
  <c r="AG152" i="44"/>
  <c r="AP152" i="44" s="1"/>
  <c r="AG101" i="44"/>
  <c r="AJ101" i="44" s="1"/>
  <c r="AG74" i="44"/>
  <c r="AJ74" i="44" s="1"/>
  <c r="AG83" i="44"/>
  <c r="AG65" i="44"/>
  <c r="AP65" i="44" s="1"/>
  <c r="AG19" i="44"/>
  <c r="AP19" i="44" s="1"/>
  <c r="AG61" i="44"/>
  <c r="AJ61" i="44" s="1"/>
  <c r="AG190" i="44"/>
  <c r="AG151" i="44"/>
  <c r="AP151" i="44" s="1"/>
  <c r="AG138" i="44"/>
  <c r="AG114" i="44"/>
  <c r="AJ114" i="44" s="1"/>
  <c r="AG80" i="44"/>
  <c r="AP80" i="44" s="1"/>
  <c r="AG124" i="44"/>
  <c r="AP124" i="44" s="1"/>
  <c r="AG42" i="44"/>
  <c r="AP42" i="44" s="1"/>
  <c r="AG13" i="44"/>
  <c r="AP13" i="44" s="1"/>
  <c r="AG36" i="44"/>
  <c r="AJ36" i="44" s="1"/>
  <c r="AG103" i="44"/>
  <c r="AJ103" i="44" s="1"/>
  <c r="AG73" i="44"/>
  <c r="AP73" i="44" s="1"/>
  <c r="AG176" i="44"/>
  <c r="AG132" i="44"/>
  <c r="AP132" i="44" s="1"/>
  <c r="AG147" i="44"/>
  <c r="AP147" i="44" s="1"/>
  <c r="AG85" i="44"/>
  <c r="AP85" i="44" s="1"/>
  <c r="AG60" i="44"/>
  <c r="X60" i="44" s="1"/>
  <c r="Y60" i="44" s="1"/>
  <c r="AA60" i="44" s="1"/>
  <c r="AG57" i="44"/>
  <c r="AP57" i="44" s="1"/>
  <c r="AG20" i="44"/>
  <c r="AP20" i="44" s="1"/>
  <c r="AG202" i="44"/>
  <c r="AG182" i="44"/>
  <c r="R182" i="44" s="1"/>
  <c r="AG144" i="44"/>
  <c r="AJ144" i="44" s="1"/>
  <c r="AG129" i="44"/>
  <c r="AJ129" i="44" s="1"/>
  <c r="AG86" i="44"/>
  <c r="AJ86" i="44" s="1"/>
  <c r="AG100" i="44"/>
  <c r="AP100" i="44" s="1"/>
  <c r="AG54" i="44"/>
  <c r="AJ54" i="44" s="1"/>
  <c r="AG33" i="44"/>
  <c r="AG16" i="44"/>
  <c r="AP16" i="44" s="1"/>
  <c r="AG210" i="44"/>
  <c r="AG187" i="44"/>
  <c r="AG137" i="44"/>
  <c r="AG133" i="44"/>
  <c r="AP133" i="44" s="1"/>
  <c r="AG98" i="44"/>
  <c r="AJ98" i="44" s="1"/>
  <c r="AG130" i="44"/>
  <c r="R130" i="44" s="1"/>
  <c r="AG58" i="44"/>
  <c r="AG37" i="44"/>
  <c r="AJ37" i="44" s="1"/>
  <c r="AG14" i="44"/>
  <c r="AG192" i="44"/>
  <c r="AG203" i="44"/>
  <c r="AG143" i="44"/>
  <c r="AP143" i="44" s="1"/>
  <c r="AG94" i="44"/>
  <c r="AP94" i="44" s="1"/>
  <c r="AG93" i="44"/>
  <c r="AJ93" i="44" s="1"/>
  <c r="AG113" i="44"/>
  <c r="AP113" i="44" s="1"/>
  <c r="AG64" i="44"/>
  <c r="AP64" i="44" s="1"/>
  <c r="AG43" i="44"/>
  <c r="AJ43" i="44" s="1"/>
  <c r="AG18" i="44"/>
  <c r="AP18" i="44" s="1"/>
  <c r="AG193" i="44"/>
  <c r="AG68" i="44"/>
  <c r="AP68" i="44" s="1"/>
  <c r="AG32" i="44"/>
  <c r="AP32" i="44" s="1"/>
  <c r="AG127" i="44"/>
  <c r="AJ127" i="44" s="1"/>
  <c r="AG31" i="44"/>
  <c r="AJ31" i="44" s="1"/>
  <c r="AG104" i="44"/>
  <c r="AP104" i="44" s="1"/>
  <c r="AG38" i="44"/>
  <c r="AP38" i="44" s="1"/>
  <c r="AG184" i="44"/>
  <c r="AG90" i="44"/>
  <c r="AP90" i="44" s="1"/>
  <c r="Q14" i="42"/>
  <c r="R14" i="42" s="1"/>
  <c r="S14" i="42" s="1"/>
  <c r="T14" i="42" s="1"/>
  <c r="Q30" i="42"/>
  <c r="R30" i="42" s="1"/>
  <c r="S30" i="42" s="1"/>
  <c r="T30" i="42" s="1"/>
  <c r="Q26" i="42"/>
  <c r="R26" i="42" s="1"/>
  <c r="S26" i="42" s="1"/>
  <c r="T26" i="42" s="1"/>
  <c r="Q51" i="42"/>
  <c r="R51" i="42" s="1"/>
  <c r="S51" i="42" s="1"/>
  <c r="T51" i="42" s="1"/>
  <c r="Q28" i="42"/>
  <c r="R28" i="42" s="1"/>
  <c r="S28" i="42" s="1"/>
  <c r="T28" i="42" s="1"/>
  <c r="Q58" i="42"/>
  <c r="Q57" i="42"/>
  <c r="R57" i="42" s="1"/>
  <c r="S57" i="42" s="1"/>
  <c r="T57" i="42" s="1"/>
  <c r="Q67" i="42"/>
  <c r="R67" i="42" s="1"/>
  <c r="S67" i="42" s="1"/>
  <c r="T67" i="42" s="1"/>
  <c r="Q65" i="42"/>
  <c r="R65" i="42" s="1"/>
  <c r="S65" i="42" s="1"/>
  <c r="T65" i="42" s="1"/>
  <c r="Q62" i="42"/>
  <c r="R62" i="42" s="1"/>
  <c r="S62" i="42" s="1"/>
  <c r="T62" i="42" s="1"/>
  <c r="Q72" i="42"/>
  <c r="R72" i="42" s="1"/>
  <c r="S72" i="42" s="1"/>
  <c r="T72" i="42" s="1"/>
  <c r="Q74" i="42"/>
  <c r="R74" i="42" s="1"/>
  <c r="S74" i="42" s="1"/>
  <c r="T74" i="42" s="1"/>
  <c r="O64" i="39"/>
  <c r="P64" i="39" s="1"/>
  <c r="Q64" i="39" s="1"/>
  <c r="R64" i="39" s="1"/>
  <c r="O87" i="39"/>
  <c r="P87" i="39" s="1"/>
  <c r="Q87" i="39" s="1"/>
  <c r="R87" i="39" s="1"/>
  <c r="O78" i="39"/>
  <c r="P78" i="39" s="1"/>
  <c r="Q78" i="39" s="1"/>
  <c r="R78" i="39" s="1"/>
  <c r="O177" i="39"/>
  <c r="P177" i="39" s="1"/>
  <c r="O185" i="39"/>
  <c r="P185" i="39" s="1"/>
  <c r="O189" i="39"/>
  <c r="P189" i="39" s="1"/>
  <c r="Q189" i="39" s="1"/>
  <c r="R189" i="39" s="1"/>
  <c r="O184" i="39"/>
  <c r="P184" i="39" s="1"/>
  <c r="Q184" i="39" s="1"/>
  <c r="R184" i="39" s="1"/>
  <c r="Q149" i="42"/>
  <c r="R29" i="42"/>
  <c r="S29" i="42" s="1"/>
  <c r="T29" i="42" s="1"/>
  <c r="I157" i="17"/>
  <c r="J157" i="17" s="1"/>
  <c r="K157" i="17" s="1"/>
  <c r="Q55" i="42"/>
  <c r="R55" i="42" s="1"/>
  <c r="S55" i="42" s="1"/>
  <c r="T55" i="42" s="1"/>
  <c r="Q69" i="42"/>
  <c r="R69" i="42" s="1"/>
  <c r="S69" i="42" s="1"/>
  <c r="T69" i="42" s="1"/>
  <c r="Q60" i="42"/>
  <c r="R60" i="42" s="1"/>
  <c r="S60" i="42" s="1"/>
  <c r="T60" i="42" s="1"/>
  <c r="Q70" i="42"/>
  <c r="R70" i="42" s="1"/>
  <c r="S70" i="42" s="1"/>
  <c r="T70" i="42" s="1"/>
  <c r="Q76" i="42"/>
  <c r="Q52" i="42"/>
  <c r="R52" i="42" s="1"/>
  <c r="S52" i="42" s="1"/>
  <c r="T52" i="42" s="1"/>
  <c r="O304" i="39"/>
  <c r="P304" i="39" s="1"/>
  <c r="Q304" i="39" s="1"/>
  <c r="R304" i="39" s="1"/>
  <c r="O61" i="39"/>
  <c r="P61" i="39" s="1"/>
  <c r="Q61" i="39" s="1"/>
  <c r="R61" i="39" s="1"/>
  <c r="O173" i="39"/>
  <c r="P173" i="39" s="1"/>
  <c r="Q173" i="39" s="1"/>
  <c r="R173" i="39" s="1"/>
  <c r="O50" i="39"/>
  <c r="P50" i="39" s="1"/>
  <c r="Q50" i="39" s="1"/>
  <c r="R50" i="39" s="1"/>
  <c r="O34" i="39"/>
  <c r="P34" i="39" s="1"/>
  <c r="Q34" i="39" s="1"/>
  <c r="R34" i="39" s="1"/>
  <c r="O33" i="39"/>
  <c r="P33" i="39" s="1"/>
  <c r="Q33" i="39" s="1"/>
  <c r="R33" i="39" s="1"/>
  <c r="O76" i="39"/>
  <c r="P76" i="39" s="1"/>
  <c r="Q76" i="39" s="1"/>
  <c r="R76" i="39" s="1"/>
  <c r="O108" i="39"/>
  <c r="P108" i="39" s="1"/>
  <c r="Q108" i="39" s="1"/>
  <c r="R108" i="39" s="1"/>
  <c r="O96" i="39"/>
  <c r="P96" i="39" s="1"/>
  <c r="Q96" i="39" s="1"/>
  <c r="R96" i="39" s="1"/>
  <c r="O94" i="39"/>
  <c r="O60" i="39"/>
  <c r="P60" i="39" s="1"/>
  <c r="Q60" i="39" s="1"/>
  <c r="R60" i="39" s="1"/>
  <c r="O15" i="39"/>
  <c r="P15" i="39" s="1"/>
  <c r="Q15" i="39" s="1"/>
  <c r="R15" i="39" s="1"/>
  <c r="O169" i="39"/>
  <c r="O41" i="39"/>
  <c r="P41" i="39" s="1"/>
  <c r="Q41" i="39" s="1"/>
  <c r="R41" i="39" s="1"/>
  <c r="O92" i="39"/>
  <c r="P92" i="39" s="1"/>
  <c r="Q92" i="39" s="1"/>
  <c r="R92" i="39" s="1"/>
  <c r="O81" i="39"/>
  <c r="P81" i="39" s="1"/>
  <c r="Q81" i="39" s="1"/>
  <c r="R81" i="39" s="1"/>
  <c r="O80" i="39"/>
  <c r="P80" i="39" s="1"/>
  <c r="Q80" i="39" s="1"/>
  <c r="R80" i="39" s="1"/>
  <c r="O84" i="39"/>
  <c r="P84" i="39" s="1"/>
  <c r="Q84" i="39" s="1"/>
  <c r="R84" i="39" s="1"/>
  <c r="O69" i="39"/>
  <c r="P69" i="39" s="1"/>
  <c r="Q69" i="39" s="1"/>
  <c r="R69" i="39" s="1"/>
  <c r="O66" i="39"/>
  <c r="P66" i="39" s="1"/>
  <c r="Q66" i="39" s="1"/>
  <c r="R66" i="39" s="1"/>
  <c r="O51" i="39"/>
  <c r="P51" i="39" s="1"/>
  <c r="Q51" i="39" s="1"/>
  <c r="R51" i="39" s="1"/>
  <c r="O308" i="39"/>
  <c r="P308" i="39" s="1"/>
  <c r="Q308" i="39" s="1"/>
  <c r="R308" i="39" s="1"/>
  <c r="Q126" i="42"/>
  <c r="R126" i="42" s="1"/>
  <c r="S126" i="42" s="1"/>
  <c r="T126" i="42" s="1"/>
  <c r="Q129" i="42"/>
  <c r="R129" i="42" s="1"/>
  <c r="S129" i="42" s="1"/>
  <c r="T129" i="42" s="1"/>
  <c r="Q106" i="42"/>
  <c r="Q158" i="17"/>
  <c r="I248" i="17"/>
  <c r="Q27" i="42"/>
  <c r="R27" i="42" s="1"/>
  <c r="S27" i="42" s="1"/>
  <c r="T27" i="42" s="1"/>
  <c r="Q82" i="42"/>
  <c r="R82" i="42" s="1"/>
  <c r="S82" i="42" s="1"/>
  <c r="T82" i="42" s="1"/>
  <c r="Q50" i="42"/>
  <c r="Q56" i="42"/>
  <c r="R56" i="42" s="1"/>
  <c r="S56" i="42" s="1"/>
  <c r="T56" i="42" s="1"/>
  <c r="Q63" i="42"/>
  <c r="R63" i="42" s="1"/>
  <c r="S63" i="42" s="1"/>
  <c r="T63" i="42" s="1"/>
  <c r="Q64" i="42"/>
  <c r="R64" i="42" s="1"/>
  <c r="S64" i="42" s="1"/>
  <c r="T64" i="42" s="1"/>
  <c r="Q61" i="42"/>
  <c r="Q71" i="42"/>
  <c r="R71" i="42" s="1"/>
  <c r="S71" i="42" s="1"/>
  <c r="T71" i="42" s="1"/>
  <c r="Q77" i="42"/>
  <c r="R77" i="42" s="1"/>
  <c r="S77" i="42" s="1"/>
  <c r="T77" i="42" s="1"/>
  <c r="Q83" i="42"/>
  <c r="R83" i="42" s="1"/>
  <c r="S83" i="42" s="1"/>
  <c r="T83" i="42" s="1"/>
  <c r="O52" i="42"/>
  <c r="P52" i="42" s="1"/>
  <c r="O129" i="42"/>
  <c r="O146" i="42" s="1"/>
  <c r="O104" i="42"/>
  <c r="P104" i="42" s="1"/>
  <c r="P13" i="42"/>
  <c r="P21" i="42" s="1"/>
  <c r="N151" i="17"/>
  <c r="O151" i="17" s="1"/>
  <c r="P151" i="17" s="1"/>
  <c r="Q284" i="17"/>
  <c r="R284" i="17" s="1"/>
  <c r="S284" i="17" s="1"/>
  <c r="Q274" i="17"/>
  <c r="R274" i="17" s="1"/>
  <c r="S274" i="17" s="1"/>
  <c r="J141" i="17"/>
  <c r="K141" i="17" s="1"/>
  <c r="P141" i="17" s="1"/>
  <c r="AJ91" i="44"/>
  <c r="Q163" i="17"/>
  <c r="R163" i="17" s="1"/>
  <c r="S163" i="17" s="1"/>
  <c r="AP92" i="44"/>
  <c r="AP91" i="44"/>
  <c r="AP134" i="44"/>
  <c r="N20" i="17"/>
  <c r="O20" i="17" s="1"/>
  <c r="N257" i="17"/>
  <c r="O257" i="17" s="1"/>
  <c r="T116" i="44"/>
  <c r="AJ28" i="44"/>
  <c r="AP140" i="44"/>
  <c r="AP82" i="44"/>
  <c r="Q259" i="17"/>
  <c r="R259" i="17" s="1"/>
  <c r="S259" i="17" s="1"/>
  <c r="AP114" i="44"/>
  <c r="AJ95" i="44"/>
  <c r="AP95" i="44"/>
  <c r="Q204" i="17"/>
  <c r="AJ20" i="44"/>
  <c r="Q80" i="42"/>
  <c r="Q78" i="42"/>
  <c r="R78" i="42" s="1"/>
  <c r="S78" i="42" s="1"/>
  <c r="T78" i="42" s="1"/>
  <c r="Q125" i="42"/>
  <c r="R125" i="42" s="1"/>
  <c r="S125" i="42" s="1"/>
  <c r="T125" i="42" s="1"/>
  <c r="Q128" i="42"/>
  <c r="R128" i="42" s="1"/>
  <c r="S128" i="42" s="1"/>
  <c r="T128" i="42" s="1"/>
  <c r="Q108" i="42"/>
  <c r="Q91" i="42"/>
  <c r="R91" i="42" s="1"/>
  <c r="S91" i="42" s="1"/>
  <c r="T91" i="42" s="1"/>
  <c r="R100" i="44"/>
  <c r="V100" i="44" s="1"/>
  <c r="Q85" i="42"/>
  <c r="R85" i="42" s="1"/>
  <c r="S85" i="42" s="1"/>
  <c r="T85" i="42" s="1"/>
  <c r="Q124" i="42"/>
  <c r="R124" i="42" s="1"/>
  <c r="S124" i="42" s="1"/>
  <c r="T124" i="42" s="1"/>
  <c r="Q132" i="42"/>
  <c r="R132" i="42" s="1"/>
  <c r="S132" i="42" s="1"/>
  <c r="T132" i="42" s="1"/>
  <c r="Q87" i="42"/>
  <c r="R87" i="42" s="1"/>
  <c r="S87" i="42" s="1"/>
  <c r="T87" i="42" s="1"/>
  <c r="O123" i="39"/>
  <c r="P123" i="39" s="1"/>
  <c r="Q123" i="39" s="1"/>
  <c r="R123" i="39" s="1"/>
  <c r="O125" i="39"/>
  <c r="Q104" i="42"/>
  <c r="O197" i="39"/>
  <c r="P197" i="39" s="1"/>
  <c r="Q197" i="39" s="1"/>
  <c r="R197" i="39" s="1"/>
  <c r="O201" i="39"/>
  <c r="P201" i="39" s="1"/>
  <c r="Q201" i="39" s="1"/>
  <c r="R201" i="39" s="1"/>
  <c r="O205" i="39"/>
  <c r="P205" i="39" s="1"/>
  <c r="Q205" i="39" s="1"/>
  <c r="R205" i="39" s="1"/>
  <c r="O209" i="39"/>
  <c r="P209" i="39" s="1"/>
  <c r="Q209" i="39" s="1"/>
  <c r="R209" i="39" s="1"/>
  <c r="O211" i="39"/>
  <c r="P211" i="39" s="1"/>
  <c r="Q211" i="39" s="1"/>
  <c r="R211" i="39" s="1"/>
  <c r="O215" i="39"/>
  <c r="P215" i="39" s="1"/>
  <c r="O219" i="39"/>
  <c r="P219" i="39" s="1"/>
  <c r="Q219" i="39" s="1"/>
  <c r="R219" i="39" s="1"/>
  <c r="O223" i="39"/>
  <c r="P223" i="39" s="1"/>
  <c r="Q223" i="39" s="1"/>
  <c r="R223" i="39" s="1"/>
  <c r="O226" i="39"/>
  <c r="P226" i="39" s="1"/>
  <c r="Q226" i="39" s="1"/>
  <c r="R226" i="39" s="1"/>
  <c r="O231" i="39"/>
  <c r="P231" i="39" s="1"/>
  <c r="O233" i="39"/>
  <c r="P233" i="39" s="1"/>
  <c r="Q233" i="39" s="1"/>
  <c r="R233" i="39" s="1"/>
  <c r="O244" i="39"/>
  <c r="P244" i="39" s="1"/>
  <c r="O409" i="39"/>
  <c r="O413" i="39"/>
  <c r="P413" i="39" s="1"/>
  <c r="Q413" i="39" s="1"/>
  <c r="R413" i="39" s="1"/>
  <c r="O417" i="39"/>
  <c r="P417" i="39" s="1"/>
  <c r="Q417" i="39" s="1"/>
  <c r="R417" i="39" s="1"/>
  <c r="O421" i="39"/>
  <c r="P421" i="39" s="1"/>
  <c r="Q421" i="39" s="1"/>
  <c r="R421" i="39" s="1"/>
  <c r="O425" i="39"/>
  <c r="P425" i="39" s="1"/>
  <c r="O429" i="39"/>
  <c r="P429" i="39" s="1"/>
  <c r="Q429" i="39" s="1"/>
  <c r="R429" i="39" s="1"/>
  <c r="O433" i="39"/>
  <c r="P433" i="39" s="1"/>
  <c r="Q433" i="39" s="1"/>
  <c r="R433" i="39" s="1"/>
  <c r="O441" i="39"/>
  <c r="P441" i="39" s="1"/>
  <c r="Q441" i="39" s="1"/>
  <c r="R441" i="39" s="1"/>
  <c r="O247" i="39"/>
  <c r="P247" i="39" s="1"/>
  <c r="O127" i="39"/>
  <c r="P127" i="39" s="1"/>
  <c r="Q127" i="39" s="1"/>
  <c r="R127" i="39" s="1"/>
  <c r="Q90" i="42"/>
  <c r="R90" i="42" s="1"/>
  <c r="S90" i="42" s="1"/>
  <c r="T90" i="42" s="1"/>
  <c r="Q110" i="42"/>
  <c r="Q139" i="42"/>
  <c r="R139" i="42" s="1"/>
  <c r="S139" i="42" s="1"/>
  <c r="T139" i="42" s="1"/>
  <c r="Q43" i="42"/>
  <c r="R43" i="42" s="1"/>
  <c r="S43" i="42" s="1"/>
  <c r="T43" i="42" s="1"/>
  <c r="Q39" i="42"/>
  <c r="R39" i="42" s="1"/>
  <c r="S39" i="42" s="1"/>
  <c r="T39" i="42" s="1"/>
  <c r="Q35" i="42"/>
  <c r="R35" i="42" s="1"/>
  <c r="S35" i="42" s="1"/>
  <c r="T35" i="42" s="1"/>
  <c r="Q31" i="42"/>
  <c r="R31" i="42" s="1"/>
  <c r="S31" i="42" s="1"/>
  <c r="T31" i="42" s="1"/>
  <c r="O328" i="39"/>
  <c r="P328" i="39" s="1"/>
  <c r="Q328" i="39" s="1"/>
  <c r="R328" i="39" s="1"/>
  <c r="O299" i="39"/>
  <c r="O327" i="39"/>
  <c r="P327" i="39" s="1"/>
  <c r="Q327" i="39" s="1"/>
  <c r="R327" i="39" s="1"/>
  <c r="O314" i="39"/>
  <c r="P314" i="39" s="1"/>
  <c r="Q314" i="39" s="1"/>
  <c r="R314" i="39" s="1"/>
  <c r="O338" i="39"/>
  <c r="P338" i="39" s="1"/>
  <c r="Q338" i="39" s="1"/>
  <c r="R338" i="39" s="1"/>
  <c r="O333" i="39"/>
  <c r="P333" i="39" s="1"/>
  <c r="Q333" i="39" s="1"/>
  <c r="R333" i="39" s="1"/>
  <c r="O321" i="39"/>
  <c r="P321" i="39" s="1"/>
  <c r="O324" i="39"/>
  <c r="P324" i="39" s="1"/>
  <c r="Q324" i="39" s="1"/>
  <c r="R324" i="39" s="1"/>
  <c r="Q84" i="42"/>
  <c r="Q127" i="42"/>
  <c r="R127" i="42" s="1"/>
  <c r="S127" i="42" s="1"/>
  <c r="T127" i="42" s="1"/>
  <c r="Q123" i="42"/>
  <c r="Q131" i="42"/>
  <c r="R131" i="42" s="1"/>
  <c r="S131" i="42" s="1"/>
  <c r="T131" i="42" s="1"/>
  <c r="Q130" i="42"/>
  <c r="Q133" i="42"/>
  <c r="R133" i="42" s="1"/>
  <c r="S133" i="42" s="1"/>
  <c r="T133" i="42" s="1"/>
  <c r="Q134" i="42"/>
  <c r="R134" i="42" s="1"/>
  <c r="S134" i="42" s="1"/>
  <c r="T134" i="42" s="1"/>
  <c r="Q135" i="42"/>
  <c r="Q136" i="17"/>
  <c r="N97" i="17"/>
  <c r="O97" i="17" s="1"/>
  <c r="P97" i="17" s="1"/>
  <c r="AP126" i="44"/>
  <c r="R11" i="17"/>
  <c r="AJ58" i="44"/>
  <c r="K144" i="17"/>
  <c r="P144" i="17" s="1"/>
  <c r="X142" i="44"/>
  <c r="Y142" i="44" s="1"/>
  <c r="AA142" i="44" s="1"/>
  <c r="Q266" i="17"/>
  <c r="R266" i="17" s="1"/>
  <c r="S266" i="17" s="1"/>
  <c r="X150" i="44"/>
  <c r="Y150" i="44" s="1"/>
  <c r="AA150" i="44" s="1"/>
  <c r="Q211" i="17"/>
  <c r="N143" i="17"/>
  <c r="O143" i="17" s="1"/>
  <c r="P143" i="17" s="1"/>
  <c r="Q143" i="17" s="1"/>
  <c r="R143" i="17" s="1"/>
  <c r="S143" i="17" s="1"/>
  <c r="X145" i="44"/>
  <c r="Y145" i="44" s="1"/>
  <c r="X141" i="44"/>
  <c r="Y141" i="44" s="1"/>
  <c r="AA141" i="44" s="1"/>
  <c r="R150" i="44"/>
  <c r="R145" i="44"/>
  <c r="X112" i="44"/>
  <c r="Y112" i="44" s="1"/>
  <c r="AA112" i="44" s="1"/>
  <c r="AP129" i="44"/>
  <c r="X69" i="44"/>
  <c r="Y69" i="44" s="1"/>
  <c r="AA69" i="44" s="1"/>
  <c r="R69" i="44"/>
  <c r="R151" i="44"/>
  <c r="V151" i="44" s="1"/>
  <c r="X151" i="44"/>
  <c r="Y151" i="44" s="1"/>
  <c r="AA151" i="44" s="1"/>
  <c r="AJ18" i="44"/>
  <c r="AP43" i="44"/>
  <c r="AP93" i="44"/>
  <c r="R203" i="44"/>
  <c r="AP137" i="44"/>
  <c r="AP33" i="44"/>
  <c r="Q174" i="17"/>
  <c r="R174" i="17" s="1"/>
  <c r="S174" i="17" s="1"/>
  <c r="Q152" i="17"/>
  <c r="Q150" i="17"/>
  <c r="R150" i="17" s="1"/>
  <c r="S150" i="17" s="1"/>
  <c r="AJ150" i="44"/>
  <c r="Q189" i="17"/>
  <c r="O252" i="39"/>
  <c r="P252" i="39" s="1"/>
  <c r="Q252" i="39" s="1"/>
  <c r="R252" i="39" s="1"/>
  <c r="O443" i="39"/>
  <c r="P443" i="39" s="1"/>
  <c r="Q443" i="39" s="1"/>
  <c r="R443" i="39" s="1"/>
  <c r="O139" i="39"/>
  <c r="P139" i="39" s="1"/>
  <c r="Q139" i="39" s="1"/>
  <c r="R139" i="39" s="1"/>
  <c r="Q41" i="42"/>
  <c r="R41" i="42" s="1"/>
  <c r="S41" i="42" s="1"/>
  <c r="T41" i="42" s="1"/>
  <c r="Q37" i="42"/>
  <c r="R37" i="42" s="1"/>
  <c r="S37" i="42" s="1"/>
  <c r="T37" i="42" s="1"/>
  <c r="Q33" i="42"/>
  <c r="R33" i="42" s="1"/>
  <c r="O255" i="39"/>
  <c r="P255" i="39" s="1"/>
  <c r="Q255" i="39" s="1"/>
  <c r="R255" i="39" s="1"/>
  <c r="Q141" i="42"/>
  <c r="R141" i="42" s="1"/>
  <c r="S141" i="42" s="1"/>
  <c r="T141" i="42" s="1"/>
  <c r="AP77" i="44"/>
  <c r="Q89" i="42"/>
  <c r="R89" i="42" s="1"/>
  <c r="S89" i="42" s="1"/>
  <c r="T89" i="42" s="1"/>
  <c r="O261" i="39"/>
  <c r="P261" i="39" s="1"/>
  <c r="Q261" i="39" s="1"/>
  <c r="R261" i="39" s="1"/>
  <c r="O444" i="39"/>
  <c r="P444" i="39" s="1"/>
  <c r="Q444" i="39" s="1"/>
  <c r="R444" i="39" s="1"/>
  <c r="O445" i="39"/>
  <c r="P445" i="39" s="1"/>
  <c r="Q445" i="39" s="1"/>
  <c r="R445" i="39" s="1"/>
  <c r="O144" i="39"/>
  <c r="P144" i="39" s="1"/>
  <c r="Q144" i="39" s="1"/>
  <c r="R144" i="39" s="1"/>
  <c r="Q86" i="42"/>
  <c r="R86" i="42" s="1"/>
  <c r="S86" i="42" s="1"/>
  <c r="T86" i="42" s="1"/>
  <c r="P62" i="17"/>
  <c r="N24" i="17"/>
  <c r="O24" i="17" s="1"/>
  <c r="P24" i="17" s="1"/>
  <c r="P56" i="17"/>
  <c r="Q56" i="17" s="1"/>
  <c r="R56" i="17" s="1"/>
  <c r="S56" i="17" s="1"/>
  <c r="P126" i="17"/>
  <c r="X127" i="44"/>
  <c r="Y127" i="44" s="1"/>
  <c r="AA127" i="44" s="1"/>
  <c r="AP58" i="44"/>
  <c r="AJ113" i="44"/>
  <c r="AP31" i="44"/>
  <c r="Q138" i="42"/>
  <c r="R138" i="42" s="1"/>
  <c r="S138" i="42" s="1"/>
  <c r="T138" i="42" s="1"/>
  <c r="Q40" i="42"/>
  <c r="R40" i="42" s="1"/>
  <c r="S40" i="42" s="1"/>
  <c r="T40" i="42" s="1"/>
  <c r="Q36" i="42"/>
  <c r="R36" i="42" s="1"/>
  <c r="S36" i="42" s="1"/>
  <c r="T36" i="42" s="1"/>
  <c r="Q32" i="42"/>
  <c r="R32" i="42" s="1"/>
  <c r="S32" i="42" s="1"/>
  <c r="T32" i="42" s="1"/>
  <c r="X201" i="44"/>
  <c r="Y201" i="44" s="1"/>
  <c r="AA201" i="44" s="1"/>
  <c r="X94" i="44"/>
  <c r="Y94" i="44" s="1"/>
  <c r="AA94" i="44" s="1"/>
  <c r="AJ137" i="44"/>
  <c r="I282" i="17"/>
  <c r="J282" i="17" s="1"/>
  <c r="K282" i="17" s="1"/>
  <c r="P175" i="17"/>
  <c r="Q175" i="17" s="1"/>
  <c r="R175" i="17" s="1"/>
  <c r="S175" i="17" s="1"/>
  <c r="AJ33" i="44"/>
  <c r="Q136" i="42"/>
  <c r="R136" i="42" s="1"/>
  <c r="S136" i="42" s="1"/>
  <c r="T136" i="42" s="1"/>
  <c r="Q140" i="42"/>
  <c r="R140" i="42" s="1"/>
  <c r="S140" i="42" s="1"/>
  <c r="T140" i="42" s="1"/>
  <c r="Q42" i="42"/>
  <c r="R42" i="42" s="1"/>
  <c r="S42" i="42" s="1"/>
  <c r="T42" i="42" s="1"/>
  <c r="Q38" i="42"/>
  <c r="R38" i="42" s="1"/>
  <c r="S38" i="42" s="1"/>
  <c r="T38" i="42" s="1"/>
  <c r="Q34" i="42"/>
  <c r="R34" i="42" s="1"/>
  <c r="S34" i="42" s="1"/>
  <c r="T34" i="42" s="1"/>
  <c r="Q112" i="42"/>
  <c r="R112" i="42" s="1"/>
  <c r="S112" i="42" s="1"/>
  <c r="T112" i="42" s="1"/>
  <c r="Q142" i="42"/>
  <c r="R142" i="42" s="1"/>
  <c r="S142" i="42" s="1"/>
  <c r="T142" i="42" s="1"/>
  <c r="Q37" i="17"/>
  <c r="R37" i="17" s="1"/>
  <c r="S37" i="17" s="1"/>
  <c r="O341" i="39"/>
  <c r="P341" i="39" s="1"/>
  <c r="Q341" i="39" s="1"/>
  <c r="R341" i="39" s="1"/>
  <c r="D22" i="26"/>
  <c r="O55" i="39"/>
  <c r="P55" i="39" s="1"/>
  <c r="Q55" i="39" s="1"/>
  <c r="R55" i="39" s="1"/>
  <c r="O26" i="39"/>
  <c r="P26" i="39" s="1"/>
  <c r="Q26" i="39" s="1"/>
  <c r="R26" i="39" s="1"/>
  <c r="O85" i="39"/>
  <c r="P85" i="39" s="1"/>
  <c r="Q85" i="39" s="1"/>
  <c r="R85" i="39" s="1"/>
  <c r="O178" i="39"/>
  <c r="P178" i="39" s="1"/>
  <c r="O187" i="39"/>
  <c r="P187" i="39" s="1"/>
  <c r="Q187" i="39" s="1"/>
  <c r="R187" i="39" s="1"/>
  <c r="O194" i="39"/>
  <c r="P194" i="39" s="1"/>
  <c r="Q194" i="39" s="1"/>
  <c r="R194" i="39" s="1"/>
  <c r="O182" i="39"/>
  <c r="P182" i="39" s="1"/>
  <c r="Q182" i="39" s="1"/>
  <c r="R182" i="39" s="1"/>
  <c r="O88" i="39"/>
  <c r="P88" i="39" s="1"/>
  <c r="Q88" i="39" s="1"/>
  <c r="R88" i="39" s="1"/>
  <c r="O79" i="39"/>
  <c r="P79" i="39" s="1"/>
  <c r="Q79" i="39" s="1"/>
  <c r="R79" i="39" s="1"/>
  <c r="O71" i="39"/>
  <c r="P71" i="39" s="1"/>
  <c r="Q71" i="39" s="1"/>
  <c r="R71" i="39" s="1"/>
  <c r="O180" i="39"/>
  <c r="P180" i="39" s="1"/>
  <c r="Q180" i="39" s="1"/>
  <c r="R180" i="39" s="1"/>
  <c r="O192" i="39"/>
  <c r="P192" i="39" s="1"/>
  <c r="Q192" i="39" s="1"/>
  <c r="R192" i="39" s="1"/>
  <c r="O181" i="39"/>
  <c r="P181" i="39" s="1"/>
  <c r="O193" i="39"/>
  <c r="P193" i="39" s="1"/>
  <c r="Q193" i="39" s="1"/>
  <c r="R193" i="39" s="1"/>
  <c r="O24" i="39"/>
  <c r="O62" i="39"/>
  <c r="P62" i="39" s="1"/>
  <c r="Q62" i="39" s="1"/>
  <c r="R62" i="39" s="1"/>
  <c r="O171" i="39"/>
  <c r="P171" i="39" s="1"/>
  <c r="Q171" i="39" s="1"/>
  <c r="R171" i="39" s="1"/>
  <c r="O191" i="39"/>
  <c r="P191" i="39" s="1"/>
  <c r="Q191" i="39" s="1"/>
  <c r="R191" i="39" s="1"/>
  <c r="O23" i="39"/>
  <c r="P23" i="39" s="1"/>
  <c r="Q23" i="39" s="1"/>
  <c r="R23" i="39" s="1"/>
  <c r="O22" i="39"/>
  <c r="P22" i="39" s="1"/>
  <c r="Q22" i="39" s="1"/>
  <c r="R22" i="39" s="1"/>
  <c r="O32" i="39"/>
  <c r="P32" i="39" s="1"/>
  <c r="Q32" i="39" s="1"/>
  <c r="R32" i="39" s="1"/>
  <c r="O59" i="39"/>
  <c r="P59" i="39" s="1"/>
  <c r="Q59" i="39" s="1"/>
  <c r="R59" i="39" s="1"/>
  <c r="O97" i="39"/>
  <c r="O95" i="39"/>
  <c r="P95" i="39" s="1"/>
  <c r="Q95" i="39" s="1"/>
  <c r="R95" i="39" s="1"/>
  <c r="O70" i="39"/>
  <c r="P70" i="39" s="1"/>
  <c r="Q70" i="39" s="1"/>
  <c r="R70" i="39" s="1"/>
  <c r="O175" i="39"/>
  <c r="P175" i="39" s="1"/>
  <c r="O77" i="39"/>
  <c r="P77" i="39" s="1"/>
  <c r="Q77" i="39" s="1"/>
  <c r="R77" i="39" s="1"/>
  <c r="O31" i="39"/>
  <c r="P31" i="39" s="1"/>
  <c r="Q31" i="39" s="1"/>
  <c r="R31" i="39" s="1"/>
  <c r="O75" i="39"/>
  <c r="P75" i="39" s="1"/>
  <c r="Q75" i="39" s="1"/>
  <c r="R75" i="39" s="1"/>
  <c r="O74" i="39"/>
  <c r="P74" i="39" s="1"/>
  <c r="Q74" i="39" s="1"/>
  <c r="R74" i="39" s="1"/>
  <c r="O179" i="39"/>
  <c r="P179" i="39" s="1"/>
  <c r="Q179" i="39" s="1"/>
  <c r="R179" i="39" s="1"/>
  <c r="O183" i="39"/>
  <c r="P183" i="39" s="1"/>
  <c r="O176" i="39"/>
  <c r="P176" i="39" s="1"/>
  <c r="Q176" i="39" s="1"/>
  <c r="R176" i="39" s="1"/>
  <c r="O186" i="39"/>
  <c r="P186" i="39" s="1"/>
  <c r="Q186" i="39" s="1"/>
  <c r="R186" i="39" s="1"/>
  <c r="O25" i="39"/>
  <c r="P25" i="39" s="1"/>
  <c r="Q25" i="39" s="1"/>
  <c r="R25" i="39" s="1"/>
  <c r="O98" i="39"/>
  <c r="P98" i="39" s="1"/>
  <c r="Q98" i="39" s="1"/>
  <c r="R98" i="39" s="1"/>
  <c r="O40" i="39"/>
  <c r="P40" i="39" s="1"/>
  <c r="Q40" i="39" s="1"/>
  <c r="R40" i="39" s="1"/>
  <c r="O28" i="39"/>
  <c r="P28" i="39" s="1"/>
  <c r="Q28" i="39" s="1"/>
  <c r="R28" i="39" s="1"/>
  <c r="O17" i="39"/>
  <c r="P17" i="39" s="1"/>
  <c r="Q17" i="39" s="1"/>
  <c r="R17" i="39" s="1"/>
  <c r="O172" i="39"/>
  <c r="P172" i="39" s="1"/>
  <c r="Q172" i="39" s="1"/>
  <c r="R172" i="39" s="1"/>
  <c r="O170" i="39"/>
  <c r="P170" i="39" s="1"/>
  <c r="Q170" i="39" s="1"/>
  <c r="R170" i="39" s="1"/>
  <c r="O174" i="39"/>
  <c r="P174" i="39" s="1"/>
  <c r="Q174" i="39" s="1"/>
  <c r="R174" i="39" s="1"/>
  <c r="O49" i="39"/>
  <c r="P49" i="39" s="1"/>
  <c r="Q49" i="39" s="1"/>
  <c r="R49" i="39" s="1"/>
  <c r="O38" i="39"/>
  <c r="P38" i="39" s="1"/>
  <c r="Q38" i="39" s="1"/>
  <c r="R38" i="39" s="1"/>
  <c r="O36" i="39"/>
  <c r="P36" i="39" s="1"/>
  <c r="Q36" i="39" s="1"/>
  <c r="R36" i="39" s="1"/>
  <c r="O93" i="39"/>
  <c r="P93" i="39" s="1"/>
  <c r="Q93" i="39" s="1"/>
  <c r="R93" i="39" s="1"/>
  <c r="O57" i="39"/>
  <c r="P57" i="39" s="1"/>
  <c r="Q57" i="39" s="1"/>
  <c r="R57" i="39" s="1"/>
  <c r="O47" i="39"/>
  <c r="P47" i="39" s="1"/>
  <c r="Q47" i="39" s="1"/>
  <c r="R47" i="39" s="1"/>
  <c r="O46" i="39"/>
  <c r="P46" i="39" s="1"/>
  <c r="O86" i="39"/>
  <c r="P86" i="39" s="1"/>
  <c r="Q86" i="39" s="1"/>
  <c r="R86" i="39" s="1"/>
  <c r="O56" i="39"/>
  <c r="P56" i="39" s="1"/>
  <c r="Q56" i="39" s="1"/>
  <c r="R56" i="39" s="1"/>
  <c r="O20" i="39"/>
  <c r="P20" i="39" s="1"/>
  <c r="Q20" i="39" s="1"/>
  <c r="R20" i="39" s="1"/>
  <c r="O19" i="39"/>
  <c r="P19" i="39" s="1"/>
  <c r="Q19" i="39" s="1"/>
  <c r="R19" i="39" s="1"/>
  <c r="O53" i="39"/>
  <c r="P53" i="39" s="1"/>
  <c r="Q53" i="39" s="1"/>
  <c r="R53" i="39" s="1"/>
  <c r="O29" i="39"/>
  <c r="P29" i="39" s="1"/>
  <c r="Q29" i="39" s="1"/>
  <c r="R29" i="39" s="1"/>
  <c r="O45" i="39"/>
  <c r="P45" i="39" s="1"/>
  <c r="Q45" i="39" s="1"/>
  <c r="R45" i="39" s="1"/>
  <c r="O101" i="39"/>
  <c r="P101" i="39" s="1"/>
  <c r="Q101" i="39" s="1"/>
  <c r="R101" i="39" s="1"/>
  <c r="O44" i="39"/>
  <c r="P44" i="39" s="1"/>
  <c r="Q44" i="39" s="1"/>
  <c r="R44" i="39" s="1"/>
  <c r="O43" i="39"/>
  <c r="P43" i="39" s="1"/>
  <c r="Q43" i="39" s="1"/>
  <c r="R43" i="39" s="1"/>
  <c r="O300" i="39"/>
  <c r="P300" i="39" s="1"/>
  <c r="Q300" i="39" s="1"/>
  <c r="R300" i="39" s="1"/>
  <c r="O307" i="39"/>
  <c r="P307" i="39" s="1"/>
  <c r="Q307" i="39" s="1"/>
  <c r="R307" i="39" s="1"/>
  <c r="O312" i="39"/>
  <c r="P312" i="39" s="1"/>
  <c r="Q312" i="39" s="1"/>
  <c r="R312" i="39" s="1"/>
  <c r="O301" i="39"/>
  <c r="P301" i="39" s="1"/>
  <c r="O326" i="39"/>
  <c r="P326" i="39" s="1"/>
  <c r="Q326" i="39" s="1"/>
  <c r="R326" i="39" s="1"/>
  <c r="O311" i="39"/>
  <c r="P311" i="39" s="1"/>
  <c r="Q311" i="39" s="1"/>
  <c r="R311" i="39" s="1"/>
  <c r="O339" i="39"/>
  <c r="P339" i="39" s="1"/>
  <c r="Q339" i="39" s="1"/>
  <c r="R339" i="39" s="1"/>
  <c r="O330" i="39"/>
  <c r="P330" i="39" s="1"/>
  <c r="Q330" i="39" s="1"/>
  <c r="R330" i="39" s="1"/>
  <c r="O320" i="39"/>
  <c r="P320" i="39" s="1"/>
  <c r="O336" i="39"/>
  <c r="P336" i="39" s="1"/>
  <c r="Q336" i="39" s="1"/>
  <c r="R336" i="39" s="1"/>
  <c r="O198" i="39"/>
  <c r="P198" i="39" s="1"/>
  <c r="Q198" i="39" s="1"/>
  <c r="R198" i="39" s="1"/>
  <c r="O202" i="39"/>
  <c r="P202" i="39" s="1"/>
  <c r="Q202" i="39" s="1"/>
  <c r="R202" i="39" s="1"/>
  <c r="O206" i="39"/>
  <c r="P206" i="39" s="1"/>
  <c r="Q206" i="39" s="1"/>
  <c r="R206" i="39" s="1"/>
  <c r="O212" i="39"/>
  <c r="P212" i="39" s="1"/>
  <c r="Q212" i="39" s="1"/>
  <c r="R212" i="39" s="1"/>
  <c r="O216" i="39"/>
  <c r="P216" i="39" s="1"/>
  <c r="Q216" i="39" s="1"/>
  <c r="R216" i="39" s="1"/>
  <c r="O220" i="39"/>
  <c r="P220" i="39" s="1"/>
  <c r="Q220" i="39" s="1"/>
  <c r="R220" i="39" s="1"/>
  <c r="O224" i="39"/>
  <c r="P224" i="39" s="1"/>
  <c r="Q224" i="39" s="1"/>
  <c r="R224" i="39" s="1"/>
  <c r="O228" i="39"/>
  <c r="P228" i="39" s="1"/>
  <c r="Q228" i="39" s="1"/>
  <c r="R228" i="39" s="1"/>
  <c r="O232" i="39"/>
  <c r="P232" i="39" s="1"/>
  <c r="Q232" i="39" s="1"/>
  <c r="R232" i="39" s="1"/>
  <c r="O236" i="39"/>
  <c r="P236" i="39" s="1"/>
  <c r="Q236" i="39" s="1"/>
  <c r="R236" i="39" s="1"/>
  <c r="O239" i="39"/>
  <c r="P239" i="39" s="1"/>
  <c r="Q239" i="39" s="1"/>
  <c r="R239" i="39" s="1"/>
  <c r="O243" i="39"/>
  <c r="P243" i="39" s="1"/>
  <c r="Q243" i="39" s="1"/>
  <c r="R243" i="39" s="1"/>
  <c r="O410" i="39"/>
  <c r="P410" i="39" s="1"/>
  <c r="Q410" i="39" s="1"/>
  <c r="R410" i="39" s="1"/>
  <c r="O414" i="39"/>
  <c r="P414" i="39" s="1"/>
  <c r="Q414" i="39" s="1"/>
  <c r="R414" i="39" s="1"/>
  <c r="O418" i="39"/>
  <c r="P418" i="39" s="1"/>
  <c r="Q418" i="39" s="1"/>
  <c r="R418" i="39" s="1"/>
  <c r="O422" i="39"/>
  <c r="P422" i="39" s="1"/>
  <c r="Q422" i="39" s="1"/>
  <c r="R422" i="39" s="1"/>
  <c r="O426" i="39"/>
  <c r="P426" i="39" s="1"/>
  <c r="Q426" i="39" s="1"/>
  <c r="R426" i="39" s="1"/>
  <c r="O430" i="39"/>
  <c r="P430" i="39" s="1"/>
  <c r="Q430" i="39" s="1"/>
  <c r="R430" i="39" s="1"/>
  <c r="O434" i="39"/>
  <c r="P434" i="39" s="1"/>
  <c r="Q434" i="39" s="1"/>
  <c r="R434" i="39" s="1"/>
  <c r="O246" i="39"/>
  <c r="P246" i="39" s="1"/>
  <c r="O130" i="39"/>
  <c r="P130" i="39" s="1"/>
  <c r="Q130" i="39" s="1"/>
  <c r="R130" i="39" s="1"/>
  <c r="O436" i="39"/>
  <c r="P436" i="39" s="1"/>
  <c r="O250" i="39"/>
  <c r="P250" i="39" s="1"/>
  <c r="Q250" i="39" s="1"/>
  <c r="R250" i="39" s="1"/>
  <c r="O253" i="39"/>
  <c r="P253" i="39" s="1"/>
  <c r="Q253" i="39" s="1"/>
  <c r="R253" i="39" s="1"/>
  <c r="O257" i="39"/>
  <c r="P257" i="39" s="1"/>
  <c r="Q257" i="39" s="1"/>
  <c r="R257" i="39" s="1"/>
  <c r="O114" i="39"/>
  <c r="P114" i="39" s="1"/>
  <c r="Q114" i="39" s="1"/>
  <c r="R114" i="39" s="1"/>
  <c r="O351" i="39"/>
  <c r="P351" i="39" s="1"/>
  <c r="Q351" i="39" s="1"/>
  <c r="R351" i="39" s="1"/>
  <c r="O262" i="39"/>
  <c r="P262" i="39" s="1"/>
  <c r="Q262" i="39" s="1"/>
  <c r="R262" i="39" s="1"/>
  <c r="O106" i="39"/>
  <c r="P106" i="39" s="1"/>
  <c r="Q106" i="39" s="1"/>
  <c r="R106" i="39" s="1"/>
  <c r="O100" i="39"/>
  <c r="P100" i="39" s="1"/>
  <c r="Q100" i="39" s="1"/>
  <c r="R100" i="39" s="1"/>
  <c r="O91" i="39"/>
  <c r="P91" i="39" s="1"/>
  <c r="Q91" i="39" s="1"/>
  <c r="R91" i="39" s="1"/>
  <c r="O83" i="39"/>
  <c r="P83" i="39" s="1"/>
  <c r="Q83" i="39" s="1"/>
  <c r="R83" i="39" s="1"/>
  <c r="O82" i="39"/>
  <c r="P82" i="39" s="1"/>
  <c r="Q82" i="39" s="1"/>
  <c r="R82" i="39" s="1"/>
  <c r="O72" i="39"/>
  <c r="P72" i="39" s="1"/>
  <c r="Q72" i="39" s="1"/>
  <c r="R72" i="39" s="1"/>
  <c r="O67" i="39"/>
  <c r="P67" i="39" s="1"/>
  <c r="Q67" i="39" s="1"/>
  <c r="R67" i="39" s="1"/>
  <c r="O65" i="39"/>
  <c r="P65" i="39" s="1"/>
  <c r="Q65" i="39" s="1"/>
  <c r="R65" i="39" s="1"/>
  <c r="O317" i="39"/>
  <c r="P317" i="39" s="1"/>
  <c r="O306" i="39"/>
  <c r="P306" i="39" s="1"/>
  <c r="Q306" i="39" s="1"/>
  <c r="R306" i="39" s="1"/>
  <c r="O305" i="39"/>
  <c r="P305" i="39" s="1"/>
  <c r="Q305" i="39" s="1"/>
  <c r="R305" i="39" s="1"/>
  <c r="O323" i="39"/>
  <c r="P323" i="39" s="1"/>
  <c r="Q323" i="39" s="1"/>
  <c r="R323" i="39" s="1"/>
  <c r="O315" i="39"/>
  <c r="P315" i="39" s="1"/>
  <c r="Q315" i="39" s="1"/>
  <c r="R315" i="39" s="1"/>
  <c r="O310" i="39"/>
  <c r="P310" i="39" s="1"/>
  <c r="Q310" i="39" s="1"/>
  <c r="R310" i="39" s="1"/>
  <c r="O335" i="39"/>
  <c r="P335" i="39" s="1"/>
  <c r="O329" i="39"/>
  <c r="P329" i="39" s="1"/>
  <c r="Q329" i="39" s="1"/>
  <c r="R329" i="39" s="1"/>
  <c r="O319" i="39"/>
  <c r="P319" i="39" s="1"/>
  <c r="O118" i="39"/>
  <c r="P118" i="39" s="1"/>
  <c r="Q118" i="39" s="1"/>
  <c r="R118" i="39" s="1"/>
  <c r="O195" i="39"/>
  <c r="P195" i="39" s="1"/>
  <c r="O199" i="39"/>
  <c r="P199" i="39" s="1"/>
  <c r="Q199" i="39" s="1"/>
  <c r="R199" i="39" s="1"/>
  <c r="O203" i="39"/>
  <c r="P203" i="39" s="1"/>
  <c r="O207" i="39"/>
  <c r="P207" i="39" s="1"/>
  <c r="Q207" i="39" s="1"/>
  <c r="R207" i="39" s="1"/>
  <c r="O213" i="39"/>
  <c r="P213" i="39" s="1"/>
  <c r="Q213" i="39" s="1"/>
  <c r="R213" i="39" s="1"/>
  <c r="O217" i="39"/>
  <c r="P217" i="39" s="1"/>
  <c r="Q217" i="39" s="1"/>
  <c r="R217" i="39" s="1"/>
  <c r="O221" i="39"/>
  <c r="P221" i="39" s="1"/>
  <c r="Q221" i="39" s="1"/>
  <c r="R221" i="39" s="1"/>
  <c r="O227" i="39"/>
  <c r="P227" i="39" s="1"/>
  <c r="Q227" i="39" s="1"/>
  <c r="R227" i="39" s="1"/>
  <c r="O229" i="39"/>
  <c r="P229" i="39" s="1"/>
  <c r="Q229" i="39" s="1"/>
  <c r="R229" i="39" s="1"/>
  <c r="O234" i="39"/>
  <c r="P234" i="39" s="1"/>
  <c r="Q234" i="39" s="1"/>
  <c r="R234" i="39" s="1"/>
  <c r="O238" i="39"/>
  <c r="P238" i="39" s="1"/>
  <c r="Q238" i="39" s="1"/>
  <c r="R238" i="39" s="1"/>
  <c r="O240" i="39"/>
  <c r="P240" i="39" s="1"/>
  <c r="Q240" i="39" s="1"/>
  <c r="R240" i="39" s="1"/>
  <c r="O242" i="39"/>
  <c r="P242" i="39" s="1"/>
  <c r="Q242" i="39" s="1"/>
  <c r="R242" i="39" s="1"/>
  <c r="O411" i="39"/>
  <c r="P411" i="39" s="1"/>
  <c r="Q411" i="39" s="1"/>
  <c r="R411" i="39" s="1"/>
  <c r="O415" i="39"/>
  <c r="P415" i="39" s="1"/>
  <c r="Q415" i="39" s="1"/>
  <c r="R415" i="39" s="1"/>
  <c r="O419" i="39"/>
  <c r="P419" i="39" s="1"/>
  <c r="Q419" i="39" s="1"/>
  <c r="R419" i="39" s="1"/>
  <c r="O423" i="39"/>
  <c r="P423" i="39" s="1"/>
  <c r="Q423" i="39" s="1"/>
  <c r="R423" i="39" s="1"/>
  <c r="O427" i="39"/>
  <c r="P427" i="39" s="1"/>
  <c r="Q427" i="39" s="1"/>
  <c r="R427" i="39" s="1"/>
  <c r="O431" i="39"/>
  <c r="P431" i="39" s="1"/>
  <c r="Q431" i="39" s="1"/>
  <c r="R431" i="39" s="1"/>
  <c r="O439" i="39"/>
  <c r="P439" i="39" s="1"/>
  <c r="Q439" i="39" s="1"/>
  <c r="R439" i="39" s="1"/>
  <c r="O248" i="39"/>
  <c r="P248" i="39" s="1"/>
  <c r="Q248" i="39" s="1"/>
  <c r="R248" i="39" s="1"/>
  <c r="O132" i="39"/>
  <c r="P132" i="39" s="1"/>
  <c r="Q132" i="39" s="1"/>
  <c r="R132" i="39" s="1"/>
  <c r="O435" i="39"/>
  <c r="P435" i="39" s="1"/>
  <c r="Q435" i="39" s="1"/>
  <c r="R435" i="39" s="1"/>
  <c r="O249" i="39"/>
  <c r="P249" i="39" s="1"/>
  <c r="O256" i="39"/>
  <c r="P256" i="39" s="1"/>
  <c r="Q256" i="39" s="1"/>
  <c r="R256" i="39" s="1"/>
  <c r="O354" i="39"/>
  <c r="P354" i="39" s="1"/>
  <c r="O265" i="39"/>
  <c r="P265" i="39" s="1"/>
  <c r="Q265" i="39" s="1"/>
  <c r="R265" i="39" s="1"/>
  <c r="O147" i="39"/>
  <c r="P147" i="39" s="1"/>
  <c r="Q147" i="39" s="1"/>
  <c r="R147" i="39" s="1"/>
  <c r="O18" i="39"/>
  <c r="P18" i="39" s="1"/>
  <c r="Q18" i="39" s="1"/>
  <c r="R18" i="39" s="1"/>
  <c r="O16" i="39"/>
  <c r="P16" i="39" s="1"/>
  <c r="Q16" i="39" s="1"/>
  <c r="R16" i="39" s="1"/>
  <c r="O63" i="39"/>
  <c r="P63" i="39" s="1"/>
  <c r="Q63" i="39" s="1"/>
  <c r="R63" i="39" s="1"/>
  <c r="O190" i="39"/>
  <c r="P190" i="39" s="1"/>
  <c r="Q190" i="39" s="1"/>
  <c r="R190" i="39" s="1"/>
  <c r="O188" i="39"/>
  <c r="P188" i="39" s="1"/>
  <c r="Q188" i="39" s="1"/>
  <c r="R188" i="39" s="1"/>
  <c r="O39" i="39"/>
  <c r="P39" i="39" s="1"/>
  <c r="Q39" i="39" s="1"/>
  <c r="R39" i="39" s="1"/>
  <c r="O27" i="39"/>
  <c r="P27" i="39" s="1"/>
  <c r="Q27" i="39" s="1"/>
  <c r="R27" i="39" s="1"/>
  <c r="O37" i="39"/>
  <c r="P37" i="39" s="1"/>
  <c r="Q37" i="39" s="1"/>
  <c r="R37" i="39" s="1"/>
  <c r="O107" i="39"/>
  <c r="P107" i="39" s="1"/>
  <c r="Q107" i="39" s="1"/>
  <c r="R107" i="39" s="1"/>
  <c r="O58" i="39"/>
  <c r="P58" i="39" s="1"/>
  <c r="Q58" i="39" s="1"/>
  <c r="R58" i="39" s="1"/>
  <c r="O48" i="39"/>
  <c r="P48" i="39" s="1"/>
  <c r="Q48" i="39" s="1"/>
  <c r="R48" i="39" s="1"/>
  <c r="O14" i="39"/>
  <c r="P14" i="39" s="1"/>
  <c r="Q14" i="39" s="1"/>
  <c r="R14" i="39" s="1"/>
  <c r="O21" i="39"/>
  <c r="P21" i="39" s="1"/>
  <c r="Q21" i="39" s="1"/>
  <c r="R21" i="39" s="1"/>
  <c r="O68" i="39"/>
  <c r="P68" i="39" s="1"/>
  <c r="Q68" i="39" s="1"/>
  <c r="R68" i="39" s="1"/>
  <c r="O35" i="39"/>
  <c r="P35" i="39" s="1"/>
  <c r="Q35" i="39" s="1"/>
  <c r="R35" i="39" s="1"/>
  <c r="O54" i="39"/>
  <c r="P54" i="39" s="1"/>
  <c r="Q54" i="39" s="1"/>
  <c r="R54" i="39" s="1"/>
  <c r="O13" i="39"/>
  <c r="O30" i="39"/>
  <c r="P30" i="39" s="1"/>
  <c r="Q30" i="39" s="1"/>
  <c r="R30" i="39" s="1"/>
  <c r="O73" i="39"/>
  <c r="P73" i="39" s="1"/>
  <c r="Q73" i="39" s="1"/>
  <c r="R73" i="39" s="1"/>
  <c r="O52" i="39"/>
  <c r="P52" i="39" s="1"/>
  <c r="O42" i="39"/>
  <c r="P42" i="39" s="1"/>
  <c r="Q42" i="39" s="1"/>
  <c r="R42" i="39" s="1"/>
  <c r="O303" i="39"/>
  <c r="P303" i="39" s="1"/>
  <c r="Q303" i="39" s="1"/>
  <c r="R303" i="39" s="1"/>
  <c r="O316" i="39"/>
  <c r="P316" i="39" s="1"/>
  <c r="Q316" i="39" s="1"/>
  <c r="R316" i="39" s="1"/>
  <c r="O331" i="39"/>
  <c r="P331" i="39" s="1"/>
  <c r="Q331" i="39" s="1"/>
  <c r="R331" i="39" s="1"/>
  <c r="O302" i="39"/>
  <c r="P302" i="39" s="1"/>
  <c r="Q302" i="39" s="1"/>
  <c r="R302" i="39" s="1"/>
  <c r="O322" i="39"/>
  <c r="P322" i="39" s="1"/>
  <c r="Q322" i="39" s="1"/>
  <c r="R322" i="39" s="1"/>
  <c r="O318" i="39"/>
  <c r="P318" i="39" s="1"/>
  <c r="Q318" i="39" s="1"/>
  <c r="R318" i="39" s="1"/>
  <c r="O337" i="39"/>
  <c r="P337" i="39" s="1"/>
  <c r="Q337" i="39" s="1"/>
  <c r="R337" i="39" s="1"/>
  <c r="O334" i="39"/>
  <c r="P334" i="39" s="1"/>
  <c r="O325" i="39"/>
  <c r="P325" i="39" s="1"/>
  <c r="O309" i="39"/>
  <c r="P309" i="39" s="1"/>
  <c r="O332" i="39"/>
  <c r="P332" i="39" s="1"/>
  <c r="O313" i="39"/>
  <c r="P313" i="39" s="1"/>
  <c r="O196" i="39"/>
  <c r="P196" i="39" s="1"/>
  <c r="Q196" i="39" s="1"/>
  <c r="R196" i="39" s="1"/>
  <c r="O200" i="39"/>
  <c r="P200" i="39" s="1"/>
  <c r="Q200" i="39" s="1"/>
  <c r="R200" i="39" s="1"/>
  <c r="O204" i="39"/>
  <c r="P204" i="39" s="1"/>
  <c r="Q204" i="39" s="1"/>
  <c r="R204" i="39" s="1"/>
  <c r="O208" i="39"/>
  <c r="P208" i="39" s="1"/>
  <c r="Q208" i="39" s="1"/>
  <c r="R208" i="39" s="1"/>
  <c r="O210" i="39"/>
  <c r="P210" i="39" s="1"/>
  <c r="Q210" i="39" s="1"/>
  <c r="R210" i="39" s="1"/>
  <c r="O214" i="39"/>
  <c r="P214" i="39" s="1"/>
  <c r="Q214" i="39" s="1"/>
  <c r="R214" i="39" s="1"/>
  <c r="O218" i="39"/>
  <c r="P218" i="39" s="1"/>
  <c r="Q218" i="39" s="1"/>
  <c r="R218" i="39" s="1"/>
  <c r="O222" i="39"/>
  <c r="P222" i="39" s="1"/>
  <c r="Q222" i="39" s="1"/>
  <c r="R222" i="39" s="1"/>
  <c r="O225" i="39"/>
  <c r="P225" i="39" s="1"/>
  <c r="Q225" i="39" s="1"/>
  <c r="R225" i="39" s="1"/>
  <c r="O230" i="39"/>
  <c r="P230" i="39" s="1"/>
  <c r="Q230" i="39" s="1"/>
  <c r="R230" i="39" s="1"/>
  <c r="O235" i="39"/>
  <c r="P235" i="39" s="1"/>
  <c r="O237" i="39"/>
  <c r="P237" i="39" s="1"/>
  <c r="O245" i="39"/>
  <c r="P245" i="39" s="1"/>
  <c r="Q245" i="39" s="1"/>
  <c r="R245" i="39" s="1"/>
  <c r="O412" i="39"/>
  <c r="P412" i="39" s="1"/>
  <c r="O416" i="39"/>
  <c r="P416" i="39" s="1"/>
  <c r="O420" i="39"/>
  <c r="P420" i="39" s="1"/>
  <c r="O424" i="39"/>
  <c r="P424" i="39" s="1"/>
  <c r="O428" i="39"/>
  <c r="P428" i="39" s="1"/>
  <c r="O432" i="39"/>
  <c r="P432" i="39" s="1"/>
  <c r="O440" i="39"/>
  <c r="P440" i="39" s="1"/>
  <c r="O442" i="39"/>
  <c r="P442" i="39" s="1"/>
  <c r="Q442" i="39" s="1"/>
  <c r="R442" i="39" s="1"/>
  <c r="O438" i="39"/>
  <c r="P438" i="39" s="1"/>
  <c r="Q438" i="39" s="1"/>
  <c r="R438" i="39" s="1"/>
  <c r="O251" i="39"/>
  <c r="P251" i="39" s="1"/>
  <c r="Q251" i="39" s="1"/>
  <c r="R251" i="39" s="1"/>
  <c r="O258" i="39"/>
  <c r="P258" i="39" s="1"/>
  <c r="O340" i="39"/>
  <c r="O362" i="39"/>
  <c r="O353" i="39"/>
  <c r="P353" i="39" s="1"/>
  <c r="Q353" i="39" s="1"/>
  <c r="R353" i="39" s="1"/>
  <c r="AP39" i="44"/>
  <c r="P64" i="17"/>
  <c r="Q118" i="17"/>
  <c r="R118" i="17" s="1"/>
  <c r="S118" i="17" s="1"/>
  <c r="N43" i="17"/>
  <c r="O43" i="17" s="1"/>
  <c r="P43" i="17" s="1"/>
  <c r="T151" i="44"/>
  <c r="AJ55" i="44"/>
  <c r="P61" i="17"/>
  <c r="Q61" i="17" s="1"/>
  <c r="R61" i="17" s="1"/>
  <c r="S61" i="17" s="1"/>
  <c r="AJ90" i="44"/>
  <c r="AJ34" i="44"/>
  <c r="AJ65" i="44"/>
  <c r="AP69" i="44"/>
  <c r="Q116" i="17"/>
  <c r="R116" i="17" s="1"/>
  <c r="S116" i="17" s="1"/>
  <c r="P222" i="17"/>
  <c r="P52" i="17"/>
  <c r="Q265" i="17"/>
  <c r="R265" i="17" s="1"/>
  <c r="S265" i="17" s="1"/>
  <c r="Q267" i="17"/>
  <c r="R267" i="17" s="1"/>
  <c r="S267" i="17" s="1"/>
  <c r="Q142" i="17"/>
  <c r="R142" i="17" s="1"/>
  <c r="S142" i="17" s="1"/>
  <c r="R65" i="17"/>
  <c r="S65" i="17" s="1"/>
  <c r="R59" i="17"/>
  <c r="S59" i="17" s="1"/>
  <c r="AJ84" i="44"/>
  <c r="AJ81" i="44"/>
  <c r="O90" i="39"/>
  <c r="O102" i="39"/>
  <c r="O89" i="39"/>
  <c r="P89" i="39" s="1"/>
  <c r="Q89" i="39" s="1"/>
  <c r="R89" i="39" s="1"/>
  <c r="O109" i="39"/>
  <c r="P109" i="39" s="1"/>
  <c r="Q109" i="39" s="1"/>
  <c r="R109" i="39" s="1"/>
  <c r="O111" i="39"/>
  <c r="P111" i="39" s="1"/>
  <c r="Q111" i="39" s="1"/>
  <c r="R111" i="39" s="1"/>
  <c r="O99" i="39"/>
  <c r="O103" i="39"/>
  <c r="P103" i="39" s="1"/>
  <c r="Q103" i="39" s="1"/>
  <c r="R103" i="39" s="1"/>
  <c r="O105" i="39"/>
  <c r="O104" i="39"/>
  <c r="O110" i="39"/>
  <c r="P110" i="39" s="1"/>
  <c r="Q110" i="39" s="1"/>
  <c r="R110" i="39" s="1"/>
  <c r="O112" i="39"/>
  <c r="P112" i="39" s="1"/>
  <c r="Q112" i="39" s="1"/>
  <c r="R112" i="39" s="1"/>
  <c r="O117" i="39"/>
  <c r="Q53" i="17"/>
  <c r="R53" i="17" s="1"/>
  <c r="S53" i="17" s="1"/>
  <c r="P122" i="17"/>
  <c r="Q252" i="17"/>
  <c r="R252" i="17" s="1"/>
  <c r="S252" i="17" s="1"/>
  <c r="P166" i="17"/>
  <c r="Q167" i="17"/>
  <c r="R167" i="17" s="1"/>
  <c r="S167" i="17" s="1"/>
  <c r="R50" i="42"/>
  <c r="P66" i="17"/>
  <c r="R61" i="42"/>
  <c r="S61" i="42" s="1"/>
  <c r="T61" i="42" s="1"/>
  <c r="R84" i="42"/>
  <c r="S84" i="42" s="1"/>
  <c r="T84" i="42" s="1"/>
  <c r="Q94" i="42"/>
  <c r="Q114" i="42"/>
  <c r="R76" i="42"/>
  <c r="S76" i="42" s="1"/>
  <c r="T76" i="42" s="1"/>
  <c r="R130" i="42"/>
  <c r="S130" i="42" s="1"/>
  <c r="T130" i="42" s="1"/>
  <c r="Q93" i="42"/>
  <c r="R93" i="42" s="1"/>
  <c r="S93" i="42" s="1"/>
  <c r="T93" i="42" s="1"/>
  <c r="Q44" i="42"/>
  <c r="R54" i="42"/>
  <c r="S54" i="42" s="1"/>
  <c r="T54" i="42" s="1"/>
  <c r="R66" i="42"/>
  <c r="S66" i="42" s="1"/>
  <c r="T66" i="42" s="1"/>
  <c r="R75" i="42"/>
  <c r="S75" i="42" s="1"/>
  <c r="T75" i="42" s="1"/>
  <c r="Q95" i="42"/>
  <c r="R95" i="42" s="1"/>
  <c r="S95" i="42" s="1"/>
  <c r="T95" i="42" s="1"/>
  <c r="R135" i="42"/>
  <c r="S135" i="42" s="1"/>
  <c r="T135" i="42" s="1"/>
  <c r="Q92" i="42"/>
  <c r="Q113" i="42"/>
  <c r="Q143" i="42"/>
  <c r="R143" i="42" s="1"/>
  <c r="S143" i="42" s="1"/>
  <c r="T143" i="42" s="1"/>
  <c r="R106" i="42"/>
  <c r="S106" i="42" s="1"/>
  <c r="T106" i="42" s="1"/>
  <c r="R58" i="42"/>
  <c r="S58" i="42" s="1"/>
  <c r="T58" i="42" s="1"/>
  <c r="P145" i="17"/>
  <c r="Q145" i="17" s="1"/>
  <c r="M146" i="42"/>
  <c r="M53" i="42"/>
  <c r="N53" i="42" s="1"/>
  <c r="M59" i="42"/>
  <c r="N59" i="42" s="1"/>
  <c r="D42" i="26"/>
  <c r="D38" i="26"/>
  <c r="D40" i="26"/>
  <c r="L13" i="42"/>
  <c r="Q13" i="42" s="1"/>
  <c r="L15" i="42"/>
  <c r="Q15" i="42" s="1"/>
  <c r="L150" i="42"/>
  <c r="Q150" i="42" s="1"/>
  <c r="L18" i="42"/>
  <c r="Q18" i="42" s="1"/>
  <c r="L17" i="42"/>
  <c r="Q17" i="42" s="1"/>
  <c r="R17" i="42" s="1"/>
  <c r="S17" i="42" s="1"/>
  <c r="T17" i="42" s="1"/>
  <c r="L16" i="42"/>
  <c r="Q16" i="42" s="1"/>
  <c r="L19" i="42"/>
  <c r="Q19" i="42" s="1"/>
  <c r="O137" i="39"/>
  <c r="P137" i="39" s="1"/>
  <c r="Q137" i="39" s="1"/>
  <c r="R137" i="39" s="1"/>
  <c r="O352" i="39"/>
  <c r="P352" i="39" s="1"/>
  <c r="Q352" i="39" s="1"/>
  <c r="R352" i="39" s="1"/>
  <c r="O449" i="39"/>
  <c r="P449" i="39" s="1"/>
  <c r="Q449" i="39" s="1"/>
  <c r="R449" i="39" s="1"/>
  <c r="O446" i="39"/>
  <c r="P437" i="39"/>
  <c r="Q437" i="39" s="1"/>
  <c r="R437" i="39" s="1"/>
  <c r="O448" i="39"/>
  <c r="O447" i="39"/>
  <c r="P447" i="39" s="1"/>
  <c r="Q447" i="39" s="1"/>
  <c r="R447" i="39" s="1"/>
  <c r="O451" i="39"/>
  <c r="P451" i="39" s="1"/>
  <c r="Q451" i="39" s="1"/>
  <c r="R451" i="39" s="1"/>
  <c r="P409" i="39"/>
  <c r="P94" i="39"/>
  <c r="Q94" i="39" s="1"/>
  <c r="R94" i="39" s="1"/>
  <c r="O450" i="39"/>
  <c r="P450" i="39" s="1"/>
  <c r="Q450" i="39" s="1"/>
  <c r="R450" i="39" s="1"/>
  <c r="O141" i="39"/>
  <c r="P141" i="39" s="1"/>
  <c r="O264" i="39"/>
  <c r="P264" i="39" s="1"/>
  <c r="Q264" i="39" s="1"/>
  <c r="R264" i="39" s="1"/>
  <c r="O153" i="39"/>
  <c r="P153" i="39" s="1"/>
  <c r="Q153" i="39" s="1"/>
  <c r="R153" i="39" s="1"/>
  <c r="P116" i="39"/>
  <c r="Q116" i="39" s="1"/>
  <c r="R116" i="39" s="1"/>
  <c r="O121" i="39"/>
  <c r="P121" i="39" s="1"/>
  <c r="Q121" i="39" s="1"/>
  <c r="R121" i="39" s="1"/>
  <c r="O152" i="39"/>
  <c r="P152" i="39" s="1"/>
  <c r="Q152" i="39" s="1"/>
  <c r="R152" i="39" s="1"/>
  <c r="O156" i="39"/>
  <c r="P156" i="39" s="1"/>
  <c r="O131" i="39"/>
  <c r="P131" i="39" s="1"/>
  <c r="Q131" i="39" s="1"/>
  <c r="R131" i="39" s="1"/>
  <c r="O128" i="39"/>
  <c r="P128" i="39" s="1"/>
  <c r="Q128" i="39" s="1"/>
  <c r="R128" i="39" s="1"/>
  <c r="O122" i="39"/>
  <c r="P122" i="39" s="1"/>
  <c r="Q122" i="39" s="1"/>
  <c r="R122" i="39" s="1"/>
  <c r="O133" i="39"/>
  <c r="P133" i="39" s="1"/>
  <c r="Q133" i="39" s="1"/>
  <c r="R133" i="39" s="1"/>
  <c r="O266" i="39"/>
  <c r="O157" i="39"/>
  <c r="P157" i="39" s="1"/>
  <c r="Q157" i="39" s="1"/>
  <c r="R157" i="39" s="1"/>
  <c r="O273" i="39"/>
  <c r="P273" i="39" s="1"/>
  <c r="Q273" i="39" s="1"/>
  <c r="R273" i="39" s="1"/>
  <c r="O269" i="39"/>
  <c r="P269" i="39" s="1"/>
  <c r="Q269" i="39" s="1"/>
  <c r="R269" i="39" s="1"/>
  <c r="O158" i="39"/>
  <c r="O277" i="39"/>
  <c r="O355" i="39"/>
  <c r="P355" i="39" s="1"/>
  <c r="Q355" i="39" s="1"/>
  <c r="R355" i="39" s="1"/>
  <c r="O359" i="39"/>
  <c r="O279" i="39"/>
  <c r="P279" i="39" s="1"/>
  <c r="Q279" i="39" s="1"/>
  <c r="R279" i="39" s="1"/>
  <c r="O278" i="39"/>
  <c r="P125" i="39"/>
  <c r="Q125" i="39" s="1"/>
  <c r="R125" i="39" s="1"/>
  <c r="P24" i="39"/>
  <c r="Q24" i="39" s="1"/>
  <c r="R24" i="39" s="1"/>
  <c r="K365" i="39"/>
  <c r="K459" i="39" s="1"/>
  <c r="O135" i="39"/>
  <c r="O136" i="39"/>
  <c r="O142" i="39"/>
  <c r="P142" i="39" s="1"/>
  <c r="Q142" i="39" s="1"/>
  <c r="R142" i="39" s="1"/>
  <c r="O143" i="39"/>
  <c r="O140" i="39"/>
  <c r="P140" i="39" s="1"/>
  <c r="Q140" i="39" s="1"/>
  <c r="R140" i="39" s="1"/>
  <c r="O146" i="39"/>
  <c r="P146" i="39" s="1"/>
  <c r="Q146" i="39" s="1"/>
  <c r="R146" i="39" s="1"/>
  <c r="O149" i="39"/>
  <c r="P149" i="39" s="1"/>
  <c r="Q149" i="39" s="1"/>
  <c r="R149" i="39" s="1"/>
  <c r="O274" i="39"/>
  <c r="O356" i="39"/>
  <c r="P356" i="39" s="1"/>
  <c r="Q356" i="39" s="1"/>
  <c r="R356" i="39" s="1"/>
  <c r="O154" i="39"/>
  <c r="O282" i="39"/>
  <c r="P282" i="39" s="1"/>
  <c r="Q282" i="39" s="1"/>
  <c r="R282" i="39" s="1"/>
  <c r="O280" i="39"/>
  <c r="P97" i="39"/>
  <c r="Q97" i="39" s="1"/>
  <c r="R97" i="39" s="1"/>
  <c r="O120" i="39"/>
  <c r="O134" i="39"/>
  <c r="P134" i="39" s="1"/>
  <c r="Q134" i="39" s="1"/>
  <c r="R134" i="39" s="1"/>
  <c r="O148" i="39"/>
  <c r="P148" i="39" s="1"/>
  <c r="Q148" i="39" s="1"/>
  <c r="R148" i="39" s="1"/>
  <c r="O150" i="39"/>
  <c r="O271" i="39"/>
  <c r="P271" i="39" s="1"/>
  <c r="Q271" i="39" s="1"/>
  <c r="R271" i="39" s="1"/>
  <c r="O275" i="39"/>
  <c r="O357" i="39"/>
  <c r="P357" i="39" s="1"/>
  <c r="Q357" i="39" s="1"/>
  <c r="R357" i="39" s="1"/>
  <c r="O361" i="39"/>
  <c r="P361" i="39" s="1"/>
  <c r="Q361" i="39" s="1"/>
  <c r="R361" i="39" s="1"/>
  <c r="O284" i="39"/>
  <c r="P284" i="39" s="1"/>
  <c r="Q284" i="39" s="1"/>
  <c r="R284" i="39" s="1"/>
  <c r="O281" i="39"/>
  <c r="P281" i="39" s="1"/>
  <c r="Q281" i="39" s="1"/>
  <c r="R281" i="39" s="1"/>
  <c r="C24" i="26"/>
  <c r="O241" i="39"/>
  <c r="O350" i="39"/>
  <c r="O254" i="39"/>
  <c r="O129" i="39"/>
  <c r="O126" i="39"/>
  <c r="P126" i="39" s="1"/>
  <c r="Q126" i="39" s="1"/>
  <c r="R126" i="39" s="1"/>
  <c r="O124" i="39"/>
  <c r="O119" i="39"/>
  <c r="P119" i="39" s="1"/>
  <c r="Q119" i="39" s="1"/>
  <c r="R119" i="39" s="1"/>
  <c r="O138" i="39"/>
  <c r="P138" i="39" s="1"/>
  <c r="Q138" i="39" s="1"/>
  <c r="R138" i="39" s="1"/>
  <c r="O259" i="39"/>
  <c r="O260" i="39"/>
  <c r="P260" i="39" s="1"/>
  <c r="Q260" i="39" s="1"/>
  <c r="R260" i="39" s="1"/>
  <c r="O263" i="39"/>
  <c r="O145" i="39"/>
  <c r="P145" i="39" s="1"/>
  <c r="Q145" i="39" s="1"/>
  <c r="R145" i="39" s="1"/>
  <c r="O393" i="39"/>
  <c r="O394" i="39"/>
  <c r="O371" i="39"/>
  <c r="P371" i="39" s="1"/>
  <c r="Q371" i="39" s="1"/>
  <c r="R371" i="39" s="1"/>
  <c r="O373" i="39"/>
  <c r="O374" i="39"/>
  <c r="O376" i="39"/>
  <c r="P376" i="39" s="1"/>
  <c r="Q376" i="39" s="1"/>
  <c r="R376" i="39" s="1"/>
  <c r="O379" i="39"/>
  <c r="P379" i="39" s="1"/>
  <c r="Q379" i="39" s="1"/>
  <c r="R379" i="39" s="1"/>
  <c r="O381" i="39"/>
  <c r="O382" i="39"/>
  <c r="O384" i="39"/>
  <c r="P384" i="39" s="1"/>
  <c r="Q384" i="39" s="1"/>
  <c r="R384" i="39" s="1"/>
  <c r="O387" i="39"/>
  <c r="P387" i="39" s="1"/>
  <c r="Q387" i="39" s="1"/>
  <c r="R387" i="39" s="1"/>
  <c r="O389" i="39"/>
  <c r="O390" i="39"/>
  <c r="O396" i="39"/>
  <c r="P396" i="39" s="1"/>
  <c r="Q396" i="39" s="1"/>
  <c r="R396" i="39" s="1"/>
  <c r="O392" i="39"/>
  <c r="P392" i="39" s="1"/>
  <c r="Q392" i="39" s="1"/>
  <c r="R392" i="39" s="1"/>
  <c r="O395" i="39"/>
  <c r="O370" i="39"/>
  <c r="O372" i="39"/>
  <c r="O375" i="39"/>
  <c r="P375" i="39" s="1"/>
  <c r="Q375" i="39" s="1"/>
  <c r="R375" i="39" s="1"/>
  <c r="O377" i="39"/>
  <c r="O378" i="39"/>
  <c r="O380" i="39"/>
  <c r="P380" i="39" s="1"/>
  <c r="Q380" i="39" s="1"/>
  <c r="R380" i="39" s="1"/>
  <c r="O383" i="39"/>
  <c r="P383" i="39" s="1"/>
  <c r="Q383" i="39" s="1"/>
  <c r="R383" i="39" s="1"/>
  <c r="O385" i="39"/>
  <c r="O386" i="39"/>
  <c r="O388" i="39"/>
  <c r="P388" i="39" s="1"/>
  <c r="Q388" i="39" s="1"/>
  <c r="R388" i="39" s="1"/>
  <c r="O391" i="39"/>
  <c r="O397" i="39"/>
  <c r="O267" i="39"/>
  <c r="O360" i="39"/>
  <c r="P360" i="39" s="1"/>
  <c r="Q360" i="39" s="1"/>
  <c r="R360" i="39" s="1"/>
  <c r="O155" i="39"/>
  <c r="O272" i="39"/>
  <c r="O270" i="39"/>
  <c r="O268" i="39"/>
  <c r="O151" i="39"/>
  <c r="O276" i="39"/>
  <c r="P276" i="39" s="1"/>
  <c r="Q276" i="39" s="1"/>
  <c r="R276" i="39" s="1"/>
  <c r="O358" i="39"/>
  <c r="O285" i="39"/>
  <c r="P285" i="39" s="1"/>
  <c r="Q285" i="39" s="1"/>
  <c r="R285" i="39" s="1"/>
  <c r="R153" i="44"/>
  <c r="P57" i="17"/>
  <c r="P60" i="17"/>
  <c r="P58" i="17"/>
  <c r="X44" i="44"/>
  <c r="P63" i="17"/>
  <c r="P177" i="17"/>
  <c r="P220" i="17"/>
  <c r="P224" i="17"/>
  <c r="P72" i="17"/>
  <c r="P67" i="17"/>
  <c r="P55" i="17"/>
  <c r="P168" i="17"/>
  <c r="Q221" i="17"/>
  <c r="R221" i="17" s="1"/>
  <c r="S221" i="17" s="1"/>
  <c r="Q151" i="17"/>
  <c r="R151" i="17" s="1"/>
  <c r="S151" i="17" s="1"/>
  <c r="Q239" i="17"/>
  <c r="R239" i="17" s="1"/>
  <c r="S239" i="17" s="1"/>
  <c r="Q240" i="17"/>
  <c r="R240" i="17" s="1"/>
  <c r="S240" i="17" s="1"/>
  <c r="N164" i="17"/>
  <c r="O164" i="17" s="1"/>
  <c r="P164" i="17" s="1"/>
  <c r="Q96" i="17"/>
  <c r="R96" i="17" s="1"/>
  <c r="S96" i="17" s="1"/>
  <c r="Q110" i="17"/>
  <c r="R110" i="17" s="1"/>
  <c r="S110" i="17" s="1"/>
  <c r="Q101" i="17"/>
  <c r="R101" i="17" s="1"/>
  <c r="S101" i="17" s="1"/>
  <c r="P124" i="17"/>
  <c r="P125" i="17"/>
  <c r="Q125" i="17" s="1"/>
  <c r="R125" i="17" s="1"/>
  <c r="S125" i="17" s="1"/>
  <c r="P123" i="17"/>
  <c r="R158" i="17"/>
  <c r="S158" i="17" s="1"/>
  <c r="AA145" i="44"/>
  <c r="AR100" i="43"/>
  <c r="AR176" i="43"/>
  <c r="AN176" i="43"/>
  <c r="N297" i="17"/>
  <c r="O297" i="17" s="1"/>
  <c r="P297" i="17" s="1"/>
  <c r="AN61" i="43"/>
  <c r="AR61" i="43"/>
  <c r="AN125" i="43"/>
  <c r="AR125" i="43"/>
  <c r="AN175" i="43"/>
  <c r="AR175" i="43"/>
  <c r="AN129" i="43"/>
  <c r="AR129" i="43" s="1"/>
  <c r="AN184" i="43"/>
  <c r="AR184" i="43"/>
  <c r="AJ152" i="44"/>
  <c r="AC59" i="43"/>
  <c r="AR59" i="43" s="1"/>
  <c r="AC253" i="43"/>
  <c r="AN37" i="43"/>
  <c r="AR37" i="43" s="1"/>
  <c r="AB246" i="43"/>
  <c r="AC246" i="43" s="1"/>
  <c r="AB108" i="43"/>
  <c r="AC108" i="43" s="1"/>
  <c r="AR108" i="43" s="1"/>
  <c r="R145" i="43"/>
  <c r="AC43" i="43"/>
  <c r="AN133" i="43"/>
  <c r="AR133" i="43" s="1"/>
  <c r="AC73" i="43"/>
  <c r="AC233" i="43"/>
  <c r="AC49" i="43"/>
  <c r="AP97" i="44"/>
  <c r="AL129" i="43"/>
  <c r="AL145" i="43" s="1"/>
  <c r="AB53" i="43"/>
  <c r="AP53" i="43" s="1"/>
  <c r="AC53" i="43"/>
  <c r="AR53" i="43" s="1"/>
  <c r="AC41" i="43"/>
  <c r="AN91" i="43"/>
  <c r="AR91" i="43" s="1"/>
  <c r="AB60" i="43"/>
  <c r="AC60" i="43" s="1"/>
  <c r="AC123" i="43"/>
  <c r="AB15" i="43"/>
  <c r="AC15" i="43" s="1"/>
  <c r="AR32" i="43"/>
  <c r="AB74" i="43"/>
  <c r="AC74" i="43" s="1"/>
  <c r="AR74" i="43" s="1"/>
  <c r="AC103" i="43"/>
  <c r="AP103" i="43"/>
  <c r="AC139" i="43"/>
  <c r="AB20" i="43"/>
  <c r="AC20" i="43" s="1"/>
  <c r="AB102" i="43"/>
  <c r="AP102" i="43" s="1"/>
  <c r="AP114" i="43" s="1"/>
  <c r="AC119" i="43"/>
  <c r="AB119" i="43"/>
  <c r="AB121" i="43"/>
  <c r="AC121" i="43"/>
  <c r="AB62" i="43"/>
  <c r="AP62" i="43" s="1"/>
  <c r="AC62" i="43"/>
  <c r="AR62" i="43" s="1"/>
  <c r="AB257" i="43"/>
  <c r="AC257" i="43"/>
  <c r="T125" i="43"/>
  <c r="T41" i="43"/>
  <c r="AB17" i="43"/>
  <c r="AC17" i="43" s="1"/>
  <c r="AB267" i="43"/>
  <c r="AC267" i="43" s="1"/>
  <c r="AC207" i="43"/>
  <c r="AB136" i="43"/>
  <c r="AC136" i="43" s="1"/>
  <c r="AC156" i="43"/>
  <c r="AB226" i="43"/>
  <c r="AC226" i="43" s="1"/>
  <c r="AC217" i="43"/>
  <c r="AN48" i="43"/>
  <c r="AR48" i="43" s="1"/>
  <c r="AB219" i="43"/>
  <c r="AC219" i="43" s="1"/>
  <c r="AB208" i="43"/>
  <c r="AC208" i="43" s="1"/>
  <c r="AB225" i="43"/>
  <c r="AC225" i="43"/>
  <c r="AB177" i="43"/>
  <c r="AC177" i="43" s="1"/>
  <c r="AB135" i="43"/>
  <c r="AC135" i="43" s="1"/>
  <c r="AB97" i="43"/>
  <c r="AC97" i="43" s="1"/>
  <c r="AB126" i="43"/>
  <c r="AC126" i="43" s="1"/>
  <c r="AC120" i="43"/>
  <c r="AC90" i="43"/>
  <c r="AC83" i="43"/>
  <c r="AB83" i="43"/>
  <c r="AB72" i="43"/>
  <c r="AC72" i="43" s="1"/>
  <c r="AR72" i="43" s="1"/>
  <c r="AP72" i="43"/>
  <c r="AB87" i="43"/>
  <c r="AC87" i="43" s="1"/>
  <c r="AL87" i="43"/>
  <c r="AL114" i="43" s="1"/>
  <c r="AB86" i="43"/>
  <c r="AC86" i="43"/>
  <c r="AC84" i="43"/>
  <c r="AC26" i="43"/>
  <c r="AB26" i="43"/>
  <c r="AB22" i="43"/>
  <c r="AC22" i="43" s="1"/>
  <c r="AR182" i="43"/>
  <c r="AN57" i="43"/>
  <c r="AR57" i="43"/>
  <c r="AB218" i="43"/>
  <c r="AC218" i="43"/>
  <c r="AL174" i="43"/>
  <c r="AB174" i="43"/>
  <c r="AC174" i="43" s="1"/>
  <c r="AL171" i="43"/>
  <c r="AB171" i="43"/>
  <c r="AC171" i="43" s="1"/>
  <c r="AC158" i="43"/>
  <c r="AB158" i="43"/>
  <c r="AC157" i="43"/>
  <c r="AB157" i="43"/>
  <c r="AB63" i="43"/>
  <c r="AC63" i="43" s="1"/>
  <c r="AB36" i="43"/>
  <c r="AC36" i="43" s="1"/>
  <c r="AB29" i="43"/>
  <c r="AC29" i="43" s="1"/>
  <c r="AL52" i="43"/>
  <c r="AB52" i="43"/>
  <c r="AC52" i="43" s="1"/>
  <c r="AB27" i="43"/>
  <c r="AC27" i="43" s="1"/>
  <c r="AL50" i="43"/>
  <c r="AB50" i="43"/>
  <c r="AC50" i="43" s="1"/>
  <c r="AC247" i="43"/>
  <c r="AC142" i="43"/>
  <c r="AR142" i="43" s="1"/>
  <c r="AC235" i="43"/>
  <c r="AC277" i="43"/>
  <c r="AC28" i="43"/>
  <c r="AB54" i="43"/>
  <c r="AC54" i="43" s="1"/>
  <c r="AB140" i="43"/>
  <c r="AC140" i="43" s="1"/>
  <c r="AR140" i="43" s="1"/>
  <c r="T253" i="43"/>
  <c r="AC134" i="43"/>
  <c r="AB159" i="43"/>
  <c r="AC159" i="43" s="1"/>
  <c r="AR42" i="43"/>
  <c r="AC92" i="43"/>
  <c r="AB169" i="43"/>
  <c r="AB172" i="43"/>
  <c r="AC172" i="43"/>
  <c r="AC137" i="43"/>
  <c r="AB110" i="43"/>
  <c r="AC110" i="43" s="1"/>
  <c r="AR110" i="43" s="1"/>
  <c r="AB128" i="43"/>
  <c r="AC128" i="43" s="1"/>
  <c r="AB65" i="43"/>
  <c r="AC65" i="43" s="1"/>
  <c r="AB70" i="43"/>
  <c r="AC70" i="43" s="1"/>
  <c r="AR70" i="43" s="1"/>
  <c r="AL70" i="43"/>
  <c r="AB38" i="43"/>
  <c r="AC38" i="43"/>
  <c r="AB21" i="43"/>
  <c r="AC21" i="43"/>
  <c r="AB24" i="43"/>
  <c r="AC24" i="43"/>
  <c r="AB31" i="43"/>
  <c r="AC31" i="43"/>
  <c r="AC104" i="43"/>
  <c r="AR104" i="43" s="1"/>
  <c r="AA114" i="43"/>
  <c r="AB178" i="43"/>
  <c r="AC178" i="43" s="1"/>
  <c r="AB262" i="43"/>
  <c r="AC262" i="43" s="1"/>
  <c r="AB224" i="43"/>
  <c r="AC224" i="43" s="1"/>
  <c r="AB248" i="43"/>
  <c r="AC248" i="43" s="1"/>
  <c r="AB214" i="43"/>
  <c r="AC214" i="43" s="1"/>
  <c r="AB173" i="43"/>
  <c r="AC173" i="43" s="1"/>
  <c r="AC160" i="43"/>
  <c r="AB160" i="43"/>
  <c r="AB105" i="43"/>
  <c r="AP105" i="43" s="1"/>
  <c r="AC89" i="43"/>
  <c r="AB89" i="43"/>
  <c r="AC85" i="43"/>
  <c r="AB85" i="43"/>
  <c r="AC40" i="43"/>
  <c r="AB40" i="43"/>
  <c r="AB51" i="43"/>
  <c r="AC51" i="43" s="1"/>
  <c r="AL143" i="43"/>
  <c r="AB71" i="43"/>
  <c r="V265" i="43"/>
  <c r="AB265" i="43" s="1"/>
  <c r="AC265" i="43" s="1"/>
  <c r="T134" i="43"/>
  <c r="AJ114" i="43"/>
  <c r="T65" i="43"/>
  <c r="AJ145" i="43"/>
  <c r="X14" i="43"/>
  <c r="Y14" i="43" s="1"/>
  <c r="AA14" i="43" s="1"/>
  <c r="AJ14" i="43"/>
  <c r="AJ16" i="43"/>
  <c r="R16" i="43"/>
  <c r="X18" i="43"/>
  <c r="Y18" i="43" s="1"/>
  <c r="AA18" i="43" s="1"/>
  <c r="AJ18" i="43"/>
  <c r="AL18" i="43" s="1"/>
  <c r="X58" i="43"/>
  <c r="Y58" i="43" s="1"/>
  <c r="AA58" i="43" s="1"/>
  <c r="AJ73" i="43"/>
  <c r="AL73" i="43" s="1"/>
  <c r="AP73" i="43"/>
  <c r="AP33" i="43"/>
  <c r="R33" i="43"/>
  <c r="X35" i="43"/>
  <c r="Y35" i="43" s="1"/>
  <c r="AA35" i="43" s="1"/>
  <c r="R35" i="43"/>
  <c r="AP35" i="43"/>
  <c r="L192" i="17"/>
  <c r="Q46" i="43"/>
  <c r="AJ55" i="43"/>
  <c r="AN55" i="43"/>
  <c r="AN56" i="43"/>
  <c r="R56" i="43"/>
  <c r="V56" i="43" s="1"/>
  <c r="AL56" i="43" s="1"/>
  <c r="R189" i="17"/>
  <c r="S189" i="17" s="1"/>
  <c r="Q31" i="43"/>
  <c r="X127" i="43"/>
  <c r="Y127" i="43" s="1"/>
  <c r="AA127" i="43" s="1"/>
  <c r="AA145" i="43" s="1"/>
  <c r="AP127" i="43"/>
  <c r="AP145" i="43" s="1"/>
  <c r="AP19" i="43"/>
  <c r="X19" i="43"/>
  <c r="Y19" i="43" s="1"/>
  <c r="AA19" i="43" s="1"/>
  <c r="R19" i="43"/>
  <c r="R45" i="43"/>
  <c r="V45" i="43" s="1"/>
  <c r="AL45" i="43" s="1"/>
  <c r="AP45" i="43"/>
  <c r="X47" i="43"/>
  <c r="Y47" i="43" s="1"/>
  <c r="AA47" i="43" s="1"/>
  <c r="T56" i="43"/>
  <c r="M172" i="17"/>
  <c r="N172" i="17" s="1"/>
  <c r="O172" i="17" s="1"/>
  <c r="P172" i="17" s="1"/>
  <c r="P77" i="43"/>
  <c r="L272" i="17"/>
  <c r="Q18" i="43"/>
  <c r="Q23" i="43"/>
  <c r="Q27" i="43"/>
  <c r="Q32" i="43"/>
  <c r="N290" i="17"/>
  <c r="O290" i="17" s="1"/>
  <c r="P290" i="17" s="1"/>
  <c r="Q37" i="43"/>
  <c r="Q40" i="43"/>
  <c r="Q42" i="43"/>
  <c r="L262" i="17"/>
  <c r="M262" i="17" s="1"/>
  <c r="N262" i="17" s="1"/>
  <c r="O262" i="17" s="1"/>
  <c r="P262" i="17" s="1"/>
  <c r="Q262" i="17" s="1"/>
  <c r="R262" i="17" s="1"/>
  <c r="S262" i="17" s="1"/>
  <c r="M261" i="17"/>
  <c r="N261" i="17" s="1"/>
  <c r="O261" i="17" s="1"/>
  <c r="Q44" i="43"/>
  <c r="L34" i="17"/>
  <c r="M34" i="17" s="1"/>
  <c r="M33" i="17"/>
  <c r="N33" i="17" s="1"/>
  <c r="O33" i="17" s="1"/>
  <c r="AP75" i="43"/>
  <c r="AR75" i="43" s="1"/>
  <c r="N258" i="17"/>
  <c r="Q84" i="43"/>
  <c r="L99" i="17"/>
  <c r="M98" i="17"/>
  <c r="Q88" i="43"/>
  <c r="L109" i="17"/>
  <c r="M108" i="17"/>
  <c r="Q134" i="43"/>
  <c r="Q174" i="43"/>
  <c r="Q175" i="43"/>
  <c r="AJ175" i="43"/>
  <c r="N208" i="17"/>
  <c r="O208" i="17" s="1"/>
  <c r="N210" i="17"/>
  <c r="O210" i="17" s="1"/>
  <c r="N77" i="43"/>
  <c r="L26" i="17"/>
  <c r="M26" i="17" s="1"/>
  <c r="N26" i="17" s="1"/>
  <c r="O26" i="17" s="1"/>
  <c r="P26" i="17" s="1"/>
  <c r="M25" i="17"/>
  <c r="L28" i="17"/>
  <c r="M28" i="17" s="1"/>
  <c r="N28" i="17" s="1"/>
  <c r="O28" i="17" s="1"/>
  <c r="P28" i="17" s="1"/>
  <c r="M27" i="17"/>
  <c r="N27" i="17" s="1"/>
  <c r="O27" i="17" s="1"/>
  <c r="N195" i="17"/>
  <c r="O195" i="17" s="1"/>
  <c r="P195" i="17" s="1"/>
  <c r="Q195" i="17" s="1"/>
  <c r="R195" i="17" s="1"/>
  <c r="S195" i="17" s="1"/>
  <c r="Q85" i="43"/>
  <c r="Q89" i="43"/>
  <c r="L255" i="17"/>
  <c r="M254" i="17"/>
  <c r="Q123" i="43"/>
  <c r="M154" i="17"/>
  <c r="N154" i="17" s="1"/>
  <c r="O154" i="17" s="1"/>
  <c r="L155" i="17"/>
  <c r="P162" i="43"/>
  <c r="AP171" i="43"/>
  <c r="L16" i="17"/>
  <c r="M15" i="17"/>
  <c r="R180" i="43"/>
  <c r="P292" i="17"/>
  <c r="N214" i="17"/>
  <c r="O214" i="17" s="1"/>
  <c r="Q39" i="43"/>
  <c r="AP39" i="43"/>
  <c r="AR39" i="43" s="1"/>
  <c r="L197" i="17"/>
  <c r="M197" i="17" s="1"/>
  <c r="N197" i="17" s="1"/>
  <c r="O197" i="17" s="1"/>
  <c r="P197" i="17" s="1"/>
  <c r="M196" i="17"/>
  <c r="N196" i="17" s="1"/>
  <c r="O196" i="17" s="1"/>
  <c r="Q56" i="43"/>
  <c r="X56" i="43" s="1"/>
  <c r="Y56" i="43" s="1"/>
  <c r="AA56" i="43" s="1"/>
  <c r="L95" i="17"/>
  <c r="M94" i="17"/>
  <c r="L103" i="17"/>
  <c r="M102" i="17"/>
  <c r="Q91" i="43"/>
  <c r="Q121" i="43"/>
  <c r="Q124" i="43"/>
  <c r="Q127" i="43"/>
  <c r="Q130" i="43"/>
  <c r="Q131" i="43"/>
  <c r="L276" i="17"/>
  <c r="Q177" i="43"/>
  <c r="R223" i="43"/>
  <c r="X227" i="43"/>
  <c r="Y227" i="43" s="1"/>
  <c r="AA227" i="43" s="1"/>
  <c r="X260" i="43"/>
  <c r="Y260" i="43" s="1"/>
  <c r="AA260" i="43" s="1"/>
  <c r="P169" i="17"/>
  <c r="Q117" i="17"/>
  <c r="R117" i="17" s="1"/>
  <c r="S117" i="17" s="1"/>
  <c r="Q104" i="17"/>
  <c r="R104" i="17" s="1"/>
  <c r="S104" i="17" s="1"/>
  <c r="Q16" i="43"/>
  <c r="Q77" i="43" s="1"/>
  <c r="Q22" i="43"/>
  <c r="Q26" i="43"/>
  <c r="Q30" i="43"/>
  <c r="Q35" i="43"/>
  <c r="L46" i="17"/>
  <c r="M46" i="17" s="1"/>
  <c r="N46" i="17" s="1"/>
  <c r="O46" i="17" s="1"/>
  <c r="P46" i="17" s="1"/>
  <c r="Q46" i="17" s="1"/>
  <c r="R46" i="17" s="1"/>
  <c r="S46" i="17" s="1"/>
  <c r="M45" i="17"/>
  <c r="N45" i="17" s="1"/>
  <c r="O45" i="17" s="1"/>
  <c r="M138" i="17"/>
  <c r="L139" i="17"/>
  <c r="L149" i="17"/>
  <c r="M148" i="17"/>
  <c r="N148" i="17" s="1"/>
  <c r="O148" i="17" s="1"/>
  <c r="M160" i="17"/>
  <c r="L161" i="17"/>
  <c r="L156" i="17"/>
  <c r="Q158" i="43"/>
  <c r="AP173" i="43"/>
  <c r="Q183" i="43"/>
  <c r="P185" i="43"/>
  <c r="N187" i="43"/>
  <c r="P291" i="17"/>
  <c r="Q44" i="17"/>
  <c r="R44" i="17" s="1"/>
  <c r="S44" i="17" s="1"/>
  <c r="Q114" i="17"/>
  <c r="R114" i="17" s="1"/>
  <c r="S114" i="17" s="1"/>
  <c r="M281" i="17"/>
  <c r="L282" i="17"/>
  <c r="L191" i="17" s="1"/>
  <c r="M191" i="17" s="1"/>
  <c r="N191" i="17" s="1"/>
  <c r="O191" i="17" s="1"/>
  <c r="P191" i="17" s="1"/>
  <c r="Q191" i="17" s="1"/>
  <c r="R191" i="17" s="1"/>
  <c r="S191" i="17" s="1"/>
  <c r="Q170" i="43"/>
  <c r="Q171" i="43"/>
  <c r="L18" i="17"/>
  <c r="M17" i="17"/>
  <c r="Q264" i="17"/>
  <c r="R264" i="17" s="1"/>
  <c r="S264" i="17" s="1"/>
  <c r="X266" i="43"/>
  <c r="Y266" i="43" s="1"/>
  <c r="AA266" i="43" s="1"/>
  <c r="Q113" i="17"/>
  <c r="R113" i="17" s="1"/>
  <c r="S113" i="17" s="1"/>
  <c r="Q144" i="17"/>
  <c r="R144" i="17" s="1"/>
  <c r="S144" i="17" s="1"/>
  <c r="Q172" i="43"/>
  <c r="Q173" i="43"/>
  <c r="I103" i="17"/>
  <c r="J103" i="17" s="1"/>
  <c r="K103" i="17" s="1"/>
  <c r="P22" i="44"/>
  <c r="P158" i="44" s="1"/>
  <c r="Q55" i="44"/>
  <c r="Q107" i="44" s="1"/>
  <c r="Q158" i="44" s="1"/>
  <c r="Q63" i="44"/>
  <c r="N107" i="44"/>
  <c r="N158" i="44" s="1"/>
  <c r="M80" i="42"/>
  <c r="N80" i="42" s="1"/>
  <c r="O80" i="42" s="1"/>
  <c r="P80" i="42" s="1"/>
  <c r="M108" i="42"/>
  <c r="N108" i="42" s="1"/>
  <c r="O108" i="42" s="1"/>
  <c r="P108" i="42" s="1"/>
  <c r="M110" i="42"/>
  <c r="N110" i="42" s="1"/>
  <c r="O110" i="42" s="1"/>
  <c r="P110" i="42" s="1"/>
  <c r="P69" i="17"/>
  <c r="P70" i="17"/>
  <c r="P68" i="17"/>
  <c r="Q42" i="17"/>
  <c r="R42" i="17" s="1"/>
  <c r="S42" i="17" s="1"/>
  <c r="Q38" i="17"/>
  <c r="R38" i="17" s="1"/>
  <c r="S38" i="17" s="1"/>
  <c r="Q29" i="17"/>
  <c r="R29" i="17" s="1"/>
  <c r="S29" i="17" s="1"/>
  <c r="Q213" i="17"/>
  <c r="R213" i="17" s="1"/>
  <c r="S213" i="17" s="1"/>
  <c r="O213" i="17"/>
  <c r="P32" i="17"/>
  <c r="Q32" i="17" s="1"/>
  <c r="R32" i="17" s="1"/>
  <c r="S32" i="17" s="1"/>
  <c r="R287" i="17"/>
  <c r="S287" i="17" s="1"/>
  <c r="R211" i="17"/>
  <c r="S211" i="17" s="1"/>
  <c r="P20" i="17"/>
  <c r="R152" i="17"/>
  <c r="S152" i="17" s="1"/>
  <c r="Q21" i="42" l="1"/>
  <c r="N13" i="17"/>
  <c r="N136" i="17"/>
  <c r="R136" i="17"/>
  <c r="N219" i="17"/>
  <c r="O219" i="17" s="1"/>
  <c r="M226" i="17"/>
  <c r="O186" i="17"/>
  <c r="P454" i="39"/>
  <c r="Q454" i="39"/>
  <c r="R454" i="39" s="1"/>
  <c r="R104" i="42"/>
  <c r="X65" i="44"/>
  <c r="Y65" i="44" s="1"/>
  <c r="AA65" i="44" s="1"/>
  <c r="Q219" i="17"/>
  <c r="R219" i="17" s="1"/>
  <c r="S219" i="17" s="1"/>
  <c r="P455" i="39"/>
  <c r="Q455" i="39" s="1"/>
  <c r="R455" i="39" s="1"/>
  <c r="R123" i="42"/>
  <c r="Q146" i="42"/>
  <c r="R149" i="42"/>
  <c r="Q152" i="42"/>
  <c r="R25" i="42"/>
  <c r="Q46" i="42"/>
  <c r="P291" i="39"/>
  <c r="Q291" i="39" s="1"/>
  <c r="R291" i="39" s="1"/>
  <c r="P293" i="39"/>
  <c r="Q293" i="39" s="1"/>
  <c r="R293" i="39" s="1"/>
  <c r="O405" i="39"/>
  <c r="P290" i="39"/>
  <c r="Q290" i="39" s="1"/>
  <c r="R290" i="39" s="1"/>
  <c r="P299" i="39"/>
  <c r="O365" i="39"/>
  <c r="Q409" i="39"/>
  <c r="P13" i="39"/>
  <c r="O166" i="39"/>
  <c r="O457" i="39"/>
  <c r="P169" i="39"/>
  <c r="O295" i="39"/>
  <c r="E24" i="26" s="1"/>
  <c r="N13" i="39"/>
  <c r="N166" i="39" s="1"/>
  <c r="M166" i="39"/>
  <c r="Q247" i="39"/>
  <c r="R247" i="39" s="1"/>
  <c r="Q425" i="39"/>
  <c r="R425" i="39" s="1"/>
  <c r="Q185" i="39"/>
  <c r="R185" i="39" s="1"/>
  <c r="M459" i="39"/>
  <c r="D28" i="26"/>
  <c r="C28" i="26" s="1"/>
  <c r="L459" i="39"/>
  <c r="X17" i="44"/>
  <c r="Y17" i="44" s="1"/>
  <c r="AA17" i="44" s="1"/>
  <c r="R204" i="44"/>
  <c r="X63" i="44"/>
  <c r="Y63" i="44" s="1"/>
  <c r="AA63" i="44" s="1"/>
  <c r="R28" i="44"/>
  <c r="AP63" i="44"/>
  <c r="N34" i="17"/>
  <c r="O34" i="17" s="1"/>
  <c r="P34" i="17" s="1"/>
  <c r="O59" i="42"/>
  <c r="P59" i="42" s="1"/>
  <c r="Q59" i="42" s="1"/>
  <c r="R59" i="42" s="1"/>
  <c r="S59" i="42" s="1"/>
  <c r="T59" i="42" s="1"/>
  <c r="R256" i="17"/>
  <c r="S256" i="17" s="1"/>
  <c r="AJ124" i="44"/>
  <c r="Q289" i="17"/>
  <c r="R289" i="17" s="1"/>
  <c r="S289" i="17" s="1"/>
  <c r="R14" i="44"/>
  <c r="T14" i="44" s="1"/>
  <c r="N153" i="17"/>
  <c r="O153" i="17" s="1"/>
  <c r="P153" i="17" s="1"/>
  <c r="Q153" i="17" s="1"/>
  <c r="R153" i="17" s="1"/>
  <c r="S153" i="17" s="1"/>
  <c r="L198" i="17"/>
  <c r="M198" i="17" s="1"/>
  <c r="N198" i="17" s="1"/>
  <c r="O198" i="17" s="1"/>
  <c r="P198" i="17" s="1"/>
  <c r="Q198" i="17" s="1"/>
  <c r="R198" i="17" s="1"/>
  <c r="S198" i="17" s="1"/>
  <c r="Y11" i="43"/>
  <c r="AB11" i="43"/>
  <c r="AC11" i="43" s="1"/>
  <c r="X32" i="44"/>
  <c r="Y32" i="44" s="1"/>
  <c r="AA32" i="44" s="1"/>
  <c r="AP74" i="44"/>
  <c r="R45" i="44"/>
  <c r="AJ96" i="44"/>
  <c r="AP145" i="44"/>
  <c r="AP99" i="44"/>
  <c r="X137" i="44"/>
  <c r="Y137" i="44" s="1"/>
  <c r="AA137" i="44" s="1"/>
  <c r="X204" i="44"/>
  <c r="Y204" i="44" s="1"/>
  <c r="AA204" i="44" s="1"/>
  <c r="R112" i="44"/>
  <c r="Q100" i="17"/>
  <c r="R100" i="17" s="1"/>
  <c r="S100" i="17" s="1"/>
  <c r="X196" i="44"/>
  <c r="Y196" i="44" s="1"/>
  <c r="AA196" i="44" s="1"/>
  <c r="AJ143" i="44"/>
  <c r="R186" i="44"/>
  <c r="AJ100" i="44"/>
  <c r="AP60" i="44"/>
  <c r="R35" i="44"/>
  <c r="T35" i="44" s="1"/>
  <c r="Q257" i="17"/>
  <c r="R257" i="17" s="1"/>
  <c r="S257" i="17" s="1"/>
  <c r="Q194" i="17"/>
  <c r="R194" i="17" s="1"/>
  <c r="S194" i="17" s="1"/>
  <c r="R208" i="44"/>
  <c r="V208" i="44" s="1"/>
  <c r="X191" i="44"/>
  <c r="Y191" i="44" s="1"/>
  <c r="AA191" i="44" s="1"/>
  <c r="L127" i="17"/>
  <c r="L179" i="17"/>
  <c r="M179" i="17" s="1"/>
  <c r="N179" i="17" s="1"/>
  <c r="O179" i="17" s="1"/>
  <c r="P179" i="17" s="1"/>
  <c r="Q179" i="17" s="1"/>
  <c r="R179" i="17" s="1"/>
  <c r="S179" i="17" s="1"/>
  <c r="X80" i="44"/>
  <c r="Y80" i="44" s="1"/>
  <c r="AA80" i="44" s="1"/>
  <c r="X144" i="44"/>
  <c r="Y144" i="44" s="1"/>
  <c r="AA144" i="44" s="1"/>
  <c r="R152" i="44"/>
  <c r="R180" i="44"/>
  <c r="X190" i="44"/>
  <c r="Y190" i="44" s="1"/>
  <c r="AA190" i="44" s="1"/>
  <c r="X208" i="44"/>
  <c r="Y208" i="44" s="1"/>
  <c r="AA208" i="44" s="1"/>
  <c r="Q244" i="39"/>
  <c r="R244" i="39" s="1"/>
  <c r="X93" i="44"/>
  <c r="Y93" i="44" s="1"/>
  <c r="AA93" i="44" s="1"/>
  <c r="AP130" i="44"/>
  <c r="AP87" i="44"/>
  <c r="X84" i="44"/>
  <c r="Y84" i="44" s="1"/>
  <c r="AA84" i="44" s="1"/>
  <c r="R279" i="17"/>
  <c r="S279" i="17" s="1"/>
  <c r="AP103" i="44"/>
  <c r="R210" i="44"/>
  <c r="R185" i="44"/>
  <c r="X77" i="44"/>
  <c r="Y77" i="44" s="1"/>
  <c r="AA77" i="44" s="1"/>
  <c r="AP54" i="44"/>
  <c r="X130" i="44"/>
  <c r="Y130" i="44" s="1"/>
  <c r="AA130" i="44" s="1"/>
  <c r="AP12" i="44"/>
  <c r="AJ130" i="44"/>
  <c r="AP127" i="44"/>
  <c r="R65" i="44"/>
  <c r="V65" i="44" s="1"/>
  <c r="AJ80" i="44"/>
  <c r="AP102" i="44"/>
  <c r="X197" i="44"/>
  <c r="Y197" i="44" s="1"/>
  <c r="AA197" i="44" s="1"/>
  <c r="R125" i="44"/>
  <c r="V125" i="44" s="1"/>
  <c r="R78" i="44"/>
  <c r="T78" i="44" s="1"/>
  <c r="Q40" i="17"/>
  <c r="R40" i="17" s="1"/>
  <c r="S40" i="17" s="1"/>
  <c r="AP36" i="44"/>
  <c r="R127" i="44"/>
  <c r="AP144" i="44"/>
  <c r="X36" i="44"/>
  <c r="Y36" i="44" s="1"/>
  <c r="AA36" i="44" s="1"/>
  <c r="AJ89" i="44"/>
  <c r="R87" i="44"/>
  <c r="T87" i="44" s="1"/>
  <c r="R84" i="44"/>
  <c r="T84" i="44" s="1"/>
  <c r="X176" i="44"/>
  <c r="Y176" i="44" s="1"/>
  <c r="AA176" i="44" s="1"/>
  <c r="R190" i="44"/>
  <c r="T190" i="44" s="1"/>
  <c r="R179" i="44"/>
  <c r="V179" i="44" s="1"/>
  <c r="R38" i="44"/>
  <c r="V38" i="44" s="1"/>
  <c r="X200" i="44"/>
  <c r="Y200" i="44" s="1"/>
  <c r="AA200" i="44" s="1"/>
  <c r="X126" i="44"/>
  <c r="R97" i="44"/>
  <c r="V97" i="44" s="1"/>
  <c r="X187" i="44"/>
  <c r="Y187" i="44" s="1"/>
  <c r="AA187" i="44" s="1"/>
  <c r="X31" i="44"/>
  <c r="Y31" i="44" s="1"/>
  <c r="AA31" i="44" s="1"/>
  <c r="X100" i="44"/>
  <c r="Y100" i="44" s="1"/>
  <c r="AA100" i="44" s="1"/>
  <c r="X203" i="44"/>
  <c r="Y203" i="44" s="1"/>
  <c r="AA203" i="44" s="1"/>
  <c r="X79" i="44"/>
  <c r="Y79" i="44" s="1"/>
  <c r="AA79" i="44" s="1"/>
  <c r="R46" i="44"/>
  <c r="T46" i="44" s="1"/>
  <c r="R32" i="44"/>
  <c r="T32" i="44" s="1"/>
  <c r="X12" i="44"/>
  <c r="Y12" i="44" s="1"/>
  <c r="AA12" i="44" s="1"/>
  <c r="R191" i="44"/>
  <c r="V191" i="44" s="1"/>
  <c r="X206" i="44"/>
  <c r="Y206" i="44" s="1"/>
  <c r="AA206" i="44" s="1"/>
  <c r="R189" i="44"/>
  <c r="T189" i="44" s="1"/>
  <c r="AB214" i="44"/>
  <c r="AC214" i="44" s="1"/>
  <c r="R34" i="44"/>
  <c r="R136" i="44"/>
  <c r="V136" i="44" s="1"/>
  <c r="X58" i="44"/>
  <c r="Y58" i="44" s="1"/>
  <c r="AA58" i="44" s="1"/>
  <c r="X61" i="44"/>
  <c r="Y61" i="44" s="1"/>
  <c r="AA61" i="44" s="1"/>
  <c r="X43" i="44"/>
  <c r="Y43" i="44" s="1"/>
  <c r="AA43" i="44" s="1"/>
  <c r="R134" i="44"/>
  <c r="T134" i="44" s="1"/>
  <c r="AJ32" i="44"/>
  <c r="X97" i="44"/>
  <c r="Y97" i="44" s="1"/>
  <c r="AA97" i="44" s="1"/>
  <c r="R31" i="44"/>
  <c r="X88" i="44"/>
  <c r="Y88" i="44" s="1"/>
  <c r="AA88" i="44" s="1"/>
  <c r="R12" i="44"/>
  <c r="R43" i="44"/>
  <c r="V43" i="44" s="1"/>
  <c r="R200" i="44"/>
  <c r="T200" i="44" s="1"/>
  <c r="AJ79" i="44"/>
  <c r="AJ60" i="44"/>
  <c r="AP149" i="44"/>
  <c r="X138" i="44"/>
  <c r="Y138" i="44" s="1"/>
  <c r="AA138" i="44" s="1"/>
  <c r="X189" i="44"/>
  <c r="Y189" i="44" s="1"/>
  <c r="AA189" i="44" s="1"/>
  <c r="N36" i="17"/>
  <c r="O36" i="17" s="1"/>
  <c r="P36" i="17" s="1"/>
  <c r="X179" i="44"/>
  <c r="Y179" i="44" s="1"/>
  <c r="AA179" i="44" s="1"/>
  <c r="N14" i="17"/>
  <c r="O14" i="17" s="1"/>
  <c r="P14" i="17" s="1"/>
  <c r="Q187" i="17"/>
  <c r="R187" i="17" s="1"/>
  <c r="S187" i="17" s="1"/>
  <c r="Q321" i="39"/>
  <c r="R321" i="39" s="1"/>
  <c r="AJ38" i="44"/>
  <c r="R114" i="44"/>
  <c r="T114" i="44" s="1"/>
  <c r="X134" i="44"/>
  <c r="Y134" i="44" s="1"/>
  <c r="AA134" i="44" s="1"/>
  <c r="AP14" i="44"/>
  <c r="R61" i="44"/>
  <c r="R88" i="44"/>
  <c r="AJ41" i="44"/>
  <c r="T214" i="44"/>
  <c r="X41" i="44"/>
  <c r="Y41" i="44" s="1"/>
  <c r="AA41" i="44" s="1"/>
  <c r="R58" i="44"/>
  <c r="R30" i="44"/>
  <c r="V30" i="44" s="1"/>
  <c r="X209" i="44"/>
  <c r="Y209" i="44" s="1"/>
  <c r="AA209" i="44" s="1"/>
  <c r="X66" i="44"/>
  <c r="Y66" i="44" s="1"/>
  <c r="AA66" i="44" s="1"/>
  <c r="R199" i="44"/>
  <c r="T199" i="44" s="1"/>
  <c r="R149" i="44"/>
  <c r="AP98" i="44"/>
  <c r="R187" i="44"/>
  <c r="AJ14" i="44"/>
  <c r="R170" i="17"/>
  <c r="S170" i="17" s="1"/>
  <c r="X38" i="44"/>
  <c r="Y38" i="44" s="1"/>
  <c r="AA38" i="44" s="1"/>
  <c r="AJ72" i="44"/>
  <c r="J39" i="17"/>
  <c r="K39" i="17" s="1"/>
  <c r="P39" i="17" s="1"/>
  <c r="Q39" i="17" s="1"/>
  <c r="R39" i="17" s="1"/>
  <c r="S39" i="17" s="1"/>
  <c r="AP88" i="44"/>
  <c r="AJ131" i="44"/>
  <c r="R206" i="44"/>
  <c r="X136" i="44"/>
  <c r="Y136" i="44" s="1"/>
  <c r="AA136" i="44" s="1"/>
  <c r="AB136" i="44" s="1"/>
  <c r="AC136" i="44" s="1"/>
  <c r="AN136" i="44" s="1"/>
  <c r="R176" i="44"/>
  <c r="V176" i="44" s="1"/>
  <c r="R142" i="44"/>
  <c r="R93" i="44"/>
  <c r="R44" i="44"/>
  <c r="T44" i="44" s="1"/>
  <c r="R90" i="44"/>
  <c r="X124" i="44"/>
  <c r="Y124" i="44" s="1"/>
  <c r="AA124" i="44" s="1"/>
  <c r="X184" i="44"/>
  <c r="Y184" i="44" s="1"/>
  <c r="AA184" i="44" s="1"/>
  <c r="X14" i="44"/>
  <c r="Y14" i="44" s="1"/>
  <c r="AA14" i="44" s="1"/>
  <c r="X53" i="44"/>
  <c r="Y53" i="44" s="1"/>
  <c r="AA53" i="44" s="1"/>
  <c r="R128" i="44"/>
  <c r="R193" i="44"/>
  <c r="T193" i="44" s="1"/>
  <c r="R129" i="44"/>
  <c r="V129" i="44" s="1"/>
  <c r="R27" i="44"/>
  <c r="V27" i="44" s="1"/>
  <c r="X183" i="44"/>
  <c r="Y183" i="44" s="1"/>
  <c r="AA183" i="44" s="1"/>
  <c r="R205" i="44"/>
  <c r="T205" i="44" s="1"/>
  <c r="X103" i="44"/>
  <c r="Y103" i="44" s="1"/>
  <c r="AA103" i="44" s="1"/>
  <c r="R13" i="44"/>
  <c r="T13" i="44" s="1"/>
  <c r="R194" i="44"/>
  <c r="V194" i="44" s="1"/>
  <c r="R98" i="44"/>
  <c r="V98" i="44" s="1"/>
  <c r="R144" i="44"/>
  <c r="T144" i="44" s="1"/>
  <c r="R82" i="44"/>
  <c r="T194" i="44"/>
  <c r="O53" i="42"/>
  <c r="X129" i="44"/>
  <c r="Y129" i="44" s="1"/>
  <c r="AA129" i="44" s="1"/>
  <c r="O107" i="42"/>
  <c r="P107" i="42" s="1"/>
  <c r="Q107" i="42" s="1"/>
  <c r="R107" i="42" s="1"/>
  <c r="S107" i="42" s="1"/>
  <c r="T107" i="42" s="1"/>
  <c r="X193" i="44"/>
  <c r="Y193" i="44" s="1"/>
  <c r="AA193" i="44" s="1"/>
  <c r="X199" i="44"/>
  <c r="Y199" i="44" s="1"/>
  <c r="AA199" i="44" s="1"/>
  <c r="R66" i="44"/>
  <c r="X135" i="44"/>
  <c r="Y135" i="44" s="1"/>
  <c r="AA135" i="44" s="1"/>
  <c r="X117" i="44"/>
  <c r="Y117" i="44" s="1"/>
  <c r="AA117" i="44" s="1"/>
  <c r="X90" i="44"/>
  <c r="Y90" i="44" s="1"/>
  <c r="AA90" i="44" s="1"/>
  <c r="AP66" i="44"/>
  <c r="AJ66" i="44"/>
  <c r="R184" i="44"/>
  <c r="V184" i="44" s="1"/>
  <c r="X128" i="44"/>
  <c r="Y128" i="44" s="1"/>
  <c r="AA128" i="44" s="1"/>
  <c r="R181" i="44"/>
  <c r="X98" i="44"/>
  <c r="Y98" i="44" s="1"/>
  <c r="AA98" i="44" s="1"/>
  <c r="AJ142" i="44"/>
  <c r="R37" i="44"/>
  <c r="V37" i="44" s="1"/>
  <c r="AP135" i="44"/>
  <c r="X27" i="44"/>
  <c r="Y27" i="44" s="1"/>
  <c r="AA27" i="44" s="1"/>
  <c r="R183" i="44"/>
  <c r="Q247" i="17"/>
  <c r="R247" i="17" s="1"/>
  <c r="S247" i="17" s="1"/>
  <c r="R60" i="44"/>
  <c r="X205" i="44"/>
  <c r="Y205" i="44" s="1"/>
  <c r="AA205" i="44" s="1"/>
  <c r="X194" i="44"/>
  <c r="Y194" i="44" s="1"/>
  <c r="AA194" i="44" s="1"/>
  <c r="T100" i="44"/>
  <c r="V117" i="44"/>
  <c r="Q13" i="17"/>
  <c r="R16" i="44"/>
  <c r="R135" i="44"/>
  <c r="V135" i="44" s="1"/>
  <c r="AL135" i="44" s="1"/>
  <c r="R124" i="44"/>
  <c r="M127" i="17"/>
  <c r="N127" i="17" s="1"/>
  <c r="O127" i="17" s="1"/>
  <c r="P127" i="17" s="1"/>
  <c r="Q127" i="17" s="1"/>
  <c r="R127" i="17" s="1"/>
  <c r="S127" i="17" s="1"/>
  <c r="N105" i="17"/>
  <c r="O105" i="17" s="1"/>
  <c r="P105" i="17" s="1"/>
  <c r="Q105" i="17" s="1"/>
  <c r="R105" i="17" s="1"/>
  <c r="S105" i="17" s="1"/>
  <c r="C22" i="26"/>
  <c r="S149" i="42"/>
  <c r="B38" i="26"/>
  <c r="C38" i="26" s="1"/>
  <c r="E44" i="26"/>
  <c r="P164" i="39"/>
  <c r="Q164" i="39" s="1"/>
  <c r="R164" i="39" s="1"/>
  <c r="R76" i="44"/>
  <c r="V76" i="44" s="1"/>
  <c r="AJ30" i="44"/>
  <c r="R103" i="44"/>
  <c r="V103" i="44" s="1"/>
  <c r="AL103" i="44" s="1"/>
  <c r="O136" i="17"/>
  <c r="X40" i="44"/>
  <c r="Y40" i="44" s="1"/>
  <c r="AA40" i="44" s="1"/>
  <c r="AB151" i="44"/>
  <c r="AC151" i="44" s="1"/>
  <c r="AN151" i="44" s="1"/>
  <c r="AR151" i="44" s="1"/>
  <c r="X30" i="44"/>
  <c r="Y30" i="44" s="1"/>
  <c r="AA30" i="44" s="1"/>
  <c r="AJ147" i="44"/>
  <c r="R126" i="44"/>
  <c r="R63" i="44"/>
  <c r="V63" i="44" s="1"/>
  <c r="R83" i="44"/>
  <c r="V83" i="44" s="1"/>
  <c r="R41" i="44"/>
  <c r="V41" i="44" s="1"/>
  <c r="X147" i="44"/>
  <c r="Y147" i="44" s="1"/>
  <c r="AA147" i="44" s="1"/>
  <c r="R188" i="44"/>
  <c r="V188" i="44" s="1"/>
  <c r="R17" i="44"/>
  <c r="T17" i="44" s="1"/>
  <c r="R20" i="44"/>
  <c r="R92" i="44"/>
  <c r="T92" i="44" s="1"/>
  <c r="R137" i="44"/>
  <c r="V137" i="44" s="1"/>
  <c r="AB137" i="44" s="1"/>
  <c r="AC137" i="44" s="1"/>
  <c r="AN137" i="44" s="1"/>
  <c r="AR137" i="44" s="1"/>
  <c r="X113" i="44"/>
  <c r="Y113" i="44" s="1"/>
  <c r="AA113" i="44" s="1"/>
  <c r="X146" i="44"/>
  <c r="Y146" i="44" s="1"/>
  <c r="AA146" i="44" s="1"/>
  <c r="X57" i="44"/>
  <c r="Y57" i="44" s="1"/>
  <c r="AA57" i="44" s="1"/>
  <c r="R74" i="44"/>
  <c r="T74" i="44" s="1"/>
  <c r="X72" i="44"/>
  <c r="Y72" i="44" s="1"/>
  <c r="AA72" i="44" s="1"/>
  <c r="X132" i="44"/>
  <c r="Y132" i="44" s="1"/>
  <c r="AA132" i="44" s="1"/>
  <c r="X198" i="44"/>
  <c r="Y198" i="44" s="1"/>
  <c r="AA198" i="44" s="1"/>
  <c r="X96" i="44"/>
  <c r="Y96" i="44" s="1"/>
  <c r="AA96" i="44" s="1"/>
  <c r="R71" i="44"/>
  <c r="X182" i="44"/>
  <c r="Y182" i="44" s="1"/>
  <c r="AA182" i="44" s="1"/>
  <c r="R197" i="44"/>
  <c r="X195" i="44"/>
  <c r="Y195" i="44" s="1"/>
  <c r="AA195" i="44" s="1"/>
  <c r="X39" i="44"/>
  <c r="Y39" i="44" s="1"/>
  <c r="AA39" i="44" s="1"/>
  <c r="X152" i="44"/>
  <c r="Y152" i="44" s="1"/>
  <c r="AA152" i="44" s="1"/>
  <c r="X59" i="44"/>
  <c r="Y59" i="44" s="1"/>
  <c r="AA59" i="44" s="1"/>
  <c r="X180" i="44"/>
  <c r="Y180" i="44" s="1"/>
  <c r="AA180" i="44" s="1"/>
  <c r="X54" i="44"/>
  <c r="Y54" i="44" s="1"/>
  <c r="AA54" i="44" s="1"/>
  <c r="AB176" i="44"/>
  <c r="AC176" i="44" s="1"/>
  <c r="T136" i="44"/>
  <c r="X143" i="44"/>
  <c r="Y143" i="44" s="1"/>
  <c r="AA143" i="44" s="1"/>
  <c r="R133" i="44"/>
  <c r="X89" i="44"/>
  <c r="Y89" i="44" s="1"/>
  <c r="AA89" i="44" s="1"/>
  <c r="X92" i="44"/>
  <c r="Y92" i="44" s="1"/>
  <c r="AA92" i="44" s="1"/>
  <c r="AP62" i="44"/>
  <c r="R113" i="44"/>
  <c r="T113" i="44" s="1"/>
  <c r="R40" i="44"/>
  <c r="R72" i="44"/>
  <c r="T72" i="44" s="1"/>
  <c r="R141" i="44"/>
  <c r="R198" i="44"/>
  <c r="V198" i="44" s="1"/>
  <c r="V115" i="44"/>
  <c r="AL115" i="44" s="1"/>
  <c r="R196" i="44"/>
  <c r="V196" i="44" s="1"/>
  <c r="AB196" i="44" s="1"/>
  <c r="AC196" i="44" s="1"/>
  <c r="AJ40" i="44"/>
  <c r="X20" i="44"/>
  <c r="Y20" i="44" s="1"/>
  <c r="AA20" i="44" s="1"/>
  <c r="R96" i="44"/>
  <c r="R39" i="44"/>
  <c r="T39" i="44" s="1"/>
  <c r="X116" i="44"/>
  <c r="X64" i="44"/>
  <c r="Y64" i="44" s="1"/>
  <c r="AA64" i="44" s="1"/>
  <c r="R54" i="44"/>
  <c r="X68" i="44"/>
  <c r="Y68" i="44" s="1"/>
  <c r="AA68" i="44" s="1"/>
  <c r="AJ104" i="44"/>
  <c r="R89" i="44"/>
  <c r="R62" i="44"/>
  <c r="T62" i="44" s="1"/>
  <c r="AJ141" i="44"/>
  <c r="R147" i="44"/>
  <c r="R57" i="44"/>
  <c r="AP40" i="44"/>
  <c r="AJ53" i="44"/>
  <c r="N285" i="17"/>
  <c r="O285" i="17" s="1"/>
  <c r="P285" i="17" s="1"/>
  <c r="Q285" i="17" s="1"/>
  <c r="R285" i="17" s="1"/>
  <c r="S285" i="17" s="1"/>
  <c r="R132" i="44"/>
  <c r="V132" i="44" s="1"/>
  <c r="R195" i="44"/>
  <c r="T195" i="44" s="1"/>
  <c r="Q140" i="17"/>
  <c r="R140" i="17" s="1"/>
  <c r="S140" i="17" s="1"/>
  <c r="X188" i="44"/>
  <c r="Y188" i="44" s="1"/>
  <c r="AA188" i="44" s="1"/>
  <c r="R209" i="17"/>
  <c r="S209" i="17" s="1"/>
  <c r="Q190" i="17"/>
  <c r="R190" i="17" s="1"/>
  <c r="S190" i="17" s="1"/>
  <c r="Q215" i="17"/>
  <c r="R215" i="17" s="1"/>
  <c r="S215" i="17" s="1"/>
  <c r="AP146" i="44"/>
  <c r="AJ133" i="44"/>
  <c r="X181" i="44"/>
  <c r="Y181" i="44" s="1"/>
  <c r="AA181" i="44" s="1"/>
  <c r="X56" i="44"/>
  <c r="Y56" i="44" s="1"/>
  <c r="AA56" i="44" s="1"/>
  <c r="AJ42" i="44"/>
  <c r="Q106" i="17"/>
  <c r="R106" i="17" s="1"/>
  <c r="S106" i="17" s="1"/>
  <c r="X74" i="44"/>
  <c r="Y74" i="44" s="1"/>
  <c r="AA74" i="44" s="1"/>
  <c r="R201" i="44"/>
  <c r="T201" i="44" s="1"/>
  <c r="N107" i="17"/>
  <c r="O107" i="17" s="1"/>
  <c r="P107" i="17" s="1"/>
  <c r="Q107" i="17" s="1"/>
  <c r="R107" i="17" s="1"/>
  <c r="S107" i="17" s="1"/>
  <c r="R204" i="17"/>
  <c r="O204" i="17"/>
  <c r="T191" i="44"/>
  <c r="V13" i="44"/>
  <c r="R131" i="44"/>
  <c r="V131" i="44" s="1"/>
  <c r="AL131" i="44" s="1"/>
  <c r="X131" i="44"/>
  <c r="Y131" i="44" s="1"/>
  <c r="AA131" i="44" s="1"/>
  <c r="N275" i="17"/>
  <c r="O275" i="17" s="1"/>
  <c r="P275" i="17" s="1"/>
  <c r="Q88" i="17"/>
  <c r="R88" i="17" s="1"/>
  <c r="S88" i="17" s="1"/>
  <c r="Q86" i="17"/>
  <c r="R86" i="17" s="1"/>
  <c r="S86" i="17" s="1"/>
  <c r="Q128" i="17"/>
  <c r="R128" i="17" s="1"/>
  <c r="S128" i="17" s="1"/>
  <c r="Q129" i="17"/>
  <c r="R129" i="17" s="1"/>
  <c r="S129" i="17" s="1"/>
  <c r="Q85" i="17"/>
  <c r="R85" i="17" s="1"/>
  <c r="S85" i="17" s="1"/>
  <c r="Q87" i="17"/>
  <c r="R87" i="17" s="1"/>
  <c r="S87" i="17" s="1"/>
  <c r="Q81" i="17"/>
  <c r="R81" i="17" s="1"/>
  <c r="S81" i="17" s="1"/>
  <c r="N30" i="17"/>
  <c r="O30" i="17" s="1"/>
  <c r="P30" i="17" s="1"/>
  <c r="Q453" i="39"/>
  <c r="R453" i="39" s="1"/>
  <c r="Q235" i="39"/>
  <c r="R235" i="39" s="1"/>
  <c r="T27" i="44"/>
  <c r="AB100" i="44"/>
  <c r="AC100" i="44" s="1"/>
  <c r="AN100" i="44" s="1"/>
  <c r="AR100" i="44" s="1"/>
  <c r="S117" i="42"/>
  <c r="T117" i="42" s="1"/>
  <c r="Q301" i="39"/>
  <c r="R301" i="39" s="1"/>
  <c r="S144" i="42"/>
  <c r="T144" i="42" s="1"/>
  <c r="T38" i="44"/>
  <c r="R98" i="42"/>
  <c r="S98" i="42" s="1"/>
  <c r="T98" i="42" s="1"/>
  <c r="P399" i="39"/>
  <c r="Q399" i="39" s="1"/>
  <c r="R399" i="39" s="1"/>
  <c r="P288" i="39"/>
  <c r="Q288" i="39" s="1"/>
  <c r="R288" i="39" s="1"/>
  <c r="Q332" i="39"/>
  <c r="R332" i="39" s="1"/>
  <c r="P289" i="39"/>
  <c r="Q289" i="39" s="1"/>
  <c r="R289" i="39" s="1"/>
  <c r="R96" i="42"/>
  <c r="S96" i="42" s="1"/>
  <c r="T96" i="42" s="1"/>
  <c r="AL100" i="44"/>
  <c r="X19" i="44"/>
  <c r="Y19" i="44" s="1"/>
  <c r="AA19" i="44" s="1"/>
  <c r="X62" i="44"/>
  <c r="Y62" i="44" s="1"/>
  <c r="AA62" i="44" s="1"/>
  <c r="X16" i="44"/>
  <c r="Y16" i="44" s="1"/>
  <c r="AA16" i="44" s="1"/>
  <c r="R148" i="44"/>
  <c r="V148" i="44" s="1"/>
  <c r="X78" i="44"/>
  <c r="Y78" i="44" s="1"/>
  <c r="AA78" i="44" s="1"/>
  <c r="X149" i="44"/>
  <c r="Y149" i="44" s="1"/>
  <c r="AA149" i="44" s="1"/>
  <c r="R192" i="44"/>
  <c r="V192" i="44" s="1"/>
  <c r="R104" i="44"/>
  <c r="V104" i="44" s="1"/>
  <c r="X114" i="44"/>
  <c r="Y114" i="44" s="1"/>
  <c r="AA114" i="44" s="1"/>
  <c r="X99" i="44"/>
  <c r="Y99" i="44" s="1"/>
  <c r="AA99" i="44" s="1"/>
  <c r="R80" i="44"/>
  <c r="X18" i="44"/>
  <c r="Y18" i="44" s="1"/>
  <c r="AA18" i="44" s="1"/>
  <c r="X207" i="44"/>
  <c r="Y207" i="44" s="1"/>
  <c r="AA207" i="44" s="1"/>
  <c r="X81" i="44"/>
  <c r="Y81" i="44" s="1"/>
  <c r="AA81" i="44" s="1"/>
  <c r="X210" i="44"/>
  <c r="Y210" i="44" s="1"/>
  <c r="AA210" i="44" s="1"/>
  <c r="R105" i="44"/>
  <c r="V105" i="44" s="1"/>
  <c r="X153" i="44"/>
  <c r="Y153" i="44" s="1"/>
  <c r="AA153" i="44" s="1"/>
  <c r="X202" i="44"/>
  <c r="Y202" i="44" s="1"/>
  <c r="AA202" i="44" s="1"/>
  <c r="X33" i="44"/>
  <c r="Y33" i="44" s="1"/>
  <c r="AA33" i="44" s="1"/>
  <c r="R29" i="44"/>
  <c r="V29" i="44" s="1"/>
  <c r="R140" i="44"/>
  <c r="T140" i="44" s="1"/>
  <c r="R68" i="44"/>
  <c r="V68" i="44" s="1"/>
  <c r="X185" i="44"/>
  <c r="Y185" i="44" s="1"/>
  <c r="AA185" i="44" s="1"/>
  <c r="R70" i="44"/>
  <c r="V70" i="44" s="1"/>
  <c r="X83" i="44"/>
  <c r="Y83" i="44" s="1"/>
  <c r="AA83" i="44" s="1"/>
  <c r="AB83" i="44" s="1"/>
  <c r="AC83" i="44" s="1"/>
  <c r="AN83" i="44" s="1"/>
  <c r="Q79" i="42"/>
  <c r="R79" i="42" s="1"/>
  <c r="S79" i="42" s="1"/>
  <c r="T79" i="42" s="1"/>
  <c r="V181" i="44"/>
  <c r="AB181" i="44" s="1"/>
  <c r="AC181" i="44" s="1"/>
  <c r="T181" i="44"/>
  <c r="Q177" i="39"/>
  <c r="R177" i="39" s="1"/>
  <c r="AL65" i="44"/>
  <c r="AP67" i="44"/>
  <c r="X46" i="44"/>
  <c r="Y46" i="44" s="1"/>
  <c r="AA46" i="44" s="1"/>
  <c r="R86" i="44"/>
  <c r="R33" i="44"/>
  <c r="V33" i="44" s="1"/>
  <c r="AP37" i="44"/>
  <c r="AP86" i="44"/>
  <c r="R202" i="44"/>
  <c r="R99" i="44"/>
  <c r="V99" i="44" s="1"/>
  <c r="T76" i="44"/>
  <c r="X37" i="44"/>
  <c r="Y37" i="44" s="1"/>
  <c r="AA37" i="44" s="1"/>
  <c r="AJ16" i="44"/>
  <c r="X133" i="44"/>
  <c r="Y133" i="44" s="1"/>
  <c r="AA133" i="44" s="1"/>
  <c r="R67" i="44"/>
  <c r="AP139" i="44"/>
  <c r="R81" i="44"/>
  <c r="AP45" i="44"/>
  <c r="V199" i="44"/>
  <c r="R138" i="44"/>
  <c r="X15" i="44"/>
  <c r="Y15" i="44" s="1"/>
  <c r="AA15" i="44" s="1"/>
  <c r="AJ19" i="44"/>
  <c r="R36" i="44"/>
  <c r="AP138" i="44"/>
  <c r="R42" i="44"/>
  <c r="AJ73" i="44"/>
  <c r="AJ57" i="44"/>
  <c r="R207" i="44"/>
  <c r="T207" i="44" s="1"/>
  <c r="R85" i="44"/>
  <c r="V85" i="44" s="1"/>
  <c r="R73" i="44"/>
  <c r="T73" i="44" s="1"/>
  <c r="R19" i="44"/>
  <c r="R102" i="44"/>
  <c r="X105" i="44"/>
  <c r="Y105" i="44" s="1"/>
  <c r="AA105" i="44" s="1"/>
  <c r="AP46" i="44"/>
  <c r="Q19" i="17"/>
  <c r="R19" i="17" s="1"/>
  <c r="S19" i="17" s="1"/>
  <c r="R139" i="44"/>
  <c r="X67" i="44"/>
  <c r="Y67" i="44" s="1"/>
  <c r="AA67" i="44" s="1"/>
  <c r="Q35" i="17"/>
  <c r="R35" i="17" s="1"/>
  <c r="S35" i="17" s="1"/>
  <c r="Q317" i="39"/>
  <c r="R317" i="39" s="1"/>
  <c r="Q175" i="39"/>
  <c r="R175" i="39" s="1"/>
  <c r="S33" i="42"/>
  <c r="T33" i="42" s="1"/>
  <c r="X192" i="44"/>
  <c r="Y192" i="44" s="1"/>
  <c r="AA192" i="44" s="1"/>
  <c r="AP56" i="44"/>
  <c r="R53" i="44"/>
  <c r="AJ68" i="44"/>
  <c r="X104" i="44"/>
  <c r="Y104" i="44" s="1"/>
  <c r="AA104" i="44" s="1"/>
  <c r="O105" i="42"/>
  <c r="X73" i="44"/>
  <c r="Y73" i="44" s="1"/>
  <c r="AA73" i="44" s="1"/>
  <c r="X101" i="44"/>
  <c r="Y101" i="44" s="1"/>
  <c r="AA101" i="44" s="1"/>
  <c r="R64" i="44"/>
  <c r="V64" i="44" s="1"/>
  <c r="V35" i="44"/>
  <c r="AL35" i="44" s="1"/>
  <c r="R143" i="44"/>
  <c r="T143" i="44" s="1"/>
  <c r="R101" i="44"/>
  <c r="V101" i="44" s="1"/>
  <c r="AL101" i="44" s="1"/>
  <c r="X125" i="44"/>
  <c r="Y125" i="44" s="1"/>
  <c r="AA125" i="44" s="1"/>
  <c r="R75" i="44"/>
  <c r="T75" i="44" s="1"/>
  <c r="AP70" i="44"/>
  <c r="AJ138" i="44"/>
  <c r="X42" i="44"/>
  <c r="Y42" i="44" s="1"/>
  <c r="AA42" i="44" s="1"/>
  <c r="R15" i="44"/>
  <c r="AP15" i="44"/>
  <c r="X70" i="44"/>
  <c r="Y70" i="44" s="1"/>
  <c r="AA70" i="44" s="1"/>
  <c r="R146" i="44"/>
  <c r="R18" i="44"/>
  <c r="R21" i="17"/>
  <c r="S21" i="17" s="1"/>
  <c r="Q249" i="39"/>
  <c r="R249" i="39" s="1"/>
  <c r="T198" i="44"/>
  <c r="X55" i="44"/>
  <c r="Y55" i="44" s="1"/>
  <c r="X86" i="44"/>
  <c r="Y86" i="44" s="1"/>
  <c r="AA86" i="44" s="1"/>
  <c r="AJ64" i="44"/>
  <c r="R95" i="44"/>
  <c r="V62" i="44"/>
  <c r="AL62" i="44" s="1"/>
  <c r="R56" i="44"/>
  <c r="T56" i="44" s="1"/>
  <c r="X139" i="44"/>
  <c r="Y139" i="44" s="1"/>
  <c r="AA139" i="44" s="1"/>
  <c r="X148" i="44"/>
  <c r="Y148" i="44" s="1"/>
  <c r="AA148" i="44" s="1"/>
  <c r="AJ132" i="44"/>
  <c r="V195" i="44"/>
  <c r="X102" i="44"/>
  <c r="Y102" i="44" s="1"/>
  <c r="AA102" i="44" s="1"/>
  <c r="AJ85" i="44"/>
  <c r="X45" i="44"/>
  <c r="Y45" i="44" s="1"/>
  <c r="AA45" i="44" s="1"/>
  <c r="AJ105" i="44"/>
  <c r="X87" i="44"/>
  <c r="Y87" i="44" s="1"/>
  <c r="AA87" i="44" s="1"/>
  <c r="AP101" i="44"/>
  <c r="R116" i="42"/>
  <c r="S116" i="42" s="1"/>
  <c r="T116" i="42" s="1"/>
  <c r="C42" i="26"/>
  <c r="C40" i="26"/>
  <c r="S115" i="42"/>
  <c r="T115" i="42" s="1"/>
  <c r="P113" i="39"/>
  <c r="Q113" i="39" s="1"/>
  <c r="R113" i="39" s="1"/>
  <c r="P115" i="39"/>
  <c r="Q115" i="39" s="1"/>
  <c r="R115" i="39" s="1"/>
  <c r="P348" i="39"/>
  <c r="Q348" i="39" s="1"/>
  <c r="R348" i="39" s="1"/>
  <c r="P349" i="39"/>
  <c r="Q349" i="39" s="1"/>
  <c r="R349" i="39" s="1"/>
  <c r="Q346" i="39"/>
  <c r="R346" i="39" s="1"/>
  <c r="P347" i="39"/>
  <c r="Q347" i="39" s="1"/>
  <c r="R347" i="39" s="1"/>
  <c r="P345" i="39"/>
  <c r="Q345" i="39" s="1"/>
  <c r="R345" i="39" s="1"/>
  <c r="Q342" i="39"/>
  <c r="R342" i="39" s="1"/>
  <c r="P343" i="39"/>
  <c r="Q343" i="39" s="1"/>
  <c r="R343" i="39" s="1"/>
  <c r="AJ151" i="44"/>
  <c r="AL151" i="44" s="1"/>
  <c r="X140" i="44"/>
  <c r="Y140" i="44" s="1"/>
  <c r="AA140" i="44" s="1"/>
  <c r="R209" i="44"/>
  <c r="Q195" i="39"/>
  <c r="R195" i="39" s="1"/>
  <c r="Q320" i="39"/>
  <c r="R320" i="39" s="1"/>
  <c r="Q334" i="39"/>
  <c r="R334" i="39" s="1"/>
  <c r="Q436" i="39"/>
  <c r="R436" i="39" s="1"/>
  <c r="AP61" i="44"/>
  <c r="Q78" i="17"/>
  <c r="R78" i="17" s="1"/>
  <c r="S78" i="17" s="1"/>
  <c r="T125" i="44"/>
  <c r="Q325" i="39"/>
  <c r="R325" i="39" s="1"/>
  <c r="V200" i="44"/>
  <c r="AB200" i="44" s="1"/>
  <c r="AC200" i="44" s="1"/>
  <c r="X85" i="44"/>
  <c r="Y85" i="44" s="1"/>
  <c r="AA85" i="44" s="1"/>
  <c r="R79" i="44"/>
  <c r="V130" i="44"/>
  <c r="AL130" i="44" s="1"/>
  <c r="T130" i="44"/>
  <c r="N246" i="17"/>
  <c r="O246" i="17" s="1"/>
  <c r="P246" i="17" s="1"/>
  <c r="R293" i="17"/>
  <c r="S293" i="17" s="1"/>
  <c r="N188" i="17"/>
  <c r="O188" i="17" s="1"/>
  <c r="P188" i="17" s="1"/>
  <c r="Q188" i="17" s="1"/>
  <c r="R188" i="17" s="1"/>
  <c r="S188" i="17" s="1"/>
  <c r="T91" i="44"/>
  <c r="V91" i="44"/>
  <c r="AB91" i="44" s="1"/>
  <c r="AC91" i="44" s="1"/>
  <c r="AN91" i="44" s="1"/>
  <c r="AR91" i="44" s="1"/>
  <c r="Q283" i="39"/>
  <c r="R283" i="39" s="1"/>
  <c r="Q432" i="39"/>
  <c r="R432" i="39" s="1"/>
  <c r="P398" i="39"/>
  <c r="Q398" i="39" s="1"/>
  <c r="R398" i="39" s="1"/>
  <c r="Q73" i="17"/>
  <c r="R73" i="17" s="1"/>
  <c r="S73" i="17" s="1"/>
  <c r="Q71" i="17"/>
  <c r="R71" i="17" s="1"/>
  <c r="S71" i="17" s="1"/>
  <c r="Q74" i="17"/>
  <c r="R74" i="17" s="1"/>
  <c r="S74" i="17" s="1"/>
  <c r="Q178" i="17"/>
  <c r="R178" i="17" s="1"/>
  <c r="S178" i="17" s="1"/>
  <c r="N459" i="39"/>
  <c r="Q452" i="39"/>
  <c r="R452" i="39" s="1"/>
  <c r="P286" i="39"/>
  <c r="Q286" i="39" s="1"/>
  <c r="R286" i="39" s="1"/>
  <c r="Q231" i="39"/>
  <c r="R231" i="39" s="1"/>
  <c r="Q215" i="39"/>
  <c r="R215" i="39" s="1"/>
  <c r="P163" i="39"/>
  <c r="Q163" i="39" s="1"/>
  <c r="R163" i="39" s="1"/>
  <c r="Q246" i="39"/>
  <c r="R246" i="39" s="1"/>
  <c r="P160" i="39"/>
  <c r="Q160" i="39" s="1"/>
  <c r="R160" i="39" s="1"/>
  <c r="Q183" i="39"/>
  <c r="R183" i="39" s="1"/>
  <c r="Q178" i="39"/>
  <c r="R178" i="39" s="1"/>
  <c r="Q313" i="39"/>
  <c r="R313" i="39" s="1"/>
  <c r="Q181" i="39"/>
  <c r="R181" i="39" s="1"/>
  <c r="P161" i="39"/>
  <c r="Q161" i="39" s="1"/>
  <c r="R161" i="39" s="1"/>
  <c r="P162" i="39"/>
  <c r="Q162" i="39" s="1"/>
  <c r="R162" i="39" s="1"/>
  <c r="AB43" i="44"/>
  <c r="AC43" i="44" s="1"/>
  <c r="AN43" i="44" s="1"/>
  <c r="AR43" i="44" s="1"/>
  <c r="AB191" i="44"/>
  <c r="AC191" i="44" s="1"/>
  <c r="Q335" i="39"/>
  <c r="R335" i="39" s="1"/>
  <c r="Q258" i="39"/>
  <c r="R258" i="39" s="1"/>
  <c r="V207" i="44"/>
  <c r="AB207" i="44" s="1"/>
  <c r="AC207" i="44" s="1"/>
  <c r="Q424" i="39"/>
  <c r="R424" i="39" s="1"/>
  <c r="V14" i="44"/>
  <c r="AL70" i="44"/>
  <c r="T206" i="44"/>
  <c r="V206" i="44"/>
  <c r="AB206" i="44" s="1"/>
  <c r="AC206" i="44" s="1"/>
  <c r="AP44" i="44"/>
  <c r="AJ44" i="44"/>
  <c r="AJ17" i="44"/>
  <c r="AP17" i="44"/>
  <c r="AP112" i="44"/>
  <c r="AJ112" i="44"/>
  <c r="AJ119" i="44" s="1"/>
  <c r="AJ83" i="44"/>
  <c r="AL83" i="44" s="1"/>
  <c r="AP83" i="44"/>
  <c r="AP148" i="44"/>
  <c r="AJ148" i="44"/>
  <c r="AJ59" i="44"/>
  <c r="AP59" i="44"/>
  <c r="R59" i="44"/>
  <c r="AJ128" i="44"/>
  <c r="AP128" i="44"/>
  <c r="AJ71" i="44"/>
  <c r="AP71" i="44"/>
  <c r="AP136" i="44"/>
  <c r="AJ136" i="44"/>
  <c r="AL136" i="44" s="1"/>
  <c r="X82" i="44"/>
  <c r="Y82" i="44" s="1"/>
  <c r="AA82" i="44" s="1"/>
  <c r="AJ94" i="44"/>
  <c r="R94" i="44"/>
  <c r="AJ13" i="44"/>
  <c r="X13" i="44"/>
  <c r="AP34" i="44"/>
  <c r="X34" i="44"/>
  <c r="Y34" i="44" s="1"/>
  <c r="AA34" i="44" s="1"/>
  <c r="AP35" i="44"/>
  <c r="X35" i="44"/>
  <c r="Y35" i="44" s="1"/>
  <c r="AA35" i="44" s="1"/>
  <c r="AP27" i="44"/>
  <c r="AJ27" i="44"/>
  <c r="AL27" i="44" s="1"/>
  <c r="N251" i="17"/>
  <c r="O251" i="17" s="1"/>
  <c r="P251" i="17" s="1"/>
  <c r="Q251" i="17" s="1"/>
  <c r="R251" i="17" s="1"/>
  <c r="S251" i="17" s="1"/>
  <c r="N22" i="17"/>
  <c r="O22" i="17" s="1"/>
  <c r="P22" i="17" s="1"/>
  <c r="R145" i="17"/>
  <c r="S145" i="17" s="1"/>
  <c r="Q354" i="39"/>
  <c r="R354" i="39" s="1"/>
  <c r="Q237" i="39"/>
  <c r="R237" i="39" s="1"/>
  <c r="AL38" i="44"/>
  <c r="N244" i="17"/>
  <c r="O244" i="17" s="1"/>
  <c r="P244" i="17" s="1"/>
  <c r="Q244" i="17" s="1"/>
  <c r="AJ76" i="44"/>
  <c r="AL76" i="44" s="1"/>
  <c r="X76" i="44"/>
  <c r="Y76" i="44" s="1"/>
  <c r="AA76" i="44" s="1"/>
  <c r="AB76" i="44" s="1"/>
  <c r="AC76" i="44" s="1"/>
  <c r="AN76" i="44" s="1"/>
  <c r="AR76" i="44" s="1"/>
  <c r="AJ75" i="44"/>
  <c r="AP75" i="44"/>
  <c r="AP125" i="44"/>
  <c r="AJ125" i="44"/>
  <c r="AL125" i="44" s="1"/>
  <c r="AP29" i="44"/>
  <c r="AJ29" i="44"/>
  <c r="X29" i="44"/>
  <c r="Y29" i="44" s="1"/>
  <c r="AA29" i="44" s="1"/>
  <c r="AB29" i="44" s="1"/>
  <c r="AC29" i="44" s="1"/>
  <c r="AN29" i="44" s="1"/>
  <c r="AP78" i="44"/>
  <c r="AJ78" i="44"/>
  <c r="N147" i="17"/>
  <c r="O147" i="17" s="1"/>
  <c r="P147" i="17" s="1"/>
  <c r="Q147" i="17" s="1"/>
  <c r="R147" i="17" s="1"/>
  <c r="S147" i="17" s="1"/>
  <c r="X71" i="44"/>
  <c r="Y71" i="44" s="1"/>
  <c r="AA71" i="44" s="1"/>
  <c r="N41" i="17"/>
  <c r="O41" i="17" s="1"/>
  <c r="P41" i="17" s="1"/>
  <c r="Q41" i="17" s="1"/>
  <c r="R41" i="17" s="1"/>
  <c r="S41" i="17" s="1"/>
  <c r="J248" i="17"/>
  <c r="K248" i="17" s="1"/>
  <c r="N248" i="17"/>
  <c r="O248" i="17" s="1"/>
  <c r="Q416" i="39"/>
  <c r="R416" i="39" s="1"/>
  <c r="P129" i="42"/>
  <c r="P146" i="42" s="1"/>
  <c r="Q440" i="39"/>
  <c r="R440" i="39" s="1"/>
  <c r="T41" i="44"/>
  <c r="T43" i="44"/>
  <c r="AB65" i="44"/>
  <c r="AC65" i="44" s="1"/>
  <c r="AN65" i="44" s="1"/>
  <c r="AR65" i="44" s="1"/>
  <c r="V134" i="44"/>
  <c r="V17" i="44"/>
  <c r="T65" i="44"/>
  <c r="V32" i="44"/>
  <c r="AB32" i="44" s="1"/>
  <c r="AC32" i="44" s="1"/>
  <c r="AN32" i="44" s="1"/>
  <c r="AR32" i="44" s="1"/>
  <c r="V113" i="44"/>
  <c r="AB113" i="44" s="1"/>
  <c r="AC113" i="44" s="1"/>
  <c r="AL41" i="44"/>
  <c r="AB41" i="44"/>
  <c r="AC41" i="44" s="1"/>
  <c r="AN41" i="44" s="1"/>
  <c r="AR41" i="44" s="1"/>
  <c r="Q420" i="39"/>
  <c r="R420" i="39" s="1"/>
  <c r="AB98" i="44"/>
  <c r="AC98" i="44" s="1"/>
  <c r="AN98" i="44" s="1"/>
  <c r="AR98" i="44" s="1"/>
  <c r="AB125" i="44"/>
  <c r="AC125" i="44" s="1"/>
  <c r="AN125" i="44" s="1"/>
  <c r="V84" i="44"/>
  <c r="AL84" i="44" s="1"/>
  <c r="V128" i="44"/>
  <c r="T128" i="44"/>
  <c r="T112" i="44"/>
  <c r="T119" i="44" s="1"/>
  <c r="V112" i="44"/>
  <c r="AB179" i="44"/>
  <c r="AC179" i="44" s="1"/>
  <c r="T183" i="44"/>
  <c r="V183" i="44"/>
  <c r="AB183" i="44" s="1"/>
  <c r="AC183" i="44" s="1"/>
  <c r="V205" i="44"/>
  <c r="AB205" i="44" s="1"/>
  <c r="AC205" i="44" s="1"/>
  <c r="V147" i="44"/>
  <c r="T147" i="44"/>
  <c r="V57" i="44"/>
  <c r="T57" i="44"/>
  <c r="T45" i="44"/>
  <c r="V45" i="44"/>
  <c r="Q261" i="17"/>
  <c r="R261" i="17" s="1"/>
  <c r="S261" i="17" s="1"/>
  <c r="V92" i="44"/>
  <c r="AL92" i="44" s="1"/>
  <c r="T83" i="44"/>
  <c r="AL64" i="44"/>
  <c r="AB64" i="44"/>
  <c r="AC64" i="44" s="1"/>
  <c r="Q46" i="39"/>
  <c r="R46" i="39" s="1"/>
  <c r="V138" i="44"/>
  <c r="T138" i="44"/>
  <c r="Q52" i="39"/>
  <c r="R52" i="39" s="1"/>
  <c r="Q412" i="39"/>
  <c r="R412" i="39" s="1"/>
  <c r="T176" i="44"/>
  <c r="T64" i="44"/>
  <c r="V56" i="44"/>
  <c r="V189" i="44"/>
  <c r="AB189" i="44" s="1"/>
  <c r="AC189" i="44" s="1"/>
  <c r="V124" i="44"/>
  <c r="T124" i="44"/>
  <c r="Q203" i="39"/>
  <c r="R203" i="39" s="1"/>
  <c r="Q309" i="39"/>
  <c r="R309" i="39" s="1"/>
  <c r="E40" i="26"/>
  <c r="T98" i="44"/>
  <c r="V140" i="44"/>
  <c r="V87" i="44"/>
  <c r="V82" i="44"/>
  <c r="T82" i="44"/>
  <c r="V81" i="44"/>
  <c r="T81" i="44"/>
  <c r="V145" i="44"/>
  <c r="AL145" i="44" s="1"/>
  <c r="T145" i="44"/>
  <c r="V66" i="44"/>
  <c r="T66" i="44"/>
  <c r="T40" i="44"/>
  <c r="V40" i="44"/>
  <c r="AL40" i="44" s="1"/>
  <c r="T12" i="44"/>
  <c r="V12" i="44"/>
  <c r="T141" i="44"/>
  <c r="V141" i="44"/>
  <c r="Q33" i="17"/>
  <c r="R33" i="17" s="1"/>
  <c r="S33" i="17" s="1"/>
  <c r="AL43" i="44"/>
  <c r="V150" i="44"/>
  <c r="AB150" i="44" s="1"/>
  <c r="AC150" i="44" s="1"/>
  <c r="AN150" i="44" s="1"/>
  <c r="AR150" i="44" s="1"/>
  <c r="T150" i="44"/>
  <c r="T89" i="44"/>
  <c r="V89" i="44"/>
  <c r="AB89" i="44" s="1"/>
  <c r="AC89" i="44" s="1"/>
  <c r="AN89" i="44" s="1"/>
  <c r="AR89" i="44" s="1"/>
  <c r="V46" i="44"/>
  <c r="V55" i="44"/>
  <c r="AL55" i="44" s="1"/>
  <c r="T55" i="44"/>
  <c r="V186" i="44"/>
  <c r="AB186" i="44" s="1"/>
  <c r="AC186" i="44" s="1"/>
  <c r="T186" i="44"/>
  <c r="V20" i="44"/>
  <c r="AL20" i="44" s="1"/>
  <c r="T20" i="44"/>
  <c r="T88" i="44"/>
  <c r="V88" i="44"/>
  <c r="AB30" i="44"/>
  <c r="AC30" i="44" s="1"/>
  <c r="AN30" i="44" s="1"/>
  <c r="AR30" i="44" s="1"/>
  <c r="V114" i="44"/>
  <c r="R119" i="44"/>
  <c r="AB117" i="44"/>
  <c r="AC117" i="44" s="1"/>
  <c r="AR117" i="44" s="1"/>
  <c r="AL117" i="44"/>
  <c r="T16" i="44"/>
  <c r="V16" i="44"/>
  <c r="V203" i="44"/>
  <c r="AB203" i="44" s="1"/>
  <c r="AC203" i="44" s="1"/>
  <c r="T203" i="44"/>
  <c r="V197" i="44"/>
  <c r="AB197" i="44" s="1"/>
  <c r="AC197" i="44" s="1"/>
  <c r="T197" i="44"/>
  <c r="T61" i="44"/>
  <c r="V61" i="44"/>
  <c r="AL61" i="44" s="1"/>
  <c r="T180" i="44"/>
  <c r="V180" i="44"/>
  <c r="V152" i="44"/>
  <c r="AB152" i="44" s="1"/>
  <c r="AC152" i="44" s="1"/>
  <c r="T152" i="44"/>
  <c r="Q62" i="17"/>
  <c r="R62" i="17" s="1"/>
  <c r="S62" i="17" s="1"/>
  <c r="T80" i="44"/>
  <c r="V80" i="44"/>
  <c r="AL80" i="44" s="1"/>
  <c r="T31" i="44"/>
  <c r="V31" i="44"/>
  <c r="AL31" i="44" s="1"/>
  <c r="V210" i="44"/>
  <c r="AB210" i="44" s="1"/>
  <c r="AC210" i="44" s="1"/>
  <c r="T210" i="44"/>
  <c r="Q428" i="39"/>
  <c r="R428" i="39" s="1"/>
  <c r="AL98" i="44"/>
  <c r="V69" i="44"/>
  <c r="AL69" i="44" s="1"/>
  <c r="T69" i="44"/>
  <c r="AB38" i="44"/>
  <c r="AC38" i="44" s="1"/>
  <c r="AN38" i="44" s="1"/>
  <c r="AR38" i="44" s="1"/>
  <c r="AB27" i="44"/>
  <c r="AC27" i="44" s="1"/>
  <c r="AN27" i="44" s="1"/>
  <c r="T202" i="44"/>
  <c r="V202" i="44"/>
  <c r="AB202" i="44" s="1"/>
  <c r="AC202" i="44" s="1"/>
  <c r="V185" i="44"/>
  <c r="AB185" i="44" s="1"/>
  <c r="AC185" i="44" s="1"/>
  <c r="T185" i="44"/>
  <c r="T95" i="44"/>
  <c r="V95" i="44"/>
  <c r="V204" i="44"/>
  <c r="AB204" i="44" s="1"/>
  <c r="AC204" i="44" s="1"/>
  <c r="T204" i="44"/>
  <c r="T71" i="44"/>
  <c r="V71" i="44"/>
  <c r="T90" i="44"/>
  <c r="V90" i="44"/>
  <c r="AB90" i="44" s="1"/>
  <c r="AC90" i="44" s="1"/>
  <c r="AN90" i="44" s="1"/>
  <c r="AR90" i="44" s="1"/>
  <c r="V187" i="44"/>
  <c r="AB187" i="44" s="1"/>
  <c r="AC187" i="44" s="1"/>
  <c r="T187" i="44"/>
  <c r="V133" i="44"/>
  <c r="T133" i="44"/>
  <c r="T104" i="44"/>
  <c r="V77" i="44"/>
  <c r="T77" i="44"/>
  <c r="T93" i="44"/>
  <c r="V93" i="44"/>
  <c r="T54" i="44"/>
  <c r="V54" i="44"/>
  <c r="T182" i="44"/>
  <c r="V182" i="44"/>
  <c r="AB182" i="44" s="1"/>
  <c r="AC182" i="44" s="1"/>
  <c r="Q126" i="17"/>
  <c r="R126" i="17" s="1"/>
  <c r="S126" i="17" s="1"/>
  <c r="P340" i="39"/>
  <c r="Q340" i="39" s="1"/>
  <c r="R340" i="39" s="1"/>
  <c r="P362" i="39"/>
  <c r="Q362" i="39" s="1"/>
  <c r="R362" i="39" s="1"/>
  <c r="Q52" i="17"/>
  <c r="R52" i="17" s="1"/>
  <c r="S52" i="17" s="1"/>
  <c r="V127" i="44"/>
  <c r="T127" i="44"/>
  <c r="Q64" i="17"/>
  <c r="R64" i="17" s="1"/>
  <c r="S64" i="17" s="1"/>
  <c r="Y116" i="44"/>
  <c r="X119" i="44"/>
  <c r="Q141" i="39"/>
  <c r="R141" i="39" s="1"/>
  <c r="Q222" i="17"/>
  <c r="R222" i="17" s="1"/>
  <c r="S222" i="17" s="1"/>
  <c r="T149" i="44"/>
  <c r="V149" i="44"/>
  <c r="T53" i="44"/>
  <c r="V53" i="44"/>
  <c r="T28" i="44"/>
  <c r="V28" i="44"/>
  <c r="V142" i="44"/>
  <c r="T142" i="44"/>
  <c r="V34" i="44"/>
  <c r="T34" i="44"/>
  <c r="Q27" i="17"/>
  <c r="R27" i="17" s="1"/>
  <c r="S27" i="17" s="1"/>
  <c r="Q166" i="17"/>
  <c r="R166" i="17" s="1"/>
  <c r="S166" i="17" s="1"/>
  <c r="S25" i="42"/>
  <c r="P104" i="39"/>
  <c r="Q104" i="39" s="1"/>
  <c r="R104" i="39" s="1"/>
  <c r="E42" i="26"/>
  <c r="Q66" i="17"/>
  <c r="R66" i="17" s="1"/>
  <c r="S66" i="17" s="1"/>
  <c r="S104" i="42"/>
  <c r="S50" i="42"/>
  <c r="P117" i="39"/>
  <c r="Q117" i="39" s="1"/>
  <c r="R117" i="39" s="1"/>
  <c r="P99" i="39"/>
  <c r="Q99" i="39" s="1"/>
  <c r="R99" i="39" s="1"/>
  <c r="Q122" i="17"/>
  <c r="R122" i="17" s="1"/>
  <c r="S122" i="17" s="1"/>
  <c r="P102" i="39"/>
  <c r="Q102" i="39" s="1"/>
  <c r="R102" i="39" s="1"/>
  <c r="P105" i="39"/>
  <c r="Q105" i="39" s="1"/>
  <c r="R105" i="39" s="1"/>
  <c r="P90" i="39"/>
  <c r="Q90" i="39" s="1"/>
  <c r="R90" i="39" s="1"/>
  <c r="Y126" i="44"/>
  <c r="R44" i="42"/>
  <c r="R110" i="42"/>
  <c r="S110" i="42" s="1"/>
  <c r="T110" i="42" s="1"/>
  <c r="R108" i="42"/>
  <c r="S108" i="42" s="1"/>
  <c r="T108" i="42" s="1"/>
  <c r="R80" i="42"/>
  <c r="S80" i="42" s="1"/>
  <c r="T80" i="42" s="1"/>
  <c r="R92" i="42"/>
  <c r="S92" i="42" s="1"/>
  <c r="T92" i="42" s="1"/>
  <c r="R114" i="42"/>
  <c r="S114" i="42" s="1"/>
  <c r="T114" i="42" s="1"/>
  <c r="R113" i="42"/>
  <c r="S113" i="42" s="1"/>
  <c r="T113" i="42" s="1"/>
  <c r="R94" i="42"/>
  <c r="S94" i="42" s="1"/>
  <c r="T94" i="42" s="1"/>
  <c r="R16" i="42"/>
  <c r="S16" i="42" s="1"/>
  <c r="T16" i="42" s="1"/>
  <c r="R15" i="42"/>
  <c r="S15" i="42" s="1"/>
  <c r="T15" i="42" s="1"/>
  <c r="R13" i="42"/>
  <c r="R18" i="42"/>
  <c r="S18" i="42" s="1"/>
  <c r="T18" i="42" s="1"/>
  <c r="R19" i="42"/>
  <c r="S19" i="42" s="1"/>
  <c r="T19" i="42" s="1"/>
  <c r="R150" i="42"/>
  <c r="S150" i="42" s="1"/>
  <c r="T150" i="42" s="1"/>
  <c r="P448" i="39"/>
  <c r="P446" i="39"/>
  <c r="Q446" i="39" s="1"/>
  <c r="R446" i="39" s="1"/>
  <c r="Q156" i="39"/>
  <c r="R156" i="39" s="1"/>
  <c r="P358" i="39"/>
  <c r="Q358" i="39" s="1"/>
  <c r="R358" i="39" s="1"/>
  <c r="P270" i="39"/>
  <c r="Q270" i="39" s="1"/>
  <c r="R270" i="39" s="1"/>
  <c r="P267" i="39"/>
  <c r="Q267" i="39" s="1"/>
  <c r="R267" i="39" s="1"/>
  <c r="P386" i="39"/>
  <c r="Q386" i="39" s="1"/>
  <c r="R386" i="39" s="1"/>
  <c r="P378" i="39"/>
  <c r="Q378" i="39" s="1"/>
  <c r="R378" i="39" s="1"/>
  <c r="P370" i="39"/>
  <c r="P389" i="39"/>
  <c r="Q389" i="39" s="1"/>
  <c r="R389" i="39" s="1"/>
  <c r="P381" i="39"/>
  <c r="Q381" i="39" s="1"/>
  <c r="R381" i="39" s="1"/>
  <c r="P373" i="39"/>
  <c r="Q373" i="39" s="1"/>
  <c r="R373" i="39" s="1"/>
  <c r="P263" i="39"/>
  <c r="Q263" i="39" s="1"/>
  <c r="R263" i="39" s="1"/>
  <c r="P254" i="39"/>
  <c r="Q254" i="39" s="1"/>
  <c r="R254" i="39" s="1"/>
  <c r="P272" i="39"/>
  <c r="Q272" i="39" s="1"/>
  <c r="R272" i="39" s="1"/>
  <c r="P397" i="39"/>
  <c r="Q397" i="39" s="1"/>
  <c r="R397" i="39" s="1"/>
  <c r="P385" i="39"/>
  <c r="Q385" i="39" s="1"/>
  <c r="R385" i="39" s="1"/>
  <c r="P377" i="39"/>
  <c r="Q377" i="39" s="1"/>
  <c r="R377" i="39" s="1"/>
  <c r="P395" i="39"/>
  <c r="Q395" i="39" s="1"/>
  <c r="R395" i="39" s="1"/>
  <c r="E28" i="26"/>
  <c r="P124" i="39"/>
  <c r="Q124" i="39" s="1"/>
  <c r="R124" i="39" s="1"/>
  <c r="P350" i="39"/>
  <c r="Q350" i="39" s="1"/>
  <c r="R350" i="39" s="1"/>
  <c r="E26" i="26"/>
  <c r="P275" i="39"/>
  <c r="Q275" i="39" s="1"/>
  <c r="R275" i="39" s="1"/>
  <c r="P280" i="39"/>
  <c r="Q280" i="39" s="1"/>
  <c r="R280" i="39" s="1"/>
  <c r="P274" i="39"/>
  <c r="Q274" i="39" s="1"/>
  <c r="R274" i="39" s="1"/>
  <c r="P143" i="39"/>
  <c r="Q143" i="39" s="1"/>
  <c r="R143" i="39" s="1"/>
  <c r="P136" i="39"/>
  <c r="Q136" i="39" s="1"/>
  <c r="R136" i="39" s="1"/>
  <c r="P278" i="39"/>
  <c r="Q278" i="39" s="1"/>
  <c r="R278" i="39" s="1"/>
  <c r="P277" i="39"/>
  <c r="Q277" i="39" s="1"/>
  <c r="R277" i="39" s="1"/>
  <c r="P155" i="39"/>
  <c r="Q155" i="39" s="1"/>
  <c r="R155" i="39" s="1"/>
  <c r="P391" i="39"/>
  <c r="Q391" i="39" s="1"/>
  <c r="R391" i="39" s="1"/>
  <c r="P394" i="39"/>
  <c r="Q394" i="39" s="1"/>
  <c r="R394" i="39" s="1"/>
  <c r="P259" i="39"/>
  <c r="Q259" i="39" s="1"/>
  <c r="R259" i="39" s="1"/>
  <c r="P241" i="39"/>
  <c r="Q241" i="39" s="1"/>
  <c r="R241" i="39" s="1"/>
  <c r="P120" i="39"/>
  <c r="Q120" i="39" s="1"/>
  <c r="R120" i="39" s="1"/>
  <c r="P135" i="39"/>
  <c r="Q135" i="39" s="1"/>
  <c r="R135" i="39" s="1"/>
  <c r="P158" i="39"/>
  <c r="Q158" i="39" s="1"/>
  <c r="R158" i="39" s="1"/>
  <c r="P266" i="39"/>
  <c r="Q266" i="39" s="1"/>
  <c r="R266" i="39" s="1"/>
  <c r="P151" i="39"/>
  <c r="Q151" i="39" s="1"/>
  <c r="R151" i="39" s="1"/>
  <c r="E22" i="26"/>
  <c r="P268" i="39"/>
  <c r="Q268" i="39" s="1"/>
  <c r="R268" i="39" s="1"/>
  <c r="P372" i="39"/>
  <c r="Q372" i="39" s="1"/>
  <c r="R372" i="39" s="1"/>
  <c r="P390" i="39"/>
  <c r="Q390" i="39" s="1"/>
  <c r="R390" i="39" s="1"/>
  <c r="P382" i="39"/>
  <c r="Q382" i="39" s="1"/>
  <c r="R382" i="39" s="1"/>
  <c r="P374" i="39"/>
  <c r="Q374" i="39" s="1"/>
  <c r="R374" i="39" s="1"/>
  <c r="P393" i="39"/>
  <c r="Q393" i="39" s="1"/>
  <c r="R393" i="39" s="1"/>
  <c r="P129" i="39"/>
  <c r="Q129" i="39" s="1"/>
  <c r="R129" i="39" s="1"/>
  <c r="P150" i="39"/>
  <c r="Q150" i="39" s="1"/>
  <c r="R150" i="39" s="1"/>
  <c r="Q319" i="39"/>
  <c r="R319" i="39" s="1"/>
  <c r="P154" i="39"/>
  <c r="Q154" i="39" s="1"/>
  <c r="R154" i="39" s="1"/>
  <c r="B26" i="26"/>
  <c r="P359" i="39"/>
  <c r="Q359" i="39" s="1"/>
  <c r="R359" i="39" s="1"/>
  <c r="Q297" i="17"/>
  <c r="R297" i="17" s="1"/>
  <c r="S297" i="17" s="1"/>
  <c r="Q196" i="17"/>
  <c r="R196" i="17" s="1"/>
  <c r="S196" i="17" s="1"/>
  <c r="Q214" i="17"/>
  <c r="R214" i="17" s="1"/>
  <c r="S214" i="17" s="1"/>
  <c r="Q55" i="17"/>
  <c r="R55" i="17" s="1"/>
  <c r="S55" i="17" s="1"/>
  <c r="Q72" i="17"/>
  <c r="R72" i="17" s="1"/>
  <c r="S72" i="17" s="1"/>
  <c r="Y44" i="44"/>
  <c r="Q57" i="17"/>
  <c r="R57" i="17" s="1"/>
  <c r="S57" i="17" s="1"/>
  <c r="Q224" i="17"/>
  <c r="R224" i="17" s="1"/>
  <c r="S224" i="17" s="1"/>
  <c r="Q177" i="17"/>
  <c r="R177" i="17" s="1"/>
  <c r="S177" i="17" s="1"/>
  <c r="T153" i="44"/>
  <c r="V153" i="44"/>
  <c r="AB153" i="44" s="1"/>
  <c r="AC153" i="44" s="1"/>
  <c r="R155" i="44"/>
  <c r="Q220" i="17"/>
  <c r="R220" i="17" s="1"/>
  <c r="S220" i="17" s="1"/>
  <c r="Q63" i="17"/>
  <c r="R63" i="17" s="1"/>
  <c r="S63" i="17" s="1"/>
  <c r="Q58" i="17"/>
  <c r="R58" i="17" s="1"/>
  <c r="S58" i="17" s="1"/>
  <c r="AB115" i="44"/>
  <c r="Q168" i="17"/>
  <c r="R168" i="17" s="1"/>
  <c r="S168" i="17" s="1"/>
  <c r="Q67" i="17"/>
  <c r="R67" i="17" s="1"/>
  <c r="S67" i="17" s="1"/>
  <c r="Q60" i="17"/>
  <c r="R60" i="17" s="1"/>
  <c r="S60" i="17" s="1"/>
  <c r="Q148" i="17"/>
  <c r="R148" i="17" s="1"/>
  <c r="S148" i="17" s="1"/>
  <c r="Q141" i="17"/>
  <c r="R141" i="17" s="1"/>
  <c r="S141" i="17" s="1"/>
  <c r="Q242" i="17"/>
  <c r="R242" i="17" s="1"/>
  <c r="S242" i="17" s="1"/>
  <c r="Q97" i="17"/>
  <c r="R97" i="17" s="1"/>
  <c r="S97" i="17" s="1"/>
  <c r="Q124" i="17"/>
  <c r="R124" i="17" s="1"/>
  <c r="S124" i="17" s="1"/>
  <c r="Q123" i="17"/>
  <c r="R123" i="17" s="1"/>
  <c r="S123" i="17" s="1"/>
  <c r="AR173" i="43"/>
  <c r="AN173" i="43"/>
  <c r="AN128" i="43"/>
  <c r="AR128" i="43"/>
  <c r="AN27" i="43"/>
  <c r="AR27" i="43" s="1"/>
  <c r="AN36" i="43"/>
  <c r="AR36" i="43"/>
  <c r="AR20" i="43"/>
  <c r="AN20" i="43"/>
  <c r="AN60" i="43"/>
  <c r="AR60" i="43"/>
  <c r="AB56" i="43"/>
  <c r="AC56" i="43"/>
  <c r="AP56" i="43"/>
  <c r="Q290" i="17"/>
  <c r="R290" i="17" s="1"/>
  <c r="S290" i="17" s="1"/>
  <c r="AN51" i="43"/>
  <c r="AR51" i="43" s="1"/>
  <c r="AN97" i="43"/>
  <c r="AR97" i="43" s="1"/>
  <c r="AN15" i="43"/>
  <c r="AR15" i="43" s="1"/>
  <c r="Q26" i="17"/>
  <c r="R26" i="17" s="1"/>
  <c r="S26" i="17" s="1"/>
  <c r="AN178" i="43"/>
  <c r="AR178" i="43" s="1"/>
  <c r="AN126" i="43"/>
  <c r="AR126" i="43" s="1"/>
  <c r="Q197" i="17"/>
  <c r="R197" i="17" s="1"/>
  <c r="S197" i="17" s="1"/>
  <c r="Q34" i="17"/>
  <c r="R34" i="17" s="1"/>
  <c r="S34" i="17" s="1"/>
  <c r="AN29" i="43"/>
  <c r="AR29" i="43"/>
  <c r="AR22" i="43"/>
  <c r="AN22" i="43"/>
  <c r="AN135" i="43"/>
  <c r="AR135" i="43" s="1"/>
  <c r="Q69" i="17"/>
  <c r="R69" i="17" s="1"/>
  <c r="S69" i="17" s="1"/>
  <c r="M109" i="42"/>
  <c r="N109" i="42" s="1"/>
  <c r="O109" i="42" s="1"/>
  <c r="N216" i="17"/>
  <c r="O216" i="17" s="1"/>
  <c r="Q216" i="17"/>
  <c r="R216" i="17" s="1"/>
  <c r="S216" i="17" s="1"/>
  <c r="Q291" i="17"/>
  <c r="R291" i="17" s="1"/>
  <c r="S291" i="17" s="1"/>
  <c r="M161" i="17"/>
  <c r="N161" i="17" s="1"/>
  <c r="O161" i="17" s="1"/>
  <c r="P161" i="17" s="1"/>
  <c r="M139" i="17"/>
  <c r="N139" i="17" s="1"/>
  <c r="O139" i="17" s="1"/>
  <c r="P139" i="17" s="1"/>
  <c r="N205" i="17"/>
  <c r="O205" i="17" s="1"/>
  <c r="Q205" i="17"/>
  <c r="R205" i="17" s="1"/>
  <c r="S205" i="17" s="1"/>
  <c r="AB260" i="43"/>
  <c r="AC260" i="43"/>
  <c r="M276" i="17"/>
  <c r="L277" i="17"/>
  <c r="M103" i="17"/>
  <c r="N103" i="17" s="1"/>
  <c r="O103" i="17" s="1"/>
  <c r="P103" i="17" s="1"/>
  <c r="N15" i="17"/>
  <c r="Q15" i="17"/>
  <c r="M155" i="17"/>
  <c r="N155" i="17" s="1"/>
  <c r="O155" i="17" s="1"/>
  <c r="P155" i="17" s="1"/>
  <c r="M255" i="17"/>
  <c r="N255" i="17" s="1"/>
  <c r="O255" i="17" s="1"/>
  <c r="P255" i="17" s="1"/>
  <c r="N98" i="17"/>
  <c r="O98" i="17" s="1"/>
  <c r="Q98" i="17"/>
  <c r="R98" i="17" s="1"/>
  <c r="S98" i="17" s="1"/>
  <c r="Q172" i="17"/>
  <c r="R172" i="17" s="1"/>
  <c r="S172" i="17" s="1"/>
  <c r="AL55" i="43"/>
  <c r="AP55" i="43"/>
  <c r="AP77" i="43" s="1"/>
  <c r="V35" i="43"/>
  <c r="AL35" i="43" s="1"/>
  <c r="T35" i="43"/>
  <c r="AL14" i="43"/>
  <c r="AJ77" i="43"/>
  <c r="AN40" i="43"/>
  <c r="AR40" i="43" s="1"/>
  <c r="AN89" i="43"/>
  <c r="AR89" i="43"/>
  <c r="AN160" i="43"/>
  <c r="AR160" i="43" s="1"/>
  <c r="AN31" i="43"/>
  <c r="AR31" i="43" s="1"/>
  <c r="AR21" i="43"/>
  <c r="AN21" i="43"/>
  <c r="AR92" i="43"/>
  <c r="AN92" i="43"/>
  <c r="AN28" i="43"/>
  <c r="AR28" i="43"/>
  <c r="AN158" i="43"/>
  <c r="AR158" i="43" s="1"/>
  <c r="AN174" i="43"/>
  <c r="AR174" i="43"/>
  <c r="AR86" i="43"/>
  <c r="AN86" i="43"/>
  <c r="AN83" i="43"/>
  <c r="AR83" i="43"/>
  <c r="AR136" i="43"/>
  <c r="AN136" i="43"/>
  <c r="AN123" i="43"/>
  <c r="AR123" i="43"/>
  <c r="AN49" i="43"/>
  <c r="AR49" i="43" s="1"/>
  <c r="AR73" i="43"/>
  <c r="AN43" i="43"/>
  <c r="AR43" i="43" s="1"/>
  <c r="Q275" i="17"/>
  <c r="R275" i="17" s="1"/>
  <c r="S275" i="17" s="1"/>
  <c r="Q208" i="17"/>
  <c r="R208" i="17" s="1"/>
  <c r="S208" i="17" s="1"/>
  <c r="Q210" i="17"/>
  <c r="R210" i="17" s="1"/>
  <c r="S210" i="17" s="1"/>
  <c r="Q68" i="17"/>
  <c r="R68" i="17" s="1"/>
  <c r="S68" i="17" s="1"/>
  <c r="N160" i="17"/>
  <c r="O160" i="17" s="1"/>
  <c r="Q160" i="17"/>
  <c r="R160" i="17" s="1"/>
  <c r="S160" i="17" s="1"/>
  <c r="N138" i="17"/>
  <c r="O138" i="17" s="1"/>
  <c r="Q138" i="17"/>
  <c r="R138" i="17" s="1"/>
  <c r="S138" i="17" s="1"/>
  <c r="AB227" i="43"/>
  <c r="AC227" i="43"/>
  <c r="Q145" i="43"/>
  <c r="N94" i="17"/>
  <c r="Q94" i="17"/>
  <c r="M16" i="17"/>
  <c r="N16" i="17" s="1"/>
  <c r="O16" i="17" s="1"/>
  <c r="P16" i="17" s="1"/>
  <c r="N191" i="43"/>
  <c r="N108" i="17"/>
  <c r="O108" i="17" s="1"/>
  <c r="Q108" i="17"/>
  <c r="R108" i="17" s="1"/>
  <c r="S108" i="17" s="1"/>
  <c r="M99" i="17"/>
  <c r="N99" i="17" s="1"/>
  <c r="O99" i="17" s="1"/>
  <c r="P99" i="17" s="1"/>
  <c r="N212" i="17"/>
  <c r="O212" i="17" s="1"/>
  <c r="Q212" i="17"/>
  <c r="R212" i="17" s="1"/>
  <c r="S212" i="17" s="1"/>
  <c r="AB35" i="43"/>
  <c r="AC35" i="43" s="1"/>
  <c r="AB18" i="43"/>
  <c r="AC18" i="43"/>
  <c r="AA77" i="43"/>
  <c r="AB14" i="43"/>
  <c r="AC14" i="43" s="1"/>
  <c r="AC105" i="43"/>
  <c r="AR105" i="43" s="1"/>
  <c r="AR137" i="43"/>
  <c r="AN137" i="43"/>
  <c r="AC169" i="43"/>
  <c r="AR50" i="43"/>
  <c r="AN50" i="43"/>
  <c r="AN52" i="43"/>
  <c r="AR52" i="43"/>
  <c r="AR171" i="43"/>
  <c r="AN171" i="43"/>
  <c r="AN90" i="43"/>
  <c r="AR90" i="43" s="1"/>
  <c r="AN177" i="43"/>
  <c r="AR177" i="43" s="1"/>
  <c r="AR103" i="43"/>
  <c r="AB45" i="43"/>
  <c r="AC45" i="43" s="1"/>
  <c r="Q260" i="17"/>
  <c r="R260" i="17" s="1"/>
  <c r="S260" i="17" s="1"/>
  <c r="M81" i="42"/>
  <c r="N81" i="42" s="1"/>
  <c r="O81" i="42" s="1"/>
  <c r="P81" i="42" s="1"/>
  <c r="Q81" i="42" s="1"/>
  <c r="N17" i="17"/>
  <c r="O17" i="17" s="1"/>
  <c r="Q17" i="17"/>
  <c r="R17" i="17" s="1"/>
  <c r="S17" i="17" s="1"/>
  <c r="Q185" i="43"/>
  <c r="R185" i="43" s="1"/>
  <c r="AJ185" i="43"/>
  <c r="P187" i="43"/>
  <c r="T223" i="43"/>
  <c r="V223" i="43"/>
  <c r="AB223" i="43" s="1"/>
  <c r="AC223" i="43" s="1"/>
  <c r="M95" i="17"/>
  <c r="N95" i="17" s="1"/>
  <c r="O95" i="17" s="1"/>
  <c r="P95" i="17" s="1"/>
  <c r="P132" i="17" s="1"/>
  <c r="L132" i="17"/>
  <c r="Q292" i="17"/>
  <c r="R292" i="17" s="1"/>
  <c r="S292" i="17" s="1"/>
  <c r="N25" i="17"/>
  <c r="O25" i="17" s="1"/>
  <c r="Q25" i="17"/>
  <c r="R25" i="17" s="1"/>
  <c r="S25" i="17" s="1"/>
  <c r="M109" i="17"/>
  <c r="N109" i="17" s="1"/>
  <c r="O109" i="17" s="1"/>
  <c r="P109" i="17" s="1"/>
  <c r="Q114" i="43"/>
  <c r="M272" i="17"/>
  <c r="L273" i="17"/>
  <c r="M273" i="17" s="1"/>
  <c r="N273" i="17" s="1"/>
  <c r="O273" i="17" s="1"/>
  <c r="P273" i="17" s="1"/>
  <c r="Q273" i="17" s="1"/>
  <c r="R273" i="17" s="1"/>
  <c r="S273" i="17" s="1"/>
  <c r="T19" i="43"/>
  <c r="V19" i="43"/>
  <c r="AL19" i="43" s="1"/>
  <c r="AB127" i="43"/>
  <c r="AB145" i="43" s="1"/>
  <c r="M192" i="17"/>
  <c r="M200" i="17" s="1"/>
  <c r="L193" i="17"/>
  <c r="M193" i="17" s="1"/>
  <c r="N193" i="17" s="1"/>
  <c r="O193" i="17" s="1"/>
  <c r="P193" i="17" s="1"/>
  <c r="Q193" i="17" s="1"/>
  <c r="R193" i="17" s="1"/>
  <c r="S193" i="17" s="1"/>
  <c r="V33" i="43"/>
  <c r="T33" i="43"/>
  <c r="AB58" i="43"/>
  <c r="AP58" i="43" s="1"/>
  <c r="AC58" i="43"/>
  <c r="V16" i="43"/>
  <c r="T16" i="43"/>
  <c r="R77" i="43"/>
  <c r="AN85" i="43"/>
  <c r="AR85" i="43"/>
  <c r="AN24" i="43"/>
  <c r="AR24" i="43"/>
  <c r="AN38" i="43"/>
  <c r="AR38" i="43"/>
  <c r="AP65" i="43"/>
  <c r="AR65" i="43" s="1"/>
  <c r="AN172" i="43"/>
  <c r="AR172" i="43" s="1"/>
  <c r="AN159" i="43"/>
  <c r="AR159" i="43"/>
  <c r="AN157" i="43"/>
  <c r="AR157" i="43" s="1"/>
  <c r="AN26" i="43"/>
  <c r="AR26" i="43"/>
  <c r="AN120" i="43"/>
  <c r="AR120" i="43"/>
  <c r="AN121" i="43"/>
  <c r="AR121" i="43"/>
  <c r="AN119" i="43"/>
  <c r="AR119" i="43"/>
  <c r="Q164" i="17"/>
  <c r="R164" i="17" s="1"/>
  <c r="S164" i="17" s="1"/>
  <c r="Q154" i="17"/>
  <c r="R154" i="17" s="1"/>
  <c r="S154" i="17" s="1"/>
  <c r="M111" i="42"/>
  <c r="N111" i="42" s="1"/>
  <c r="O111" i="42" s="1"/>
  <c r="P111" i="42" s="1"/>
  <c r="Q111" i="42" s="1"/>
  <c r="Q70" i="17"/>
  <c r="R70" i="17" s="1"/>
  <c r="S70" i="17" s="1"/>
  <c r="M282" i="17"/>
  <c r="N282" i="17" s="1"/>
  <c r="O282" i="17" s="1"/>
  <c r="P282" i="17" s="1"/>
  <c r="Q45" i="17"/>
  <c r="R45" i="17" s="1"/>
  <c r="S45" i="17" s="1"/>
  <c r="AB266" i="43"/>
  <c r="AC266" i="43"/>
  <c r="M18" i="17"/>
  <c r="N18" i="17" s="1"/>
  <c r="O18" i="17" s="1"/>
  <c r="P18" i="17" s="1"/>
  <c r="N281" i="17"/>
  <c r="Q281" i="17"/>
  <c r="R281" i="17" s="1"/>
  <c r="S281" i="17" s="1"/>
  <c r="M156" i="17"/>
  <c r="L157" i="17"/>
  <c r="M149" i="17"/>
  <c r="N149" i="17" s="1"/>
  <c r="O149" i="17" s="1"/>
  <c r="P149" i="17" s="1"/>
  <c r="Q169" i="17"/>
  <c r="R169" i="17" s="1"/>
  <c r="S169" i="17" s="1"/>
  <c r="N102" i="17"/>
  <c r="O102" i="17" s="1"/>
  <c r="Q102" i="17"/>
  <c r="R102" i="17" s="1"/>
  <c r="S102" i="17" s="1"/>
  <c r="V180" i="43"/>
  <c r="T180" i="43"/>
  <c r="R187" i="43"/>
  <c r="Q162" i="43"/>
  <c r="R162" i="43" s="1"/>
  <c r="P164" i="43"/>
  <c r="P191" i="43" s="1"/>
  <c r="AJ162" i="43"/>
  <c r="N254" i="17"/>
  <c r="Q254" i="17"/>
  <c r="AJ187" i="43"/>
  <c r="AL175" i="43"/>
  <c r="O258" i="17"/>
  <c r="AB47" i="43"/>
  <c r="AC47" i="43"/>
  <c r="AB19" i="43"/>
  <c r="AC19" i="43"/>
  <c r="T45" i="43"/>
  <c r="AR55" i="43"/>
  <c r="AL16" i="43"/>
  <c r="AP71" i="43"/>
  <c r="AC71" i="43"/>
  <c r="AR71" i="43" s="1"/>
  <c r="AP63" i="43"/>
  <c r="AR63" i="43" s="1"/>
  <c r="AN134" i="43"/>
  <c r="AR134" i="43"/>
  <c r="AN54" i="43"/>
  <c r="AR54" i="43" s="1"/>
  <c r="AN84" i="43"/>
  <c r="AR84" i="43" s="1"/>
  <c r="AN87" i="43"/>
  <c r="AR87" i="43"/>
  <c r="AB114" i="43"/>
  <c r="AN156" i="43"/>
  <c r="AN164" i="43" s="1"/>
  <c r="AN17" i="43"/>
  <c r="AR17" i="43" s="1"/>
  <c r="AC102" i="43"/>
  <c r="AR102" i="43" s="1"/>
  <c r="AN139" i="43"/>
  <c r="AR139" i="43" s="1"/>
  <c r="AN41" i="43"/>
  <c r="AR41" i="43"/>
  <c r="Q280" i="17"/>
  <c r="R280" i="17" s="1"/>
  <c r="S280" i="17" s="1"/>
  <c r="Q43" i="17"/>
  <c r="R43" i="17" s="1"/>
  <c r="S43" i="17" s="1"/>
  <c r="Q36" i="17"/>
  <c r="R36" i="17" s="1"/>
  <c r="S36" i="17" s="1"/>
  <c r="Q30" i="17"/>
  <c r="R30" i="17" s="1"/>
  <c r="S30" i="17" s="1"/>
  <c r="Q28" i="17"/>
  <c r="R28" i="17" s="1"/>
  <c r="S28" i="17" s="1"/>
  <c r="Q22" i="17"/>
  <c r="R22" i="17" s="1"/>
  <c r="S22" i="17" s="1"/>
  <c r="Q288" i="17"/>
  <c r="R288" i="17" s="1"/>
  <c r="S288" i="17" s="1"/>
  <c r="Q20" i="17"/>
  <c r="R20" i="17" s="1"/>
  <c r="S20" i="17" s="1"/>
  <c r="Q24" i="17"/>
  <c r="R24" i="17" s="1"/>
  <c r="S24" i="17" s="1"/>
  <c r="N119" i="42" l="1"/>
  <c r="N100" i="42"/>
  <c r="S152" i="42"/>
  <c r="S136" i="17"/>
  <c r="R94" i="17"/>
  <c r="R21" i="42"/>
  <c r="P53" i="42"/>
  <c r="O100" i="42"/>
  <c r="R46" i="42"/>
  <c r="S123" i="42"/>
  <c r="R146" i="42"/>
  <c r="L200" i="17"/>
  <c r="F40" i="26"/>
  <c r="P105" i="42"/>
  <c r="O119" i="42"/>
  <c r="M132" i="17"/>
  <c r="O94" i="17"/>
  <c r="O132" i="17" s="1"/>
  <c r="N132" i="17"/>
  <c r="R13" i="17"/>
  <c r="Q14" i="17"/>
  <c r="R14" i="17" s="1"/>
  <c r="S14" i="17" s="1"/>
  <c r="R152" i="42"/>
  <c r="P186" i="17"/>
  <c r="O13" i="17"/>
  <c r="Q13" i="39"/>
  <c r="P166" i="39"/>
  <c r="Q299" i="39"/>
  <c r="P365" i="39"/>
  <c r="F26" i="26" s="1"/>
  <c r="Q169" i="39"/>
  <c r="P295" i="39"/>
  <c r="F24" i="26" s="1"/>
  <c r="P457" i="39"/>
  <c r="Q370" i="39"/>
  <c r="P405" i="39"/>
  <c r="R409" i="39"/>
  <c r="D32" i="26"/>
  <c r="E30" i="26"/>
  <c r="E32" i="26" s="1"/>
  <c r="O459" i="39"/>
  <c r="T208" i="44"/>
  <c r="T97" i="44"/>
  <c r="T103" i="44"/>
  <c r="AB208" i="44"/>
  <c r="AC208" i="44" s="1"/>
  <c r="AB145" i="44"/>
  <c r="AC145" i="44" s="1"/>
  <c r="T137" i="44"/>
  <c r="T105" i="44"/>
  <c r="AB35" i="44"/>
  <c r="AC35" i="44" s="1"/>
  <c r="AN35" i="44" s="1"/>
  <c r="T29" i="44"/>
  <c r="X48" i="44"/>
  <c r="V75" i="44"/>
  <c r="AB75" i="44" s="1"/>
  <c r="AC75" i="44" s="1"/>
  <c r="AN75" i="44" s="1"/>
  <c r="V78" i="44"/>
  <c r="AB78" i="44" s="1"/>
  <c r="AC78" i="44" s="1"/>
  <c r="V190" i="44"/>
  <c r="AB190" i="44" s="1"/>
  <c r="AC190" i="44" s="1"/>
  <c r="AL152" i="44"/>
  <c r="AL29" i="44"/>
  <c r="L79" i="17"/>
  <c r="AB194" i="44"/>
  <c r="AC194" i="44" s="1"/>
  <c r="AB184" i="44"/>
  <c r="AC184" i="44" s="1"/>
  <c r="AB97" i="44"/>
  <c r="AC97" i="44" s="1"/>
  <c r="AN97" i="44" s="1"/>
  <c r="AR97" i="44" s="1"/>
  <c r="AL97" i="44"/>
  <c r="AB131" i="44"/>
  <c r="AC131" i="44" s="1"/>
  <c r="AN131" i="44" s="1"/>
  <c r="T196" i="44"/>
  <c r="V193" i="44"/>
  <c r="AB193" i="44" s="1"/>
  <c r="AC193" i="44" s="1"/>
  <c r="AL30" i="44"/>
  <c r="AB20" i="44"/>
  <c r="AC20" i="44" s="1"/>
  <c r="V72" i="44"/>
  <c r="AL72" i="44" s="1"/>
  <c r="AR136" i="44"/>
  <c r="T184" i="44"/>
  <c r="T179" i="44"/>
  <c r="AB180" i="44"/>
  <c r="AC180" i="44" s="1"/>
  <c r="T188" i="44"/>
  <c r="T30" i="44"/>
  <c r="T58" i="44"/>
  <c r="V58" i="44"/>
  <c r="AJ155" i="44"/>
  <c r="AB188" i="44"/>
  <c r="AC188" i="44" s="1"/>
  <c r="V73" i="44"/>
  <c r="AL73" i="44" s="1"/>
  <c r="AB198" i="44"/>
  <c r="AC198" i="44" s="1"/>
  <c r="AB103" i="44"/>
  <c r="AC103" i="44" s="1"/>
  <c r="AN103" i="44" s="1"/>
  <c r="AR103" i="44" s="1"/>
  <c r="AB130" i="44"/>
  <c r="AC130" i="44" s="1"/>
  <c r="AN130" i="44" s="1"/>
  <c r="AR130" i="44" s="1"/>
  <c r="T63" i="44"/>
  <c r="V144" i="44"/>
  <c r="AL144" i="44" s="1"/>
  <c r="V39" i="44"/>
  <c r="AB195" i="44"/>
  <c r="AC195" i="44" s="1"/>
  <c r="V74" i="44"/>
  <c r="T68" i="44"/>
  <c r="T33" i="44"/>
  <c r="T99" i="44"/>
  <c r="T37" i="44"/>
  <c r="AL13" i="44"/>
  <c r="AB135" i="44"/>
  <c r="AC135" i="44" s="1"/>
  <c r="AN135" i="44" s="1"/>
  <c r="AR135" i="44" s="1"/>
  <c r="L226" i="17"/>
  <c r="B17" i="26" s="1"/>
  <c r="T135" i="44"/>
  <c r="AL147" i="44"/>
  <c r="V44" i="44"/>
  <c r="AL44" i="44" s="1"/>
  <c r="AB14" i="44"/>
  <c r="AC14" i="44" s="1"/>
  <c r="AN14" i="44" s="1"/>
  <c r="AR14" i="44" s="1"/>
  <c r="AB199" i="44"/>
  <c r="AC199" i="44" s="1"/>
  <c r="AL129" i="44"/>
  <c r="AB129" i="44"/>
  <c r="AC129" i="44" s="1"/>
  <c r="AB132" i="44"/>
  <c r="AC132" i="44" s="1"/>
  <c r="AN132" i="44" s="1"/>
  <c r="AR132" i="44" s="1"/>
  <c r="AL132" i="44"/>
  <c r="T132" i="44"/>
  <c r="T129" i="44"/>
  <c r="T60" i="44"/>
  <c r="V60" i="44"/>
  <c r="F44" i="26"/>
  <c r="T149" i="42"/>
  <c r="G44" i="26"/>
  <c r="L181" i="17"/>
  <c r="T126" i="44"/>
  <c r="V126" i="44"/>
  <c r="AL126" i="44" s="1"/>
  <c r="V201" i="44"/>
  <c r="AB201" i="44" s="1"/>
  <c r="AC201" i="44" s="1"/>
  <c r="V96" i="44"/>
  <c r="T96" i="44"/>
  <c r="S204" i="17"/>
  <c r="AB70" i="44"/>
  <c r="AC70" i="44" s="1"/>
  <c r="AN70" i="44" s="1"/>
  <c r="AR70" i="44" s="1"/>
  <c r="T131" i="44"/>
  <c r="AB34" i="44"/>
  <c r="AC34" i="44" s="1"/>
  <c r="AN34" i="44" s="1"/>
  <c r="V143" i="44"/>
  <c r="AB143" i="44" s="1"/>
  <c r="AC143" i="44" s="1"/>
  <c r="AN143" i="44" s="1"/>
  <c r="AR143" i="44" s="1"/>
  <c r="T148" i="44"/>
  <c r="T85" i="44"/>
  <c r="AB101" i="44"/>
  <c r="AC101" i="44" s="1"/>
  <c r="AN101" i="44" s="1"/>
  <c r="T70" i="44"/>
  <c r="AL148" i="44"/>
  <c r="AB148" i="44"/>
  <c r="AC148" i="44" s="1"/>
  <c r="AN148" i="44" s="1"/>
  <c r="AB85" i="44"/>
  <c r="AC85" i="44" s="1"/>
  <c r="AN85" i="44" s="1"/>
  <c r="AR85" i="44" s="1"/>
  <c r="AR83" i="44"/>
  <c r="T192" i="44"/>
  <c r="T101" i="44"/>
  <c r="AL85" i="44"/>
  <c r="V67" i="44"/>
  <c r="T67" i="44"/>
  <c r="X155" i="44"/>
  <c r="T18" i="44"/>
  <c r="V18" i="44"/>
  <c r="T15" i="44"/>
  <c r="V15" i="44"/>
  <c r="AB140" i="44"/>
  <c r="AC140" i="44" s="1"/>
  <c r="AN140" i="44" s="1"/>
  <c r="AR140" i="44" s="1"/>
  <c r="AP22" i="44"/>
  <c r="T146" i="44"/>
  <c r="V146" i="44"/>
  <c r="V42" i="44"/>
  <c r="AL42" i="44" s="1"/>
  <c r="T42" i="44"/>
  <c r="T86" i="44"/>
  <c r="V86" i="44"/>
  <c r="AB192" i="44"/>
  <c r="AC192" i="44" s="1"/>
  <c r="V19" i="44"/>
  <c r="T19" i="44"/>
  <c r="V36" i="44"/>
  <c r="T36" i="44"/>
  <c r="AJ48" i="44"/>
  <c r="R48" i="44"/>
  <c r="R22" i="44"/>
  <c r="V139" i="44"/>
  <c r="T139" i="44"/>
  <c r="T102" i="44"/>
  <c r="V102" i="44"/>
  <c r="AB62" i="44"/>
  <c r="AC62" i="44" s="1"/>
  <c r="AN62" i="44" s="1"/>
  <c r="AR62" i="44" s="1"/>
  <c r="V209" i="44"/>
  <c r="AB209" i="44" s="1"/>
  <c r="AC209" i="44" s="1"/>
  <c r="T209" i="44"/>
  <c r="V79" i="44"/>
  <c r="T79" i="44"/>
  <c r="AJ107" i="44"/>
  <c r="R107" i="44"/>
  <c r="AR125" i="44"/>
  <c r="AR27" i="44"/>
  <c r="AL140" i="44"/>
  <c r="AL14" i="44"/>
  <c r="AL32" i="44"/>
  <c r="Q246" i="17"/>
  <c r="R246" i="17" s="1"/>
  <c r="S246" i="17" s="1"/>
  <c r="AL91" i="44"/>
  <c r="AR35" i="44"/>
  <c r="X107" i="44"/>
  <c r="AB92" i="44"/>
  <c r="AC92" i="44" s="1"/>
  <c r="AN92" i="44" s="1"/>
  <c r="AR92" i="44" s="1"/>
  <c r="AL75" i="44"/>
  <c r="AP48" i="44"/>
  <c r="AJ22" i="44"/>
  <c r="AR29" i="44"/>
  <c r="AP155" i="44"/>
  <c r="AP107" i="44"/>
  <c r="P248" i="17"/>
  <c r="Q248" i="17" s="1"/>
  <c r="R248" i="17" s="1"/>
  <c r="S248" i="17" s="1"/>
  <c r="Y13" i="44"/>
  <c r="X22" i="44"/>
  <c r="T59" i="44"/>
  <c r="V59" i="44"/>
  <c r="V119" i="44"/>
  <c r="T94" i="44"/>
  <c r="V94" i="44"/>
  <c r="AB94" i="44" s="1"/>
  <c r="AC94" i="44" s="1"/>
  <c r="AN94" i="44" s="1"/>
  <c r="D36" i="26"/>
  <c r="AB84" i="44"/>
  <c r="AC84" i="44" s="1"/>
  <c r="AN84" i="44" s="1"/>
  <c r="AR84" i="44" s="1"/>
  <c r="AN113" i="44"/>
  <c r="AR113" i="44" s="1"/>
  <c r="AL113" i="44"/>
  <c r="AB17" i="44"/>
  <c r="AC17" i="44" s="1"/>
  <c r="AN17" i="44" s="1"/>
  <c r="AR17" i="44" s="1"/>
  <c r="AL17" i="44"/>
  <c r="AL134" i="44"/>
  <c r="AB134" i="44"/>
  <c r="AC134" i="44" s="1"/>
  <c r="AN134" i="44" s="1"/>
  <c r="AR134" i="44" s="1"/>
  <c r="AB128" i="44"/>
  <c r="AC128" i="44" s="1"/>
  <c r="AN128" i="44" s="1"/>
  <c r="AR128" i="44" s="1"/>
  <c r="AL128" i="44"/>
  <c r="AL63" i="44"/>
  <c r="AB63" i="44"/>
  <c r="AC63" i="44" s="1"/>
  <c r="AN63" i="44" s="1"/>
  <c r="AR63" i="44" s="1"/>
  <c r="AB112" i="44"/>
  <c r="AC112" i="44" s="1"/>
  <c r="AL112" i="44"/>
  <c r="AL57" i="44"/>
  <c r="AB57" i="44"/>
  <c r="AC57" i="44" s="1"/>
  <c r="AN57" i="44" s="1"/>
  <c r="AR57" i="44" s="1"/>
  <c r="AB45" i="44"/>
  <c r="AC45" i="44" s="1"/>
  <c r="AN45" i="44" s="1"/>
  <c r="AR45" i="44" s="1"/>
  <c r="AL45" i="44"/>
  <c r="AB147" i="44"/>
  <c r="AC147" i="44" s="1"/>
  <c r="AL87" i="44"/>
  <c r="AB87" i="44"/>
  <c r="AC87" i="44" s="1"/>
  <c r="AN87" i="44" s="1"/>
  <c r="AR87" i="44" s="1"/>
  <c r="AB56" i="44"/>
  <c r="AC56" i="44" s="1"/>
  <c r="AL56" i="44"/>
  <c r="AB124" i="44"/>
  <c r="AC124" i="44" s="1"/>
  <c r="AL124" i="44"/>
  <c r="AB105" i="44"/>
  <c r="AC105" i="44" s="1"/>
  <c r="AL105" i="44"/>
  <c r="AB138" i="44"/>
  <c r="AC138" i="44" s="1"/>
  <c r="AN138" i="44" s="1"/>
  <c r="AR138" i="44" s="1"/>
  <c r="AL138" i="44"/>
  <c r="AN64" i="44"/>
  <c r="AR64" i="44" s="1"/>
  <c r="AL89" i="44"/>
  <c r="AL66" i="44"/>
  <c r="AB66" i="44"/>
  <c r="AC66" i="44" s="1"/>
  <c r="AN66" i="44" s="1"/>
  <c r="AR66" i="44" s="1"/>
  <c r="AL81" i="44"/>
  <c r="AB81" i="44"/>
  <c r="AC81" i="44" s="1"/>
  <c r="AN81" i="44" s="1"/>
  <c r="AR81" i="44" s="1"/>
  <c r="AB40" i="44"/>
  <c r="AC40" i="44" s="1"/>
  <c r="AN40" i="44" s="1"/>
  <c r="AR40" i="44" s="1"/>
  <c r="AB141" i="44"/>
  <c r="AC141" i="44" s="1"/>
  <c r="AN141" i="44" s="1"/>
  <c r="AR141" i="44" s="1"/>
  <c r="AL141" i="44"/>
  <c r="AL12" i="44"/>
  <c r="AB12" i="44"/>
  <c r="AC12" i="44" s="1"/>
  <c r="AN12" i="44" s="1"/>
  <c r="AR12" i="44" s="1"/>
  <c r="AL150" i="44"/>
  <c r="AL82" i="44"/>
  <c r="AB82" i="44"/>
  <c r="AC82" i="44" s="1"/>
  <c r="AN82" i="44" s="1"/>
  <c r="AR82" i="44" s="1"/>
  <c r="AN152" i="44"/>
  <c r="AR152" i="44" s="1"/>
  <c r="AB114" i="44"/>
  <c r="AC114" i="44" s="1"/>
  <c r="AN114" i="44" s="1"/>
  <c r="AL114" i="44"/>
  <c r="AB69" i="44"/>
  <c r="AC69" i="44" s="1"/>
  <c r="AL137" i="44"/>
  <c r="AB61" i="44"/>
  <c r="AC61" i="44" s="1"/>
  <c r="AN61" i="44" s="1"/>
  <c r="AR61" i="44" s="1"/>
  <c r="AL37" i="44"/>
  <c r="AB37" i="44"/>
  <c r="AC37" i="44" s="1"/>
  <c r="AB88" i="44"/>
  <c r="AC88" i="44" s="1"/>
  <c r="AL88" i="44"/>
  <c r="AL46" i="44"/>
  <c r="AB46" i="44"/>
  <c r="AC46" i="44" s="1"/>
  <c r="AN46" i="44" s="1"/>
  <c r="AR46" i="44" s="1"/>
  <c r="AB31" i="44"/>
  <c r="AC31" i="44" s="1"/>
  <c r="AL16" i="44"/>
  <c r="AB16" i="44"/>
  <c r="AC16" i="44" s="1"/>
  <c r="AN16" i="44" s="1"/>
  <c r="AR16" i="44" s="1"/>
  <c r="AB80" i="44"/>
  <c r="AC80" i="44" s="1"/>
  <c r="AN80" i="44" s="1"/>
  <c r="AR80" i="44" s="1"/>
  <c r="AL68" i="44"/>
  <c r="AB68" i="44"/>
  <c r="AC68" i="44" s="1"/>
  <c r="AN68" i="44" s="1"/>
  <c r="AR68" i="44" s="1"/>
  <c r="AB104" i="44"/>
  <c r="AC104" i="44" s="1"/>
  <c r="AN104" i="44" s="1"/>
  <c r="AR104" i="44" s="1"/>
  <c r="AL104" i="44"/>
  <c r="AL54" i="44"/>
  <c r="AB54" i="44"/>
  <c r="AC54" i="44" s="1"/>
  <c r="AN54" i="44" s="1"/>
  <c r="AR54" i="44" s="1"/>
  <c r="AL90" i="44"/>
  <c r="AB99" i="44"/>
  <c r="AC99" i="44" s="1"/>
  <c r="AN99" i="44" s="1"/>
  <c r="AR99" i="44" s="1"/>
  <c r="AL99" i="44"/>
  <c r="AB93" i="44"/>
  <c r="AC93" i="44" s="1"/>
  <c r="AN93" i="44" s="1"/>
  <c r="AR93" i="44" s="1"/>
  <c r="AL93" i="44"/>
  <c r="AB77" i="44"/>
  <c r="AC77" i="44" s="1"/>
  <c r="AN77" i="44" s="1"/>
  <c r="AR77" i="44" s="1"/>
  <c r="AL77" i="44"/>
  <c r="AL133" i="44"/>
  <c r="AB133" i="44"/>
  <c r="AC133" i="44" s="1"/>
  <c r="AN133" i="44" s="1"/>
  <c r="AR133" i="44" s="1"/>
  <c r="AL33" i="44"/>
  <c r="AB33" i="44"/>
  <c r="AC33" i="44" s="1"/>
  <c r="AL71" i="44"/>
  <c r="AB71" i="44"/>
  <c r="AC71" i="44" s="1"/>
  <c r="AN71" i="44" s="1"/>
  <c r="AR71" i="44" s="1"/>
  <c r="AL95" i="44"/>
  <c r="AB95" i="44"/>
  <c r="AC95" i="44" s="1"/>
  <c r="AN95" i="44" s="1"/>
  <c r="AR95" i="44" s="1"/>
  <c r="S44" i="42"/>
  <c r="T44" i="42" s="1"/>
  <c r="AL142" i="44"/>
  <c r="AB142" i="44"/>
  <c r="AC142" i="44" s="1"/>
  <c r="AN142" i="44" s="1"/>
  <c r="AR142" i="44" s="1"/>
  <c r="AA116" i="44"/>
  <c r="Y119" i="44"/>
  <c r="AL127" i="44"/>
  <c r="AB127" i="44"/>
  <c r="AC127" i="44" s="1"/>
  <c r="AL28" i="44"/>
  <c r="AB28" i="44"/>
  <c r="AC28" i="44" s="1"/>
  <c r="AN28" i="44" s="1"/>
  <c r="AR28" i="44" s="1"/>
  <c r="AL53" i="44"/>
  <c r="AB53" i="44"/>
  <c r="AC53" i="44" s="1"/>
  <c r="AA55" i="44"/>
  <c r="Y107" i="44"/>
  <c r="AL34" i="44"/>
  <c r="AL149" i="44"/>
  <c r="AB149" i="44"/>
  <c r="AC149" i="44" s="1"/>
  <c r="AN149" i="44" s="1"/>
  <c r="AR149" i="44" s="1"/>
  <c r="AA126" i="44"/>
  <c r="Y155" i="44"/>
  <c r="E38" i="26"/>
  <c r="T104" i="42"/>
  <c r="T25" i="42"/>
  <c r="T46" i="42" s="1"/>
  <c r="S13" i="42"/>
  <c r="S21" i="42" s="1"/>
  <c r="T50" i="42"/>
  <c r="P109" i="42"/>
  <c r="R111" i="42"/>
  <c r="S111" i="42" s="1"/>
  <c r="T111" i="42" s="1"/>
  <c r="R81" i="42"/>
  <c r="S81" i="42" s="1"/>
  <c r="T81" i="42" s="1"/>
  <c r="M100" i="42"/>
  <c r="B36" i="26" s="1"/>
  <c r="Q448" i="39"/>
  <c r="Q457" i="39" s="1"/>
  <c r="F28" i="26"/>
  <c r="C26" i="26"/>
  <c r="B32" i="26"/>
  <c r="B33" i="26" s="1"/>
  <c r="AP115" i="44"/>
  <c r="AN20" i="44"/>
  <c r="AR20" i="44" s="1"/>
  <c r="B11" i="26"/>
  <c r="AC115" i="44"/>
  <c r="AA44" i="44"/>
  <c r="Y48" i="44"/>
  <c r="AN14" i="43"/>
  <c r="AR14" i="43"/>
  <c r="AN35" i="43"/>
  <c r="AR35" i="43"/>
  <c r="N206" i="17"/>
  <c r="O206" i="17" s="1"/>
  <c r="O226" i="17" s="1"/>
  <c r="Q206" i="17"/>
  <c r="R206" i="17" s="1"/>
  <c r="S206" i="17" s="1"/>
  <c r="M157" i="17"/>
  <c r="P258" i="17"/>
  <c r="O254" i="17"/>
  <c r="T162" i="43"/>
  <c r="X162" i="43" s="1"/>
  <c r="Y162" i="43" s="1"/>
  <c r="AA162" i="43" s="1"/>
  <c r="R164" i="43"/>
  <c r="R191" i="43" s="1"/>
  <c r="V162" i="43"/>
  <c r="N156" i="17"/>
  <c r="O156" i="17" s="1"/>
  <c r="Q156" i="17"/>
  <c r="R156" i="17" s="1"/>
  <c r="S156" i="17" s="1"/>
  <c r="AL33" i="43"/>
  <c r="AB33" i="43"/>
  <c r="AC33" i="43" s="1"/>
  <c r="AC127" i="43"/>
  <c r="Q109" i="17"/>
  <c r="R109" i="17" s="1"/>
  <c r="S109" i="17" s="1"/>
  <c r="AP185" i="43"/>
  <c r="AP187" i="43" s="1"/>
  <c r="AN78" i="44"/>
  <c r="AR78" i="44" s="1"/>
  <c r="AN114" i="43"/>
  <c r="O15" i="17"/>
  <c r="M277" i="17"/>
  <c r="N277" i="17" s="1"/>
  <c r="O277" i="17" s="1"/>
  <c r="P277" i="17" s="1"/>
  <c r="Q149" i="17"/>
  <c r="R149" i="17" s="1"/>
  <c r="S149" i="17" s="1"/>
  <c r="Q18" i="17"/>
  <c r="R18" i="17" s="1"/>
  <c r="S18" i="17" s="1"/>
  <c r="AR58" i="43"/>
  <c r="N272" i="17"/>
  <c r="Q272" i="17"/>
  <c r="R272" i="17" s="1"/>
  <c r="S272" i="17" s="1"/>
  <c r="Q164" i="43"/>
  <c r="T185" i="43"/>
  <c r="X185" i="43" s="1"/>
  <c r="Y185" i="43" s="1"/>
  <c r="AA185" i="43" s="1"/>
  <c r="V185" i="43"/>
  <c r="AL185" i="43" s="1"/>
  <c r="Q99" i="17"/>
  <c r="R99" i="17" s="1"/>
  <c r="S99" i="17" s="1"/>
  <c r="N207" i="17"/>
  <c r="O207" i="17" s="1"/>
  <c r="Q207" i="17"/>
  <c r="R207" i="17" s="1"/>
  <c r="S207" i="17" s="1"/>
  <c r="Q16" i="17"/>
  <c r="R16" i="17" s="1"/>
  <c r="S16" i="17" s="1"/>
  <c r="B13" i="26"/>
  <c r="Q155" i="17"/>
  <c r="R155" i="17" s="1"/>
  <c r="S155" i="17" s="1"/>
  <c r="N276" i="17"/>
  <c r="O276" i="17" s="1"/>
  <c r="Q276" i="17"/>
  <c r="R276" i="17" s="1"/>
  <c r="S276" i="17" s="1"/>
  <c r="Q161" i="17"/>
  <c r="R161" i="17" s="1"/>
  <c r="S161" i="17" s="1"/>
  <c r="M119" i="42"/>
  <c r="M154" i="42" s="1"/>
  <c r="AN47" i="43"/>
  <c r="AR47" i="43"/>
  <c r="AJ164" i="43"/>
  <c r="AJ191" i="43" s="1"/>
  <c r="AP162" i="43"/>
  <c r="AP164" i="43" s="1"/>
  <c r="AP191" i="43" s="1"/>
  <c r="AL162" i="43"/>
  <c r="AL164" i="43" s="1"/>
  <c r="Q282" i="17"/>
  <c r="R282" i="17" s="1"/>
  <c r="S282" i="17" s="1"/>
  <c r="AN145" i="44"/>
  <c r="AR145" i="44" s="1"/>
  <c r="N192" i="17"/>
  <c r="O192" i="17" s="1"/>
  <c r="O200" i="17" s="1"/>
  <c r="Q192" i="17"/>
  <c r="R192" i="17" s="1"/>
  <c r="S192" i="17" s="1"/>
  <c r="F38" i="26"/>
  <c r="AN45" i="43"/>
  <c r="AR45" i="43" s="1"/>
  <c r="AN18" i="43"/>
  <c r="AR18" i="43" s="1"/>
  <c r="D11" i="26"/>
  <c r="Q187" i="43"/>
  <c r="AC114" i="43"/>
  <c r="R15" i="17"/>
  <c r="AR56" i="43"/>
  <c r="AR156" i="43"/>
  <c r="AN19" i="43"/>
  <c r="AR19" i="43"/>
  <c r="R254" i="17"/>
  <c r="AL180" i="43"/>
  <c r="AL187" i="43" s="1"/>
  <c r="AB180" i="43"/>
  <c r="V187" i="43"/>
  <c r="O281" i="17"/>
  <c r="Q103" i="17"/>
  <c r="R103" i="17" s="1"/>
  <c r="S103" i="17" s="1"/>
  <c r="V77" i="43"/>
  <c r="AB16" i="43"/>
  <c r="AC16" i="43" s="1"/>
  <c r="Q95" i="17"/>
  <c r="R95" i="17" s="1"/>
  <c r="S95" i="17" s="1"/>
  <c r="AN169" i="43"/>
  <c r="AR169" i="43"/>
  <c r="AR114" i="43"/>
  <c r="AL77" i="43"/>
  <c r="Q255" i="17"/>
  <c r="R255" i="17" s="1"/>
  <c r="S255" i="17" s="1"/>
  <c r="Q139" i="17"/>
  <c r="R139" i="17" s="1"/>
  <c r="S139" i="17" s="1"/>
  <c r="N218" i="17"/>
  <c r="O218" i="17" s="1"/>
  <c r="Q218" i="17"/>
  <c r="R218" i="17" s="1"/>
  <c r="S218" i="17" s="1"/>
  <c r="R244" i="17"/>
  <c r="N226" i="17" l="1"/>
  <c r="Q105" i="42"/>
  <c r="P119" i="42"/>
  <c r="Q132" i="17"/>
  <c r="S226" i="17"/>
  <c r="H44" i="26"/>
  <c r="T152" i="42"/>
  <c r="AL78" i="44"/>
  <c r="P200" i="17"/>
  <c r="Q186" i="17"/>
  <c r="S13" i="17"/>
  <c r="Q226" i="17"/>
  <c r="Q53" i="42"/>
  <c r="P100" i="42"/>
  <c r="S94" i="17"/>
  <c r="S132" i="17" s="1"/>
  <c r="R132" i="17"/>
  <c r="N200" i="17"/>
  <c r="T123" i="42"/>
  <c r="T146" i="42" s="1"/>
  <c r="H38" i="26" s="1"/>
  <c r="S146" i="42"/>
  <c r="G38" i="26" s="1"/>
  <c r="M181" i="17"/>
  <c r="D13" i="26" s="1"/>
  <c r="C13" i="26" s="1"/>
  <c r="R226" i="17"/>
  <c r="S46" i="42"/>
  <c r="R370" i="39"/>
  <c r="R405" i="39" s="1"/>
  <c r="Q405" i="39"/>
  <c r="R299" i="39"/>
  <c r="R365" i="39" s="1"/>
  <c r="H26" i="26" s="1"/>
  <c r="Q365" i="39"/>
  <c r="G26" i="26" s="1"/>
  <c r="R169" i="39"/>
  <c r="R295" i="39" s="1"/>
  <c r="H24" i="26" s="1"/>
  <c r="Q295" i="39"/>
  <c r="G24" i="26" s="1"/>
  <c r="R13" i="39"/>
  <c r="R166" i="39" s="1"/>
  <c r="H22" i="26" s="1"/>
  <c r="Q166" i="39"/>
  <c r="F30" i="26"/>
  <c r="C32" i="26"/>
  <c r="AR75" i="44"/>
  <c r="AB144" i="44"/>
  <c r="AC144" i="44" s="1"/>
  <c r="AN144" i="44" s="1"/>
  <c r="AR144" i="44" s="1"/>
  <c r="AR131" i="44"/>
  <c r="AB72" i="44"/>
  <c r="AC72" i="44" s="1"/>
  <c r="AN72" i="44" s="1"/>
  <c r="AR72" i="44" s="1"/>
  <c r="AB73" i="44"/>
  <c r="AC73" i="44" s="1"/>
  <c r="AN73" i="44" s="1"/>
  <c r="AR73" i="44" s="1"/>
  <c r="V48" i="44"/>
  <c r="AL58" i="44"/>
  <c r="AB58" i="44"/>
  <c r="AC58" i="44" s="1"/>
  <c r="AN58" i="44" s="1"/>
  <c r="AR58" i="44" s="1"/>
  <c r="AB74" i="44"/>
  <c r="AC74" i="44" s="1"/>
  <c r="AN74" i="44" s="1"/>
  <c r="AR74" i="44" s="1"/>
  <c r="AL74" i="44"/>
  <c r="AB39" i="44"/>
  <c r="AC39" i="44" s="1"/>
  <c r="AN39" i="44" s="1"/>
  <c r="AR39" i="44" s="1"/>
  <c r="AL39" i="44"/>
  <c r="AL60" i="44"/>
  <c r="AB60" i="44"/>
  <c r="AC60" i="44" s="1"/>
  <c r="O154" i="42"/>
  <c r="N154" i="42"/>
  <c r="AL143" i="44"/>
  <c r="M79" i="17"/>
  <c r="AL96" i="44"/>
  <c r="AB96" i="44"/>
  <c r="AC96" i="44" s="1"/>
  <c r="AN96" i="44" s="1"/>
  <c r="AR96" i="44" s="1"/>
  <c r="L90" i="17"/>
  <c r="L228" i="17" s="1"/>
  <c r="T155" i="44"/>
  <c r="T48" i="44"/>
  <c r="AR34" i="44"/>
  <c r="AR101" i="44"/>
  <c r="AR148" i="44"/>
  <c r="AJ158" i="44"/>
  <c r="V155" i="44"/>
  <c r="V22" i="44"/>
  <c r="H40" i="26"/>
  <c r="R158" i="44"/>
  <c r="AB139" i="44"/>
  <c r="AC139" i="44" s="1"/>
  <c r="AN139" i="44" s="1"/>
  <c r="AR139" i="44" s="1"/>
  <c r="AL139" i="44"/>
  <c r="AB19" i="44"/>
  <c r="AC19" i="44" s="1"/>
  <c r="AN19" i="44" s="1"/>
  <c r="AR19" i="44" s="1"/>
  <c r="AL19" i="44"/>
  <c r="AL102" i="44"/>
  <c r="AB102" i="44"/>
  <c r="AC102" i="44" s="1"/>
  <c r="AN102" i="44" s="1"/>
  <c r="AR102" i="44" s="1"/>
  <c r="AL15" i="44"/>
  <c r="AB15" i="44"/>
  <c r="AC15" i="44" s="1"/>
  <c r="AN15" i="44" s="1"/>
  <c r="AR15" i="44" s="1"/>
  <c r="AL36" i="44"/>
  <c r="AL48" i="44" s="1"/>
  <c r="AB36" i="44"/>
  <c r="AC36" i="44" s="1"/>
  <c r="AN36" i="44" s="1"/>
  <c r="AR36" i="44" s="1"/>
  <c r="AB86" i="44"/>
  <c r="AC86" i="44" s="1"/>
  <c r="AN86" i="44" s="1"/>
  <c r="AR86" i="44" s="1"/>
  <c r="AL86" i="44"/>
  <c r="AB42" i="44"/>
  <c r="AC42" i="44" s="1"/>
  <c r="AN42" i="44" s="1"/>
  <c r="AR42" i="44" s="1"/>
  <c r="AL146" i="44"/>
  <c r="AL155" i="44" s="1"/>
  <c r="AB146" i="44"/>
  <c r="AC146" i="44" s="1"/>
  <c r="AL18" i="44"/>
  <c r="AB18" i="44"/>
  <c r="AC18" i="44" s="1"/>
  <c r="AN18" i="44" s="1"/>
  <c r="AR18" i="44" s="1"/>
  <c r="AL67" i="44"/>
  <c r="AB67" i="44"/>
  <c r="AC67" i="44" s="1"/>
  <c r="AN67" i="44" s="1"/>
  <c r="AR67" i="44" s="1"/>
  <c r="AL79" i="44"/>
  <c r="AB79" i="44"/>
  <c r="AC79" i="44" s="1"/>
  <c r="AN79" i="44" s="1"/>
  <c r="AR79" i="44" s="1"/>
  <c r="X158" i="44"/>
  <c r="V107" i="44"/>
  <c r="T107" i="44"/>
  <c r="AA13" i="44"/>
  <c r="Y22" i="44"/>
  <c r="Y158" i="44" s="1"/>
  <c r="AL94" i="44"/>
  <c r="AR94" i="44"/>
  <c r="AL59" i="44"/>
  <c r="AB59" i="44"/>
  <c r="AC59" i="44" s="1"/>
  <c r="AN59" i="44" s="1"/>
  <c r="G40" i="26"/>
  <c r="AN112" i="44"/>
  <c r="AR112" i="44" s="1"/>
  <c r="AL119" i="44"/>
  <c r="AN147" i="44"/>
  <c r="AR147" i="44" s="1"/>
  <c r="AN124" i="44"/>
  <c r="AR124" i="44" s="1"/>
  <c r="AN56" i="44"/>
  <c r="AR56" i="44" s="1"/>
  <c r="AN105" i="44"/>
  <c r="AR105" i="44" s="1"/>
  <c r="AN31" i="44"/>
  <c r="AR31" i="44" s="1"/>
  <c r="AR114" i="44"/>
  <c r="AN88" i="44"/>
  <c r="AR88" i="44" s="1"/>
  <c r="AN37" i="44"/>
  <c r="AR37" i="44" s="1"/>
  <c r="AN69" i="44"/>
  <c r="AR69" i="44" s="1"/>
  <c r="C11" i="26"/>
  <c r="AN33" i="44"/>
  <c r="AR33" i="44" s="1"/>
  <c r="AB116" i="44"/>
  <c r="AA119" i="44"/>
  <c r="AN53" i="44"/>
  <c r="AR53" i="44" s="1"/>
  <c r="AN127" i="44"/>
  <c r="AR127" i="44" s="1"/>
  <c r="AB55" i="44"/>
  <c r="AC55" i="44" s="1"/>
  <c r="AN55" i="44" s="1"/>
  <c r="AR55" i="44" s="1"/>
  <c r="AA107" i="44"/>
  <c r="T13" i="42"/>
  <c r="T21" i="42" s="1"/>
  <c r="Q109" i="42"/>
  <c r="P154" i="42"/>
  <c r="AB126" i="44"/>
  <c r="AA155" i="44"/>
  <c r="R448" i="39"/>
  <c r="R457" i="39" s="1"/>
  <c r="G28" i="26"/>
  <c r="AB44" i="44"/>
  <c r="AA48" i="44"/>
  <c r="AR115" i="44"/>
  <c r="AN16" i="43"/>
  <c r="AR16" i="43" s="1"/>
  <c r="AR77" i="43" s="1"/>
  <c r="B15" i="26"/>
  <c r="B34" i="26"/>
  <c r="Q191" i="43"/>
  <c r="AN33" i="43"/>
  <c r="AR33" i="43"/>
  <c r="AB162" i="43"/>
  <c r="AB164" i="43" s="1"/>
  <c r="AA164" i="43"/>
  <c r="N157" i="17"/>
  <c r="N181" i="17" s="1"/>
  <c r="S254" i="17"/>
  <c r="S15" i="17"/>
  <c r="C36" i="26"/>
  <c r="Q277" i="17"/>
  <c r="R277" i="17" s="1"/>
  <c r="S277" i="17" s="1"/>
  <c r="AN77" i="43"/>
  <c r="AC180" i="43"/>
  <c r="AN129" i="44"/>
  <c r="E196" i="43"/>
  <c r="E197" i="43" s="1"/>
  <c r="V164" i="43"/>
  <c r="V191" i="43" s="1"/>
  <c r="AC77" i="43"/>
  <c r="D34" i="26"/>
  <c r="AB77" i="43"/>
  <c r="AL191" i="43"/>
  <c r="AC185" i="43"/>
  <c r="AR185" i="43" s="1"/>
  <c r="AB185" i="43"/>
  <c r="AB187" i="43" s="1"/>
  <c r="AA187" i="43"/>
  <c r="O272" i="17"/>
  <c r="AN127" i="43"/>
  <c r="AN145" i="43" s="1"/>
  <c r="AC145" i="43"/>
  <c r="Q258" i="17"/>
  <c r="F11" i="26" s="1"/>
  <c r="E11" i="26"/>
  <c r="S244" i="17"/>
  <c r="Q100" i="42" l="1"/>
  <c r="E36" i="26" s="1"/>
  <c r="R53" i="42"/>
  <c r="R186" i="17"/>
  <c r="Q200" i="17"/>
  <c r="M90" i="17"/>
  <c r="M228" i="17" s="1"/>
  <c r="Q119" i="42"/>
  <c r="R105" i="42"/>
  <c r="G30" i="26"/>
  <c r="H30" i="26"/>
  <c r="R459" i="39"/>
  <c r="N79" i="17"/>
  <c r="AN60" i="44"/>
  <c r="AR60" i="44" s="1"/>
  <c r="D17" i="26"/>
  <c r="B9" i="26"/>
  <c r="B19" i="26" s="1"/>
  <c r="B20" i="26" s="1"/>
  <c r="V158" i="44"/>
  <c r="AB48" i="44"/>
  <c r="AL22" i="44"/>
  <c r="AN146" i="44"/>
  <c r="AR146" i="44" s="1"/>
  <c r="D48" i="26"/>
  <c r="AL107" i="44"/>
  <c r="AB13" i="44"/>
  <c r="AB22" i="44" s="1"/>
  <c r="AA22" i="44"/>
  <c r="AA158" i="44" s="1"/>
  <c r="AN119" i="44"/>
  <c r="AC107" i="44"/>
  <c r="AB107" i="44"/>
  <c r="AP116" i="44"/>
  <c r="AP119" i="44" s="1"/>
  <c r="AP158" i="44" s="1"/>
  <c r="AC116" i="44"/>
  <c r="AB119" i="44"/>
  <c r="R109" i="42"/>
  <c r="Q154" i="42"/>
  <c r="AC126" i="44"/>
  <c r="AB155" i="44"/>
  <c r="F42" i="26"/>
  <c r="H28" i="26"/>
  <c r="AR129" i="44"/>
  <c r="AC44" i="44"/>
  <c r="D15" i="26"/>
  <c r="AB191" i="43"/>
  <c r="R258" i="17"/>
  <c r="AR59" i="44"/>
  <c r="AN180" i="43"/>
  <c r="AN187" i="43" s="1"/>
  <c r="AN191" i="43" s="1"/>
  <c r="AC187" i="43"/>
  <c r="O157" i="17"/>
  <c r="O181" i="17" s="1"/>
  <c r="AA191" i="43"/>
  <c r="AR127" i="43"/>
  <c r="AR145" i="43" s="1"/>
  <c r="AC162" i="43"/>
  <c r="C34" i="26"/>
  <c r="B48" i="26"/>
  <c r="R119" i="42" l="1"/>
  <c r="S105" i="42"/>
  <c r="S186" i="17"/>
  <c r="S200" i="17" s="1"/>
  <c r="R200" i="17"/>
  <c r="R100" i="42"/>
  <c r="S53" i="42"/>
  <c r="O79" i="17"/>
  <c r="N90" i="17"/>
  <c r="N228" i="17" s="1"/>
  <c r="D9" i="26"/>
  <c r="C48" i="26"/>
  <c r="C17" i="26"/>
  <c r="C9" i="26"/>
  <c r="AN107" i="44"/>
  <c r="AR107" i="44"/>
  <c r="AL158" i="44"/>
  <c r="D19" i="26"/>
  <c r="D50" i="26" s="1"/>
  <c r="H32" i="26"/>
  <c r="AC13" i="44"/>
  <c r="AN13" i="44" s="1"/>
  <c r="B50" i="26"/>
  <c r="B51" i="26" s="1"/>
  <c r="AB158" i="44"/>
  <c r="AR116" i="44"/>
  <c r="AR119" i="44" s="1"/>
  <c r="AC119" i="44"/>
  <c r="S109" i="42"/>
  <c r="R154" i="42"/>
  <c r="E34" i="26"/>
  <c r="AN126" i="44"/>
  <c r="AC155" i="44"/>
  <c r="G42" i="26"/>
  <c r="AN44" i="44"/>
  <c r="AC48" i="44"/>
  <c r="S258" i="17"/>
  <c r="H11" i="26" s="1"/>
  <c r="F36" i="26"/>
  <c r="C15" i="26"/>
  <c r="AR162" i="43"/>
  <c r="AR164" i="43" s="1"/>
  <c r="AC164" i="43"/>
  <c r="AC191" i="43" s="1"/>
  <c r="P157" i="17"/>
  <c r="AR180" i="43"/>
  <c r="AR187" i="43" s="1"/>
  <c r="P181" i="17" l="1"/>
  <c r="E13" i="26" s="1"/>
  <c r="P79" i="17"/>
  <c r="O90" i="17"/>
  <c r="O228" i="17" s="1"/>
  <c r="S100" i="42"/>
  <c r="G36" i="26" s="1"/>
  <c r="T53" i="42"/>
  <c r="T100" i="42" s="1"/>
  <c r="H36" i="26" s="1"/>
  <c r="S119" i="42"/>
  <c r="T105" i="42"/>
  <c r="C19" i="26"/>
  <c r="C50" i="26" s="1"/>
  <c r="D51" i="26"/>
  <c r="G11" i="26"/>
  <c r="E17" i="26"/>
  <c r="AC22" i="44"/>
  <c r="AC158" i="44" s="1"/>
  <c r="AN22" i="44"/>
  <c r="AR13" i="44"/>
  <c r="AR22" i="44" s="1"/>
  <c r="AR126" i="44"/>
  <c r="AR155" i="44" s="1"/>
  <c r="AN155" i="44"/>
  <c r="T109" i="42"/>
  <c r="H42" i="26"/>
  <c r="AR44" i="44"/>
  <c r="AR48" i="44" s="1"/>
  <c r="AN48" i="44"/>
  <c r="Q157" i="17"/>
  <c r="Q181" i="17" s="1"/>
  <c r="E48" i="26"/>
  <c r="AR191" i="43"/>
  <c r="S154" i="42" l="1"/>
  <c r="P90" i="17"/>
  <c r="P228" i="17" s="1"/>
  <c r="Q79" i="17"/>
  <c r="T154" i="42"/>
  <c r="T119" i="42"/>
  <c r="F13" i="26"/>
  <c r="F17" i="26"/>
  <c r="AN158" i="44"/>
  <c r="AR158" i="44"/>
  <c r="E15" i="26"/>
  <c r="R157" i="17"/>
  <c r="R181" i="17" l="1"/>
  <c r="G13" i="26" s="1"/>
  <c r="R79" i="17"/>
  <c r="Q90" i="17"/>
  <c r="F9" i="26" s="1"/>
  <c r="E9" i="26"/>
  <c r="E19" i="26" s="1"/>
  <c r="E50" i="26" s="1"/>
  <c r="F15" i="26"/>
  <c r="G17" i="26"/>
  <c r="G34" i="26"/>
  <c r="S157" i="17"/>
  <c r="F34" i="26"/>
  <c r="Q228" i="17" l="1"/>
  <c r="S181" i="17"/>
  <c r="H13" i="26" s="1"/>
  <c r="R90" i="17"/>
  <c r="R228" i="17" s="1"/>
  <c r="S79" i="17"/>
  <c r="S90" i="17" s="1"/>
  <c r="H9" i="26" s="1"/>
  <c r="F19" i="26"/>
  <c r="E51" i="26"/>
  <c r="H17" i="26"/>
  <c r="F48" i="26"/>
  <c r="G48" i="26"/>
  <c r="G15" i="26"/>
  <c r="G9" i="26" l="1"/>
  <c r="H15" i="26"/>
  <c r="S228" i="17"/>
  <c r="G19" i="26"/>
  <c r="H34" i="26"/>
  <c r="H19" i="26" l="1"/>
  <c r="H48" i="26"/>
  <c r="P459" i="39"/>
  <c r="G22" i="26" l="1"/>
  <c r="G32" i="26" s="1"/>
  <c r="Q459" i="39"/>
  <c r="H50" i="26"/>
  <c r="F22" i="26"/>
  <c r="H51" i="26" l="1"/>
  <c r="G50" i="26"/>
  <c r="F32" i="26"/>
  <c r="G51" i="26" l="1"/>
  <c r="F50" i="26"/>
  <c r="F51" i="26" l="1"/>
</calcChain>
</file>

<file path=xl/comments1.xml><?xml version="1.0" encoding="utf-8"?>
<comments xmlns="http://schemas.openxmlformats.org/spreadsheetml/2006/main">
  <authors>
    <author>WCI Information Systems Department</author>
  </authors>
  <commentList>
    <comment ref="B46" authorId="0">
      <text>
        <r>
          <rPr>
            <b/>
            <sz val="8"/>
            <color indexed="81"/>
            <rFont val="Tahoma"/>
            <family val="2"/>
          </rPr>
          <t>WCI Information Systems Department:</t>
        </r>
        <r>
          <rPr>
            <sz val="8"/>
            <color indexed="81"/>
            <rFont val="Tahoma"/>
            <family val="2"/>
          </rPr>
          <t xml:space="preserve">
Changed from rate case - 66% of this value was here for the rate case.  Removed land from other schedules - thought is we will allocate portion to 2183 on Proforma, but 100% of value will reside here.</t>
        </r>
      </text>
    </comment>
  </commentList>
</comments>
</file>

<file path=xl/comments2.xml><?xml version="1.0" encoding="utf-8"?>
<comments xmlns="http://schemas.openxmlformats.org/spreadsheetml/2006/main">
  <authors>
    <author>PatrickSa</author>
    <author>WCI Information Systems Department</author>
    <author>Ben Thompson</author>
    <author>Chelsea Paschke</author>
    <author>HeatherL</author>
    <author>Lindsay Waldram</author>
    <author>heatherg</author>
  </authors>
  <commentList>
    <comment ref="B48" authorId="0">
      <text>
        <r>
          <rPr>
            <b/>
            <sz val="8"/>
            <color indexed="81"/>
            <rFont val="Tahoma"/>
            <family val="2"/>
          </rPr>
          <t>PatrickSa:</t>
        </r>
        <r>
          <rPr>
            <sz val="8"/>
            <color indexed="81"/>
            <rFont val="Tahoma"/>
            <family val="2"/>
          </rPr>
          <t xml:space="preserve">
parent asset # 61093
</t>
        </r>
      </text>
    </comment>
    <comment ref="C110" authorId="1">
      <text>
        <r>
          <rPr>
            <b/>
            <sz val="8"/>
            <color indexed="81"/>
            <rFont val="Tahoma"/>
            <family val="2"/>
          </rPr>
          <t>WCI Information Systems Department:</t>
        </r>
        <r>
          <rPr>
            <sz val="8"/>
            <color indexed="81"/>
            <rFont val="Tahoma"/>
            <family val="2"/>
          </rPr>
          <t xml:space="preserve">
I transferred this asset over from the 2180 schedule as this is the district the Master Truck Schedule said it belonged to.</t>
        </r>
      </text>
    </comment>
    <comment ref="D121" authorId="2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75 total purchased and 73 allocated to other trucks.</t>
        </r>
      </text>
    </comment>
    <comment ref="D122" authorId="2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75 total purchased and 73 allocated to other trucks.</t>
        </r>
      </text>
    </comment>
    <comment ref="I166" authorId="3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combination of 3 assets. Is this the proper life to use?
</t>
        </r>
      </text>
    </comment>
    <comment ref="L212" authorId="4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On 12/21 I added a $3,819.97 greaser to this truck.  I found it listed on the 2180 listing as I was building that listing.  HL</t>
        </r>
      </text>
    </comment>
    <comment ref="B266" authorId="5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Transferred?</t>
        </r>
      </text>
    </comment>
    <comment ref="C266" authorId="6">
      <text>
        <r>
          <rPr>
            <b/>
            <sz val="9"/>
            <color indexed="81"/>
            <rFont val="Tahoma"/>
            <family val="2"/>
          </rPr>
          <t>heatherg:</t>
        </r>
        <r>
          <rPr>
            <sz val="9"/>
            <color indexed="81"/>
            <rFont val="Tahoma"/>
            <family val="2"/>
          </rPr>
          <t xml:space="preserve">
Used to deliver containers to Elma container repair yard.</t>
        </r>
      </text>
    </comment>
    <comment ref="I266" authorId="3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reduced life from 5 to 3 and removed salvage value. Are we getting all of our depreciation for this asset?</t>
        </r>
      </text>
    </comment>
    <comment ref="C293" authorId="3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per district - "RO Trailer, given back to Murreys.  Was used for RO Recycle while we had it" </t>
        </r>
      </text>
    </comment>
  </commentList>
</comments>
</file>

<file path=xl/comments3.xml><?xml version="1.0" encoding="utf-8"?>
<comments xmlns="http://schemas.openxmlformats.org/spreadsheetml/2006/main">
  <authors>
    <author>Chelsea Paschke</author>
  </authors>
  <commentList>
    <comment ref="H260" author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we have this as 6 y 11 m in the FAR?
</t>
        </r>
      </text>
    </comment>
  </commentList>
</comments>
</file>

<file path=xl/comments4.xml><?xml version="1.0" encoding="utf-8"?>
<comments xmlns="http://schemas.openxmlformats.org/spreadsheetml/2006/main">
  <authors>
    <author>WCNX</author>
  </authors>
  <commentList>
    <comment ref="C134" author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Purchase of three (3) narrow band radio channels from Olympic Radio, LLC.  Last March, we entered into a 10 year agreement with Olympic Radio to lease 2 narrow band radio channels for all of our 2-way radio communication throughout South LeMay.  The new radios and channels have greatly improved communication throughout the districts.  Therefore, we negotiated an agreement to purchase the channels outright.
</t>
        </r>
      </text>
    </comment>
  </commentList>
</comments>
</file>

<file path=xl/comments5.xml><?xml version="1.0" encoding="utf-8"?>
<comments xmlns="http://schemas.openxmlformats.org/spreadsheetml/2006/main">
  <authors>
    <author>HeatherL</author>
    <author>PatrickSa</author>
    <author>heatherg</author>
    <author>WCI Information Systems Department</author>
    <author>Ben Thompson</author>
    <author>WCNX</author>
    <author>jenniferb</author>
    <author>Heather Garland</author>
  </authors>
  <commentList>
    <comment ref="N31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On 12/21 I added a $3,819.97 greaser to this truck.  I found it listed on the 2180 listing as I was building that listing.  HL</t>
        </r>
      </text>
    </comment>
    <comment ref="B60" authorId="1">
      <text>
        <r>
          <rPr>
            <b/>
            <sz val="8"/>
            <color indexed="81"/>
            <rFont val="Tahoma"/>
            <family val="2"/>
          </rPr>
          <t>PatrickSa:</t>
        </r>
        <r>
          <rPr>
            <sz val="8"/>
            <color indexed="81"/>
            <rFont val="Tahoma"/>
            <family val="2"/>
          </rPr>
          <t xml:space="preserve">
parent asset # 61093
</t>
        </r>
      </text>
    </comment>
    <comment ref="C69" authorId="2">
      <text>
        <r>
          <rPr>
            <b/>
            <sz val="9"/>
            <color indexed="81"/>
            <rFont val="Tahoma"/>
            <family val="2"/>
          </rPr>
          <t>heatherg:</t>
        </r>
        <r>
          <rPr>
            <sz val="9"/>
            <color indexed="81"/>
            <rFont val="Tahoma"/>
            <family val="2"/>
          </rPr>
          <t xml:space="preserve">
Used to deliver containers to Elma container repair yard.</t>
        </r>
      </text>
    </comment>
    <comment ref="C93" authorId="3">
      <text>
        <r>
          <rPr>
            <b/>
            <sz val="8"/>
            <color indexed="81"/>
            <rFont val="Tahoma"/>
            <family val="2"/>
          </rPr>
          <t>WCI Information Systems Department:</t>
        </r>
        <r>
          <rPr>
            <sz val="8"/>
            <color indexed="81"/>
            <rFont val="Tahoma"/>
            <family val="2"/>
          </rPr>
          <t xml:space="preserve">
I transferred this asset over from the 2180 schedule as this is the district the Master Truck Schedule said it belonged to.</t>
        </r>
      </text>
    </comment>
    <comment ref="D109" authorId="4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75 total purchased and 73 allocated to other trucks.</t>
        </r>
      </text>
    </comment>
    <comment ref="D110" authorId="4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75 total purchased and 73 allocated to other trucks.</t>
        </r>
      </text>
    </comment>
    <comment ref="C203" authorId="5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2186 5/2011.</t>
        </r>
      </text>
    </comment>
    <comment ref="C207" authorId="5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2188.</t>
        </r>
      </text>
    </comment>
    <comment ref="C208" authorId="5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2186.</t>
        </r>
      </text>
    </comment>
    <comment ref="C209" authorId="5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Tranasferred to 2184.
</t>
        </r>
      </text>
    </comment>
    <comment ref="C210" authorId="5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PA 2 years ago.</t>
        </r>
      </text>
    </comment>
    <comment ref="C211" authorId="5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2186.
</t>
        </r>
      </text>
    </comment>
    <comment ref="D214" authorId="1">
      <text>
        <r>
          <rPr>
            <b/>
            <sz val="8"/>
            <color indexed="81"/>
            <rFont val="Tahoma"/>
            <family val="2"/>
          </rPr>
          <t>PatrickSa:</t>
        </r>
        <r>
          <rPr>
            <sz val="8"/>
            <color indexed="81"/>
            <rFont val="Tahoma"/>
            <family val="2"/>
          </rPr>
          <t xml:space="preserve">
now disposed of</t>
        </r>
      </text>
    </comment>
    <comment ref="C245" authorId="2">
      <text>
        <r>
          <rPr>
            <b/>
            <sz val="9"/>
            <color indexed="81"/>
            <rFont val="Tahoma"/>
            <family val="2"/>
          </rPr>
          <t>heatherg:</t>
        </r>
        <r>
          <rPr>
            <sz val="9"/>
            <color indexed="81"/>
            <rFont val="Tahoma"/>
            <family val="2"/>
          </rPr>
          <t xml:space="preserve">
Retired Nov 2015 per Jim Roth.</t>
        </r>
      </text>
    </comment>
    <comment ref="C251" authorId="2">
      <text>
        <r>
          <rPr>
            <b/>
            <sz val="9"/>
            <color indexed="81"/>
            <rFont val="Tahoma"/>
            <family val="2"/>
          </rPr>
          <t>heatherg:</t>
        </r>
        <r>
          <rPr>
            <sz val="9"/>
            <color indexed="81"/>
            <rFont val="Tahoma"/>
            <family val="2"/>
          </rPr>
          <t xml:space="preserve">
Retired 11/2015 per Jim Roth.</t>
        </r>
      </text>
    </comment>
    <comment ref="B259" authorId="6">
      <text>
        <r>
          <rPr>
            <b/>
            <sz val="9"/>
            <color indexed="81"/>
            <rFont val="Tahoma"/>
            <family val="2"/>
          </rPr>
          <t>jenniferb:</t>
        </r>
        <r>
          <rPr>
            <sz val="9"/>
            <color indexed="81"/>
            <rFont val="Tahoma"/>
            <family val="2"/>
          </rPr>
          <t xml:space="preserve">
transfer to 2184</t>
        </r>
      </text>
    </comment>
    <comment ref="C277" authorId="7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Transferred to Gray's.</t>
        </r>
      </text>
    </comment>
  </commentList>
</comments>
</file>

<file path=xl/comments6.xml><?xml version="1.0" encoding="utf-8"?>
<comments xmlns="http://schemas.openxmlformats.org/spreadsheetml/2006/main">
  <authors>
    <author>WCNX</author>
  </authors>
  <commentList>
    <comment ref="C144" author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Purchase of three (3) narrow band radio channels from Olympic Radio, LLC.  Last March, we entered into a 10 year agreement with Olympic Radio to lease 2 narrow band radio channels for all of our 2-way radio communication throughout South LeMay.  The new radios and channels have greatly improved communication throughout the districts.  Therefore, we negotiated an agreement to purchase the channels outright.
</t>
        </r>
      </text>
    </comment>
    <comment ref="C176" author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2188.</t>
        </r>
      </text>
    </comment>
  </commentList>
</comments>
</file>

<file path=xl/sharedStrings.xml><?xml version="1.0" encoding="utf-8"?>
<sst xmlns="http://schemas.openxmlformats.org/spreadsheetml/2006/main" count="3421" uniqueCount="824">
  <si>
    <t>TRAVEL FOR 3553</t>
  </si>
  <si>
    <t>TRAVEL FOR 3556</t>
  </si>
  <si>
    <t>TOTAL SERVICE EQUIPMENT</t>
  </si>
  <si>
    <t>COMPUTER</t>
  </si>
  <si>
    <t>USE TAX ON COMPUTERS</t>
  </si>
  <si>
    <t>Trucks</t>
  </si>
  <si>
    <t>Investment</t>
  </si>
  <si>
    <t>20</t>
  </si>
  <si>
    <t>05</t>
  </si>
  <si>
    <t>10</t>
  </si>
  <si>
    <t>39</t>
  </si>
  <si>
    <t>07</t>
  </si>
  <si>
    <t>PAVING AT HOGUM BAY RD</t>
  </si>
  <si>
    <t>LID ASSESSMENT-HOGUM BAY RD</t>
  </si>
  <si>
    <t>TRANSITION PLATES FOR LOADING DOCKS</t>
  </si>
  <si>
    <t>FLOOR SYSTEM -- PACIFIC SHOP</t>
  </si>
  <si>
    <t>HOGUM BAY ROAD LAND IMPROVEMENTS</t>
  </si>
  <si>
    <t>PACIFIC OFFICE</t>
  </si>
  <si>
    <t>PACIFIC SHOP</t>
  </si>
  <si>
    <t>PACIFIC RECYCLE CENTER</t>
  </si>
  <si>
    <t>DIAGNOSTIC COMPUTER-PACIFIC</t>
  </si>
  <si>
    <t>Leasehold Improvements</t>
  </si>
  <si>
    <t>Residential Recycling</t>
  </si>
  <si>
    <t>5 YD F/L CATHEDRAL</t>
  </si>
  <si>
    <t>Land</t>
  </si>
  <si>
    <t xml:space="preserve">Beginning </t>
  </si>
  <si>
    <t>Depreciation Schedule</t>
  </si>
  <si>
    <t>Months in first year</t>
  </si>
  <si>
    <t>Months in second year</t>
  </si>
  <si>
    <t>A.</t>
  </si>
  <si>
    <t>Purchase date</t>
  </si>
  <si>
    <t>First year</t>
  </si>
  <si>
    <t>B.</t>
  </si>
  <si>
    <t>End of Test Period</t>
  </si>
  <si>
    <t>Second year</t>
  </si>
  <si>
    <t>C</t>
  </si>
  <si>
    <t>Date fully Depr</t>
  </si>
  <si>
    <t>D.</t>
  </si>
  <si>
    <t>Beg of Test Period</t>
  </si>
  <si>
    <t>E.</t>
  </si>
  <si>
    <t>Disposition Date</t>
  </si>
  <si>
    <t>Disposal</t>
  </si>
  <si>
    <t>Total</t>
  </si>
  <si>
    <t>Ending</t>
  </si>
  <si>
    <t>Allocated</t>
  </si>
  <si>
    <t xml:space="preserve"> </t>
  </si>
  <si>
    <t>Date in</t>
  </si>
  <si>
    <t>Salvage</t>
  </si>
  <si>
    <t>Year</t>
  </si>
  <si>
    <t>Asset</t>
  </si>
  <si>
    <t>Test</t>
  </si>
  <si>
    <t>%</t>
  </si>
  <si>
    <t>Accum</t>
  </si>
  <si>
    <t>Branch</t>
  </si>
  <si>
    <t>Accum.</t>
  </si>
  <si>
    <t>Average</t>
  </si>
  <si>
    <t>Building Structures</t>
  </si>
  <si>
    <t xml:space="preserve">Service </t>
  </si>
  <si>
    <t>Value</t>
  </si>
  <si>
    <t xml:space="preserve">Life </t>
  </si>
  <si>
    <t xml:space="preserve">Fully </t>
  </si>
  <si>
    <t xml:space="preserve"> Mo.</t>
  </si>
  <si>
    <t>Depr</t>
  </si>
  <si>
    <t xml:space="preserve">Monthly </t>
  </si>
  <si>
    <t>Depn</t>
  </si>
  <si>
    <t>Test yr.</t>
  </si>
  <si>
    <t>Allo.</t>
  </si>
  <si>
    <t>Test year</t>
  </si>
  <si>
    <t>Depr.</t>
  </si>
  <si>
    <t>B</t>
  </si>
  <si>
    <t>C.</t>
  </si>
  <si>
    <t>Codes</t>
  </si>
  <si>
    <t>No</t>
  </si>
  <si>
    <t>Asset Classification</t>
  </si>
  <si>
    <t>Mo</t>
  </si>
  <si>
    <t>M</t>
  </si>
  <si>
    <t>Years</t>
  </si>
  <si>
    <t>Depn.</t>
  </si>
  <si>
    <t>S/L</t>
  </si>
  <si>
    <t>TOTAL BUILDING STRUCTURES</t>
  </si>
  <si>
    <t>40YD F/L</t>
  </si>
  <si>
    <t>WORK ON #2504</t>
  </si>
  <si>
    <t>FLUP - 4033 - V02221293</t>
  </si>
  <si>
    <t>GRAND TOTAL</t>
  </si>
  <si>
    <t>GREASER SYSTEM FOR 1040</t>
  </si>
  <si>
    <t>Shop Equipment</t>
  </si>
  <si>
    <t>SPRINKLERS IN GREEN BLDG</t>
  </si>
  <si>
    <t>GREASER SYSTEM FOR 1041</t>
  </si>
  <si>
    <t>PACIFIC RADIO SYSTEM</t>
  </si>
  <si>
    <t>TRAVEL/STRIPING COSTS-3552</t>
  </si>
  <si>
    <t>TRAVEL COSTS-3552</t>
  </si>
  <si>
    <t>GREASE SYSTEM ON 2553</t>
  </si>
  <si>
    <t>27 CY LEACH CURBTENDER</t>
  </si>
  <si>
    <t>ASSESSED USE TAX ON CONST. BOX</t>
  </si>
  <si>
    <t>2 YD R/L W/PLASTIC</t>
  </si>
  <si>
    <t>1 YD R/L W/PLASTIC LID</t>
  </si>
  <si>
    <t>3 YD FL W/PLASTIC LIDS</t>
  </si>
  <si>
    <t>2 YD F/L W/PLASTIC LIDS</t>
  </si>
  <si>
    <t>1 YD R/L BINS</t>
  </si>
  <si>
    <t>-</t>
  </si>
  <si>
    <t>Method</t>
  </si>
  <si>
    <t>Accum Depr</t>
  </si>
  <si>
    <t>15</t>
  </si>
  <si>
    <t>MISC TOOLS</t>
  </si>
  <si>
    <t>POWER WASHER</t>
  </si>
  <si>
    <t>A/C MAINTENANCE TOOL</t>
  </si>
  <si>
    <t>AIR COMPRESSOR</t>
  </si>
  <si>
    <t>TOOLS FOR PACIFIC SHOP</t>
  </si>
  <si>
    <t>HEATER -- PACIFIC SHOP</t>
  </si>
  <si>
    <t>PAVING/LIGHTING -- PACIFIC PARKING</t>
  </si>
  <si>
    <t>FLOORING - PACIFIC SHOP</t>
  </si>
  <si>
    <t>LIGHTING BY TRUCK WASH</t>
  </si>
  <si>
    <t>LUBE SYSTEM</t>
  </si>
  <si>
    <t>BALER</t>
  </si>
  <si>
    <t>TOURQUE MULTIPLIER</t>
  </si>
  <si>
    <t>Equipment</t>
  </si>
  <si>
    <t>INSTALLATION ON TANKS</t>
  </si>
  <si>
    <t>CONTAINERS SORTLINE</t>
  </si>
  <si>
    <t>FIBERS SORTLINE</t>
  </si>
  <si>
    <t>REPLACE BELT ON PICKLINE</t>
  </si>
  <si>
    <t>PARTS WASHER</t>
  </si>
  <si>
    <t>RECYCLE PROCESSING EQUIPMENT</t>
  </si>
  <si>
    <t>SCALE</t>
  </si>
  <si>
    <t>TRUCK WASH</t>
  </si>
  <si>
    <t>REINSTALL OIL HEATERS</t>
  </si>
  <si>
    <t>FUEL TANK/STATION</t>
  </si>
  <si>
    <t>TRUCK LIFTS</t>
  </si>
  <si>
    <t>GARAGE DOOR OPENERS</t>
  </si>
  <si>
    <t>CONTAINER WASH</t>
  </si>
  <si>
    <t>DOOR OPENERS-SHOP</t>
  </si>
  <si>
    <t>PLASMA TORCH</t>
  </si>
  <si>
    <t>RAMPS</t>
  </si>
  <si>
    <t>ALARM SYSTEM -- PACIFIC SHOP</t>
  </si>
  <si>
    <t>1.5 YD R/L CONTAINERS</t>
  </si>
  <si>
    <t>1.5 YD F/L CONTAINERS</t>
  </si>
  <si>
    <t>PHONE SYSTEM UPGRADE</t>
  </si>
  <si>
    <t>PACIFIC PHONE SYSTEM UPGRADE</t>
  </si>
  <si>
    <t>5 YD</t>
  </si>
  <si>
    <t>Building</t>
  </si>
  <si>
    <t>65 GALLON GREEN CARTS</t>
  </si>
  <si>
    <t>4 YD F/L CONTAINERS</t>
  </si>
  <si>
    <t>95 GALLON BLUE YARD WASTE</t>
  </si>
  <si>
    <t>VIDEO CAMERA</t>
  </si>
  <si>
    <t>Truck</t>
  </si>
  <si>
    <t>35 GALLON GREEN CARTS</t>
  </si>
  <si>
    <t>ROLL OFF</t>
  </si>
  <si>
    <t>TOTAL ROLL OFF</t>
  </si>
  <si>
    <t>Garbage</t>
  </si>
  <si>
    <t>04 IHC 7400 W/ 20 YD PACKER</t>
  </si>
  <si>
    <t>07 INT'L W/20 YD METROPAK R/L</t>
  </si>
  <si>
    <t>07 INT'L W/METROPAK R/L BODY</t>
  </si>
  <si>
    <t>RL SP</t>
  </si>
  <si>
    <t>06 PETE 320 W/40 YD F/L PACKER</t>
  </si>
  <si>
    <t>07 AUTOCAR W/F/L PACKER</t>
  </si>
  <si>
    <t>96 MACK TRUCK</t>
  </si>
  <si>
    <t>SL SP</t>
  </si>
  <si>
    <t>00 PETERBILT 320</t>
  </si>
  <si>
    <t>Yard Waste</t>
  </si>
  <si>
    <t>01 WXR64 W/27CY CURTENDER</t>
  </si>
  <si>
    <t>05 PETE W/27CY CURBTENDER</t>
  </si>
  <si>
    <t>06 PETE W/27 CY CURBTENDER</t>
  </si>
  <si>
    <t>07 PETE W/27 CY CURBTENDER</t>
  </si>
  <si>
    <t>07 PETE W/27 CY CURBTENDER BODY</t>
  </si>
  <si>
    <t>02 INT'L 9200I 6X4 ROLLOFF</t>
  </si>
  <si>
    <t>04 STERLING W/ROLLOFF</t>
  </si>
  <si>
    <t>06 VOLVO W/DROP BOX MECHANISM</t>
  </si>
  <si>
    <t>06 VOLVO W/ROLLOFF UNIT</t>
  </si>
  <si>
    <t>07 VOLVO W/HELM DROP</t>
  </si>
  <si>
    <t>2000 PETERBILT</t>
  </si>
  <si>
    <t>2000 PETERBILT 320</t>
  </si>
  <si>
    <t>20 YD DROP BOX</t>
  </si>
  <si>
    <t>30 YD DROP BOX</t>
  </si>
  <si>
    <t>40 YD DROP BOX</t>
  </si>
  <si>
    <t>Cost</t>
  </si>
  <si>
    <t>2002 INT'L 9200I</t>
  </si>
  <si>
    <t>2 YD F/L W/ PLAST. LID &amp; CASTR</t>
  </si>
  <si>
    <t>50</t>
  </si>
  <si>
    <t>TOTAL LEASEHOLD IMPROVEMENTS</t>
  </si>
  <si>
    <t>5 YD CONTAINERS</t>
  </si>
  <si>
    <t>5 YD FRONT LOAD</t>
  </si>
  <si>
    <t>HOOKLIFT ON FORD #4510</t>
  </si>
  <si>
    <t>TRAVEL EXP. ON #4510</t>
  </si>
  <si>
    <t>HOOKLIFT #4511</t>
  </si>
  <si>
    <t>95 GALLON CARTS - BLUE</t>
  </si>
  <si>
    <t>SHARP AR-405 COPIER</t>
  </si>
  <si>
    <t>HP LASERJET 4200DTN (PACIFIC)</t>
  </si>
  <si>
    <t>20 GALLON CART INSERTS</t>
  </si>
  <si>
    <t>35 GALLON GREEN CONTAINERS</t>
  </si>
  <si>
    <t>Beginning</t>
  </si>
  <si>
    <t>Quantity</t>
  </si>
  <si>
    <t>1 YD R/L CONTAINER</t>
  </si>
  <si>
    <t>1.5 YD COMBO W/ LIDS</t>
  </si>
  <si>
    <t>SHOP HEATER</t>
  </si>
  <si>
    <t>1.5 YD FRONT LOAD</t>
  </si>
  <si>
    <t>1.5 YD HEIL</t>
  </si>
  <si>
    <t>1.5 YD R/L W/ LIDS &amp; CASTORS</t>
  </si>
  <si>
    <t>10 YD DROP BOXES</t>
  </si>
  <si>
    <t>10 YD DROP BOX</t>
  </si>
  <si>
    <t>2 YD COMBO CONTAINERS</t>
  </si>
  <si>
    <t>2 YD R/L CONTAINER</t>
  </si>
  <si>
    <t>2 YD R/L W/ LIDS</t>
  </si>
  <si>
    <t>2 YD R/L W/LIDS</t>
  </si>
  <si>
    <t>20 GALLON ROLL OUT CART INSERT</t>
  </si>
  <si>
    <t>PHONES FOR PACIFIC DISPOSAL</t>
  </si>
  <si>
    <t>DIGITAL TELEPHONE SYSTEM</t>
  </si>
  <si>
    <t>PMT. ON PHONE SYSTEM</t>
  </si>
  <si>
    <t>BALANCE PD ON PHONE SYSTEM</t>
  </si>
  <si>
    <t>PRINTER AND MONITOR</t>
  </si>
  <si>
    <t>HP LJ 8100DN 32PPM W/AUTO</t>
  </si>
  <si>
    <t>USE TAX ON HP PRINTER</t>
  </si>
  <si>
    <t>FURNITURE FOR NEW OFFICE</t>
  </si>
  <si>
    <t>FIXTURES FOR NEW OFFICE</t>
  </si>
  <si>
    <t>COMPUTERS FOR NEW OFFICE</t>
  </si>
  <si>
    <t>PHONE SYSTEM</t>
  </si>
  <si>
    <t>PACIFIC SHOP COMPUTER</t>
  </si>
  <si>
    <t>UNISOFT CUSTOM WORKSTATION</t>
  </si>
  <si>
    <t>COMPUTER - PAC OFFICE</t>
  </si>
  <si>
    <t>COMPUTER WORKSTATION</t>
  </si>
  <si>
    <t>LAPTOP FOR EDGE SEMINAR</t>
  </si>
  <si>
    <t>SHELVING IN SHOP</t>
  </si>
  <si>
    <t>CABINET WASHER</t>
  </si>
  <si>
    <t>3 YD F/L W/ LIDS</t>
  </si>
  <si>
    <t>3 YD F/L W/LIDS</t>
  </si>
  <si>
    <t>35 GALLON CARTS</t>
  </si>
  <si>
    <t>35 GALLON CARTS - FOREST GREEN</t>
  </si>
  <si>
    <t>35 GALLON CARTS - GREEN</t>
  </si>
  <si>
    <t>35 GALLON CARTS - GREY</t>
  </si>
  <si>
    <t>35 GALLON FOREST GREEN REFUSE CARTS</t>
  </si>
  <si>
    <t>4 YD CONTAINERS</t>
  </si>
  <si>
    <t>68 GALLON GREEN CARTS</t>
  </si>
  <si>
    <t>2 YD R/L CONTAINERS</t>
  </si>
  <si>
    <t>40 YD DROP BOX W/LID</t>
  </si>
  <si>
    <t>40 YD STATIONARY COMPATORS</t>
  </si>
  <si>
    <t>95 GALLON  BLUE CARTS</t>
  </si>
  <si>
    <t>95 GALLON  BLUE YW CARTS</t>
  </si>
  <si>
    <t>95 GALLON  GREEN CARTS</t>
  </si>
  <si>
    <t>95 GALLON  GREEN CARTS W/BEIGE RECYCLE LID</t>
  </si>
  <si>
    <t>95 GALLON  GREEN RECYCLE CARTS W/IML LID</t>
  </si>
  <si>
    <t>95 GALLON  THUR CO RECYCLE CARTS</t>
  </si>
  <si>
    <t>95 GALLON AQUA BLUE CARTS</t>
  </si>
  <si>
    <t>95 GALLON AQUA CARTS</t>
  </si>
  <si>
    <t>95 GALLON BLUE YW CARTS</t>
  </si>
  <si>
    <t>2YD FRONT LOAD</t>
  </si>
  <si>
    <t>2 YD FRONT LOAD</t>
  </si>
  <si>
    <t>6 YD FRONT  LOAD</t>
  </si>
  <si>
    <t>CONVENTIONS</t>
  </si>
  <si>
    <t xml:space="preserve">Calendar year test period: </t>
  </si>
  <si>
    <t>mos in first year</t>
  </si>
  <si>
    <t>mos in 2nd year</t>
  </si>
  <si>
    <t>Second Year</t>
  </si>
  <si>
    <t>GARBAGE</t>
  </si>
  <si>
    <t>Accumulated</t>
  </si>
  <si>
    <t>Depreciation</t>
  </si>
  <si>
    <t>Dispositions must be in test period</t>
  </si>
  <si>
    <t>Asset Description</t>
  </si>
  <si>
    <t>Computes with one month convention</t>
  </si>
  <si>
    <t>i.e. whole month depreciation no</t>
  </si>
  <si>
    <t>matter what day of month put on</t>
  </si>
  <si>
    <t>service.</t>
  </si>
  <si>
    <t>Asset put in service in first month of test</t>
  </si>
  <si>
    <t>3 YD F/L CONTAINERS</t>
  </si>
  <si>
    <t>95 GALLON BLUE CARTS</t>
  </si>
  <si>
    <t>95 GALLON GREEN CARTS</t>
  </si>
  <si>
    <t>2 YD F/L CONTAINERS</t>
  </si>
  <si>
    <t>LEASEHOLD IMPROVEMENTS</t>
  </si>
  <si>
    <t>SHOP &amp; GARAGE</t>
  </si>
  <si>
    <t>TOTAL SHOP &amp; GARAGE</t>
  </si>
  <si>
    <t>CONCRETE CAP SLABS</t>
  </si>
  <si>
    <t>Test Year</t>
  </si>
  <si>
    <t>Drop Boxes</t>
  </si>
  <si>
    <t xml:space="preserve">Yard Waste </t>
  </si>
  <si>
    <t>Total Trucks</t>
  </si>
  <si>
    <t>Containers:</t>
  </si>
  <si>
    <t>Total Cont, Carts,Totes</t>
  </si>
  <si>
    <t>Service Equipment</t>
  </si>
  <si>
    <t>Office Equipment</t>
  </si>
  <si>
    <t>Total Equipment</t>
  </si>
  <si>
    <t>TOTAL YARD WASTE</t>
  </si>
  <si>
    <t>SERVICE EQUIPMENT</t>
  </si>
  <si>
    <t>1 YD F/L CONTAINERS</t>
  </si>
  <si>
    <t>period receives a full year depreciation</t>
  </si>
  <si>
    <t>but 1/2 of net assets for average investment</t>
  </si>
  <si>
    <t>Date in service cannot be after end of test period</t>
  </si>
  <si>
    <t>RO</t>
  </si>
  <si>
    <t>SL</t>
  </si>
  <si>
    <t>RL</t>
  </si>
  <si>
    <t>FL</t>
  </si>
  <si>
    <t>Roll Off</t>
  </si>
  <si>
    <t>DEL</t>
  </si>
  <si>
    <t>GREASER FOR 4054</t>
  </si>
  <si>
    <t>REC SP</t>
  </si>
  <si>
    <t xml:space="preserve">REC   </t>
  </si>
  <si>
    <t>REC</t>
  </si>
  <si>
    <t>05 GMC PU</t>
  </si>
  <si>
    <t>TOTAL GARBAGE</t>
  </si>
  <si>
    <t>YARD WASTE</t>
  </si>
  <si>
    <t>FET ON CURBTENDER BODY</t>
  </si>
  <si>
    <t>1 YD F/L F/T W/PLASTIC LIDS</t>
  </si>
  <si>
    <t>2 YD R/L W/PLASTIC LIDS</t>
  </si>
  <si>
    <t>3 YD F/L W/ PLAS LIDS &amp; CAST.</t>
  </si>
  <si>
    <t>3 YD F/L W/PLAS LIDS &amp; CASTR</t>
  </si>
  <si>
    <t>LIGHTING RETROFIT -- PAC SHOP</t>
  </si>
  <si>
    <t>20 GALLON CONTAINERS</t>
  </si>
  <si>
    <t>1996 INT'L 4700</t>
  </si>
  <si>
    <t>FLAT BED TO CONVERT TO DELIVERY</t>
  </si>
  <si>
    <t>ALUMINUM RECYCLE BODY</t>
  </si>
  <si>
    <t>95 GALLON CARTS - GREEN</t>
  </si>
  <si>
    <t>95 GALLON CARTS - NAVY BLUE</t>
  </si>
  <si>
    <t>95 GALLON REFUSE CARTS</t>
  </si>
  <si>
    <t>RADIO SYSTEM</t>
  </si>
  <si>
    <t>HP LASERJET 8150 PRINTER</t>
  </si>
  <si>
    <t>DC</t>
  </si>
  <si>
    <t>RW</t>
  </si>
  <si>
    <t>CAPITAL REPAIR ON #5001</t>
  </si>
  <si>
    <t>1990 TYPE M CURB</t>
  </si>
  <si>
    <t>FLUP - TRUCK 5013</t>
  </si>
  <si>
    <t/>
  </si>
  <si>
    <t>FLUP - TRUCK 3556</t>
  </si>
  <si>
    <t>1989 TYPE H REAR REL</t>
  </si>
  <si>
    <t>FLUP - TRUCK 1208</t>
  </si>
  <si>
    <t>FLUP-TRUCK 3575</t>
  </si>
  <si>
    <t>2009 PETERBILT 320 TYPE: H  TSIDE</t>
  </si>
  <si>
    <t>2009 TYPE H TSIDE ASL - CHASSIS, BODY, AUTOGREASER</t>
  </si>
  <si>
    <t>CONVERT TO DELIVERY TRUCK</t>
  </si>
  <si>
    <t>DRIVE CAMS</t>
  </si>
  <si>
    <t>DRIVE CAMS (ONSITE TECHNICIANS)</t>
  </si>
  <si>
    <t>PACIFIC ROUTEWARE INSTALLATIONS</t>
  </si>
  <si>
    <t>FLUP - TRUCK 4510</t>
  </si>
  <si>
    <t>FLUP - TRUCK 4511</t>
  </si>
  <si>
    <t>FLUP - TRUCK 4025</t>
  </si>
  <si>
    <t>FLUP - TRUCK 4030</t>
  </si>
  <si>
    <t>FLUP - TRUCK 4033</t>
  </si>
  <si>
    <t>08 VOLVO W/HELM ROLLOFF</t>
  </si>
  <si>
    <t>01 INT'L 4700 4X2 W/OLD BED</t>
  </si>
  <si>
    <t>FLUP - TRUCK 5042</t>
  </si>
  <si>
    <t>FLUP-TRUCK 5043</t>
  </si>
  <si>
    <t>07 AUTOCAR W/ MCNEILUS F/L BODY</t>
  </si>
  <si>
    <t>1990 TYPE H REAR REL</t>
  </si>
  <si>
    <t>FLUP - TRUCK 1214</t>
  </si>
  <si>
    <t>FLUP-TRUCK 3558</t>
  </si>
  <si>
    <t>FLUP - TRUCK 3572</t>
  </si>
  <si>
    <t>2183 Container List</t>
  </si>
  <si>
    <t>2183 Trucks List</t>
  </si>
  <si>
    <t>2183 - Other Equipment</t>
  </si>
  <si>
    <t>OFFICE ADDITION</t>
  </si>
  <si>
    <t>1991 CHEVY P/U</t>
  </si>
  <si>
    <t>88 CHEVY P/U</t>
  </si>
  <si>
    <t>THURSTON CO. MISC IMPROVEMENTS</t>
  </si>
  <si>
    <t>COMPUTER FOR OFFICE</t>
  </si>
  <si>
    <t>GARAGE DOORS (PAC SHOP)</t>
  </si>
  <si>
    <t>Z WALL LIGHTING (PACIFIC)</t>
  </si>
  <si>
    <t>TIP WALL AND PAVING (PACIFIC)</t>
  </si>
  <si>
    <t>PARTS WASHER (PACIFIC)</t>
  </si>
  <si>
    <t>MILLERMATIC WELDER</t>
  </si>
  <si>
    <t>GENERATOR -- PACIFIC OFFICE</t>
  </si>
  <si>
    <t>25' PLASMA TORCH</t>
  </si>
  <si>
    <t>WELDER</t>
  </si>
  <si>
    <t>HARRIS SELCO BALER W/ CONVEYOR</t>
  </si>
  <si>
    <t>EQUIPMENT</t>
  </si>
  <si>
    <t>CAN FLATTENER</t>
  </si>
  <si>
    <t>(2) HEATERS &amp; TANK W/ STAND</t>
  </si>
  <si>
    <t>10 TON FLOOR JACK</t>
  </si>
  <si>
    <t>PAIR OF 220 EMERSON FLOOR JACKS ($1,740/EACH)</t>
  </si>
  <si>
    <t>SHOP JACKS</t>
  </si>
  <si>
    <t>FORD 8000 COE (SHOP TRUCK)</t>
  </si>
  <si>
    <t>BALANCE ON PHONE SYSTEM</t>
  </si>
  <si>
    <t>COMPUTER N357061493+</t>
  </si>
  <si>
    <t>PKBL MONITOR &amp; DESKJET</t>
  </si>
  <si>
    <t>CONVERS. PAC. (SOFTWARE)</t>
  </si>
  <si>
    <t>GREASE SYSTEM/STRIPING ON 3556</t>
  </si>
  <si>
    <t xml:space="preserve">FILTER INSTALLED BY REBUILDER </t>
  </si>
  <si>
    <t>VEHICLE REPAIR</t>
  </si>
  <si>
    <t>CAPITAL REPAIR - TRANSMISSION</t>
  </si>
  <si>
    <t>01 PB 320 W/LEACH 27 YD CURBTENDER</t>
  </si>
  <si>
    <t>06 INT'L W/ 20YD METRO-PAK RL</t>
  </si>
  <si>
    <t>06 INT'L W/METRO-PAK RL</t>
  </si>
  <si>
    <t>06 PB W/27 CY WAYNE CURBTENDER</t>
  </si>
  <si>
    <t>07 PB W/27 CY CURBTENDER S/L BODY</t>
  </si>
  <si>
    <t>2000 VOLVO W/CASCON POWERLIFT RO</t>
  </si>
  <si>
    <t>00 PB 320 W/27YD LEACH CURBTENDER</t>
  </si>
  <si>
    <t>03 PB 320 W/27 CY CURBTENDER</t>
  </si>
  <si>
    <t>07 PB W/ 27 F/L CURBTENDER</t>
  </si>
  <si>
    <t>Total other Equipment</t>
  </si>
  <si>
    <t>Pacific Disposal and Butlers Cove Refuse Service</t>
  </si>
  <si>
    <t>FAS #</t>
  </si>
  <si>
    <t>New 2010 Autocar ACX FEL</t>
  </si>
  <si>
    <t>RESIDENTIAL RECYCLE</t>
  </si>
  <si>
    <t>MULTI-FAMILY RECYCLE</t>
  </si>
  <si>
    <t>INSTALL ROUTEWARE 5000</t>
  </si>
  <si>
    <t>Perform Inframe on Trck 3552</t>
  </si>
  <si>
    <t>GARBAGE CONTAINERS</t>
  </si>
  <si>
    <t>2 YD PLASTIC</t>
  </si>
  <si>
    <t>3 YD PLASTIC</t>
  </si>
  <si>
    <t>TOTAL GARBAGE CARTS</t>
  </si>
  <si>
    <t>TOTAL DROP BOXES</t>
  </si>
  <si>
    <t>DROP BOXES</t>
  </si>
  <si>
    <t>CURBSIDE RECYCLING</t>
  </si>
  <si>
    <t>TOTAL CURBSIDE RECYCLING</t>
  </si>
  <si>
    <t>35 GAL REFUSE - GREEN</t>
  </si>
  <si>
    <t>95 GAL REFUSE - GREEN</t>
  </si>
  <si>
    <t>65 GAL REFUSE - GREEN</t>
  </si>
  <si>
    <t>95 GAL - YW - DARK BLUE</t>
  </si>
  <si>
    <t>95 GAL - RECYCLE - GREEN W/ TAN LID</t>
  </si>
  <si>
    <t>4 YD PLASTIC &amp; 40 DRN PLUGS</t>
  </si>
  <si>
    <t>GRAND TOTAL CONTAINERS</t>
  </si>
  <si>
    <t>TOTAL RESIDENTIAL RECYCLE</t>
  </si>
  <si>
    <t>TOTAL MULTI-FAMILY RECYCLE</t>
  </si>
  <si>
    <t>TOTAL GARBAGE CONTAINERS</t>
  </si>
  <si>
    <t>GARBAGE CARTS</t>
  </si>
  <si>
    <t>OFFICE EQUIPMENT</t>
  </si>
  <si>
    <t>TOTAL OFFICE EQUIPMENT</t>
  </si>
  <si>
    <t>Stormwater Improvement (Installation of Oil Water Separator)</t>
  </si>
  <si>
    <t>Professional  Services for Stormwater Improvement</t>
  </si>
  <si>
    <t>Run Circuits to New Office Furniture</t>
  </si>
  <si>
    <t>Office Renovation for Pacific Disposal</t>
  </si>
  <si>
    <t>Supply Permit &amp; Connect Office Equipment</t>
  </si>
  <si>
    <t>Cubical panel installation for Pacific Disposal</t>
  </si>
  <si>
    <t>(7) Winterms for Pacific Disposal</t>
  </si>
  <si>
    <t>Phone System Upgrade Pacific</t>
  </si>
  <si>
    <t>RW Mappoint 2010 Licenses</t>
  </si>
  <si>
    <t>Kohler Gas Welder</t>
  </si>
  <si>
    <t>1992 International Pumper Truck</t>
  </si>
  <si>
    <t>RM Site Licenses &amp; Users</t>
  </si>
  <si>
    <t>Garbage Containers</t>
  </si>
  <si>
    <t>Garbage Carts</t>
  </si>
  <si>
    <t>Recycling Carts</t>
  </si>
  <si>
    <t>2009 VOLVO VNM84T200 Type: H  DROP</t>
  </si>
  <si>
    <t>81014, 81012</t>
  </si>
  <si>
    <t>RM Site Licenses</t>
  </si>
  <si>
    <t>Depreciation Summary -2183</t>
  </si>
  <si>
    <t>Check</t>
  </si>
  <si>
    <t>RETIREMENTS/TRANSFERS 2011</t>
  </si>
  <si>
    <t>ITEMS BELOW WERE REMOVED DURING 2011 PER CLEAN UP DONE BY DISTRICT PERSONNEL</t>
  </si>
  <si>
    <t>FAR #</t>
  </si>
  <si>
    <t>1990 Pick-Up Truck (Utility) (U)</t>
  </si>
  <si>
    <t>Handheld Radios &amp; Repeater for Radios</t>
  </si>
  <si>
    <t>88725, 88721</t>
  </si>
  <si>
    <t>(32) Truck Radios</t>
  </si>
  <si>
    <t>(11) Truck Radios</t>
  </si>
  <si>
    <t>(18) Truck Radios</t>
  </si>
  <si>
    <t>(2) Truck Radios</t>
  </si>
  <si>
    <t>(3) Truck Radios</t>
  </si>
  <si>
    <t>2012 Peterbilt w/Wayne Body (N)</t>
  </si>
  <si>
    <t>Sony Internet TV</t>
  </si>
  <si>
    <t>91068, 92495, 92496</t>
  </si>
  <si>
    <t>Rebuild Engine #4511</t>
  </si>
  <si>
    <t>HP Probook 6460B &amp; Docking Stn</t>
  </si>
  <si>
    <t>RETIREMENTS/TRANSFERS 2012</t>
  </si>
  <si>
    <t>2011 Peterbilt w/ MeNeilus FEL (N)</t>
  </si>
  <si>
    <t>01 DODGE DAKOTA - Supervisor Truck</t>
  </si>
  <si>
    <t>06 DODGE DAKOTA - Shop Truck</t>
  </si>
  <si>
    <t>99 INTERNATIONAL TRUCK (Glass)</t>
  </si>
  <si>
    <t>ALUMINUM RECYCLING BODY (Glass)</t>
  </si>
  <si>
    <t>02 INT'L 4700 4X2 W/RECYCLE BODY (Glass)</t>
  </si>
  <si>
    <t>1992 NISSAN UD HOOK TRUCK</t>
  </si>
  <si>
    <t>2005 F150 EXTENDED CAB PICKUP (U) SUPERVISOR TRK</t>
  </si>
  <si>
    <t>NOT LICENSED IN 2012</t>
  </si>
  <si>
    <t>Rural Garbage Service &amp;</t>
  </si>
  <si>
    <t>1999 INTERNATIONAL TRUCK (Glass)</t>
  </si>
  <si>
    <t>HEIL 20YD BED</t>
  </si>
  <si>
    <t>TYRONE UNITS</t>
  </si>
  <si>
    <t>1996 VOLVO FE42</t>
  </si>
  <si>
    <t>SHOP WORK ON #1009</t>
  </si>
  <si>
    <t>ASL</t>
  </si>
  <si>
    <t>95877, 96158, 97258</t>
  </si>
  <si>
    <t>97273, 97274</t>
  </si>
  <si>
    <t>95 GAL - RECYCLE - FOREST GREEN</t>
  </si>
  <si>
    <t>20 GAL REFUSE - GREEN</t>
  </si>
  <si>
    <t>Replace R/O Body - TRUCK 4030</t>
  </si>
  <si>
    <t>96611, 96947, 96949</t>
  </si>
  <si>
    <t>Wash Rack System Replacement</t>
  </si>
  <si>
    <t>97550, 97551</t>
  </si>
  <si>
    <t>RM Licenses for LeMay Pacific</t>
  </si>
  <si>
    <t>Conference Room Furniture</t>
  </si>
  <si>
    <t>95 GALLON CARTS - BLUE (COMMERCIAL)</t>
  </si>
  <si>
    <t>20 GAL CARTS W/ LIDS - GREEN</t>
  </si>
  <si>
    <t>FEL</t>
  </si>
  <si>
    <t>2013 Peterbilt 320 w/ Wittke Starlight Body (N)</t>
  </si>
  <si>
    <t>Engine Repair - 1042</t>
  </si>
  <si>
    <t>97216, 102295</t>
  </si>
  <si>
    <t>RETIREMENTS/TRANSFERS 2013</t>
  </si>
  <si>
    <t>104090, 104091</t>
  </si>
  <si>
    <t>Model 5680 Floor Scrubber</t>
  </si>
  <si>
    <t>107452, 107453</t>
  </si>
  <si>
    <t>107129, 107130</t>
  </si>
  <si>
    <t>107428, 107429, 107430</t>
  </si>
  <si>
    <t>6 YD F/L CONTAINERS</t>
  </si>
  <si>
    <t>HP Compaq 6300 Pro</t>
  </si>
  <si>
    <t>Engine Replacement #3604</t>
  </si>
  <si>
    <t>109342, 109343</t>
  </si>
  <si>
    <t>Radio Frequency for Truck Radios</t>
  </si>
  <si>
    <t>Engine Replacement #3603</t>
  </si>
  <si>
    <t>2014 ASL Peterbilt/Wayne (N)</t>
  </si>
  <si>
    <t>2013 ASL Peterbilt/Wayne (N)</t>
  </si>
  <si>
    <t>2002 Dodge Pick-Up (Site Management) (N)</t>
  </si>
  <si>
    <t>Tarping System &amp; Installation #4046 (N)</t>
  </si>
  <si>
    <t>Tarping System &amp; Installation #4047 (N)</t>
  </si>
  <si>
    <t>Tarping System &amp; Installation #4061 (N)</t>
  </si>
  <si>
    <t>Tarping System &amp; Installatio #4068 (N)</t>
  </si>
  <si>
    <t>Tarping System &amp; Installation #4054 (N)</t>
  </si>
  <si>
    <t>111303, 111304</t>
  </si>
  <si>
    <t>2006 Ford F550 Service Truck (U)</t>
  </si>
  <si>
    <t>2014 Isuzu Service Truck</t>
  </si>
  <si>
    <t>Wyse Winterms D10D</t>
  </si>
  <si>
    <t>00 PETERBILT 320 W/LABRIE RECYCLER (N)</t>
  </si>
  <si>
    <t>111221, 111222</t>
  </si>
  <si>
    <t>Engine Replacement #245</t>
  </si>
  <si>
    <t>Transmission Replacement #245</t>
  </si>
  <si>
    <t>RETIREMENTS/TRANSFERS 2014</t>
  </si>
  <si>
    <t>Retired</t>
  </si>
  <si>
    <t>Transmission Repair - Trk #3552</t>
  </si>
  <si>
    <t>95 GAL - RECYCLE CART</t>
  </si>
  <si>
    <t>96 GAL - RECYCLE CART</t>
  </si>
  <si>
    <t>96 GAL REFUSE - GREEN</t>
  </si>
  <si>
    <t>64 GAL REFUSE - GREEN</t>
  </si>
  <si>
    <t>96 GAL - YW - DARK BLUE</t>
  </si>
  <si>
    <t>1.5 YD REL CONTAINERS</t>
  </si>
  <si>
    <t>2 YD REL CONTAINERS</t>
  </si>
  <si>
    <t>1 YD REL CONTAINERS</t>
  </si>
  <si>
    <t>Panasonic Toughbook 53/Diagnostic Link</t>
  </si>
  <si>
    <t>Trucks Diagnostic Reader</t>
  </si>
  <si>
    <t>3 YD REL CONTAINERS</t>
  </si>
  <si>
    <t>6 YD REL CONTAINERS</t>
  </si>
  <si>
    <t>4 YD REL CONTAINERS</t>
  </si>
  <si>
    <t>Miller Dimension 652 Carbon Arc Welder</t>
  </si>
  <si>
    <t>118138/118758</t>
  </si>
  <si>
    <t>RO Box Winches</t>
  </si>
  <si>
    <t>2015 ASL Peterbilt (N)</t>
  </si>
  <si>
    <t>REL</t>
  </si>
  <si>
    <t>2015 REL Peterbilt (N)</t>
  </si>
  <si>
    <t>RO-Spare</t>
  </si>
  <si>
    <t>Auto Tarper #4033</t>
  </si>
  <si>
    <t>Commercial Recycling</t>
  </si>
  <si>
    <t>1992 VOLVO FE42</t>
  </si>
  <si>
    <t>MOTOROLA RADIO</t>
  </si>
  <si>
    <t>VOLVO AUTO SHIFTER</t>
  </si>
  <si>
    <t>CART FLIPPER</t>
  </si>
  <si>
    <t>1995 NISSAN UD HOOK TRUCK</t>
  </si>
  <si>
    <t>'00 INT'L 4900 4X2 W/20 YD METRO-PAK</t>
  </si>
  <si>
    <t>'02 INT'L 4900 4X2 W/20 YD METROPAK</t>
  </si>
  <si>
    <t>2003 INTL 7400 20 Yd Rearload</t>
  </si>
  <si>
    <t>'04 INT'L 4300 SBA 4X2</t>
  </si>
  <si>
    <t>'05 AUTOCAR WX64 W/WITTKE BODY</t>
  </si>
  <si>
    <t>1997 TYPE H REL (U)</t>
  </si>
  <si>
    <t>Panel Van</t>
  </si>
  <si>
    <t>FLUP - TRUCK 1029</t>
  </si>
  <si>
    <t>FLUP - TRUCK 1559</t>
  </si>
  <si>
    <t>FLUP - TRUCK 2022</t>
  </si>
  <si>
    <t>(16) TRUCK RADIOS</t>
  </si>
  <si>
    <t>TOTAL COMMERCIAL RECYCLING</t>
  </si>
  <si>
    <t>GREASER UNIT FOR 4049</t>
  </si>
  <si>
    <t>06 VOLVO DROP TRUCK (50% Reg/50% Non-Reg)</t>
  </si>
  <si>
    <t>08 VOLVO W/HELM DROP (50% Reg/50% Non-Reg)</t>
  </si>
  <si>
    <t>Auto Tarper &amp; Installation #4062 (N)</t>
  </si>
  <si>
    <t>Auto Tarper &amp; Installation #4049 (N)</t>
  </si>
  <si>
    <t>Commercial Recycle</t>
  </si>
  <si>
    <t>2006 FORD F-150 SUPERVISOR TRK</t>
  </si>
  <si>
    <t>Sup Trk</t>
  </si>
  <si>
    <t>95 Gal Carts - Dark Blue</t>
  </si>
  <si>
    <t>65 Gal Carts - Forest Green</t>
  </si>
  <si>
    <t>95 Gal Carts - Forest Green</t>
  </si>
  <si>
    <t>2 YD RECYCLE CONTAINER</t>
  </si>
  <si>
    <t>5 YD F/L CONTAINERS</t>
  </si>
  <si>
    <t>30 YD DB LIDS</t>
  </si>
  <si>
    <t>99 INT'L 4700 VAN DELIVERY TRUCK</t>
  </si>
  <si>
    <t>123663/123665</t>
  </si>
  <si>
    <t>123659/123660</t>
  </si>
  <si>
    <t>3 YD FEL CONTAINERS</t>
  </si>
  <si>
    <t>6 YD FEL CONTAINERS</t>
  </si>
  <si>
    <t>122783/122791</t>
  </si>
  <si>
    <t>2006 Transcraft Delivery Trailer with Forklift (U)</t>
  </si>
  <si>
    <t>Body, Floor, Packer Repair #3603</t>
  </si>
  <si>
    <t>Transmission Repair #4061</t>
  </si>
  <si>
    <t>HP 640 Laptop &amp; Docking Station</t>
  </si>
  <si>
    <t>HP 650 Laptop &amp; Docking Station</t>
  </si>
  <si>
    <t>(4) HP ProDesk 600G1</t>
  </si>
  <si>
    <t>Winterm Upgrades (17)</t>
  </si>
  <si>
    <t>New HP 650 Laptop &amp; Docking Station - Controller</t>
  </si>
  <si>
    <t>125758/126400</t>
  </si>
  <si>
    <t>Landa Pressure Washer</t>
  </si>
  <si>
    <t>Parking Lot Paving</t>
  </si>
  <si>
    <t>RETIREMENTS/TRANSFERS 2015</t>
  </si>
  <si>
    <t>5 YD FEL CONTAINERS</t>
  </si>
  <si>
    <t>JLG 1932RS Scissor Lift- Forklift</t>
  </si>
  <si>
    <t xml:space="preserve">2016 REL Peterbilt </t>
  </si>
  <si>
    <t xml:space="preserve">2016 ASL </t>
  </si>
  <si>
    <t>HP SB Probook 650 G1</t>
  </si>
  <si>
    <t>35 GAL REFUSE</t>
  </si>
  <si>
    <t>96 GAL REFUSE</t>
  </si>
  <si>
    <t>(46) Samsung Tablets</t>
  </si>
  <si>
    <t>(14) Samsung Tablets</t>
  </si>
  <si>
    <t>(3) Samsung Tablets</t>
  </si>
  <si>
    <t>(10) Samsung Tablets</t>
  </si>
  <si>
    <t>(2) Samsung Tablets</t>
  </si>
  <si>
    <t>132279/139785/139930</t>
  </si>
  <si>
    <t>HP SB PROBOOK 650</t>
  </si>
  <si>
    <t>96 GAL YW CARTS</t>
  </si>
  <si>
    <t>64 GAL REFUSE</t>
  </si>
  <si>
    <t>2017 RO Truck</t>
  </si>
  <si>
    <t>2017 Recycle Truck</t>
  </si>
  <si>
    <t>170001/170262</t>
  </si>
  <si>
    <t>2017 Recycle Truck &amp; License</t>
  </si>
  <si>
    <t>169999/170263</t>
  </si>
  <si>
    <t>2017 FEL Truck</t>
  </si>
  <si>
    <t>2016 Ford F150 &amp; Registration</t>
  </si>
  <si>
    <t>167233/169241</t>
  </si>
  <si>
    <t>(4) Truck lifts and forklift adapter</t>
  </si>
  <si>
    <t>Shop Lighting</t>
  </si>
  <si>
    <t>2 YD CONTAINERS</t>
  </si>
  <si>
    <t>RETIREMENTS/TRANSFERS 2016</t>
  </si>
  <si>
    <t>RETIREMENTS/TRANSFERS 2017</t>
  </si>
  <si>
    <t>30 YD Lidded RO Boxes</t>
  </si>
  <si>
    <t>6 Yd Containers</t>
  </si>
  <si>
    <t>4 Yd Containers</t>
  </si>
  <si>
    <t>1 Yd Containers</t>
  </si>
  <si>
    <t>96 Gallon Yardwaste Carts</t>
  </si>
  <si>
    <t>35 Gallon Refuse Carts</t>
  </si>
  <si>
    <t>96 Gallon Refuse Carts</t>
  </si>
  <si>
    <t>40 yd lidded RO Boxes</t>
  </si>
  <si>
    <t>96 Gal Recycle Carts</t>
  </si>
  <si>
    <t>64 Gal MSW Carts</t>
  </si>
  <si>
    <t>64 Gallon MSW Carts and Lids</t>
  </si>
  <si>
    <t>35 Gallon Garbage</t>
  </si>
  <si>
    <t>96 Gallon Recycle Carts</t>
  </si>
  <si>
    <t>1.5 Yd Container</t>
  </si>
  <si>
    <t>20 gal Garbage Carts</t>
  </si>
  <si>
    <t>6 Yd FEL Containers</t>
  </si>
  <si>
    <t>1.5 Yd Rear Load Containers</t>
  </si>
  <si>
    <t>1 Yd Rear Load Containers</t>
  </si>
  <si>
    <t>30yd RO Boxes/ RO Metal Cont., 30 yd</t>
  </si>
  <si>
    <t>186157, 61096</t>
  </si>
  <si>
    <t>186158, 61097</t>
  </si>
  <si>
    <t>Hoist RO Body</t>
  </si>
  <si>
    <t>(5) Truck Tablets</t>
  </si>
  <si>
    <t>Salvage Value Calculations</t>
  </si>
  <si>
    <t>Adjustment to</t>
  </si>
  <si>
    <t>Amort of</t>
  </si>
  <si>
    <t>Total Depreciation</t>
  </si>
  <si>
    <t>Avg. Investment</t>
  </si>
  <si>
    <t>Adjusted Avg.</t>
  </si>
  <si>
    <t>Salvage Value</t>
  </si>
  <si>
    <t>For Test Period</t>
  </si>
  <si>
    <t>Fully Depr Assets</t>
  </si>
  <si>
    <t>Assets w/ Depr Life</t>
  </si>
  <si>
    <t>Fully Depreciated in 2016</t>
  </si>
  <si>
    <t>Fully Depreciated in 2017</t>
  </si>
  <si>
    <t>Potential Excluded Depreciation</t>
  </si>
  <si>
    <t>HP ProBook 650 G2</t>
  </si>
  <si>
    <t xml:space="preserve">Annual </t>
  </si>
  <si>
    <t>Truck #5001  Amort of salvage</t>
  </si>
  <si>
    <t>Truck #4510 Amort of salvage</t>
  </si>
  <si>
    <t>Truck #4511 Amort of salvage</t>
  </si>
  <si>
    <t>Truck #3561 Amort of salvage</t>
  </si>
  <si>
    <t>Truck #1040 Amort of salvage</t>
  </si>
  <si>
    <t>Truck #3575 Amort of salvage</t>
  </si>
  <si>
    <t>Truck #5001 Amort of salvage</t>
  </si>
  <si>
    <t>Truck #3586 Amort of salvage</t>
  </si>
  <si>
    <t>Truck #3590 Amort of salvage</t>
  </si>
  <si>
    <t>Truck #3591 Amort of salvage</t>
  </si>
  <si>
    <t>Truck #3593 Amort of salvage</t>
  </si>
  <si>
    <t>Truck #11088 Amort of salvage</t>
  </si>
  <si>
    <t>Truck #3603 Amort of salvage</t>
  </si>
  <si>
    <t>Truck #1054 Amort of salvage</t>
  </si>
  <si>
    <t>Truck #1067 Amort of salvage</t>
  </si>
  <si>
    <t>Truck #1062 Amort of salvage</t>
  </si>
  <si>
    <t>Truck #3606 Amort of salvage</t>
  </si>
  <si>
    <t>Truck #3622 Amort of salvage</t>
  </si>
  <si>
    <t>Truck #5012 Amort of salvage</t>
  </si>
  <si>
    <t>Truck #3621 Amort of salvage</t>
  </si>
  <si>
    <t>Truck #67258 Amort of salvage</t>
  </si>
  <si>
    <t>Truck #68611 Amort of salvage</t>
  </si>
  <si>
    <t>Truck #2035 Amort of salvage</t>
  </si>
  <si>
    <t>Truck #3629 Amort of salvage</t>
  </si>
  <si>
    <t>Truck #2036 Amort of salvage</t>
  </si>
  <si>
    <t>Truck #4025 Amort of salvage</t>
  </si>
  <si>
    <t>Truck #4030 Amort of salvage</t>
  </si>
  <si>
    <t>Truck #4033 Amort of salvage</t>
  </si>
  <si>
    <t>Truck #4046 Amort of salvage</t>
  </si>
  <si>
    <t>Truck #4047 Amort of salvage</t>
  </si>
  <si>
    <t>Truck #4049 Amort of salvage</t>
  </si>
  <si>
    <t>Truck #4054 Amort of salvage</t>
  </si>
  <si>
    <t>Truck #4061 Amort of salvage</t>
  </si>
  <si>
    <t>Truck #4062 Amort of salvage</t>
  </si>
  <si>
    <t>Truck #4068 Amort of salvage</t>
  </si>
  <si>
    <t>Truck #5036 Amort of salvage</t>
  </si>
  <si>
    <t>Truck #5035 Amort of salvage</t>
  </si>
  <si>
    <t>Truck #5041 Amort of salvage</t>
  </si>
  <si>
    <t>Truck #5042 Amort of salvage</t>
  </si>
  <si>
    <t>Truck #5043 Amort of salvage</t>
  </si>
  <si>
    <t>Truck #5045 Amort of salvage</t>
  </si>
  <si>
    <t>Truck #3598 Amort of salvage</t>
  </si>
  <si>
    <t>Truck #3599 Amort of salvage</t>
  </si>
  <si>
    <t>Truck #3600 Amort of salvage</t>
  </si>
  <si>
    <t>Truck #3601 Amort of salvage</t>
  </si>
  <si>
    <t>Truck #3602 Amort of salvage</t>
  </si>
  <si>
    <t>Truck #3604 Amort of salvage</t>
  </si>
  <si>
    <t>Truck #3615 Amort of salvage</t>
  </si>
  <si>
    <t>Truck #68612 Amort of salvage</t>
  </si>
  <si>
    <t>Truck #3558 Amort of salvage</t>
  </si>
  <si>
    <t>Truck #3572 Amort of salvage</t>
  </si>
  <si>
    <t>Truck #3605 Amort of salvage</t>
  </si>
  <si>
    <t>Truck #4512 Amort of salvage</t>
  </si>
  <si>
    <t>Truck #4518 Amort of salvage</t>
  </si>
  <si>
    <t>Truck #2022 Amort of salvage</t>
  </si>
  <si>
    <t>Truck #9243 Amort of salvage</t>
  </si>
  <si>
    <t>Truck #9206 Amort of salvage</t>
  </si>
  <si>
    <t>Truck #6020 Amort of salvage</t>
  </si>
  <si>
    <t>Truck #6029 Amort of salvage</t>
  </si>
  <si>
    <t>Truck #6050 Amort of salvage</t>
  </si>
  <si>
    <t>International Pumper Truck Amort of salvage</t>
  </si>
  <si>
    <t>Truck #6047 Amort of salvage</t>
  </si>
  <si>
    <t>Routeware Amort of salvage</t>
  </si>
  <si>
    <t>Decals for New Truck Labrie</t>
  </si>
  <si>
    <t>191852/191688</t>
  </si>
  <si>
    <t>2018 ASL Truck Peterbilt Automated Sideload</t>
  </si>
  <si>
    <t>191687/114283</t>
  </si>
  <si>
    <t>Body for Truck</t>
  </si>
  <si>
    <t>2018 Hooklift Truck Stellar Retriever Truck</t>
  </si>
  <si>
    <t>2018 CD Truck</t>
  </si>
  <si>
    <t>65 Gallon Refuse Carts</t>
  </si>
  <si>
    <t>2018 ASL Truck Labrie</t>
  </si>
  <si>
    <t>96G Recycle Containers</t>
  </si>
  <si>
    <t>30 Yd RO Boxes</t>
  </si>
  <si>
    <t>2Yd RL Metal  Containers</t>
  </si>
  <si>
    <t>New ASL Pete 320 RHD/Labrie Automizer 29YD (UTC)</t>
  </si>
  <si>
    <t>New Pete 320 Chassis / Wittke Starlight FEL Truck</t>
  </si>
  <si>
    <t>New REL Pete 220/New Way Cobra 16yd</t>
  </si>
  <si>
    <t>New Glass Truck Pete 320/Kann Recy Body (UTC)</t>
  </si>
  <si>
    <t>194075/194074</t>
  </si>
  <si>
    <t>196852/194074</t>
  </si>
  <si>
    <t>LK Added</t>
  </si>
  <si>
    <t>Decals</t>
  </si>
  <si>
    <t>200622/199117</t>
  </si>
  <si>
    <t>Mobile Radio</t>
  </si>
  <si>
    <t>203437/202090</t>
  </si>
  <si>
    <t>Overweight  Permit for Truck 3672</t>
  </si>
  <si>
    <t>New Supervisor pickup Ford F150</t>
  </si>
  <si>
    <t>35 Gallon Refuse Containers</t>
  </si>
  <si>
    <t>96 Gallon Refuse Containers</t>
  </si>
  <si>
    <t>64 Gallon Refuse Container</t>
  </si>
  <si>
    <t>65 Gallon Refuse Containers</t>
  </si>
  <si>
    <t>96 Gallon Refuse Container</t>
  </si>
  <si>
    <t>Year/Mo</t>
  </si>
  <si>
    <t>Fully Depr</t>
  </si>
  <si>
    <t>Effective Rate Month</t>
  </si>
  <si>
    <t>First Year</t>
  </si>
  <si>
    <t>Rate Effective Year</t>
  </si>
  <si>
    <t>Annual</t>
  </si>
  <si>
    <t>BUILDING STRUCTURES</t>
  </si>
  <si>
    <t>Fully Der</t>
  </si>
  <si>
    <t>2019 RO Truck</t>
  </si>
  <si>
    <t>30 YD Containers</t>
  </si>
  <si>
    <t>206416/204247</t>
  </si>
  <si>
    <t>25 Yd Containers</t>
  </si>
  <si>
    <t>RETIREMENTS/TRANSFERS 2018</t>
  </si>
  <si>
    <t>3 Axle Trailer w/ 24 R/O Boom Muonthed</t>
  </si>
  <si>
    <t>4 Yd Metal Containers</t>
  </si>
  <si>
    <t>3 Yd Metal Containers</t>
  </si>
  <si>
    <t>1 Yd Metal Containers</t>
  </si>
  <si>
    <t>6 Yd Metal Containers</t>
  </si>
  <si>
    <t>2 Yd Metal Containers</t>
  </si>
  <si>
    <t>2019 FEL Truck</t>
  </si>
  <si>
    <t>202167/203776</t>
  </si>
  <si>
    <t>202091/203775</t>
  </si>
  <si>
    <t>202090/203774</t>
  </si>
  <si>
    <t>Drive Cam &amp; Mobil Radio</t>
  </si>
  <si>
    <t>204944/203765/202090</t>
  </si>
  <si>
    <t>2019 ASL Truck</t>
  </si>
  <si>
    <t>205327/ 2016195</t>
  </si>
  <si>
    <t>205637/ 204943/ 205327</t>
  </si>
  <si>
    <t>Mobile Radio &amp; Drive Cam</t>
  </si>
  <si>
    <t>203829/ 204847/ 204842</t>
  </si>
  <si>
    <t>205641/ 204942/ 203829</t>
  </si>
  <si>
    <t>202838/ 204846/ 204845/ 204844</t>
  </si>
  <si>
    <t>202838/ 205638/ 204940</t>
  </si>
  <si>
    <t>204939/ 203764/ 202091</t>
  </si>
  <si>
    <t>195950/ 197581/ 197580/ 197493</t>
  </si>
  <si>
    <t>196996/ 197437/ 195950</t>
  </si>
  <si>
    <t>Radio &amp; Drive Cam</t>
  </si>
  <si>
    <t>199117/ 200989/ 199421</t>
  </si>
  <si>
    <t>203124/ 204843/ 204841</t>
  </si>
  <si>
    <t>203124/205640/ 204520</t>
  </si>
  <si>
    <t>202839/ 204840/ 204839</t>
  </si>
  <si>
    <t>202839/205642/ 204522</t>
  </si>
  <si>
    <t>202167/206320/ 204521</t>
  </si>
  <si>
    <t>Radio &amp; Drivecam</t>
  </si>
  <si>
    <t>20 YD Containers</t>
  </si>
  <si>
    <t>19.5 Yd Containers</t>
  </si>
  <si>
    <t>15 Yd Containers</t>
  </si>
  <si>
    <t>10 Yd Containers</t>
  </si>
  <si>
    <t>10 Yd Hook Lift Container</t>
  </si>
  <si>
    <t>2 Yd Containers</t>
  </si>
  <si>
    <t>203760/ 204911</t>
  </si>
  <si>
    <t>Drive Cam</t>
  </si>
  <si>
    <t>Resi Recycle</t>
  </si>
  <si>
    <t>Roll off</t>
  </si>
  <si>
    <t>Amort Salvage Value of 18-19 Retired Trucks</t>
  </si>
  <si>
    <t>1999 Type H Van Box</t>
  </si>
  <si>
    <t>12 ft Storage Units</t>
  </si>
  <si>
    <t>22 ft Storage Units</t>
  </si>
  <si>
    <t>210490/61085</t>
  </si>
  <si>
    <t>Capital Repair Truck 1041 in Frame Rebuild</t>
  </si>
  <si>
    <t>HP ProBook 650 G4 Training Laptop</t>
  </si>
  <si>
    <t>Shop Diagnostic Laptop w/ Software</t>
  </si>
  <si>
    <t>35 Gallons Refuse Containers</t>
  </si>
  <si>
    <t>96 Gallon Yardwaste Containers</t>
  </si>
  <si>
    <t>96 Gallon Recycle Containers</t>
  </si>
  <si>
    <t>PROFORMA 2019</t>
  </si>
  <si>
    <t>New ASL Truck</t>
  </si>
  <si>
    <t>New Roll Off Truck</t>
  </si>
  <si>
    <t>New FEL Truck</t>
  </si>
  <si>
    <t>2019 Proforma</t>
  </si>
  <si>
    <t>2019 PROFORMA</t>
  </si>
  <si>
    <t>MRF Building</t>
  </si>
  <si>
    <t>MRF BUILDING</t>
  </si>
  <si>
    <t>TOTAL MRF BUILDING</t>
  </si>
  <si>
    <t>Comm Recycle</t>
  </si>
  <si>
    <t>PROFORMA 2019: 214016</t>
  </si>
  <si>
    <t>PROFORMA 2019: 214065</t>
  </si>
  <si>
    <t>PROFORMA 2019: 213901</t>
  </si>
  <si>
    <t>64 Gallon Refus Carts</t>
  </si>
  <si>
    <t>35 Gal Garbage Carts</t>
  </si>
  <si>
    <t>30 YD &amp; 40 Yd Containers</t>
  </si>
  <si>
    <t>(2 Yd, 5 Yd, 6 Yd metal containers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</si>
</sst>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_-* #,##0.00_-;\-* #,##0.00_-;_-* &quot;-&quot;??_-;_-@_-"/>
    <numFmt numFmtId="166" formatCode="_([$€-2]* #,##0.00_);_([$€-2]* \(#,##0.00\);_([$€-2]* &quot;-&quot;??_)"/>
    <numFmt numFmtId="167" formatCode="0.0"/>
    <numFmt numFmtId="168" formatCode="_(* #,##0_);_(* \(#,##0\);_(* &quot;-&quot;??_);_(@_)"/>
  </numFmts>
  <fonts count="8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name val="Times New Roman"/>
      <family val="1"/>
    </font>
    <font>
      <sz val="10"/>
      <color indexed="8"/>
      <name val="Arial"/>
      <family val="2"/>
    </font>
    <font>
      <u/>
      <sz val="7.5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1"/>
      <name val="Calibri"/>
      <family val="2"/>
    </font>
    <font>
      <sz val="12"/>
      <name val="CG Omega"/>
    </font>
    <font>
      <sz val="10"/>
      <name val="MS Sans Serif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0"/>
      <color indexed="12"/>
      <name val="Arial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2"/>
      <name val="Times New Roman"/>
      <family val="1"/>
    </font>
    <font>
      <b/>
      <sz val="10"/>
      <color indexed="10"/>
      <name val="Arial"/>
      <family val="2"/>
    </font>
    <font>
      <b/>
      <sz val="11"/>
      <color indexed="18"/>
      <name val="Britannic Bold"/>
      <family val="2"/>
    </font>
    <font>
      <sz val="11"/>
      <name val="Bookman Old Style"/>
      <family val="1"/>
    </font>
    <font>
      <u/>
      <sz val="10"/>
      <name val="Arial"/>
      <family val="2"/>
    </font>
    <font>
      <u/>
      <sz val="11"/>
      <color indexed="12"/>
      <name val="Arial"/>
      <family val="2"/>
    </font>
    <font>
      <b/>
      <sz val="14"/>
      <name val="Helv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entury Gothic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u/>
      <sz val="1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213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59" fillId="36" borderId="0" applyNumberFormat="0" applyBorder="0" applyAlignment="0" applyProtection="0"/>
    <xf numFmtId="0" fontId="11" fillId="3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59" fillId="37" borderId="0" applyNumberFormat="0" applyBorder="0" applyAlignment="0" applyProtection="0"/>
    <xf numFmtId="0" fontId="59" fillId="5" borderId="0" applyNumberFormat="0" applyBorder="0" applyAlignment="0" applyProtection="0"/>
    <xf numFmtId="0" fontId="59" fillId="3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5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59" fillId="38" borderId="0" applyNumberFormat="0" applyBorder="0" applyAlignment="0" applyProtection="0"/>
    <xf numFmtId="0" fontId="59" fillId="9" borderId="0" applyNumberFormat="0" applyBorder="0" applyAlignment="0" applyProtection="0"/>
    <xf numFmtId="0" fontId="59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59" fillId="39" borderId="0" applyNumberFormat="0" applyBorder="0" applyAlignment="0" applyProtection="0"/>
    <xf numFmtId="0" fontId="11" fillId="5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11" fillId="10" borderId="0" applyNumberFormat="0" applyBorder="0" applyAlignment="0" applyProtection="0"/>
    <xf numFmtId="0" fontId="59" fillId="40" borderId="0" applyNumberFormat="0" applyBorder="0" applyAlignment="0" applyProtection="0"/>
    <xf numFmtId="0" fontId="11" fillId="11" borderId="0" applyNumberFormat="0" applyBorder="0" applyAlignment="0" applyProtection="0"/>
    <xf numFmtId="0" fontId="59" fillId="40" borderId="0" applyNumberFormat="0" applyBorder="0" applyAlignment="0" applyProtection="0"/>
    <xf numFmtId="0" fontId="11" fillId="11" borderId="0" applyNumberFormat="0" applyBorder="0" applyAlignment="0" applyProtection="0"/>
    <xf numFmtId="0" fontId="59" fillId="40" borderId="0" applyNumberFormat="0" applyBorder="0" applyAlignment="0" applyProtection="0"/>
    <xf numFmtId="0" fontId="11" fillId="11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11" fillId="3" borderId="0" applyNumberFormat="0" applyBorder="0" applyAlignment="0" applyProtection="0"/>
    <xf numFmtId="0" fontId="59" fillId="43" borderId="0" applyNumberFormat="0" applyBorder="0" applyAlignment="0" applyProtection="0"/>
    <xf numFmtId="0" fontId="11" fillId="7" borderId="0" applyNumberFormat="0" applyBorder="0" applyAlignment="0" applyProtection="0"/>
    <xf numFmtId="0" fontId="59" fillId="43" borderId="0" applyNumberFormat="0" applyBorder="0" applyAlignment="0" applyProtection="0"/>
    <xf numFmtId="0" fontId="11" fillId="7" borderId="0" applyNumberFormat="0" applyBorder="0" applyAlignment="0" applyProtection="0"/>
    <xf numFmtId="0" fontId="59" fillId="43" borderId="0" applyNumberFormat="0" applyBorder="0" applyAlignment="0" applyProtection="0"/>
    <xf numFmtId="0" fontId="11" fillId="7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59" fillId="44" borderId="0" applyNumberFormat="0" applyBorder="0" applyAlignment="0" applyProtection="0"/>
    <xf numFmtId="0" fontId="59" fillId="9" borderId="0" applyNumberFormat="0" applyBorder="0" applyAlignment="0" applyProtection="0"/>
    <xf numFmtId="0" fontId="59" fillId="44" borderId="0" applyNumberFormat="0" applyBorder="0" applyAlignment="0" applyProtection="0"/>
    <xf numFmtId="0" fontId="11" fillId="12" borderId="0" applyNumberFormat="0" applyBorder="0" applyAlignment="0" applyProtection="0"/>
    <xf numFmtId="0" fontId="59" fillId="4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11" fillId="10" borderId="0" applyNumberFormat="0" applyBorder="0" applyAlignment="0" applyProtection="0"/>
    <xf numFmtId="0" fontId="59" fillId="46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11" fillId="14" borderId="0" applyNumberFormat="0" applyBorder="0" applyAlignment="0" applyProtection="0"/>
    <xf numFmtId="0" fontId="60" fillId="48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14" fillId="18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7" borderId="0" applyNumberFormat="0" applyBorder="0" applyAlignment="0" applyProtection="0"/>
    <xf numFmtId="0" fontId="60" fillId="49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60" fillId="50" borderId="0" applyNumberFormat="0" applyBorder="0" applyAlignment="0" applyProtection="0"/>
    <xf numFmtId="0" fontId="14" fillId="14" borderId="0" applyNumberFormat="0" applyBorder="0" applyAlignment="0" applyProtection="0"/>
    <xf numFmtId="0" fontId="60" fillId="50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6" borderId="0" applyNumberFormat="0" applyBorder="0" applyAlignment="0" applyProtection="0"/>
    <xf numFmtId="0" fontId="60" fillId="51" borderId="0" applyNumberFormat="0" applyBorder="0" applyAlignment="0" applyProtection="0"/>
    <xf numFmtId="0" fontId="14" fillId="6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60" fillId="52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60" fillId="54" borderId="0" applyNumberFormat="0" applyBorder="0" applyAlignment="0" applyProtection="0"/>
    <xf numFmtId="0" fontId="60" fillId="55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14" fillId="14" borderId="0" applyNumberFormat="0" applyBorder="0" applyAlignment="0" applyProtection="0"/>
    <xf numFmtId="0" fontId="14" fillId="24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4" borderId="0" applyNumberFormat="0" applyBorder="0" applyAlignment="0" applyProtection="0"/>
    <xf numFmtId="0" fontId="60" fillId="56" borderId="0" applyNumberFormat="0" applyBorder="0" applyAlignment="0" applyProtection="0"/>
    <xf numFmtId="0" fontId="60" fillId="57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9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60" fillId="5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60" fillId="58" borderId="0" applyNumberFormat="0" applyBorder="0" applyAlignment="0" applyProtection="0"/>
    <xf numFmtId="0" fontId="60" fillId="59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60" fillId="59" borderId="0" applyNumberFormat="0" applyBorder="0" applyAlignment="0" applyProtection="0"/>
    <xf numFmtId="41" fontId="3" fillId="0" borderId="0"/>
    <xf numFmtId="41" fontId="3" fillId="0" borderId="0"/>
    <xf numFmtId="41" fontId="3" fillId="0" borderId="0"/>
    <xf numFmtId="41" fontId="3" fillId="0" borderId="0"/>
    <xf numFmtId="41" fontId="3" fillId="0" borderId="0"/>
    <xf numFmtId="41" fontId="3" fillId="0" borderId="0"/>
    <xf numFmtId="41" fontId="3" fillId="0" borderId="0"/>
    <xf numFmtId="49" fontId="52" fillId="0" borderId="0" applyFill="0" applyBorder="0" applyAlignment="0" applyProtection="0"/>
    <xf numFmtId="0" fontId="51" fillId="0" borderId="1" applyBorder="0">
      <alignment horizontal="center" vertical="center" wrapText="1"/>
    </xf>
    <xf numFmtId="0" fontId="51" fillId="0" borderId="1" applyBorder="0">
      <alignment horizontal="center" vertical="center" wrapText="1"/>
    </xf>
    <xf numFmtId="0" fontId="51" fillId="0" borderId="1" applyBorder="0">
      <alignment horizontal="center" vertical="center" wrapText="1"/>
    </xf>
    <xf numFmtId="0" fontId="51" fillId="0" borderId="1" applyBorder="0">
      <alignment horizontal="center" vertical="center" wrapText="1"/>
    </xf>
    <xf numFmtId="0" fontId="51" fillId="0" borderId="1" applyBorder="0">
      <alignment horizontal="center" vertical="center" wrapText="1"/>
    </xf>
    <xf numFmtId="0" fontId="61" fillId="60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61" fillId="60" borderId="0" applyNumberFormat="0" applyBorder="0" applyAlignment="0" applyProtection="0"/>
    <xf numFmtId="3" fontId="3" fillId="0" borderId="0"/>
    <xf numFmtId="3" fontId="3" fillId="0" borderId="0"/>
    <xf numFmtId="3" fontId="3" fillId="0" borderId="0"/>
    <xf numFmtId="3" fontId="3" fillId="0" borderId="0"/>
    <xf numFmtId="0" fontId="62" fillId="61" borderId="20" applyNumberFormat="0" applyAlignment="0" applyProtection="0"/>
    <xf numFmtId="0" fontId="21" fillId="26" borderId="2" applyNumberFormat="0" applyAlignment="0" applyProtection="0"/>
    <xf numFmtId="0" fontId="27" fillId="26" borderId="2" applyNumberFormat="0" applyAlignment="0" applyProtection="0"/>
    <xf numFmtId="0" fontId="27" fillId="26" borderId="2" applyNumberFormat="0" applyAlignment="0" applyProtection="0"/>
    <xf numFmtId="0" fontId="27" fillId="26" borderId="2" applyNumberFormat="0" applyAlignment="0" applyProtection="0"/>
    <xf numFmtId="0" fontId="27" fillId="26" borderId="2" applyNumberFormat="0" applyAlignment="0" applyProtection="0"/>
    <xf numFmtId="0" fontId="27" fillId="26" borderId="2" applyNumberFormat="0" applyAlignment="0" applyProtection="0"/>
    <xf numFmtId="0" fontId="27" fillId="26" borderId="2" applyNumberFormat="0" applyAlignment="0" applyProtection="0"/>
    <xf numFmtId="0" fontId="27" fillId="26" borderId="2" applyNumberFormat="0" applyAlignment="0" applyProtection="0"/>
    <xf numFmtId="0" fontId="27" fillId="26" borderId="2" applyNumberFormat="0" applyAlignment="0" applyProtection="0"/>
    <xf numFmtId="0" fontId="27" fillId="26" borderId="2" applyNumberFormat="0" applyAlignment="0" applyProtection="0"/>
    <xf numFmtId="0" fontId="27" fillId="26" borderId="2" applyNumberFormat="0" applyAlignment="0" applyProtection="0"/>
    <xf numFmtId="0" fontId="27" fillId="26" borderId="2" applyNumberFormat="0" applyAlignment="0" applyProtection="0"/>
    <xf numFmtId="0" fontId="33" fillId="26" borderId="2" applyNumberFormat="0" applyAlignment="0" applyProtection="0"/>
    <xf numFmtId="0" fontId="33" fillId="26" borderId="2" applyNumberFormat="0" applyAlignment="0" applyProtection="0"/>
    <xf numFmtId="0" fontId="33" fillId="26" borderId="2" applyNumberFormat="0" applyAlignment="0" applyProtection="0"/>
    <xf numFmtId="0" fontId="33" fillId="26" borderId="2" applyNumberFormat="0" applyAlignment="0" applyProtection="0"/>
    <xf numFmtId="0" fontId="33" fillId="26" borderId="2" applyNumberFormat="0" applyAlignment="0" applyProtection="0"/>
    <xf numFmtId="0" fontId="33" fillId="26" borderId="2" applyNumberFormat="0" applyAlignment="0" applyProtection="0"/>
    <xf numFmtId="0" fontId="33" fillId="26" borderId="2" applyNumberFormat="0" applyAlignment="0" applyProtection="0"/>
    <xf numFmtId="0" fontId="27" fillId="26" borderId="2" applyNumberFormat="0" applyAlignment="0" applyProtection="0"/>
    <xf numFmtId="0" fontId="21" fillId="26" borderId="2" applyNumberFormat="0" applyAlignment="0" applyProtection="0"/>
    <xf numFmtId="0" fontId="21" fillId="26" borderId="2" applyNumberFormat="0" applyAlignment="0" applyProtection="0"/>
    <xf numFmtId="0" fontId="21" fillId="26" borderId="2" applyNumberFormat="0" applyAlignment="0" applyProtection="0"/>
    <xf numFmtId="0" fontId="21" fillId="26" borderId="2" applyNumberFormat="0" applyAlignment="0" applyProtection="0"/>
    <xf numFmtId="0" fontId="21" fillId="26" borderId="2" applyNumberFormat="0" applyAlignment="0" applyProtection="0"/>
    <xf numFmtId="0" fontId="21" fillId="26" borderId="2" applyNumberFormat="0" applyAlignment="0" applyProtection="0"/>
    <xf numFmtId="0" fontId="21" fillId="26" borderId="2" applyNumberFormat="0" applyAlignment="0" applyProtection="0"/>
    <xf numFmtId="0" fontId="27" fillId="26" borderId="2" applyNumberFormat="0" applyAlignment="0" applyProtection="0"/>
    <xf numFmtId="0" fontId="27" fillId="26" borderId="2" applyNumberFormat="0" applyAlignment="0" applyProtection="0"/>
    <xf numFmtId="0" fontId="27" fillId="26" borderId="2" applyNumberFormat="0" applyAlignment="0" applyProtection="0"/>
    <xf numFmtId="0" fontId="27" fillId="26" borderId="2" applyNumberFormat="0" applyAlignment="0" applyProtection="0"/>
    <xf numFmtId="0" fontId="27" fillId="26" borderId="2" applyNumberFormat="0" applyAlignment="0" applyProtection="0"/>
    <xf numFmtId="0" fontId="27" fillId="26" borderId="2" applyNumberFormat="0" applyAlignment="0" applyProtection="0"/>
    <xf numFmtId="0" fontId="21" fillId="26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1" fillId="26" borderId="2" applyNumberFormat="0" applyAlignment="0" applyProtection="0"/>
    <xf numFmtId="0" fontId="21" fillId="26" borderId="2" applyNumberFormat="0" applyAlignment="0" applyProtection="0"/>
    <xf numFmtId="0" fontId="21" fillId="26" borderId="2" applyNumberFormat="0" applyAlignment="0" applyProtection="0"/>
    <xf numFmtId="0" fontId="21" fillId="26" borderId="2" applyNumberFormat="0" applyAlignment="0" applyProtection="0"/>
    <xf numFmtId="0" fontId="21" fillId="26" borderId="2" applyNumberFormat="0" applyAlignment="0" applyProtection="0"/>
    <xf numFmtId="0" fontId="21" fillId="26" borderId="2" applyNumberFormat="0" applyAlignment="0" applyProtection="0"/>
    <xf numFmtId="0" fontId="21" fillId="26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1" fillId="26" borderId="2" applyNumberFormat="0" applyAlignment="0" applyProtection="0"/>
    <xf numFmtId="0" fontId="62" fillId="61" borderId="20" applyNumberFormat="0" applyAlignment="0" applyProtection="0"/>
    <xf numFmtId="0" fontId="21" fillId="26" borderId="2" applyNumberFormat="0" applyAlignment="0" applyProtection="0"/>
    <xf numFmtId="0" fontId="21" fillId="26" borderId="2" applyNumberFormat="0" applyAlignment="0" applyProtection="0"/>
    <xf numFmtId="0" fontId="21" fillId="26" borderId="2" applyNumberFormat="0" applyAlignment="0" applyProtection="0"/>
    <xf numFmtId="0" fontId="21" fillId="26" borderId="2" applyNumberFormat="0" applyAlignment="0" applyProtection="0"/>
    <xf numFmtId="0" fontId="21" fillId="26" borderId="2" applyNumberFormat="0" applyAlignment="0" applyProtection="0"/>
    <xf numFmtId="0" fontId="21" fillId="26" borderId="2" applyNumberFormat="0" applyAlignment="0" applyProtection="0"/>
    <xf numFmtId="0" fontId="63" fillId="62" borderId="21" applyNumberFormat="0" applyAlignment="0" applyProtection="0"/>
    <xf numFmtId="0" fontId="16" fillId="27" borderId="3" applyNumberFormat="0" applyAlignment="0" applyProtection="0"/>
    <xf numFmtId="0" fontId="16" fillId="28" borderId="4" applyNumberFormat="0" applyAlignment="0" applyProtection="0"/>
    <xf numFmtId="0" fontId="16" fillId="28" borderId="4" applyNumberFormat="0" applyAlignment="0" applyProtection="0"/>
    <xf numFmtId="0" fontId="16" fillId="27" borderId="3" applyNumberFormat="0" applyAlignment="0" applyProtection="0"/>
    <xf numFmtId="0" fontId="16" fillId="28" borderId="4" applyNumberFormat="0" applyAlignment="0" applyProtection="0"/>
    <xf numFmtId="0" fontId="16" fillId="27" borderId="3" applyNumberFormat="0" applyAlignment="0" applyProtection="0"/>
    <xf numFmtId="0" fontId="63" fillId="62" borderId="21" applyNumberFormat="0" applyAlignment="0" applyProtection="0"/>
    <xf numFmtId="0" fontId="53" fillId="29" borderId="0" applyNumberFormat="0" applyBorder="0" applyAlignment="0" applyProtection="0">
      <alignment horizontal="center"/>
      <protection hidden="1"/>
    </xf>
    <xf numFmtId="0" fontId="3" fillId="30" borderId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4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5" fillId="31" borderId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6" fillId="0" borderId="0"/>
    <xf numFmtId="3" fontId="35" fillId="0" borderId="0" applyFont="0" applyFill="0" applyBorder="0" applyAlignment="0" applyProtection="0"/>
    <xf numFmtId="0" fontId="36" fillId="0" borderId="0"/>
    <xf numFmtId="0" fontId="36" fillId="0" borderId="0"/>
    <xf numFmtId="0" fontId="37" fillId="32" borderId="5" applyAlignment="0">
      <alignment horizontal="right"/>
      <protection locked="0"/>
    </xf>
    <xf numFmtId="44" fontId="4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>
      <alignment vertical="top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>
      <alignment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6"/>
    <xf numFmtId="0" fontId="4" fillId="0" borderId="6"/>
    <xf numFmtId="0" fontId="4" fillId="0" borderId="6"/>
    <xf numFmtId="0" fontId="4" fillId="0" borderId="6"/>
    <xf numFmtId="0" fontId="4" fillId="0" borderId="6"/>
    <xf numFmtId="0" fontId="38" fillId="33" borderId="0">
      <alignment horizontal="right"/>
      <protection locked="0"/>
    </xf>
    <xf numFmtId="14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/>
    <xf numFmtId="2" fontId="38" fillId="33" borderId="0">
      <alignment horizontal="right"/>
      <protection locked="0"/>
    </xf>
    <xf numFmtId="1" fontId="3" fillId="0" borderId="0">
      <alignment horizontal="center"/>
    </xf>
    <xf numFmtId="0" fontId="65" fillId="63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65" fillId="6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6" fillId="0" borderId="22" applyNumberFormat="0" applyFill="0" applyAlignment="0" applyProtection="0"/>
    <xf numFmtId="0" fontId="23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9" fillId="0" borderId="10" applyNumberFormat="0" applyFill="0" applyAlignment="0" applyProtection="0"/>
    <xf numFmtId="0" fontId="23" fillId="0" borderId="9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8" fillId="0" borderId="7" applyNumberFormat="0" applyFill="0" applyAlignment="0" applyProtection="0"/>
    <xf numFmtId="0" fontId="23" fillId="0" borderId="8" applyNumberFormat="0" applyFill="0" applyAlignment="0" applyProtection="0"/>
    <xf numFmtId="0" fontId="28" fillId="0" borderId="7" applyNumberFormat="0" applyFill="0" applyAlignment="0" applyProtection="0"/>
    <xf numFmtId="0" fontId="23" fillId="0" borderId="8" applyNumberFormat="0" applyFill="0" applyAlignment="0" applyProtection="0"/>
    <xf numFmtId="0" fontId="66" fillId="0" borderId="22" applyNumberFormat="0" applyFill="0" applyAlignment="0" applyProtection="0"/>
    <xf numFmtId="0" fontId="67" fillId="0" borderId="23" applyNumberFormat="0" applyFill="0" applyAlignment="0" applyProtection="0"/>
    <xf numFmtId="0" fontId="24" fillId="0" borderId="12" applyNumberFormat="0" applyFill="0" applyAlignment="0" applyProtection="0"/>
    <xf numFmtId="0" fontId="24" fillId="0" borderId="11" applyNumberFormat="0" applyFill="0" applyAlignment="0" applyProtection="0"/>
    <xf numFmtId="0" fontId="40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9" fillId="0" borderId="11" applyNumberFormat="0" applyFill="0" applyAlignment="0" applyProtection="0"/>
    <xf numFmtId="0" fontId="24" fillId="0" borderId="12" applyNumberFormat="0" applyFill="0" applyAlignment="0" applyProtection="0"/>
    <xf numFmtId="0" fontId="29" fillId="0" borderId="11" applyNumberFormat="0" applyFill="0" applyAlignment="0" applyProtection="0"/>
    <xf numFmtId="0" fontId="24" fillId="0" borderId="12" applyNumberFormat="0" applyFill="0" applyAlignment="0" applyProtection="0"/>
    <xf numFmtId="0" fontId="67" fillId="0" borderId="23" applyNumberFormat="0" applyFill="0" applyAlignment="0" applyProtection="0"/>
    <xf numFmtId="0" fontId="68" fillId="0" borderId="24" applyNumberFormat="0" applyFill="0" applyAlignment="0" applyProtection="0"/>
    <xf numFmtId="0" fontId="25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41" fillId="0" borderId="16" applyNumberFormat="0" applyFill="0" applyAlignment="0" applyProtection="0"/>
    <xf numFmtId="0" fontId="25" fillId="0" borderId="15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30" fillId="0" borderId="13" applyNumberFormat="0" applyFill="0" applyAlignment="0" applyProtection="0"/>
    <xf numFmtId="0" fontId="25" fillId="0" borderId="14" applyNumberFormat="0" applyFill="0" applyAlignment="0" applyProtection="0"/>
    <xf numFmtId="0" fontId="30" fillId="0" borderId="13" applyNumberFormat="0" applyFill="0" applyAlignment="0" applyProtection="0"/>
    <xf numFmtId="0" fontId="25" fillId="0" borderId="14" applyNumberFormat="0" applyFill="0" applyAlignment="0" applyProtection="0"/>
    <xf numFmtId="0" fontId="68" fillId="0" borderId="24" applyNumberFormat="0" applyFill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64" borderId="20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44" fillId="13" borderId="2" applyNumberFormat="0" applyAlignment="0" applyProtection="0"/>
    <xf numFmtId="0" fontId="44" fillId="13" borderId="2" applyNumberFormat="0" applyAlignment="0" applyProtection="0"/>
    <xf numFmtId="0" fontId="44" fillId="13" borderId="2" applyNumberFormat="0" applyAlignment="0" applyProtection="0"/>
    <xf numFmtId="0" fontId="44" fillId="13" borderId="2" applyNumberFormat="0" applyAlignment="0" applyProtection="0"/>
    <xf numFmtId="0" fontId="44" fillId="13" borderId="2" applyNumberFormat="0" applyAlignment="0" applyProtection="0"/>
    <xf numFmtId="0" fontId="44" fillId="13" borderId="2" applyNumberFormat="0" applyAlignment="0" applyProtection="0"/>
    <xf numFmtId="0" fontId="44" fillId="13" borderId="2" applyNumberFormat="0" applyAlignment="0" applyProtection="0"/>
    <xf numFmtId="0" fontId="44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44" fillId="13" borderId="2" applyNumberFormat="0" applyAlignment="0" applyProtection="0"/>
    <xf numFmtId="0" fontId="44" fillId="13" borderId="2" applyNumberFormat="0" applyAlignment="0" applyProtection="0"/>
    <xf numFmtId="0" fontId="44" fillId="13" borderId="2" applyNumberFormat="0" applyAlignment="0" applyProtection="0"/>
    <xf numFmtId="0" fontId="44" fillId="13" borderId="2" applyNumberFormat="0" applyAlignment="0" applyProtection="0"/>
    <xf numFmtId="0" fontId="44" fillId="13" borderId="2" applyNumberFormat="0" applyAlignment="0" applyProtection="0"/>
    <xf numFmtId="0" fontId="44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74" fillId="64" borderId="20" applyNumberFormat="0" applyAlignment="0" applyProtection="0"/>
    <xf numFmtId="3" fontId="45" fillId="34" borderId="0">
      <protection locked="0"/>
    </xf>
    <xf numFmtId="4" fontId="45" fillId="34" borderId="0">
      <protection locked="0"/>
    </xf>
    <xf numFmtId="0" fontId="51" fillId="0" borderId="1" applyBorder="0">
      <alignment horizontal="center" vertical="center" wrapText="1"/>
    </xf>
    <xf numFmtId="0" fontId="57" fillId="35" borderId="6"/>
    <xf numFmtId="0" fontId="57" fillId="35" borderId="6"/>
    <xf numFmtId="0" fontId="57" fillId="35" borderId="6"/>
    <xf numFmtId="0" fontId="57" fillId="35" borderId="6"/>
    <xf numFmtId="0" fontId="57" fillId="35" borderId="6"/>
    <xf numFmtId="0" fontId="51" fillId="0" borderId="1" applyBorder="0">
      <alignment horizontal="center" vertical="center" wrapText="1"/>
    </xf>
    <xf numFmtId="0" fontId="51" fillId="0" borderId="1" applyBorder="0">
      <alignment horizontal="center" vertical="center" wrapText="1"/>
    </xf>
    <xf numFmtId="0" fontId="51" fillId="0" borderId="1" applyBorder="0">
      <alignment horizontal="center" vertical="center" wrapText="1"/>
    </xf>
    <xf numFmtId="0" fontId="51" fillId="0" borderId="1" applyBorder="0">
      <alignment horizontal="center" vertical="center" wrapText="1"/>
    </xf>
    <xf numFmtId="0" fontId="51" fillId="0" borderId="1" applyBorder="0">
      <alignment horizontal="center" vertical="center" wrapText="1"/>
    </xf>
    <xf numFmtId="0" fontId="51" fillId="0" borderId="1" applyBorder="0">
      <alignment horizontal="center" vertical="center" wrapText="1"/>
    </xf>
    <xf numFmtId="0" fontId="51" fillId="0" borderId="1" applyBorder="0">
      <alignment horizontal="center" vertical="center" wrapText="1"/>
    </xf>
    <xf numFmtId="0" fontId="75" fillId="0" borderId="25" applyNumberFormat="0" applyFill="0" applyAlignment="0" applyProtection="0"/>
    <xf numFmtId="0" fontId="20" fillId="0" borderId="18" applyNumberFormat="0" applyFill="0" applyAlignment="0" applyProtection="0"/>
    <xf numFmtId="0" fontId="31" fillId="0" borderId="17" applyNumberFormat="0" applyFill="0" applyAlignment="0" applyProtection="0"/>
    <xf numFmtId="0" fontId="46" fillId="0" borderId="19" applyNumberFormat="0" applyFill="0" applyAlignment="0" applyProtection="0"/>
    <xf numFmtId="0" fontId="31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31" fillId="0" borderId="17" applyNumberFormat="0" applyFill="0" applyAlignment="0" applyProtection="0"/>
    <xf numFmtId="0" fontId="75" fillId="0" borderId="25" applyNumberFormat="0" applyFill="0" applyAlignment="0" applyProtection="0"/>
    <xf numFmtId="0" fontId="76" fillId="65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47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76" fillId="65" borderId="0" applyNumberFormat="0" applyBorder="0" applyAlignment="0" applyProtection="0"/>
    <xf numFmtId="43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>
      <alignment wrapText="1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>
      <alignment wrapText="1"/>
    </xf>
    <xf numFmtId="0" fontId="59" fillId="0" borderId="0"/>
    <xf numFmtId="0" fontId="59" fillId="0" borderId="0"/>
    <xf numFmtId="0" fontId="3" fillId="0" borderId="0">
      <alignment wrapText="1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6" fillId="0" borderId="0">
      <alignment vertical="top"/>
    </xf>
    <xf numFmtId="0" fontId="59" fillId="0" borderId="0"/>
    <xf numFmtId="0" fontId="3" fillId="0" borderId="0"/>
    <xf numFmtId="0" fontId="59" fillId="0" borderId="0"/>
    <xf numFmtId="0" fontId="3" fillId="0" borderId="0"/>
    <xf numFmtId="0" fontId="3" fillId="0" borderId="0"/>
    <xf numFmtId="0" fontId="59" fillId="0" borderId="0"/>
    <xf numFmtId="0" fontId="3" fillId="0" borderId="0"/>
    <xf numFmtId="0" fontId="59" fillId="0" borderId="0"/>
    <xf numFmtId="0" fontId="3" fillId="0" borderId="0"/>
    <xf numFmtId="0" fontId="59" fillId="0" borderId="0"/>
    <xf numFmtId="0" fontId="3" fillId="0" borderId="0"/>
    <xf numFmtId="0" fontId="59" fillId="0" borderId="0"/>
    <xf numFmtId="0" fontId="3" fillId="0" borderId="0"/>
    <xf numFmtId="0" fontId="59" fillId="0" borderId="0"/>
    <xf numFmtId="0" fontId="3" fillId="0" borderId="0"/>
    <xf numFmtId="0" fontId="3" fillId="0" borderId="0"/>
    <xf numFmtId="0" fontId="59" fillId="0" borderId="0"/>
    <xf numFmtId="0" fontId="3" fillId="0" borderId="0"/>
    <xf numFmtId="0" fontId="59" fillId="0" borderId="0"/>
    <xf numFmtId="0" fontId="3" fillId="0" borderId="0"/>
    <xf numFmtId="0" fontId="3" fillId="0" borderId="0"/>
    <xf numFmtId="0" fontId="77" fillId="0" borderId="0"/>
    <xf numFmtId="0" fontId="59" fillId="0" borderId="0"/>
    <xf numFmtId="0" fontId="77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11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11" fillId="0" borderId="0"/>
    <xf numFmtId="0" fontId="59" fillId="0" borderId="0"/>
    <xf numFmtId="0" fontId="11" fillId="0" borderId="0"/>
    <xf numFmtId="0" fontId="3" fillId="0" borderId="0"/>
    <xf numFmtId="0" fontId="11" fillId="0" borderId="0"/>
    <xf numFmtId="0" fontId="59" fillId="0" borderId="0"/>
    <xf numFmtId="0" fontId="11" fillId="0" borderId="0"/>
    <xf numFmtId="0" fontId="3" fillId="0" borderId="0"/>
    <xf numFmtId="0" fontId="59" fillId="0" borderId="0"/>
    <xf numFmtId="0" fontId="3" fillId="0" borderId="0"/>
    <xf numFmtId="0" fontId="59" fillId="0" borderId="0"/>
    <xf numFmtId="0" fontId="3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3" fillId="0" borderId="0"/>
    <xf numFmtId="0" fontId="3" fillId="0" borderId="0"/>
    <xf numFmtId="0" fontId="59" fillId="0" borderId="0"/>
    <xf numFmtId="0" fontId="3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8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8" fillId="0" borderId="0"/>
    <xf numFmtId="0" fontId="11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8" fillId="0" borderId="0"/>
    <xf numFmtId="0" fontId="59" fillId="0" borderId="0"/>
    <xf numFmtId="0" fontId="59" fillId="0" borderId="0"/>
    <xf numFmtId="0" fontId="59" fillId="0" borderId="0"/>
    <xf numFmtId="0" fontId="6" fillId="0" borderId="0">
      <alignment vertical="top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3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4" fillId="0" borderId="0"/>
    <xf numFmtId="0" fontId="11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" fillId="0" borderId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9" borderId="0" applyNumberFormat="0" applyBorder="0" applyAlignment="0" applyProtection="0"/>
    <xf numFmtId="0" fontId="2" fillId="38" borderId="0" applyNumberFormat="0" applyBorder="0" applyAlignment="0" applyProtection="0"/>
    <xf numFmtId="0" fontId="2" fillId="9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9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84" fillId="0" borderId="0">
      <alignment vertical="top"/>
    </xf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6" fillId="0" borderId="0">
      <alignment vertical="top"/>
    </xf>
    <xf numFmtId="0" fontId="1" fillId="0" borderId="0"/>
  </cellStyleXfs>
  <cellXfs count="123">
    <xf numFmtId="0" fontId="0" fillId="0" borderId="0" xfId="0"/>
    <xf numFmtId="43" fontId="0" fillId="0" borderId="0" xfId="371" applyFont="1"/>
    <xf numFmtId="0" fontId="80" fillId="66" borderId="0" xfId="0" applyFont="1" applyFill="1"/>
    <xf numFmtId="43" fontId="80" fillId="66" borderId="0" xfId="371" applyFont="1" applyFill="1"/>
    <xf numFmtId="0" fontId="58" fillId="0" borderId="0" xfId="0" applyFont="1" applyAlignment="1">
      <alignment horizontal="center"/>
    </xf>
    <xf numFmtId="43" fontId="58" fillId="0" borderId="0" xfId="371" applyFont="1" applyAlignment="1">
      <alignment horizontal="center"/>
    </xf>
    <xf numFmtId="14" fontId="58" fillId="0" borderId="0" xfId="371" applyNumberFormat="1" applyFont="1" applyAlignment="1">
      <alignment horizontal="center"/>
    </xf>
    <xf numFmtId="0" fontId="0" fillId="0" borderId="0" xfId="0"/>
    <xf numFmtId="0" fontId="0" fillId="0" borderId="0" xfId="0"/>
    <xf numFmtId="0" fontId="58" fillId="0" borderId="0" xfId="0" applyFont="1"/>
    <xf numFmtId="43" fontId="0" fillId="0" borderId="27" xfId="371" applyFont="1" applyBorder="1"/>
    <xf numFmtId="0" fontId="0" fillId="0" borderId="0" xfId="371" applyNumberFormat="1" applyFont="1"/>
    <xf numFmtId="0" fontId="58" fillId="0" borderId="0" xfId="371" applyNumberFormat="1" applyFont="1" applyAlignment="1">
      <alignment horizontal="center"/>
    </xf>
    <xf numFmtId="0" fontId="80" fillId="66" borderId="0" xfId="371" applyNumberFormat="1" applyFont="1" applyFill="1"/>
    <xf numFmtId="167" fontId="0" fillId="0" borderId="0" xfId="371" applyNumberFormat="1" applyFont="1"/>
    <xf numFmtId="167" fontId="80" fillId="66" borderId="0" xfId="371" applyNumberFormat="1" applyFont="1" applyFill="1"/>
    <xf numFmtId="0" fontId="3" fillId="0" borderId="0" xfId="0" applyFont="1"/>
    <xf numFmtId="0" fontId="3" fillId="0" borderId="0" xfId="0" applyFont="1" applyAlignment="1">
      <alignment horizontal="right"/>
    </xf>
    <xf numFmtId="43" fontId="3" fillId="0" borderId="0" xfId="371" applyFont="1" applyAlignment="1">
      <alignment horizontal="right"/>
    </xf>
    <xf numFmtId="0" fontId="0" fillId="0" borderId="0" xfId="371" applyNumberFormat="1" applyFont="1" applyAlignment="1">
      <alignment horizontal="right"/>
    </xf>
    <xf numFmtId="167" fontId="0" fillId="0" borderId="0" xfId="0" applyNumberFormat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0" fillId="0" borderId="28" xfId="371" applyFont="1" applyBorder="1"/>
    <xf numFmtId="14" fontId="58" fillId="0" borderId="0" xfId="0" applyNumberFormat="1" applyFont="1" applyAlignment="1">
      <alignment horizontal="center"/>
    </xf>
    <xf numFmtId="0" fontId="81" fillId="0" borderId="0" xfId="9214" applyFont="1"/>
    <xf numFmtId="9" fontId="0" fillId="0" borderId="0" xfId="15197" applyFont="1"/>
    <xf numFmtId="167" fontId="80" fillId="66" borderId="0" xfId="0" applyNumberFormat="1" applyFont="1" applyFill="1"/>
    <xf numFmtId="0" fontId="58" fillId="67" borderId="0" xfId="0" applyFont="1" applyFill="1"/>
    <xf numFmtId="0" fontId="0" fillId="67" borderId="0" xfId="0" applyFill="1"/>
    <xf numFmtId="0" fontId="0" fillId="67" borderId="0" xfId="371" applyNumberFormat="1" applyFont="1" applyFill="1"/>
    <xf numFmtId="43" fontId="0" fillId="67" borderId="0" xfId="371" applyFont="1" applyFill="1"/>
    <xf numFmtId="0" fontId="58" fillId="0" borderId="5" xfId="0" applyFont="1" applyBorder="1" applyAlignment="1">
      <alignment horizontal="center"/>
    </xf>
    <xf numFmtId="14" fontId="58" fillId="0" borderId="5" xfId="0" applyNumberFormat="1" applyFont="1" applyBorder="1" applyAlignment="1">
      <alignment horizontal="center"/>
    </xf>
    <xf numFmtId="0" fontId="0" fillId="0" borderId="29" xfId="0" applyBorder="1"/>
    <xf numFmtId="0" fontId="58" fillId="0" borderId="30" xfId="0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58" fillId="0" borderId="32" xfId="0" applyFont="1" applyBorder="1"/>
    <xf numFmtId="0" fontId="58" fillId="0" borderId="0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0" fillId="0" borderId="34" xfId="0" applyBorder="1"/>
    <xf numFmtId="14" fontId="58" fillId="0" borderId="35" xfId="0" applyNumberFormat="1" applyFont="1" applyBorder="1" applyAlignment="1">
      <alignment horizontal="center"/>
    </xf>
    <xf numFmtId="0" fontId="0" fillId="0" borderId="32" xfId="0" applyBorder="1"/>
    <xf numFmtId="0" fontId="0" fillId="0" borderId="0" xfId="0" applyBorder="1"/>
    <xf numFmtId="0" fontId="0" fillId="0" borderId="33" xfId="0" applyBorder="1"/>
    <xf numFmtId="43" fontId="0" fillId="0" borderId="0" xfId="371" applyFont="1" applyBorder="1"/>
    <xf numFmtId="0" fontId="0" fillId="0" borderId="38" xfId="0" applyBorder="1"/>
    <xf numFmtId="43" fontId="0" fillId="0" borderId="39" xfId="371" applyFont="1" applyBorder="1"/>
    <xf numFmtId="43" fontId="0" fillId="0" borderId="40" xfId="371" applyFont="1" applyBorder="1"/>
    <xf numFmtId="0" fontId="0" fillId="0" borderId="0" xfId="0" applyFill="1"/>
    <xf numFmtId="167" fontId="0" fillId="0" borderId="0" xfId="371" applyNumberFormat="1" applyFont="1" applyFill="1"/>
    <xf numFmtId="43" fontId="0" fillId="0" borderId="0" xfId="371" applyFont="1" applyFill="1"/>
    <xf numFmtId="0" fontId="0" fillId="68" borderId="0" xfId="0" applyFill="1"/>
    <xf numFmtId="0" fontId="0" fillId="68" borderId="0" xfId="0" applyFont="1" applyFill="1"/>
    <xf numFmtId="43" fontId="0" fillId="68" borderId="0" xfId="371" applyFont="1" applyFill="1"/>
    <xf numFmtId="0" fontId="0" fillId="69" borderId="0" xfId="0" applyFill="1"/>
    <xf numFmtId="0" fontId="0" fillId="68" borderId="0" xfId="0" applyFill="1" applyAlignment="1">
      <alignment horizontal="right"/>
    </xf>
    <xf numFmtId="167" fontId="0" fillId="68" borderId="0" xfId="0" applyNumberFormat="1" applyFill="1"/>
    <xf numFmtId="0" fontId="3" fillId="68" borderId="0" xfId="0" applyFont="1" applyFill="1"/>
    <xf numFmtId="0" fontId="58" fillId="0" borderId="0" xfId="0" applyFont="1" applyAlignment="1">
      <alignment horizontal="right"/>
    </xf>
    <xf numFmtId="0" fontId="80" fillId="66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67" borderId="0" xfId="0" applyFill="1" applyAlignment="1">
      <alignment horizontal="right"/>
    </xf>
    <xf numFmtId="0" fontId="0" fillId="69" borderId="0" xfId="0" applyFill="1" applyAlignment="1">
      <alignment horizontal="right"/>
    </xf>
    <xf numFmtId="167" fontId="0" fillId="69" borderId="0" xfId="371" applyNumberFormat="1" applyFont="1" applyFill="1"/>
    <xf numFmtId="43" fontId="0" fillId="69" borderId="0" xfId="371" applyFont="1" applyFill="1"/>
    <xf numFmtId="0" fontId="0" fillId="0" borderId="0" xfId="0"/>
    <xf numFmtId="0" fontId="58" fillId="0" borderId="0" xfId="0" applyFont="1" applyFill="1" applyAlignment="1">
      <alignment horizontal="center"/>
    </xf>
    <xf numFmtId="9" fontId="58" fillId="0" borderId="0" xfId="15197" applyFont="1"/>
    <xf numFmtId="9" fontId="58" fillId="0" borderId="0" xfId="15197" applyFont="1" applyAlignment="1">
      <alignment horizontal="center"/>
    </xf>
    <xf numFmtId="9" fontId="80" fillId="66" borderId="0" xfId="15197" applyFont="1" applyFill="1"/>
    <xf numFmtId="9" fontId="0" fillId="68" borderId="0" xfId="15197" applyFont="1" applyFill="1"/>
    <xf numFmtId="9" fontId="0" fillId="0" borderId="0" xfId="15197" applyFont="1" applyFill="1"/>
    <xf numFmtId="9" fontId="0" fillId="69" borderId="0" xfId="15197" applyFont="1" applyFill="1"/>
    <xf numFmtId="9" fontId="0" fillId="67" borderId="0" xfId="15197" applyFont="1" applyFill="1"/>
    <xf numFmtId="14" fontId="58" fillId="0" borderId="0" xfId="0" applyNumberFormat="1" applyFont="1" applyAlignment="1">
      <alignment horizontal="left"/>
    </xf>
    <xf numFmtId="0" fontId="58" fillId="0" borderId="0" xfId="0" applyFont="1" applyAlignment="1">
      <alignment horizontal="left"/>
    </xf>
    <xf numFmtId="0" fontId="58" fillId="0" borderId="0" xfId="0" applyNumberFormat="1" applyFont="1" applyAlignment="1">
      <alignment horizontal="left"/>
    </xf>
    <xf numFmtId="168" fontId="0" fillId="0" borderId="0" xfId="371" applyNumberFormat="1" applyFont="1"/>
    <xf numFmtId="168" fontId="0" fillId="68" borderId="0" xfId="371" applyNumberFormat="1" applyFont="1" applyFill="1"/>
    <xf numFmtId="168" fontId="0" fillId="0" borderId="26" xfId="371" applyNumberFormat="1" applyFont="1" applyBorder="1"/>
    <xf numFmtId="168" fontId="0" fillId="0" borderId="27" xfId="371" applyNumberFormat="1" applyFont="1" applyBorder="1"/>
    <xf numFmtId="0" fontId="0" fillId="0" borderId="0" xfId="0" applyFont="1" applyFill="1"/>
    <xf numFmtId="0" fontId="3" fillId="0" borderId="0" xfId="0" applyFont="1" applyFill="1"/>
    <xf numFmtId="167" fontId="0" fillId="0" borderId="0" xfId="0" applyNumberFormat="1" applyFill="1"/>
    <xf numFmtId="168" fontId="0" fillId="0" borderId="0" xfId="371" applyNumberFormat="1" applyFont="1" applyFill="1"/>
    <xf numFmtId="0" fontId="83" fillId="0" borderId="0" xfId="15206" applyFont="1" applyFill="1"/>
    <xf numFmtId="0" fontId="83" fillId="0" borderId="0" xfId="15210" applyFont="1" applyFill="1" applyAlignment="1">
      <alignment horizontal="center" vertical="center"/>
    </xf>
    <xf numFmtId="9" fontId="3" fillId="0" borderId="0" xfId="15197" applyFont="1" applyFill="1"/>
    <xf numFmtId="167" fontId="3" fillId="0" borderId="0" xfId="0" applyNumberFormat="1" applyFont="1" applyFill="1"/>
    <xf numFmtId="43" fontId="83" fillId="0" borderId="0" xfId="15199" applyFont="1" applyFill="1"/>
    <xf numFmtId="43" fontId="3" fillId="0" borderId="0" xfId="371" applyFont="1" applyFill="1"/>
    <xf numFmtId="0" fontId="83" fillId="0" borderId="0" xfId="15198" applyFont="1" applyFill="1"/>
    <xf numFmtId="0" fontId="83" fillId="0" borderId="0" xfId="15203" applyFont="1" applyFill="1" applyAlignment="1">
      <alignment horizontal="left"/>
    </xf>
    <xf numFmtId="0" fontId="3" fillId="68" borderId="0" xfId="0" applyFont="1" applyFill="1" applyAlignment="1">
      <alignment horizontal="right"/>
    </xf>
    <xf numFmtId="9" fontId="3" fillId="68" borderId="0" xfId="15197" applyFont="1" applyFill="1"/>
    <xf numFmtId="43" fontId="3" fillId="68" borderId="0" xfId="371" applyFont="1" applyFill="1"/>
    <xf numFmtId="0" fontId="83" fillId="68" borderId="0" xfId="15206" applyFont="1" applyFill="1"/>
    <xf numFmtId="0" fontId="83" fillId="68" borderId="0" xfId="15210" applyFont="1" applyFill="1" applyAlignment="1">
      <alignment horizontal="center" vertical="center"/>
    </xf>
    <xf numFmtId="167" fontId="3" fillId="68" borderId="0" xfId="0" applyNumberFormat="1" applyFont="1" applyFill="1"/>
    <xf numFmtId="43" fontId="83" fillId="68" borderId="0" xfId="15199" applyFont="1" applyFill="1"/>
    <xf numFmtId="0" fontId="0" fillId="66" borderId="0" xfId="0" applyFill="1"/>
    <xf numFmtId="167" fontId="3" fillId="68" borderId="0" xfId="371" applyNumberFormat="1" applyFont="1" applyFill="1"/>
    <xf numFmtId="0" fontId="0" fillId="0" borderId="0" xfId="0"/>
    <xf numFmtId="0" fontId="3" fillId="0" borderId="32" xfId="0" applyFont="1" applyBorder="1"/>
    <xf numFmtId="0" fontId="0" fillId="0" borderId="0" xfId="0"/>
    <xf numFmtId="168" fontId="0" fillId="0" borderId="0" xfId="371" applyNumberFormat="1" applyFont="1" applyBorder="1"/>
    <xf numFmtId="168" fontId="0" fillId="0" borderId="33" xfId="371" applyNumberFormat="1" applyFont="1" applyBorder="1"/>
    <xf numFmtId="168" fontId="0" fillId="0" borderId="28" xfId="371" applyNumberFormat="1" applyFont="1" applyBorder="1"/>
    <xf numFmtId="168" fontId="0" fillId="0" borderId="36" xfId="371" applyNumberFormat="1" applyFont="1" applyBorder="1"/>
    <xf numFmtId="168" fontId="0" fillId="0" borderId="37" xfId="371" applyNumberFormat="1" applyFont="1" applyBorder="1"/>
    <xf numFmtId="0" fontId="0" fillId="0" borderId="0" xfId="0"/>
    <xf numFmtId="0" fontId="85" fillId="0" borderId="0" xfId="0" applyFont="1"/>
    <xf numFmtId="168" fontId="80" fillId="66" borderId="0" xfId="371" applyNumberFormat="1" applyFont="1" applyFill="1"/>
    <xf numFmtId="168" fontId="3" fillId="68" borderId="0" xfId="371" applyNumberFormat="1" applyFont="1" applyFill="1"/>
    <xf numFmtId="0" fontId="58" fillId="0" borderId="0" xfId="0" applyFont="1" applyFill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68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3" fillId="68" borderId="0" xfId="0" applyFont="1" applyFill="1" applyAlignment="1">
      <alignment wrapText="1"/>
    </xf>
  </cellXfs>
  <cellStyles count="15213">
    <cellStyle name="20% - Accent1 2" xfId="1"/>
    <cellStyle name="20% - Accent1 2 2" xfId="2"/>
    <cellStyle name="20% - Accent1 2 2 2" xfId="3"/>
    <cellStyle name="20% - Accent1 2 3" xfId="4"/>
    <cellStyle name="20% - Accent1 2 4" xfId="5"/>
    <cellStyle name="20% - Accent1 2 4 2" xfId="6"/>
    <cellStyle name="20% - Accent1 2 5" xfId="7"/>
    <cellStyle name="20% - Accent1 3" xfId="8"/>
    <cellStyle name="20% - Accent1 3 2" xfId="9"/>
    <cellStyle name="20% - Accent1 3 2 2" xfId="10"/>
    <cellStyle name="20% - Accent1 3 3" xfId="11"/>
    <cellStyle name="20% - Accent1 3 4" xfId="12"/>
    <cellStyle name="20% - Accent1 4" xfId="13"/>
    <cellStyle name="20% - Accent1 4 2" xfId="14"/>
    <cellStyle name="20% - Accent1 4 2 2" xfId="9216"/>
    <cellStyle name="20% - Accent1 4 3" xfId="15"/>
    <cellStyle name="20% - Accent1 4 4" xfId="16"/>
    <cellStyle name="20% - Accent1 4 5" xfId="9215"/>
    <cellStyle name="20% - Accent1 5" xfId="17"/>
    <cellStyle name="20% - Accent1 5 2" xfId="9217"/>
    <cellStyle name="20% - Accent1 6" xfId="18"/>
    <cellStyle name="20% - Accent2 2" xfId="19"/>
    <cellStyle name="20% - Accent2 2 2" xfId="20"/>
    <cellStyle name="20% - Accent2 2 3" xfId="21"/>
    <cellStyle name="20% - Accent2 3" xfId="22"/>
    <cellStyle name="20% - Accent2 3 2" xfId="23"/>
    <cellStyle name="20% - Accent2 3 3" xfId="24"/>
    <cellStyle name="20% - Accent2 4" xfId="25"/>
    <cellStyle name="20% - Accent2 4 2" xfId="26"/>
    <cellStyle name="20% - Accent2 4 2 2" xfId="9219"/>
    <cellStyle name="20% - Accent2 4 3" xfId="9218"/>
    <cellStyle name="20% - Accent2 5" xfId="27"/>
    <cellStyle name="20% - Accent2 5 2" xfId="9220"/>
    <cellStyle name="20% - Accent2 6" xfId="28"/>
    <cellStyle name="20% - Accent3 2" xfId="29"/>
    <cellStyle name="20% - Accent3 2 2" xfId="30"/>
    <cellStyle name="20% - Accent3 2 2 2" xfId="9221"/>
    <cellStyle name="20% - Accent3 3" xfId="31"/>
    <cellStyle name="20% - Accent3 3 2" xfId="32"/>
    <cellStyle name="20% - Accent3 3 3" xfId="33"/>
    <cellStyle name="20% - Accent3 4" xfId="34"/>
    <cellStyle name="20% - Accent3 4 2" xfId="35"/>
    <cellStyle name="20% - Accent3 4 2 2" xfId="9223"/>
    <cellStyle name="20% - Accent3 4 3" xfId="9222"/>
    <cellStyle name="20% - Accent3 5" xfId="36"/>
    <cellStyle name="20% - Accent3 5 2" xfId="9224"/>
    <cellStyle name="20% - Accent3 6" xfId="37"/>
    <cellStyle name="20% - Accent4 2" xfId="38"/>
    <cellStyle name="20% - Accent4 2 2" xfId="39"/>
    <cellStyle name="20% - Accent4 2 2 2" xfId="40"/>
    <cellStyle name="20% - Accent4 2 3" xfId="41"/>
    <cellStyle name="20% - Accent4 2 4" xfId="42"/>
    <cellStyle name="20% - Accent4 3" xfId="43"/>
    <cellStyle name="20% - Accent4 3 2" xfId="44"/>
    <cellStyle name="20% - Accent4 3 2 2" xfId="45"/>
    <cellStyle name="20% - Accent4 3 3" xfId="46"/>
    <cellStyle name="20% - Accent4 3 4" xfId="47"/>
    <cellStyle name="20% - Accent4 4" xfId="48"/>
    <cellStyle name="20% - Accent4 4 2" xfId="49"/>
    <cellStyle name="20% - Accent4 4 2 2" xfId="9226"/>
    <cellStyle name="20% - Accent4 4 3" xfId="50"/>
    <cellStyle name="20% - Accent4 4 4" xfId="51"/>
    <cellStyle name="20% - Accent4 4 5" xfId="9225"/>
    <cellStyle name="20% - Accent4 5" xfId="52"/>
    <cellStyle name="20% - Accent4 5 2" xfId="9227"/>
    <cellStyle name="20% - Accent4 6" xfId="53"/>
    <cellStyle name="20% - Accent5" xfId="54" builtinId="46" customBuiltin="1"/>
    <cellStyle name="20% - Accent5 2" xfId="55"/>
    <cellStyle name="20% - Accent5 2 2" xfId="56"/>
    <cellStyle name="20% - Accent5 2 2 2" xfId="9229"/>
    <cellStyle name="20% - Accent5 3" xfId="57"/>
    <cellStyle name="20% - Accent5 3 2" xfId="58"/>
    <cellStyle name="20% - Accent5 3 2 2" xfId="9230"/>
    <cellStyle name="20% - Accent5 3 3" xfId="59"/>
    <cellStyle name="20% - Accent5 4" xfId="60"/>
    <cellStyle name="20% - Accent5 4 2" xfId="61"/>
    <cellStyle name="20% - Accent5 4 2 2" xfId="9232"/>
    <cellStyle name="20% - Accent5 4 3" xfId="9231"/>
    <cellStyle name="20% - Accent5 5" xfId="62"/>
    <cellStyle name="20% - Accent5 5 2" xfId="9233"/>
    <cellStyle name="20% - Accent5 6" xfId="9228"/>
    <cellStyle name="20% - Accent6" xfId="63" builtinId="50" customBuiltin="1"/>
    <cellStyle name="20% - Accent6 2" xfId="64"/>
    <cellStyle name="20% - Accent6 2 2" xfId="65"/>
    <cellStyle name="20% - Accent6 2 3" xfId="66"/>
    <cellStyle name="20% - Accent6 3" xfId="67"/>
    <cellStyle name="20% - Accent6 3 2" xfId="68"/>
    <cellStyle name="20% - Accent6 3 3" xfId="69"/>
    <cellStyle name="20% - Accent6 4" xfId="70"/>
    <cellStyle name="20% - Accent6 4 2" xfId="71"/>
    <cellStyle name="20% - Accent6 4 2 2" xfId="9236"/>
    <cellStyle name="20% - Accent6 4 3" xfId="9235"/>
    <cellStyle name="20% - Accent6 5" xfId="72"/>
    <cellStyle name="20% - Accent6 5 2" xfId="9237"/>
    <cellStyle name="20% - Accent6 6" xfId="9234"/>
    <cellStyle name="40% - Accent1" xfId="73" builtinId="31" customBuiltin="1"/>
    <cellStyle name="40% - Accent1 2" xfId="74"/>
    <cellStyle name="40% - Accent1 2 2" xfId="75"/>
    <cellStyle name="40% - Accent1 2 3" xfId="76"/>
    <cellStyle name="40% - Accent1 3" xfId="77"/>
    <cellStyle name="40% - Accent1 3 2" xfId="78"/>
    <cellStyle name="40% - Accent1 3 2 2" xfId="79"/>
    <cellStyle name="40% - Accent1 3 3" xfId="80"/>
    <cellStyle name="40% - Accent1 3 4" xfId="81"/>
    <cellStyle name="40% - Accent1 4" xfId="82"/>
    <cellStyle name="40% - Accent1 4 2" xfId="83"/>
    <cellStyle name="40% - Accent1 4 2 2" xfId="9239"/>
    <cellStyle name="40% - Accent1 5" xfId="84"/>
    <cellStyle name="40% - Accent1 5 2" xfId="9240"/>
    <cellStyle name="40% - Accent1 6" xfId="85"/>
    <cellStyle name="40% - Accent1 7" xfId="9238"/>
    <cellStyle name="40% - Accent2" xfId="86" builtinId="35" customBuiltin="1"/>
    <cellStyle name="40% - Accent2 2" xfId="87"/>
    <cellStyle name="40% - Accent2 2 2" xfId="88"/>
    <cellStyle name="40% - Accent2 2 2 2" xfId="9242"/>
    <cellStyle name="40% - Accent2 3" xfId="89"/>
    <cellStyle name="40% - Accent2 3 2" xfId="90"/>
    <cellStyle name="40% - Accent2 3 2 2" xfId="9243"/>
    <cellStyle name="40% - Accent2 3 3" xfId="91"/>
    <cellStyle name="40% - Accent2 4" xfId="92"/>
    <cellStyle name="40% - Accent2 4 2" xfId="93"/>
    <cellStyle name="40% - Accent2 4 2 2" xfId="9245"/>
    <cellStyle name="40% - Accent2 4 3" xfId="9244"/>
    <cellStyle name="40% - Accent2 5" xfId="94"/>
    <cellStyle name="40% - Accent2 5 2" xfId="9246"/>
    <cellStyle name="40% - Accent2 6" xfId="9241"/>
    <cellStyle name="40% - Accent3 2" xfId="95"/>
    <cellStyle name="40% - Accent3 2 2" xfId="96"/>
    <cellStyle name="40% - Accent3 2 3" xfId="97"/>
    <cellStyle name="40% - Accent3 3" xfId="98"/>
    <cellStyle name="40% - Accent3 3 2" xfId="99"/>
    <cellStyle name="40% - Accent3 3 3" xfId="100"/>
    <cellStyle name="40% - Accent3 4" xfId="101"/>
    <cellStyle name="40% - Accent3 4 2" xfId="102"/>
    <cellStyle name="40% - Accent3 4 2 2" xfId="9248"/>
    <cellStyle name="40% - Accent3 4 3" xfId="9247"/>
    <cellStyle name="40% - Accent3 5" xfId="103"/>
    <cellStyle name="40% - Accent3 5 2" xfId="9249"/>
    <cellStyle name="40% - Accent3 6" xfId="104"/>
    <cellStyle name="40% - Accent4" xfId="105" builtinId="43" customBuiltin="1"/>
    <cellStyle name="40% - Accent4 2" xfId="106"/>
    <cellStyle name="40% - Accent4 2 2" xfId="107"/>
    <cellStyle name="40% - Accent4 2 3" xfId="108"/>
    <cellStyle name="40% - Accent4 3" xfId="109"/>
    <cellStyle name="40% - Accent4 3 2" xfId="110"/>
    <cellStyle name="40% - Accent4 3 2 2" xfId="111"/>
    <cellStyle name="40% - Accent4 3 3" xfId="112"/>
    <cellStyle name="40% - Accent4 3 4" xfId="113"/>
    <cellStyle name="40% - Accent4 4" xfId="114"/>
    <cellStyle name="40% - Accent4 4 2" xfId="115"/>
    <cellStyle name="40% - Accent4 4 2 2" xfId="9251"/>
    <cellStyle name="40% - Accent4 5" xfId="116"/>
    <cellStyle name="40% - Accent4 5 2" xfId="9252"/>
    <cellStyle name="40% - Accent4 6" xfId="117"/>
    <cellStyle name="40% - Accent4 7" xfId="9250"/>
    <cellStyle name="40% - Accent5" xfId="118" builtinId="47" customBuiltin="1"/>
    <cellStyle name="40% - Accent5 2" xfId="119"/>
    <cellStyle name="40% - Accent5 2 2" xfId="120"/>
    <cellStyle name="40% - Accent5 2 3" xfId="121"/>
    <cellStyle name="40% - Accent5 3" xfId="122"/>
    <cellStyle name="40% - Accent5 3 2" xfId="123"/>
    <cellStyle name="40% - Accent5 3 3" xfId="124"/>
    <cellStyle name="40% - Accent5 4" xfId="125"/>
    <cellStyle name="40% - Accent5 4 2" xfId="126"/>
    <cellStyle name="40% - Accent5 4 2 2" xfId="9255"/>
    <cellStyle name="40% - Accent5 4 3" xfId="9254"/>
    <cellStyle name="40% - Accent5 5" xfId="127"/>
    <cellStyle name="40% - Accent5 5 2" xfId="9256"/>
    <cellStyle name="40% - Accent5 6" xfId="9253"/>
    <cellStyle name="40% - Accent6" xfId="128" builtinId="51" customBuiltin="1"/>
    <cellStyle name="40% - Accent6 2" xfId="129"/>
    <cellStyle name="40% - Accent6 2 2" xfId="130"/>
    <cellStyle name="40% - Accent6 2 2 2" xfId="131"/>
    <cellStyle name="40% - Accent6 2 3" xfId="132"/>
    <cellStyle name="40% - Accent6 3" xfId="133"/>
    <cellStyle name="40% - Accent6 3 2" xfId="134"/>
    <cellStyle name="40% - Accent6 3 2 2" xfId="135"/>
    <cellStyle name="40% - Accent6 3 3" xfId="136"/>
    <cellStyle name="40% - Accent6 3 4" xfId="137"/>
    <cellStyle name="40% - Accent6 4" xfId="138"/>
    <cellStyle name="40% - Accent6 4 2" xfId="139"/>
    <cellStyle name="40% - Accent6 4 2 2" xfId="9258"/>
    <cellStyle name="40% - Accent6 5" xfId="140"/>
    <cellStyle name="40% - Accent6 5 2" xfId="9259"/>
    <cellStyle name="40% - Accent6 6" xfId="141"/>
    <cellStyle name="40% - Accent6 7" xfId="9257"/>
    <cellStyle name="60% - Accent1" xfId="142" builtinId="32" customBuiltin="1"/>
    <cellStyle name="60% - Accent1 2" xfId="143"/>
    <cellStyle name="60% - Accent1 2 2" xfId="144"/>
    <cellStyle name="60% - Accent1 2 2 2" xfId="145"/>
    <cellStyle name="60% - Accent1 2 3" xfId="146"/>
    <cellStyle name="60% - Accent1 2 4" xfId="147"/>
    <cellStyle name="60% - Accent1 2 4 2" xfId="148"/>
    <cellStyle name="60% - Accent1 3" xfId="149"/>
    <cellStyle name="60% - Accent1 3 2" xfId="150"/>
    <cellStyle name="60% - Accent1 3 3" xfId="151"/>
    <cellStyle name="60% - Accent1 3 4" xfId="152"/>
    <cellStyle name="60% - Accent1 4" xfId="153"/>
    <cellStyle name="60% - Accent1 4 2" xfId="154"/>
    <cellStyle name="60% - Accent2" xfId="155" builtinId="36" customBuiltin="1"/>
    <cellStyle name="60% - Accent2 2" xfId="156"/>
    <cellStyle name="60% - Accent2 2 2" xfId="157"/>
    <cellStyle name="60% - Accent2 2 3" xfId="158"/>
    <cellStyle name="60% - Accent2 3" xfId="159"/>
    <cellStyle name="60% - Accent2 3 2" xfId="160"/>
    <cellStyle name="60% - Accent2 3 3" xfId="161"/>
    <cellStyle name="60% - Accent2 4" xfId="162"/>
    <cellStyle name="60% - Accent3 2" xfId="163"/>
    <cellStyle name="60% - Accent3 2 2" xfId="164"/>
    <cellStyle name="60% - Accent3 2 3" xfId="165"/>
    <cellStyle name="60% - Accent3 3" xfId="166"/>
    <cellStyle name="60% - Accent3 3 2" xfId="167"/>
    <cellStyle name="60% - Accent3 3 3" xfId="168"/>
    <cellStyle name="60% - Accent3 3 4" xfId="169"/>
    <cellStyle name="60% - Accent3 4" xfId="170"/>
    <cellStyle name="60% - Accent3 4 2" xfId="171"/>
    <cellStyle name="60% - Accent3 4 3" xfId="172"/>
    <cellStyle name="60% - Accent3 4 4" xfId="173"/>
    <cellStyle name="60% - Accent4 2" xfId="174"/>
    <cellStyle name="60% - Accent4 2 2" xfId="175"/>
    <cellStyle name="60% - Accent4 2 3" xfId="176"/>
    <cellStyle name="60% - Accent4 3" xfId="177"/>
    <cellStyle name="60% - Accent4 3 2" xfId="178"/>
    <cellStyle name="60% - Accent4 3 3" xfId="179"/>
    <cellStyle name="60% - Accent4 3 4" xfId="180"/>
    <cellStyle name="60% - Accent4 4" xfId="181"/>
    <cellStyle name="60% - Accent4 4 2" xfId="182"/>
    <cellStyle name="60% - Accent4 4 3" xfId="183"/>
    <cellStyle name="60% - Accent4 4 4" xfId="184"/>
    <cellStyle name="60% - Accent5" xfId="185" builtinId="48" customBuiltin="1"/>
    <cellStyle name="60% - Accent5 2" xfId="186"/>
    <cellStyle name="60% - Accent5 2 2" xfId="187"/>
    <cellStyle name="60% - Accent5 2 2 2" xfId="188"/>
    <cellStyle name="60% - Accent5 2 3" xfId="189"/>
    <cellStyle name="60% - Accent5 2 4" xfId="190"/>
    <cellStyle name="60% - Accent5 2 4 2" xfId="191"/>
    <cellStyle name="60% - Accent5 3" xfId="192"/>
    <cellStyle name="60% - Accent5 3 2" xfId="193"/>
    <cellStyle name="60% - Accent5 3 3" xfId="194"/>
    <cellStyle name="60% - Accent5 4" xfId="195"/>
    <cellStyle name="60% - Accent6 2" xfId="196"/>
    <cellStyle name="60% - Accent6 2 2" xfId="197"/>
    <cellStyle name="60% - Accent6 2 3" xfId="198"/>
    <cellStyle name="60% - Accent6 3" xfId="199"/>
    <cellStyle name="60% - Accent6 3 2" xfId="200"/>
    <cellStyle name="60% - Accent6 3 3" xfId="201"/>
    <cellStyle name="60% - Accent6 4" xfId="202"/>
    <cellStyle name="Accent1" xfId="203" builtinId="29" customBuiltin="1"/>
    <cellStyle name="Accent1 2" xfId="204"/>
    <cellStyle name="Accent1 2 2" xfId="205"/>
    <cellStyle name="Accent1 2 2 2" xfId="206"/>
    <cellStyle name="Accent1 2 3" xfId="207"/>
    <cellStyle name="Accent1 2 4" xfId="208"/>
    <cellStyle name="Accent1 2 4 2" xfId="209"/>
    <cellStyle name="Accent1 3" xfId="210"/>
    <cellStyle name="Accent1 3 2" xfId="211"/>
    <cellStyle name="Accent1 3 3" xfId="212"/>
    <cellStyle name="Accent1 3 4" xfId="213"/>
    <cellStyle name="Accent1 4" xfId="214"/>
    <cellStyle name="Accent1 4 2" xfId="215"/>
    <cellStyle name="Accent2" xfId="216" builtinId="33" customBuiltin="1"/>
    <cellStyle name="Accent2 2" xfId="217"/>
    <cellStyle name="Accent2 2 2" xfId="218"/>
    <cellStyle name="Accent2 2 3" xfId="219"/>
    <cellStyle name="Accent2 3" xfId="220"/>
    <cellStyle name="Accent2 3 2" xfId="221"/>
    <cellStyle name="Accent2 3 3" xfId="222"/>
    <cellStyle name="Accent2 4" xfId="223"/>
    <cellStyle name="Accent3" xfId="224" builtinId="37" customBuiltin="1"/>
    <cellStyle name="Accent3 2" xfId="225"/>
    <cellStyle name="Accent3 2 2" xfId="226"/>
    <cellStyle name="Accent3 2 3" xfId="227"/>
    <cellStyle name="Accent3 2 4" xfId="228"/>
    <cellStyle name="Accent3 2 4 2" xfId="229"/>
    <cellStyle name="Accent3 3" xfId="230"/>
    <cellStyle name="Accent3 3 2" xfId="231"/>
    <cellStyle name="Accent3 3 3" xfId="232"/>
    <cellStyle name="Accent3 4" xfId="233"/>
    <cellStyle name="Accent4" xfId="234" builtinId="41" customBuiltin="1"/>
    <cellStyle name="Accent4 2" xfId="235"/>
    <cellStyle name="Accent4 2 2" xfId="236"/>
    <cellStyle name="Accent4 2 2 2" xfId="237"/>
    <cellStyle name="Accent4 2 2 3" xfId="238"/>
    <cellStyle name="Accent4 2 3" xfId="239"/>
    <cellStyle name="Accent4 2 3 2" xfId="240"/>
    <cellStyle name="Accent4 3" xfId="241"/>
    <cellStyle name="Accent4 3 2" xfId="242"/>
    <cellStyle name="Accent4 3 3" xfId="243"/>
    <cellStyle name="Accent4 4" xfId="244"/>
    <cellStyle name="Accent5" xfId="245" builtinId="45" customBuiltin="1"/>
    <cellStyle name="Accent5 2" xfId="246"/>
    <cellStyle name="Accent5 2 2" xfId="247"/>
    <cellStyle name="Accent5 2 2 2" xfId="248"/>
    <cellStyle name="Accent5 2 2 3" xfId="249"/>
    <cellStyle name="Accent5 2 3" xfId="250"/>
    <cellStyle name="Accent5 2 3 2" xfId="251"/>
    <cellStyle name="Accent5 2 4" xfId="252"/>
    <cellStyle name="Accent5 3" xfId="253"/>
    <cellStyle name="Accent5 4" xfId="254"/>
    <cellStyle name="Accent6" xfId="255" builtinId="49" customBuiltin="1"/>
    <cellStyle name="Accent6 2" xfId="256"/>
    <cellStyle name="Accent6 2 2" xfId="257"/>
    <cellStyle name="Accent6 2 3" xfId="258"/>
    <cellStyle name="Accent6 2 4" xfId="259"/>
    <cellStyle name="Accent6 2 4 2" xfId="260"/>
    <cellStyle name="Accent6 3" xfId="261"/>
    <cellStyle name="Accent6 3 2" xfId="262"/>
    <cellStyle name="Accent6 3 3" xfId="263"/>
    <cellStyle name="Accent6 4" xfId="264"/>
    <cellStyle name="Accounting" xfId="265"/>
    <cellStyle name="Accounting 2" xfId="266"/>
    <cellStyle name="Accounting 2 2" xfId="267"/>
    <cellStyle name="Accounting 3" xfId="268"/>
    <cellStyle name="Accounting 3 2" xfId="269"/>
    <cellStyle name="Accounting 4" xfId="270"/>
    <cellStyle name="Accounting_2011-11" xfId="271"/>
    <cellStyle name="APS" xfId="272"/>
    <cellStyle name="APSLabels" xfId="273"/>
    <cellStyle name="APSLabels 2" xfId="274"/>
    <cellStyle name="APSLabels 2 2" xfId="275"/>
    <cellStyle name="APSLabels 3" xfId="276"/>
    <cellStyle name="APSLabels 4" xfId="277"/>
    <cellStyle name="Bad" xfId="278" builtinId="27" customBuiltin="1"/>
    <cellStyle name="Bad 2" xfId="279"/>
    <cellStyle name="Bad 2 2" xfId="280"/>
    <cellStyle name="Bad 2 3" xfId="281"/>
    <cellStyle name="Bad 3" xfId="282"/>
    <cellStyle name="Bad 3 2" xfId="283"/>
    <cellStyle name="Bad 3 3" xfId="284"/>
    <cellStyle name="Bad 4" xfId="285"/>
    <cellStyle name="Budget" xfId="286"/>
    <cellStyle name="Budget 2" xfId="287"/>
    <cellStyle name="Budget 3" xfId="288"/>
    <cellStyle name="Budget_2011-11" xfId="289"/>
    <cellStyle name="Calculation" xfId="290" builtinId="22" customBuiltin="1"/>
    <cellStyle name="Calculation 2" xfId="291"/>
    <cellStyle name="Calculation 2 2" xfId="292"/>
    <cellStyle name="Calculation 2 2 2" xfId="293"/>
    <cellStyle name="Calculation 2 2 2 2" xfId="294"/>
    <cellStyle name="Calculation 2 2 2 3" xfId="295"/>
    <cellStyle name="Calculation 2 2 2 4" xfId="296"/>
    <cellStyle name="Calculation 2 2 2 5" xfId="297"/>
    <cellStyle name="Calculation 2 2 3" xfId="298"/>
    <cellStyle name="Calculation 2 2 3 2" xfId="299"/>
    <cellStyle name="Calculation 2 2 3 3" xfId="300"/>
    <cellStyle name="Calculation 2 2 3 4" xfId="301"/>
    <cellStyle name="Calculation 2 2 3 5" xfId="302"/>
    <cellStyle name="Calculation 2 3" xfId="303"/>
    <cellStyle name="Calculation 2 3 2" xfId="304"/>
    <cellStyle name="Calculation 2 3 2 2" xfId="305"/>
    <cellStyle name="Calculation 2 3 2 3" xfId="306"/>
    <cellStyle name="Calculation 2 3 2 4" xfId="307"/>
    <cellStyle name="Calculation 2 3 2 5" xfId="308"/>
    <cellStyle name="Calculation 2 3 3" xfId="309"/>
    <cellStyle name="Calculation 2 4" xfId="310"/>
    <cellStyle name="Calculation 2 4 2" xfId="311"/>
    <cellStyle name="Calculation 2 4 2 2" xfId="312"/>
    <cellStyle name="Calculation 2 4 2 3" xfId="313"/>
    <cellStyle name="Calculation 2 4 2 4" xfId="314"/>
    <cellStyle name="Calculation 2 4 2 5" xfId="315"/>
    <cellStyle name="Calculation 2 4 3" xfId="316"/>
    <cellStyle name="Calculation 2 4 4" xfId="317"/>
    <cellStyle name="Calculation 2 5" xfId="318"/>
    <cellStyle name="Calculation 2 5 2" xfId="319"/>
    <cellStyle name="Calculation 2 5 3" xfId="320"/>
    <cellStyle name="Calculation 2 5 4" xfId="321"/>
    <cellStyle name="Calculation 2 5 5" xfId="322"/>
    <cellStyle name="Calculation 2 6" xfId="323"/>
    <cellStyle name="Calculation 3" xfId="324"/>
    <cellStyle name="Calculation 3 2" xfId="325"/>
    <cellStyle name="Calculation 3 2 2" xfId="326"/>
    <cellStyle name="Calculation 3 2 2 2" xfId="327"/>
    <cellStyle name="Calculation 3 2 2 3" xfId="328"/>
    <cellStyle name="Calculation 3 2 2 4" xfId="329"/>
    <cellStyle name="Calculation 3 2 2 5" xfId="330"/>
    <cellStyle name="Calculation 3 2 3" xfId="331"/>
    <cellStyle name="Calculation 3 2 3 2" xfId="332"/>
    <cellStyle name="Calculation 3 2 3 3" xfId="333"/>
    <cellStyle name="Calculation 3 2 3 4" xfId="334"/>
    <cellStyle name="Calculation 3 2 3 5" xfId="335"/>
    <cellStyle name="Calculation 3 3" xfId="336"/>
    <cellStyle name="Calculation 3 3 2" xfId="337"/>
    <cellStyle name="Calculation 3 3 2 2" xfId="338"/>
    <cellStyle name="Calculation 3 3 2 3" xfId="339"/>
    <cellStyle name="Calculation 3 3 2 4" xfId="340"/>
    <cellStyle name="Calculation 3 3 2 5" xfId="341"/>
    <cellStyle name="Calculation 3 3 3" xfId="342"/>
    <cellStyle name="Calculation 3 4" xfId="343"/>
    <cellStyle name="Calculation 3 4 2" xfId="344"/>
    <cellStyle name="Calculation 3 4 3" xfId="345"/>
    <cellStyle name="Calculation 3 4 4" xfId="346"/>
    <cellStyle name="Calculation 3 4 5" xfId="347"/>
    <cellStyle name="Calculation 3 5" xfId="348"/>
    <cellStyle name="Calculation 3 5 2" xfId="349"/>
    <cellStyle name="Calculation 3 5 3" xfId="350"/>
    <cellStyle name="Calculation 3 5 4" xfId="351"/>
    <cellStyle name="Calculation 3 5 5" xfId="352"/>
    <cellStyle name="Calculation 4" xfId="353"/>
    <cellStyle name="Calculation 4 2" xfId="354"/>
    <cellStyle name="Calculation 4 3" xfId="355"/>
    <cellStyle name="Calculation 4 3 2" xfId="356"/>
    <cellStyle name="Calculation 4 3 3" xfId="357"/>
    <cellStyle name="Calculation 4 3 4" xfId="358"/>
    <cellStyle name="Calculation 4 3 5" xfId="359"/>
    <cellStyle name="Calculation 4 4" xfId="360"/>
    <cellStyle name="Check Cell" xfId="361" builtinId="23" customBuiltin="1"/>
    <cellStyle name="Check Cell 2" xfId="362"/>
    <cellStyle name="Check Cell 2 2" xfId="363"/>
    <cellStyle name="Check Cell 2 2 2" xfId="364"/>
    <cellStyle name="Check Cell 2 3" xfId="365"/>
    <cellStyle name="Check Cell 2 4" xfId="366"/>
    <cellStyle name="Check Cell 3" xfId="367"/>
    <cellStyle name="Check Cell 4" xfId="368"/>
    <cellStyle name="Color" xfId="369"/>
    <cellStyle name="combo" xfId="370"/>
    <cellStyle name="Comma" xfId="371" builtinId="3"/>
    <cellStyle name="Comma 10" xfId="372"/>
    <cellStyle name="Comma 10 2" xfId="373"/>
    <cellStyle name="Comma 11" xfId="374"/>
    <cellStyle name="Comma 11 2" xfId="375"/>
    <cellStyle name="Comma 11 2 2" xfId="376"/>
    <cellStyle name="Comma 11 2 2 2" xfId="377"/>
    <cellStyle name="Comma 11 2 2 2 2" xfId="378"/>
    <cellStyle name="Comma 11 2 2 2 2 2" xfId="379"/>
    <cellStyle name="Comma 11 2 2 2 2 2 2" xfId="380"/>
    <cellStyle name="Comma 11 2 2 2 2 3" xfId="381"/>
    <cellStyle name="Comma 11 2 2 2 2 3 2" xfId="382"/>
    <cellStyle name="Comma 11 2 2 2 2 4" xfId="383"/>
    <cellStyle name="Comma 11 2 2 2 3" xfId="384"/>
    <cellStyle name="Comma 11 2 2 2 3 2" xfId="385"/>
    <cellStyle name="Comma 11 2 2 2 4" xfId="386"/>
    <cellStyle name="Comma 11 2 2 2 4 2" xfId="387"/>
    <cellStyle name="Comma 11 2 2 2 5" xfId="388"/>
    <cellStyle name="Comma 11 2 2 3" xfId="389"/>
    <cellStyle name="Comma 11 2 2 3 2" xfId="390"/>
    <cellStyle name="Comma 11 2 2 3 2 2" xfId="391"/>
    <cellStyle name="Comma 11 2 2 3 3" xfId="392"/>
    <cellStyle name="Comma 11 2 2 3 3 2" xfId="393"/>
    <cellStyle name="Comma 11 2 2 3 4" xfId="394"/>
    <cellStyle name="Comma 11 2 2 4" xfId="395"/>
    <cellStyle name="Comma 11 2 2 4 2" xfId="396"/>
    <cellStyle name="Comma 11 2 2 5" xfId="397"/>
    <cellStyle name="Comma 11 2 2 5 2" xfId="398"/>
    <cellStyle name="Comma 11 2 2 6" xfId="399"/>
    <cellStyle name="Comma 11 2 3" xfId="400"/>
    <cellStyle name="Comma 11 2 3 2" xfId="401"/>
    <cellStyle name="Comma 11 2 3 2 2" xfId="402"/>
    <cellStyle name="Comma 11 2 3 2 2 2" xfId="403"/>
    <cellStyle name="Comma 11 2 3 2 3" xfId="404"/>
    <cellStyle name="Comma 11 2 3 2 3 2" xfId="405"/>
    <cellStyle name="Comma 11 2 3 2 4" xfId="406"/>
    <cellStyle name="Comma 11 2 3 3" xfId="407"/>
    <cellStyle name="Comma 11 2 3 3 2" xfId="408"/>
    <cellStyle name="Comma 11 2 3 4" xfId="409"/>
    <cellStyle name="Comma 11 2 3 4 2" xfId="410"/>
    <cellStyle name="Comma 11 2 3 5" xfId="411"/>
    <cellStyle name="Comma 11 2 4" xfId="412"/>
    <cellStyle name="Comma 11 2 4 2" xfId="413"/>
    <cellStyle name="Comma 11 2 4 2 2" xfId="414"/>
    <cellStyle name="Comma 11 2 4 3" xfId="415"/>
    <cellStyle name="Comma 11 2 4 3 2" xfId="416"/>
    <cellStyle name="Comma 11 2 4 4" xfId="417"/>
    <cellStyle name="Comma 11 2 5" xfId="418"/>
    <cellStyle name="Comma 11 2 5 2" xfId="419"/>
    <cellStyle name="Comma 11 2 6" xfId="420"/>
    <cellStyle name="Comma 11 2 6 2" xfId="421"/>
    <cellStyle name="Comma 11 2 7" xfId="422"/>
    <cellStyle name="Comma 11 3" xfId="423"/>
    <cellStyle name="Comma 11 3 2" xfId="424"/>
    <cellStyle name="Comma 11 3 2 2" xfId="425"/>
    <cellStyle name="Comma 11 3 2 2 2" xfId="426"/>
    <cellStyle name="Comma 11 3 2 2 2 2" xfId="427"/>
    <cellStyle name="Comma 11 3 2 2 3" xfId="428"/>
    <cellStyle name="Comma 11 3 2 2 3 2" xfId="429"/>
    <cellStyle name="Comma 11 3 2 2 4" xfId="430"/>
    <cellStyle name="Comma 11 3 2 3" xfId="431"/>
    <cellStyle name="Comma 11 3 2 3 2" xfId="432"/>
    <cellStyle name="Comma 11 3 2 4" xfId="433"/>
    <cellStyle name="Comma 11 3 2 4 2" xfId="434"/>
    <cellStyle name="Comma 11 3 2 5" xfId="435"/>
    <cellStyle name="Comma 11 3 3" xfId="436"/>
    <cellStyle name="Comma 11 3 3 2" xfId="437"/>
    <cellStyle name="Comma 11 3 3 2 2" xfId="438"/>
    <cellStyle name="Comma 11 3 3 3" xfId="439"/>
    <cellStyle name="Comma 11 3 3 3 2" xfId="440"/>
    <cellStyle name="Comma 11 3 3 4" xfId="441"/>
    <cellStyle name="Comma 11 3 4" xfId="442"/>
    <cellStyle name="Comma 11 3 4 2" xfId="443"/>
    <cellStyle name="Comma 11 3 5" xfId="444"/>
    <cellStyle name="Comma 11 3 5 2" xfId="445"/>
    <cellStyle name="Comma 11 3 6" xfId="446"/>
    <cellStyle name="Comma 11 4" xfId="447"/>
    <cellStyle name="Comma 11 4 2" xfId="448"/>
    <cellStyle name="Comma 11 4 2 2" xfId="449"/>
    <cellStyle name="Comma 11 4 2 2 2" xfId="450"/>
    <cellStyle name="Comma 11 4 2 3" xfId="451"/>
    <cellStyle name="Comma 11 4 2 3 2" xfId="452"/>
    <cellStyle name="Comma 11 4 2 4" xfId="453"/>
    <cellStyle name="Comma 11 4 3" xfId="454"/>
    <cellStyle name="Comma 11 4 3 2" xfId="455"/>
    <cellStyle name="Comma 11 4 4" xfId="456"/>
    <cellStyle name="Comma 11 4 4 2" xfId="457"/>
    <cellStyle name="Comma 11 4 5" xfId="458"/>
    <cellStyle name="Comma 11 5" xfId="459"/>
    <cellStyle name="Comma 11 5 2" xfId="460"/>
    <cellStyle name="Comma 11 5 2 2" xfId="461"/>
    <cellStyle name="Comma 11 5 3" xfId="462"/>
    <cellStyle name="Comma 11 5 3 2" xfId="463"/>
    <cellStyle name="Comma 11 5 4" xfId="464"/>
    <cellStyle name="Comma 11 6" xfId="465"/>
    <cellStyle name="Comma 11 6 2" xfId="466"/>
    <cellStyle name="Comma 11 7" xfId="467"/>
    <cellStyle name="Comma 11 7 2" xfId="468"/>
    <cellStyle name="Comma 11 8" xfId="469"/>
    <cellStyle name="Comma 12" xfId="470"/>
    <cellStyle name="Comma 12 2" xfId="471"/>
    <cellStyle name="Comma 12 2 2" xfId="472"/>
    <cellStyle name="Comma 12 2 2 2" xfId="473"/>
    <cellStyle name="Comma 12 2 2 2 2" xfId="474"/>
    <cellStyle name="Comma 12 2 2 2 2 2" xfId="475"/>
    <cellStyle name="Comma 12 2 2 2 3" xfId="476"/>
    <cellStyle name="Comma 12 2 2 2 3 2" xfId="477"/>
    <cellStyle name="Comma 12 2 2 2 4" xfId="478"/>
    <cellStyle name="Comma 12 2 2 3" xfId="479"/>
    <cellStyle name="Comma 12 2 2 3 2" xfId="480"/>
    <cellStyle name="Comma 12 2 2 4" xfId="481"/>
    <cellStyle name="Comma 12 2 2 4 2" xfId="482"/>
    <cellStyle name="Comma 12 2 2 5" xfId="483"/>
    <cellStyle name="Comma 12 2 3" xfId="484"/>
    <cellStyle name="Comma 12 2 3 2" xfId="485"/>
    <cellStyle name="Comma 12 2 3 2 2" xfId="486"/>
    <cellStyle name="Comma 12 2 3 3" xfId="487"/>
    <cellStyle name="Comma 12 2 3 3 2" xfId="488"/>
    <cellStyle name="Comma 12 2 3 4" xfId="489"/>
    <cellStyle name="Comma 12 2 4" xfId="490"/>
    <cellStyle name="Comma 12 2 4 2" xfId="491"/>
    <cellStyle name="Comma 12 2 5" xfId="492"/>
    <cellStyle name="Comma 12 2 5 2" xfId="493"/>
    <cellStyle name="Comma 12 2 6" xfId="494"/>
    <cellStyle name="Comma 12 3" xfId="495"/>
    <cellStyle name="Comma 12 4" xfId="496"/>
    <cellStyle name="Comma 12 5" xfId="497"/>
    <cellStyle name="Comma 12 6" xfId="498"/>
    <cellStyle name="Comma 13" xfId="499"/>
    <cellStyle name="Comma 13 2" xfId="500"/>
    <cellStyle name="Comma 13 2 2" xfId="501"/>
    <cellStyle name="Comma 13 2 2 2" xfId="502"/>
    <cellStyle name="Comma 13 2 2 2 2" xfId="503"/>
    <cellStyle name="Comma 13 2 2 2 2 2" xfId="504"/>
    <cellStyle name="Comma 13 2 2 2 3" xfId="505"/>
    <cellStyle name="Comma 13 2 2 2 3 2" xfId="506"/>
    <cellStyle name="Comma 13 2 2 2 4" xfId="507"/>
    <cellStyle name="Comma 13 2 2 3" xfId="508"/>
    <cellStyle name="Comma 13 2 2 3 2" xfId="509"/>
    <cellStyle name="Comma 13 2 2 4" xfId="510"/>
    <cellStyle name="Comma 13 2 2 4 2" xfId="511"/>
    <cellStyle name="Comma 13 2 2 5" xfId="512"/>
    <cellStyle name="Comma 13 2 3" xfId="513"/>
    <cellStyle name="Comma 13 2 3 2" xfId="514"/>
    <cellStyle name="Comma 13 2 3 2 2" xfId="515"/>
    <cellStyle name="Comma 13 2 3 3" xfId="516"/>
    <cellStyle name="Comma 13 2 3 3 2" xfId="517"/>
    <cellStyle name="Comma 13 2 3 4" xfId="518"/>
    <cellStyle name="Comma 13 2 4" xfId="519"/>
    <cellStyle name="Comma 13 2 4 2" xfId="520"/>
    <cellStyle name="Comma 13 2 5" xfId="521"/>
    <cellStyle name="Comma 13 2 5 2" xfId="522"/>
    <cellStyle name="Comma 13 2 6" xfId="523"/>
    <cellStyle name="Comma 13 3" xfId="524"/>
    <cellStyle name="Comma 13 3 2" xfId="525"/>
    <cellStyle name="Comma 13 3 2 2" xfId="526"/>
    <cellStyle name="Comma 13 3 2 2 2" xfId="527"/>
    <cellStyle name="Comma 13 3 2 3" xfId="528"/>
    <cellStyle name="Comma 13 3 2 3 2" xfId="529"/>
    <cellStyle name="Comma 13 3 2 4" xfId="530"/>
    <cellStyle name="Comma 13 3 3" xfId="531"/>
    <cellStyle name="Comma 13 3 3 2" xfId="532"/>
    <cellStyle name="Comma 13 3 4" xfId="533"/>
    <cellStyle name="Comma 13 3 4 2" xfId="534"/>
    <cellStyle name="Comma 13 3 5" xfId="535"/>
    <cellStyle name="Comma 13 4" xfId="536"/>
    <cellStyle name="Comma 13 4 2" xfId="537"/>
    <cellStyle name="Comma 13 4 2 2" xfId="538"/>
    <cellStyle name="Comma 13 4 3" xfId="539"/>
    <cellStyle name="Comma 13 4 3 2" xfId="540"/>
    <cellStyle name="Comma 13 4 4" xfId="541"/>
    <cellStyle name="Comma 13 5" xfId="542"/>
    <cellStyle name="Comma 13 5 2" xfId="543"/>
    <cellStyle name="Comma 13 6" xfId="544"/>
    <cellStyle name="Comma 13 6 2" xfId="545"/>
    <cellStyle name="Comma 13 7" xfId="546"/>
    <cellStyle name="Comma 14" xfId="547"/>
    <cellStyle name="Comma 14 2" xfId="548"/>
    <cellStyle name="Comma 15" xfId="549"/>
    <cellStyle name="Comma 15 2" xfId="550"/>
    <cellStyle name="Comma 15 2 2" xfId="551"/>
    <cellStyle name="Comma 15 3" xfId="552"/>
    <cellStyle name="Comma 15 4" xfId="553"/>
    <cellStyle name="Comma 16" xfId="554"/>
    <cellStyle name="Comma 16 2" xfId="555"/>
    <cellStyle name="Comma 16 2 2" xfId="556"/>
    <cellStyle name="Comma 16 2 2 2" xfId="557"/>
    <cellStyle name="Comma 16 2 3" xfId="558"/>
    <cellStyle name="Comma 16 2 3 2" xfId="559"/>
    <cellStyle name="Comma 16 2 4" xfId="560"/>
    <cellStyle name="Comma 16 3" xfId="561"/>
    <cellStyle name="Comma 16 3 2" xfId="562"/>
    <cellStyle name="Comma 16 4" xfId="563"/>
    <cellStyle name="Comma 16 4 2" xfId="564"/>
    <cellStyle name="Comma 16 5" xfId="565"/>
    <cellStyle name="Comma 17" xfId="566"/>
    <cellStyle name="Comma 17 2" xfId="567"/>
    <cellStyle name="Comma 17 2 2" xfId="568"/>
    <cellStyle name="Comma 17 3" xfId="569"/>
    <cellStyle name="Comma 17 4" xfId="570"/>
    <cellStyle name="Comma 17 5" xfId="571"/>
    <cellStyle name="Comma 18" xfId="572"/>
    <cellStyle name="Comma 18 2" xfId="573"/>
    <cellStyle name="Comma 18 2 2" xfId="574"/>
    <cellStyle name="Comma 18 3" xfId="575"/>
    <cellStyle name="Comma 18 4" xfId="576"/>
    <cellStyle name="Comma 18 5" xfId="577"/>
    <cellStyle name="Comma 19" xfId="578"/>
    <cellStyle name="Comma 19 2" xfId="579"/>
    <cellStyle name="Comma 19 3" xfId="580"/>
    <cellStyle name="Comma 19 4" xfId="581"/>
    <cellStyle name="Comma 19 5" xfId="582"/>
    <cellStyle name="Comma 19 6" xfId="583"/>
    <cellStyle name="Comma 2" xfId="584"/>
    <cellStyle name="Comma 2 2" xfId="585"/>
    <cellStyle name="Comma 2 2 2" xfId="586"/>
    <cellStyle name="Comma 2 2 2 2" xfId="587"/>
    <cellStyle name="Comma 2 2 2 2 2" xfId="588"/>
    <cellStyle name="Comma 2 2 2 2 3" xfId="589"/>
    <cellStyle name="Comma 2 2 2 2 4" xfId="590"/>
    <cellStyle name="Comma 2 2 3" xfId="591"/>
    <cellStyle name="Comma 2 2 3 2" xfId="592"/>
    <cellStyle name="Comma 2 2 3 3" xfId="593"/>
    <cellStyle name="Comma 2 3" xfId="594"/>
    <cellStyle name="Comma 2 3 2" xfId="595"/>
    <cellStyle name="Comma 2 4" xfId="596"/>
    <cellStyle name="Comma 2 4 2" xfId="597"/>
    <cellStyle name="Comma 2 4 2 2" xfId="598"/>
    <cellStyle name="Comma 2 4 2 2 2" xfId="599"/>
    <cellStyle name="Comma 2 4 3" xfId="600"/>
    <cellStyle name="Comma 2 4 4" xfId="601"/>
    <cellStyle name="Comma 2 4 5" xfId="602"/>
    <cellStyle name="Comma 2 5" xfId="603"/>
    <cellStyle name="Comma 2 5 2" xfId="604"/>
    <cellStyle name="Comma 2 5 3" xfId="605"/>
    <cellStyle name="Comma 2 6" xfId="606"/>
    <cellStyle name="Comma 2 6 2" xfId="607"/>
    <cellStyle name="Comma 2 6 2 2" xfId="608"/>
    <cellStyle name="Comma 2 6 3" xfId="609"/>
    <cellStyle name="Comma 2 6 3 2" xfId="610"/>
    <cellStyle name="Comma 2 6 3 3" xfId="611"/>
    <cellStyle name="Comma 2 6 4" xfId="612"/>
    <cellStyle name="Comma 2 7" xfId="613"/>
    <cellStyle name="Comma 2 7 2" xfId="614"/>
    <cellStyle name="Comma 2 7 3" xfId="615"/>
    <cellStyle name="Comma 2 7 4" xfId="616"/>
    <cellStyle name="Comma 2 8" xfId="617"/>
    <cellStyle name="Comma 2 9" xfId="618"/>
    <cellStyle name="Comma 20" xfId="619"/>
    <cellStyle name="Comma 20 2" xfId="620"/>
    <cellStyle name="Comma 20 3" xfId="621"/>
    <cellStyle name="Comma 20 4" xfId="622"/>
    <cellStyle name="Comma 21" xfId="623"/>
    <cellStyle name="Comma 21 2" xfId="624"/>
    <cellStyle name="Comma 21 3" xfId="625"/>
    <cellStyle name="Comma 21 4" xfId="626"/>
    <cellStyle name="Comma 22" xfId="627"/>
    <cellStyle name="Comma 22 2" xfId="628"/>
    <cellStyle name="Comma 23" xfId="629"/>
    <cellStyle name="Comma 24" xfId="630"/>
    <cellStyle name="Comma 25" xfId="631"/>
    <cellStyle name="Comma 25 2" xfId="632"/>
    <cellStyle name="Comma 25 2 2" xfId="633"/>
    <cellStyle name="Comma 26" xfId="634"/>
    <cellStyle name="Comma 27" xfId="635"/>
    <cellStyle name="Comma 28" xfId="636"/>
    <cellStyle name="Comma 29" xfId="637"/>
    <cellStyle name="Comma 29 2" xfId="638"/>
    <cellStyle name="Comma 3" xfId="639"/>
    <cellStyle name="Comma 3 2" xfId="640"/>
    <cellStyle name="Comma 3 2 2" xfId="641"/>
    <cellStyle name="Comma 3 3" xfId="642"/>
    <cellStyle name="Comma 3 4" xfId="643"/>
    <cellStyle name="Comma 30" xfId="644"/>
    <cellStyle name="Comma 31" xfId="645"/>
    <cellStyle name="Comma 32" xfId="15199"/>
    <cellStyle name="Comma 4" xfId="646"/>
    <cellStyle name="Comma 4 10" xfId="647"/>
    <cellStyle name="Comma 4 11" xfId="648"/>
    <cellStyle name="Comma 4 12" xfId="649"/>
    <cellStyle name="Comma 4 2" xfId="650"/>
    <cellStyle name="Comma 4 2 2" xfId="651"/>
    <cellStyle name="Comma 4 2 2 10" xfId="652"/>
    <cellStyle name="Comma 4 2 2 2" xfId="653"/>
    <cellStyle name="Comma 4 2 2 2 2" xfId="654"/>
    <cellStyle name="Comma 4 2 2 2 2 2" xfId="655"/>
    <cellStyle name="Comma 4 2 2 2 2 2 2" xfId="656"/>
    <cellStyle name="Comma 4 2 2 2 2 2 2 2" xfId="657"/>
    <cellStyle name="Comma 4 2 2 2 2 2 3" xfId="658"/>
    <cellStyle name="Comma 4 2 2 2 2 2 3 2" xfId="659"/>
    <cellStyle name="Comma 4 2 2 2 2 2 4" xfId="660"/>
    <cellStyle name="Comma 4 2 2 2 2 3" xfId="661"/>
    <cellStyle name="Comma 4 2 2 2 2 3 2" xfId="662"/>
    <cellStyle name="Comma 4 2 2 2 2 4" xfId="663"/>
    <cellStyle name="Comma 4 2 2 2 2 4 2" xfId="664"/>
    <cellStyle name="Comma 4 2 2 2 2 5" xfId="665"/>
    <cellStyle name="Comma 4 2 2 2 3" xfId="666"/>
    <cellStyle name="Comma 4 2 2 2 3 2" xfId="667"/>
    <cellStyle name="Comma 4 2 2 2 3 2 2" xfId="668"/>
    <cellStyle name="Comma 4 2 2 2 3 3" xfId="669"/>
    <cellStyle name="Comma 4 2 2 2 3 3 2" xfId="670"/>
    <cellStyle name="Comma 4 2 2 2 3 4" xfId="671"/>
    <cellStyle name="Comma 4 2 2 2 4" xfId="672"/>
    <cellStyle name="Comma 4 2 2 2 4 2" xfId="673"/>
    <cellStyle name="Comma 4 2 2 2 5" xfId="674"/>
    <cellStyle name="Comma 4 2 2 2 5 2" xfId="675"/>
    <cellStyle name="Comma 4 2 2 2 6" xfId="676"/>
    <cellStyle name="Comma 4 2 2 3" xfId="677"/>
    <cellStyle name="Comma 4 2 2 3 2" xfId="678"/>
    <cellStyle name="Comma 4 2 2 3 2 2" xfId="679"/>
    <cellStyle name="Comma 4 2 2 3 2 2 2" xfId="680"/>
    <cellStyle name="Comma 4 2 2 3 2 2 2 2" xfId="681"/>
    <cellStyle name="Comma 4 2 2 3 2 2 3" xfId="682"/>
    <cellStyle name="Comma 4 2 2 3 2 2 3 2" xfId="683"/>
    <cellStyle name="Comma 4 2 2 3 2 2 4" xfId="684"/>
    <cellStyle name="Comma 4 2 2 3 2 3" xfId="685"/>
    <cellStyle name="Comma 4 2 2 3 2 3 2" xfId="686"/>
    <cellStyle name="Comma 4 2 2 3 2 4" xfId="687"/>
    <cellStyle name="Comma 4 2 2 3 2 4 2" xfId="688"/>
    <cellStyle name="Comma 4 2 2 3 2 5" xfId="689"/>
    <cellStyle name="Comma 4 2 2 3 3" xfId="690"/>
    <cellStyle name="Comma 4 2 2 3 3 2" xfId="691"/>
    <cellStyle name="Comma 4 2 2 3 3 2 2" xfId="692"/>
    <cellStyle name="Comma 4 2 2 3 3 3" xfId="693"/>
    <cellStyle name="Comma 4 2 2 3 3 3 2" xfId="694"/>
    <cellStyle name="Comma 4 2 2 3 3 4" xfId="695"/>
    <cellStyle name="Comma 4 2 2 3 4" xfId="696"/>
    <cellStyle name="Comma 4 2 2 3 4 2" xfId="697"/>
    <cellStyle name="Comma 4 2 2 3 5" xfId="698"/>
    <cellStyle name="Comma 4 2 2 3 5 2" xfId="699"/>
    <cellStyle name="Comma 4 2 2 3 6" xfId="700"/>
    <cellStyle name="Comma 4 2 2 4" xfId="701"/>
    <cellStyle name="Comma 4 2 2 4 2" xfId="702"/>
    <cellStyle name="Comma 4 2 2 4 2 2" xfId="703"/>
    <cellStyle name="Comma 4 2 2 4 2 2 2" xfId="704"/>
    <cellStyle name="Comma 4 2 2 4 2 3" xfId="705"/>
    <cellStyle name="Comma 4 2 2 4 2 3 2" xfId="706"/>
    <cellStyle name="Comma 4 2 2 4 2 4" xfId="707"/>
    <cellStyle name="Comma 4 2 2 4 3" xfId="708"/>
    <cellStyle name="Comma 4 2 2 4 3 2" xfId="709"/>
    <cellStyle name="Comma 4 2 2 4 4" xfId="710"/>
    <cellStyle name="Comma 4 2 2 4 4 2" xfId="711"/>
    <cellStyle name="Comma 4 2 2 4 5" xfId="712"/>
    <cellStyle name="Comma 4 2 2 5" xfId="713"/>
    <cellStyle name="Comma 4 2 2 5 2" xfId="714"/>
    <cellStyle name="Comma 4 2 2 5 2 2" xfId="715"/>
    <cellStyle name="Comma 4 2 2 5 3" xfId="716"/>
    <cellStyle name="Comma 4 2 2 5 3 2" xfId="717"/>
    <cellStyle name="Comma 4 2 2 5 4" xfId="718"/>
    <cellStyle name="Comma 4 2 2 6" xfId="719"/>
    <cellStyle name="Comma 4 2 2 6 2" xfId="720"/>
    <cellStyle name="Comma 4 2 2 7" xfId="721"/>
    <cellStyle name="Comma 4 2 2 7 2" xfId="722"/>
    <cellStyle name="Comma 4 2 2 8" xfId="723"/>
    <cellStyle name="Comma 4 2 2 9" xfId="724"/>
    <cellStyle name="Comma 4 2 3" xfId="725"/>
    <cellStyle name="Comma 4 2 3 2" xfId="726"/>
    <cellStyle name="Comma 4 2 3 2 2" xfId="727"/>
    <cellStyle name="Comma 4 2 3 2 2 2" xfId="728"/>
    <cellStyle name="Comma 4 2 3 2 2 2 2" xfId="729"/>
    <cellStyle name="Comma 4 2 3 2 2 3" xfId="730"/>
    <cellStyle name="Comma 4 2 3 2 2 3 2" xfId="731"/>
    <cellStyle name="Comma 4 2 3 2 2 4" xfId="732"/>
    <cellStyle name="Comma 4 2 3 2 3" xfId="733"/>
    <cellStyle name="Comma 4 2 3 2 3 2" xfId="734"/>
    <cellStyle name="Comma 4 2 3 2 4" xfId="735"/>
    <cellStyle name="Comma 4 2 3 2 4 2" xfId="736"/>
    <cellStyle name="Comma 4 2 3 2 5" xfId="737"/>
    <cellStyle name="Comma 4 2 3 3" xfId="738"/>
    <cellStyle name="Comma 4 2 3 3 2" xfId="739"/>
    <cellStyle name="Comma 4 2 3 3 2 2" xfId="740"/>
    <cellStyle name="Comma 4 2 3 3 3" xfId="741"/>
    <cellStyle name="Comma 4 2 3 3 3 2" xfId="742"/>
    <cellStyle name="Comma 4 2 3 3 4" xfId="743"/>
    <cellStyle name="Comma 4 2 3 4" xfId="744"/>
    <cellStyle name="Comma 4 2 3 4 2" xfId="745"/>
    <cellStyle name="Comma 4 2 3 5" xfId="746"/>
    <cellStyle name="Comma 4 2 3 5 2" xfId="747"/>
    <cellStyle name="Comma 4 2 3 6" xfId="748"/>
    <cellStyle name="Comma 4 2 3 7" xfId="749"/>
    <cellStyle name="Comma 4 2 4" xfId="750"/>
    <cellStyle name="Comma 4 2 4 2" xfId="751"/>
    <cellStyle name="Comma 4 2 4 2 2" xfId="752"/>
    <cellStyle name="Comma 4 2 4 2 2 2" xfId="753"/>
    <cellStyle name="Comma 4 2 4 2 2 2 2" xfId="754"/>
    <cellStyle name="Comma 4 2 4 2 2 3" xfId="755"/>
    <cellStyle name="Comma 4 2 4 2 2 3 2" xfId="756"/>
    <cellStyle name="Comma 4 2 4 2 2 4" xfId="757"/>
    <cellStyle name="Comma 4 2 4 2 3" xfId="758"/>
    <cellStyle name="Comma 4 2 4 2 3 2" xfId="759"/>
    <cellStyle name="Comma 4 2 4 2 4" xfId="760"/>
    <cellStyle name="Comma 4 2 4 2 4 2" xfId="761"/>
    <cellStyle name="Comma 4 2 4 2 5" xfId="762"/>
    <cellStyle name="Comma 4 2 4 3" xfId="763"/>
    <cellStyle name="Comma 4 2 4 3 2" xfId="764"/>
    <cellStyle name="Comma 4 2 4 3 2 2" xfId="765"/>
    <cellStyle name="Comma 4 2 4 3 3" xfId="766"/>
    <cellStyle name="Comma 4 2 4 3 3 2" xfId="767"/>
    <cellStyle name="Comma 4 2 4 3 4" xfId="768"/>
    <cellStyle name="Comma 4 2 4 4" xfId="769"/>
    <cellStyle name="Comma 4 2 4 4 2" xfId="770"/>
    <cellStyle name="Comma 4 2 4 5" xfId="771"/>
    <cellStyle name="Comma 4 2 4 5 2" xfId="772"/>
    <cellStyle name="Comma 4 2 4 6" xfId="773"/>
    <cellStyle name="Comma 4 2 4 7" xfId="774"/>
    <cellStyle name="Comma 4 2 5" xfId="775"/>
    <cellStyle name="Comma 4 2 5 2" xfId="776"/>
    <cellStyle name="Comma 4 2 5 2 2" xfId="777"/>
    <cellStyle name="Comma 4 2 5 2 2 2" xfId="778"/>
    <cellStyle name="Comma 4 2 5 2 3" xfId="779"/>
    <cellStyle name="Comma 4 2 5 2 3 2" xfId="780"/>
    <cellStyle name="Comma 4 2 5 2 4" xfId="781"/>
    <cellStyle name="Comma 4 2 5 3" xfId="782"/>
    <cellStyle name="Comma 4 2 5 3 2" xfId="783"/>
    <cellStyle name="Comma 4 2 5 4" xfId="784"/>
    <cellStyle name="Comma 4 2 5 4 2" xfId="785"/>
    <cellStyle name="Comma 4 2 5 5" xfId="786"/>
    <cellStyle name="Comma 4 2 5 6" xfId="787"/>
    <cellStyle name="Comma 4 2 6" xfId="788"/>
    <cellStyle name="Comma 4 2 6 2" xfId="789"/>
    <cellStyle name="Comma 4 2 6 2 2" xfId="790"/>
    <cellStyle name="Comma 4 2 6 3" xfId="791"/>
    <cellStyle name="Comma 4 2 6 3 2" xfId="792"/>
    <cellStyle name="Comma 4 2 6 4" xfId="793"/>
    <cellStyle name="Comma 4 2 7" xfId="794"/>
    <cellStyle name="Comma 4 2 7 2" xfId="795"/>
    <cellStyle name="Comma 4 2 8" xfId="796"/>
    <cellStyle name="Comma 4 2 8 2" xfId="797"/>
    <cellStyle name="Comma 4 2 9" xfId="798"/>
    <cellStyle name="Comma 4 3" xfId="799"/>
    <cellStyle name="Comma 4 3 10" xfId="800"/>
    <cellStyle name="Comma 4 3 2" xfId="801"/>
    <cellStyle name="Comma 4 3 2 2" xfId="802"/>
    <cellStyle name="Comma 4 3 2 2 2" xfId="803"/>
    <cellStyle name="Comma 4 3 2 2 2 2" xfId="804"/>
    <cellStyle name="Comma 4 3 2 2 2 2 2" xfId="805"/>
    <cellStyle name="Comma 4 3 2 2 2 3" xfId="806"/>
    <cellStyle name="Comma 4 3 2 2 2 3 2" xfId="807"/>
    <cellStyle name="Comma 4 3 2 2 2 4" xfId="808"/>
    <cellStyle name="Comma 4 3 2 2 3" xfId="809"/>
    <cellStyle name="Comma 4 3 2 2 3 2" xfId="810"/>
    <cellStyle name="Comma 4 3 2 2 4" xfId="811"/>
    <cellStyle name="Comma 4 3 2 2 4 2" xfId="812"/>
    <cellStyle name="Comma 4 3 2 2 5" xfId="813"/>
    <cellStyle name="Comma 4 3 2 3" xfId="814"/>
    <cellStyle name="Comma 4 3 2 3 2" xfId="815"/>
    <cellStyle name="Comma 4 3 2 3 2 2" xfId="816"/>
    <cellStyle name="Comma 4 3 2 3 3" xfId="817"/>
    <cellStyle name="Comma 4 3 2 3 3 2" xfId="818"/>
    <cellStyle name="Comma 4 3 2 3 4" xfId="819"/>
    <cellStyle name="Comma 4 3 2 4" xfId="820"/>
    <cellStyle name="Comma 4 3 2 4 2" xfId="821"/>
    <cellStyle name="Comma 4 3 2 5" xfId="822"/>
    <cellStyle name="Comma 4 3 2 5 2" xfId="823"/>
    <cellStyle name="Comma 4 3 2 6" xfId="824"/>
    <cellStyle name="Comma 4 3 2 7" xfId="825"/>
    <cellStyle name="Comma 4 3 2 8" xfId="826"/>
    <cellStyle name="Comma 4 3 3" xfId="827"/>
    <cellStyle name="Comma 4 3 3 2" xfId="828"/>
    <cellStyle name="Comma 4 3 3 2 2" xfId="829"/>
    <cellStyle name="Comma 4 3 3 2 2 2" xfId="830"/>
    <cellStyle name="Comma 4 3 3 2 2 2 2" xfId="831"/>
    <cellStyle name="Comma 4 3 3 2 2 3" xfId="832"/>
    <cellStyle name="Comma 4 3 3 2 2 3 2" xfId="833"/>
    <cellStyle name="Comma 4 3 3 2 2 4" xfId="834"/>
    <cellStyle name="Comma 4 3 3 2 3" xfId="835"/>
    <cellStyle name="Comma 4 3 3 2 3 2" xfId="836"/>
    <cellStyle name="Comma 4 3 3 2 4" xfId="837"/>
    <cellStyle name="Comma 4 3 3 2 4 2" xfId="838"/>
    <cellStyle name="Comma 4 3 3 2 5" xfId="839"/>
    <cellStyle name="Comma 4 3 3 3" xfId="840"/>
    <cellStyle name="Comma 4 3 3 3 2" xfId="841"/>
    <cellStyle name="Comma 4 3 3 3 2 2" xfId="842"/>
    <cellStyle name="Comma 4 3 3 3 3" xfId="843"/>
    <cellStyle name="Comma 4 3 3 3 3 2" xfId="844"/>
    <cellStyle name="Comma 4 3 3 3 4" xfId="845"/>
    <cellStyle name="Comma 4 3 3 4" xfId="846"/>
    <cellStyle name="Comma 4 3 3 4 2" xfId="847"/>
    <cellStyle name="Comma 4 3 3 5" xfId="848"/>
    <cellStyle name="Comma 4 3 3 5 2" xfId="849"/>
    <cellStyle name="Comma 4 3 3 6" xfId="850"/>
    <cellStyle name="Comma 4 3 3 7" xfId="851"/>
    <cellStyle name="Comma 4 3 4" xfId="852"/>
    <cellStyle name="Comma 4 3 4 2" xfId="853"/>
    <cellStyle name="Comma 4 3 4 2 2" xfId="854"/>
    <cellStyle name="Comma 4 3 4 2 2 2" xfId="855"/>
    <cellStyle name="Comma 4 3 4 2 3" xfId="856"/>
    <cellStyle name="Comma 4 3 4 2 3 2" xfId="857"/>
    <cellStyle name="Comma 4 3 4 2 4" xfId="858"/>
    <cellStyle name="Comma 4 3 4 3" xfId="859"/>
    <cellStyle name="Comma 4 3 4 3 2" xfId="860"/>
    <cellStyle name="Comma 4 3 4 4" xfId="861"/>
    <cellStyle name="Comma 4 3 4 4 2" xfId="862"/>
    <cellStyle name="Comma 4 3 4 5" xfId="863"/>
    <cellStyle name="Comma 4 3 5" xfId="864"/>
    <cellStyle name="Comma 4 3 5 2" xfId="865"/>
    <cellStyle name="Comma 4 3 5 2 2" xfId="866"/>
    <cellStyle name="Comma 4 3 5 3" xfId="867"/>
    <cellStyle name="Comma 4 3 5 3 2" xfId="868"/>
    <cellStyle name="Comma 4 3 5 4" xfId="869"/>
    <cellStyle name="Comma 4 3 6" xfId="870"/>
    <cellStyle name="Comma 4 3 6 2" xfId="871"/>
    <cellStyle name="Comma 4 3 7" xfId="872"/>
    <cellStyle name="Comma 4 3 7 2" xfId="873"/>
    <cellStyle name="Comma 4 3 8" xfId="874"/>
    <cellStyle name="Comma 4 3 9" xfId="875"/>
    <cellStyle name="Comma 4 4" xfId="876"/>
    <cellStyle name="Comma 4 4 10" xfId="877"/>
    <cellStyle name="Comma 4 4 2" xfId="878"/>
    <cellStyle name="Comma 4 4 2 2" xfId="879"/>
    <cellStyle name="Comma 4 4 2 2 2" xfId="880"/>
    <cellStyle name="Comma 4 4 2 2 2 2" xfId="881"/>
    <cellStyle name="Comma 4 4 2 2 2 2 2" xfId="882"/>
    <cellStyle name="Comma 4 4 2 2 2 3" xfId="883"/>
    <cellStyle name="Comma 4 4 2 2 2 3 2" xfId="884"/>
    <cellStyle name="Comma 4 4 2 2 2 4" xfId="885"/>
    <cellStyle name="Comma 4 4 2 2 3" xfId="886"/>
    <cellStyle name="Comma 4 4 2 2 3 2" xfId="887"/>
    <cellStyle name="Comma 4 4 2 2 4" xfId="888"/>
    <cellStyle name="Comma 4 4 2 2 4 2" xfId="889"/>
    <cellStyle name="Comma 4 4 2 2 5" xfId="890"/>
    <cellStyle name="Comma 4 4 2 3" xfId="891"/>
    <cellStyle name="Comma 4 4 2 3 2" xfId="892"/>
    <cellStyle name="Comma 4 4 2 3 2 2" xfId="893"/>
    <cellStyle name="Comma 4 4 2 3 3" xfId="894"/>
    <cellStyle name="Comma 4 4 2 3 3 2" xfId="895"/>
    <cellStyle name="Comma 4 4 2 3 4" xfId="896"/>
    <cellStyle name="Comma 4 4 2 4" xfId="897"/>
    <cellStyle name="Comma 4 4 2 4 2" xfId="898"/>
    <cellStyle name="Comma 4 4 2 5" xfId="899"/>
    <cellStyle name="Comma 4 4 2 5 2" xfId="900"/>
    <cellStyle name="Comma 4 4 2 6" xfId="901"/>
    <cellStyle name="Comma 4 4 2 7" xfId="902"/>
    <cellStyle name="Comma 4 4 3" xfId="903"/>
    <cellStyle name="Comma 4 4 3 2" xfId="904"/>
    <cellStyle name="Comma 4 4 3 2 2" xfId="905"/>
    <cellStyle name="Comma 4 4 3 2 2 2" xfId="906"/>
    <cellStyle name="Comma 4 4 3 2 3" xfId="907"/>
    <cellStyle name="Comma 4 4 3 2 3 2" xfId="908"/>
    <cellStyle name="Comma 4 4 3 2 4" xfId="909"/>
    <cellStyle name="Comma 4 4 3 3" xfId="910"/>
    <cellStyle name="Comma 4 4 3 3 2" xfId="911"/>
    <cellStyle name="Comma 4 4 3 4" xfId="912"/>
    <cellStyle name="Comma 4 4 3 4 2" xfId="913"/>
    <cellStyle name="Comma 4 4 3 5" xfId="914"/>
    <cellStyle name="Comma 4 4 3 6" xfId="915"/>
    <cellStyle name="Comma 4 4 4" xfId="916"/>
    <cellStyle name="Comma 4 4 4 2" xfId="917"/>
    <cellStyle name="Comma 4 4 4 2 2" xfId="918"/>
    <cellStyle name="Comma 4 4 4 3" xfId="919"/>
    <cellStyle name="Comma 4 4 4 3 2" xfId="920"/>
    <cellStyle name="Comma 4 4 4 4" xfId="921"/>
    <cellStyle name="Comma 4 4 5" xfId="922"/>
    <cellStyle name="Comma 4 4 5 2" xfId="923"/>
    <cellStyle name="Comma 4 4 5 3" xfId="924"/>
    <cellStyle name="Comma 4 4 6" xfId="925"/>
    <cellStyle name="Comma 4 4 6 2" xfId="926"/>
    <cellStyle name="Comma 4 4 7" xfId="927"/>
    <cellStyle name="Comma 4 4 8" xfId="928"/>
    <cellStyle name="Comma 4 4 9" xfId="929"/>
    <cellStyle name="Comma 4 5" xfId="930"/>
    <cellStyle name="Comma 4 5 2" xfId="931"/>
    <cellStyle name="Comma 4 5 2 2" xfId="932"/>
    <cellStyle name="Comma 4 5 2 2 2" xfId="933"/>
    <cellStyle name="Comma 4 5 2 2 2 2" xfId="934"/>
    <cellStyle name="Comma 4 5 2 2 3" xfId="935"/>
    <cellStyle name="Comma 4 5 2 2 3 2" xfId="936"/>
    <cellStyle name="Comma 4 5 2 2 4" xfId="937"/>
    <cellStyle name="Comma 4 5 2 3" xfId="938"/>
    <cellStyle name="Comma 4 5 2 3 2" xfId="939"/>
    <cellStyle name="Comma 4 5 2 4" xfId="940"/>
    <cellStyle name="Comma 4 5 2 4 2" xfId="941"/>
    <cellStyle name="Comma 4 5 2 5" xfId="942"/>
    <cellStyle name="Comma 4 5 2 6" xfId="943"/>
    <cellStyle name="Comma 4 5 3" xfId="944"/>
    <cellStyle name="Comma 4 5 3 2" xfId="945"/>
    <cellStyle name="Comma 4 5 3 2 2" xfId="946"/>
    <cellStyle name="Comma 4 5 3 3" xfId="947"/>
    <cellStyle name="Comma 4 5 3 3 2" xfId="948"/>
    <cellStyle name="Comma 4 5 3 4" xfId="949"/>
    <cellStyle name="Comma 4 5 4" xfId="950"/>
    <cellStyle name="Comma 4 5 4 2" xfId="951"/>
    <cellStyle name="Comma 4 5 5" xfId="952"/>
    <cellStyle name="Comma 4 5 5 2" xfId="953"/>
    <cellStyle name="Comma 4 5 6" xfId="954"/>
    <cellStyle name="Comma 4 6" xfId="955"/>
    <cellStyle name="Comma 4 6 2" xfId="956"/>
    <cellStyle name="Comma 4 6 2 2" xfId="957"/>
    <cellStyle name="Comma 4 6 2 2 2" xfId="958"/>
    <cellStyle name="Comma 4 6 2 3" xfId="959"/>
    <cellStyle name="Comma 4 6 2 3 2" xfId="960"/>
    <cellStyle name="Comma 4 6 2 4" xfId="961"/>
    <cellStyle name="Comma 4 6 3" xfId="962"/>
    <cellStyle name="Comma 4 6 3 2" xfId="963"/>
    <cellStyle name="Comma 4 6 4" xfId="964"/>
    <cellStyle name="Comma 4 6 4 2" xfId="965"/>
    <cellStyle name="Comma 4 6 5" xfId="966"/>
    <cellStyle name="Comma 4 6 6" xfId="967"/>
    <cellStyle name="Comma 4 7" xfId="968"/>
    <cellStyle name="Comma 4 7 2" xfId="969"/>
    <cellStyle name="Comma 4 7 2 2" xfId="970"/>
    <cellStyle name="Comma 4 7 3" xfId="971"/>
    <cellStyle name="Comma 4 7 3 2" xfId="972"/>
    <cellStyle name="Comma 4 7 4" xfId="973"/>
    <cellStyle name="Comma 4 8" xfId="974"/>
    <cellStyle name="Comma 4 8 2" xfId="975"/>
    <cellStyle name="Comma 4 9" xfId="976"/>
    <cellStyle name="Comma 4 9 2" xfId="977"/>
    <cellStyle name="Comma 5" xfId="978"/>
    <cellStyle name="Comma 5 10" xfId="979"/>
    <cellStyle name="Comma 5 2" xfId="980"/>
    <cellStyle name="Comma 5 2 2" xfId="981"/>
    <cellStyle name="Comma 5 2 2 2" xfId="982"/>
    <cellStyle name="Comma 5 2 2 2 2" xfId="983"/>
    <cellStyle name="Comma 5 2 2 2 2 2" xfId="984"/>
    <cellStyle name="Comma 5 2 2 2 2 2 2" xfId="985"/>
    <cellStyle name="Comma 5 2 2 2 2 2 2 2" xfId="986"/>
    <cellStyle name="Comma 5 2 2 2 2 2 3" xfId="987"/>
    <cellStyle name="Comma 5 2 2 2 2 2 3 2" xfId="988"/>
    <cellStyle name="Comma 5 2 2 2 2 2 4" xfId="989"/>
    <cellStyle name="Comma 5 2 2 2 2 3" xfId="990"/>
    <cellStyle name="Comma 5 2 2 2 2 3 2" xfId="991"/>
    <cellStyle name="Comma 5 2 2 2 2 4" xfId="992"/>
    <cellStyle name="Comma 5 2 2 2 2 4 2" xfId="993"/>
    <cellStyle name="Comma 5 2 2 2 2 5" xfId="994"/>
    <cellStyle name="Comma 5 2 2 2 3" xfId="995"/>
    <cellStyle name="Comma 5 2 2 2 3 2" xfId="996"/>
    <cellStyle name="Comma 5 2 2 2 3 2 2" xfId="997"/>
    <cellStyle name="Comma 5 2 2 2 3 3" xfId="998"/>
    <cellStyle name="Comma 5 2 2 2 3 3 2" xfId="999"/>
    <cellStyle name="Comma 5 2 2 2 3 4" xfId="1000"/>
    <cellStyle name="Comma 5 2 2 2 4" xfId="1001"/>
    <cellStyle name="Comma 5 2 2 2 4 2" xfId="1002"/>
    <cellStyle name="Comma 5 2 2 2 5" xfId="1003"/>
    <cellStyle name="Comma 5 2 2 2 5 2" xfId="1004"/>
    <cellStyle name="Comma 5 2 2 2 6" xfId="1005"/>
    <cellStyle name="Comma 5 2 2 3" xfId="1006"/>
    <cellStyle name="Comma 5 2 2 3 2" xfId="1007"/>
    <cellStyle name="Comma 5 2 2 3 2 2" xfId="1008"/>
    <cellStyle name="Comma 5 2 2 3 2 2 2" xfId="1009"/>
    <cellStyle name="Comma 5 2 2 3 2 3" xfId="1010"/>
    <cellStyle name="Comma 5 2 2 3 2 3 2" xfId="1011"/>
    <cellStyle name="Comma 5 2 2 3 2 4" xfId="1012"/>
    <cellStyle name="Comma 5 2 2 3 3" xfId="1013"/>
    <cellStyle name="Comma 5 2 2 3 3 2" xfId="1014"/>
    <cellStyle name="Comma 5 2 2 3 4" xfId="1015"/>
    <cellStyle name="Comma 5 2 2 3 4 2" xfId="1016"/>
    <cellStyle name="Comma 5 2 2 3 5" xfId="1017"/>
    <cellStyle name="Comma 5 2 2 4" xfId="1018"/>
    <cellStyle name="Comma 5 2 2 4 2" xfId="1019"/>
    <cellStyle name="Comma 5 2 2 4 2 2" xfId="1020"/>
    <cellStyle name="Comma 5 2 2 4 3" xfId="1021"/>
    <cellStyle name="Comma 5 2 2 4 3 2" xfId="1022"/>
    <cellStyle name="Comma 5 2 2 4 4" xfId="1023"/>
    <cellStyle name="Comma 5 2 2 5" xfId="1024"/>
    <cellStyle name="Comma 5 2 2 5 2" xfId="1025"/>
    <cellStyle name="Comma 5 2 2 6" xfId="1026"/>
    <cellStyle name="Comma 5 2 2 6 2" xfId="1027"/>
    <cellStyle name="Comma 5 2 2 7" xfId="1028"/>
    <cellStyle name="Comma 5 2 2 8" xfId="1029"/>
    <cellStyle name="Comma 5 2 3" xfId="1030"/>
    <cellStyle name="Comma 5 2 3 2" xfId="1031"/>
    <cellStyle name="Comma 5 2 3 2 2" xfId="1032"/>
    <cellStyle name="Comma 5 2 3 2 2 2" xfId="1033"/>
    <cellStyle name="Comma 5 2 3 2 2 2 2" xfId="1034"/>
    <cellStyle name="Comma 5 2 3 2 2 3" xfId="1035"/>
    <cellStyle name="Comma 5 2 3 2 2 3 2" xfId="1036"/>
    <cellStyle name="Comma 5 2 3 2 2 4" xfId="1037"/>
    <cellStyle name="Comma 5 2 3 2 3" xfId="1038"/>
    <cellStyle name="Comma 5 2 3 2 3 2" xfId="1039"/>
    <cellStyle name="Comma 5 2 3 2 4" xfId="1040"/>
    <cellStyle name="Comma 5 2 3 2 4 2" xfId="1041"/>
    <cellStyle name="Comma 5 2 3 2 5" xfId="1042"/>
    <cellStyle name="Comma 5 2 3 3" xfId="1043"/>
    <cellStyle name="Comma 5 2 3 3 2" xfId="1044"/>
    <cellStyle name="Comma 5 2 3 3 2 2" xfId="1045"/>
    <cellStyle name="Comma 5 2 3 3 3" xfId="1046"/>
    <cellStyle name="Comma 5 2 3 3 3 2" xfId="1047"/>
    <cellStyle name="Comma 5 2 3 3 4" xfId="1048"/>
    <cellStyle name="Comma 5 2 3 4" xfId="1049"/>
    <cellStyle name="Comma 5 2 3 4 2" xfId="1050"/>
    <cellStyle name="Comma 5 2 3 5" xfId="1051"/>
    <cellStyle name="Comma 5 2 3 5 2" xfId="1052"/>
    <cellStyle name="Comma 5 2 3 6" xfId="1053"/>
    <cellStyle name="Comma 5 2 4" xfId="1054"/>
    <cellStyle name="Comma 5 2 4 2" xfId="1055"/>
    <cellStyle name="Comma 5 2 4 2 2" xfId="1056"/>
    <cellStyle name="Comma 5 2 4 2 2 2" xfId="1057"/>
    <cellStyle name="Comma 5 2 4 2 3" xfId="1058"/>
    <cellStyle name="Comma 5 2 4 2 3 2" xfId="1059"/>
    <cellStyle name="Comma 5 2 4 2 4" xfId="1060"/>
    <cellStyle name="Comma 5 2 4 3" xfId="1061"/>
    <cellStyle name="Comma 5 2 4 3 2" xfId="1062"/>
    <cellStyle name="Comma 5 2 4 4" xfId="1063"/>
    <cellStyle name="Comma 5 2 4 4 2" xfId="1064"/>
    <cellStyle name="Comma 5 2 4 5" xfId="1065"/>
    <cellStyle name="Comma 5 2 5" xfId="1066"/>
    <cellStyle name="Comma 5 2 5 2" xfId="1067"/>
    <cellStyle name="Comma 5 2 5 2 2" xfId="1068"/>
    <cellStyle name="Comma 5 2 5 3" xfId="1069"/>
    <cellStyle name="Comma 5 2 5 3 2" xfId="1070"/>
    <cellStyle name="Comma 5 2 5 4" xfId="1071"/>
    <cellStyle name="Comma 5 2 6" xfId="1072"/>
    <cellStyle name="Comma 5 2 6 2" xfId="1073"/>
    <cellStyle name="Comma 5 2 7" xfId="1074"/>
    <cellStyle name="Comma 5 2 7 2" xfId="1075"/>
    <cellStyle name="Comma 5 2 8" xfId="1076"/>
    <cellStyle name="Comma 5 2 9" xfId="1077"/>
    <cellStyle name="Comma 5 3" xfId="1078"/>
    <cellStyle name="Comma 5 3 2" xfId="1079"/>
    <cellStyle name="Comma 5 3 2 2" xfId="1080"/>
    <cellStyle name="Comma 5 3 2 2 2" xfId="1081"/>
    <cellStyle name="Comma 5 3 2 2 2 2" xfId="1082"/>
    <cellStyle name="Comma 5 3 2 2 2 2 2" xfId="1083"/>
    <cellStyle name="Comma 5 3 2 2 2 3" xfId="1084"/>
    <cellStyle name="Comma 5 3 2 2 2 3 2" xfId="1085"/>
    <cellStyle name="Comma 5 3 2 2 2 4" xfId="1086"/>
    <cellStyle name="Comma 5 3 2 2 3" xfId="1087"/>
    <cellStyle name="Comma 5 3 2 2 3 2" xfId="1088"/>
    <cellStyle name="Comma 5 3 2 2 4" xfId="1089"/>
    <cellStyle name="Comma 5 3 2 2 4 2" xfId="1090"/>
    <cellStyle name="Comma 5 3 2 2 5" xfId="1091"/>
    <cellStyle name="Comma 5 3 2 3" xfId="1092"/>
    <cellStyle name="Comma 5 3 2 3 2" xfId="1093"/>
    <cellStyle name="Comma 5 3 2 3 2 2" xfId="1094"/>
    <cellStyle name="Comma 5 3 2 3 3" xfId="1095"/>
    <cellStyle name="Comma 5 3 2 3 3 2" xfId="1096"/>
    <cellStyle name="Comma 5 3 2 3 4" xfId="1097"/>
    <cellStyle name="Comma 5 3 2 4" xfId="1098"/>
    <cellStyle name="Comma 5 3 2 4 2" xfId="1099"/>
    <cellStyle name="Comma 5 3 2 5" xfId="1100"/>
    <cellStyle name="Comma 5 3 2 5 2" xfId="1101"/>
    <cellStyle name="Comma 5 3 2 6" xfId="1102"/>
    <cellStyle name="Comma 5 3 3" xfId="1103"/>
    <cellStyle name="Comma 5 3 3 2" xfId="1104"/>
    <cellStyle name="Comma 5 3 3 2 2" xfId="1105"/>
    <cellStyle name="Comma 5 3 3 2 2 2" xfId="1106"/>
    <cellStyle name="Comma 5 3 3 2 3" xfId="1107"/>
    <cellStyle name="Comma 5 3 3 2 3 2" xfId="1108"/>
    <cellStyle name="Comma 5 3 3 2 4" xfId="1109"/>
    <cellStyle name="Comma 5 3 3 3" xfId="1110"/>
    <cellStyle name="Comma 5 3 3 3 2" xfId="1111"/>
    <cellStyle name="Comma 5 3 3 4" xfId="1112"/>
    <cellStyle name="Comma 5 3 3 4 2" xfId="1113"/>
    <cellStyle name="Comma 5 3 3 5" xfId="1114"/>
    <cellStyle name="Comma 5 3 4" xfId="1115"/>
    <cellStyle name="Comma 5 3 4 2" xfId="1116"/>
    <cellStyle name="Comma 5 3 4 2 2" xfId="1117"/>
    <cellStyle name="Comma 5 3 4 3" xfId="1118"/>
    <cellStyle name="Comma 5 3 4 3 2" xfId="1119"/>
    <cellStyle name="Comma 5 3 4 4" xfId="1120"/>
    <cellStyle name="Comma 5 3 5" xfId="1121"/>
    <cellStyle name="Comma 5 3 5 2" xfId="1122"/>
    <cellStyle name="Comma 5 3 6" xfId="1123"/>
    <cellStyle name="Comma 5 3 6 2" xfId="1124"/>
    <cellStyle name="Comma 5 3 7" xfId="1125"/>
    <cellStyle name="Comma 5 3 8" xfId="1126"/>
    <cellStyle name="Comma 5 4" xfId="1127"/>
    <cellStyle name="Comma 5 4 2" xfId="1128"/>
    <cellStyle name="Comma 5 4 2 2" xfId="1129"/>
    <cellStyle name="Comma 5 4 2 2 2" xfId="1130"/>
    <cellStyle name="Comma 5 4 2 2 2 2" xfId="1131"/>
    <cellStyle name="Comma 5 4 2 2 2 2 2" xfId="1132"/>
    <cellStyle name="Comma 5 4 2 2 2 3" xfId="1133"/>
    <cellStyle name="Comma 5 4 2 2 2 3 2" xfId="1134"/>
    <cellStyle name="Comma 5 4 2 2 2 4" xfId="1135"/>
    <cellStyle name="Comma 5 4 2 2 3" xfId="1136"/>
    <cellStyle name="Comma 5 4 2 2 3 2" xfId="1137"/>
    <cellStyle name="Comma 5 4 2 2 4" xfId="1138"/>
    <cellStyle name="Comma 5 4 2 2 4 2" xfId="1139"/>
    <cellStyle name="Comma 5 4 2 2 5" xfId="1140"/>
    <cellStyle name="Comma 5 4 2 3" xfId="1141"/>
    <cellStyle name="Comma 5 4 2 3 2" xfId="1142"/>
    <cellStyle name="Comma 5 4 2 3 2 2" xfId="1143"/>
    <cellStyle name="Comma 5 4 2 3 3" xfId="1144"/>
    <cellStyle name="Comma 5 4 2 3 3 2" xfId="1145"/>
    <cellStyle name="Comma 5 4 2 3 4" xfId="1146"/>
    <cellStyle name="Comma 5 4 2 4" xfId="1147"/>
    <cellStyle name="Comma 5 4 2 4 2" xfId="1148"/>
    <cellStyle name="Comma 5 4 2 5" xfId="1149"/>
    <cellStyle name="Comma 5 4 2 5 2" xfId="1150"/>
    <cellStyle name="Comma 5 4 2 6" xfId="1151"/>
    <cellStyle name="Comma 5 4 3" xfId="1152"/>
    <cellStyle name="Comma 5 4 3 2" xfId="1153"/>
    <cellStyle name="Comma 5 4 3 2 2" xfId="1154"/>
    <cellStyle name="Comma 5 4 3 2 2 2" xfId="1155"/>
    <cellStyle name="Comma 5 4 3 2 3" xfId="1156"/>
    <cellStyle name="Comma 5 4 3 2 3 2" xfId="1157"/>
    <cellStyle name="Comma 5 4 3 2 4" xfId="1158"/>
    <cellStyle name="Comma 5 4 3 3" xfId="1159"/>
    <cellStyle name="Comma 5 4 3 3 2" xfId="1160"/>
    <cellStyle name="Comma 5 4 3 4" xfId="1161"/>
    <cellStyle name="Comma 5 4 3 4 2" xfId="1162"/>
    <cellStyle name="Comma 5 4 3 5" xfId="1163"/>
    <cellStyle name="Comma 5 4 4" xfId="1164"/>
    <cellStyle name="Comma 5 4 4 2" xfId="1165"/>
    <cellStyle name="Comma 5 4 4 2 2" xfId="1166"/>
    <cellStyle name="Comma 5 4 4 3" xfId="1167"/>
    <cellStyle name="Comma 5 4 4 3 2" xfId="1168"/>
    <cellStyle name="Comma 5 4 4 4" xfId="1169"/>
    <cellStyle name="Comma 5 4 5" xfId="1170"/>
    <cellStyle name="Comma 5 4 5 2" xfId="1171"/>
    <cellStyle name="Comma 5 4 6" xfId="1172"/>
    <cellStyle name="Comma 5 4 6 2" xfId="1173"/>
    <cellStyle name="Comma 5 4 7" xfId="1174"/>
    <cellStyle name="Comma 5 5" xfId="1175"/>
    <cellStyle name="Comma 5 5 2" xfId="1176"/>
    <cellStyle name="Comma 5 5 2 2" xfId="1177"/>
    <cellStyle name="Comma 5 5 2 2 2" xfId="1178"/>
    <cellStyle name="Comma 5 5 2 2 2 2" xfId="1179"/>
    <cellStyle name="Comma 5 5 2 2 3" xfId="1180"/>
    <cellStyle name="Comma 5 5 2 2 3 2" xfId="1181"/>
    <cellStyle name="Comma 5 5 2 2 4" xfId="1182"/>
    <cellStyle name="Comma 5 5 2 3" xfId="1183"/>
    <cellStyle name="Comma 5 5 2 3 2" xfId="1184"/>
    <cellStyle name="Comma 5 5 2 4" xfId="1185"/>
    <cellStyle name="Comma 5 5 2 4 2" xfId="1186"/>
    <cellStyle name="Comma 5 5 2 5" xfId="1187"/>
    <cellStyle name="Comma 5 5 3" xfId="1188"/>
    <cellStyle name="Comma 5 5 3 2" xfId="1189"/>
    <cellStyle name="Comma 5 5 3 2 2" xfId="1190"/>
    <cellStyle name="Comma 5 5 3 3" xfId="1191"/>
    <cellStyle name="Comma 5 5 3 3 2" xfId="1192"/>
    <cellStyle name="Comma 5 5 3 4" xfId="1193"/>
    <cellStyle name="Comma 5 5 4" xfId="1194"/>
    <cellStyle name="Comma 5 5 4 2" xfId="1195"/>
    <cellStyle name="Comma 5 5 5" xfId="1196"/>
    <cellStyle name="Comma 5 5 5 2" xfId="1197"/>
    <cellStyle name="Comma 5 5 6" xfId="1198"/>
    <cellStyle name="Comma 5 6" xfId="1199"/>
    <cellStyle name="Comma 5 6 2" xfId="1200"/>
    <cellStyle name="Comma 5 6 2 2" xfId="1201"/>
    <cellStyle name="Comma 5 6 2 2 2" xfId="1202"/>
    <cellStyle name="Comma 5 6 2 3" xfId="1203"/>
    <cellStyle name="Comma 5 6 2 3 2" xfId="1204"/>
    <cellStyle name="Comma 5 6 2 4" xfId="1205"/>
    <cellStyle name="Comma 5 6 3" xfId="1206"/>
    <cellStyle name="Comma 5 6 3 2" xfId="1207"/>
    <cellStyle name="Comma 5 6 4" xfId="1208"/>
    <cellStyle name="Comma 5 6 4 2" xfId="1209"/>
    <cellStyle name="Comma 5 6 5" xfId="1210"/>
    <cellStyle name="Comma 5 7" xfId="1211"/>
    <cellStyle name="Comma 5 7 2" xfId="1212"/>
    <cellStyle name="Comma 5 7 2 2" xfId="1213"/>
    <cellStyle name="Comma 5 7 3" xfId="1214"/>
    <cellStyle name="Comma 5 7 3 2" xfId="1215"/>
    <cellStyle name="Comma 5 7 4" xfId="1216"/>
    <cellStyle name="Comma 5 8" xfId="1217"/>
    <cellStyle name="Comma 5 8 2" xfId="1218"/>
    <cellStyle name="Comma 5 9" xfId="1219"/>
    <cellStyle name="Comma 5 9 2" xfId="1220"/>
    <cellStyle name="Comma 6" xfId="1221"/>
    <cellStyle name="Comma 6 10" xfId="1222"/>
    <cellStyle name="Comma 6 2" xfId="1223"/>
    <cellStyle name="Comma 6 2 2" xfId="1224"/>
    <cellStyle name="Comma 6 2 2 2" xfId="1225"/>
    <cellStyle name="Comma 6 2 2 2 2" xfId="1226"/>
    <cellStyle name="Comma 6 2 2 2 2 2" xfId="1227"/>
    <cellStyle name="Comma 6 2 2 2 2 2 2" xfId="1228"/>
    <cellStyle name="Comma 6 2 2 2 2 2 2 2" xfId="1229"/>
    <cellStyle name="Comma 6 2 2 2 2 2 3" xfId="1230"/>
    <cellStyle name="Comma 6 2 2 2 2 2 3 2" xfId="1231"/>
    <cellStyle name="Comma 6 2 2 2 2 2 4" xfId="1232"/>
    <cellStyle name="Comma 6 2 2 2 2 3" xfId="1233"/>
    <cellStyle name="Comma 6 2 2 2 2 3 2" xfId="1234"/>
    <cellStyle name="Comma 6 2 2 2 2 4" xfId="1235"/>
    <cellStyle name="Comma 6 2 2 2 2 4 2" xfId="1236"/>
    <cellStyle name="Comma 6 2 2 2 2 5" xfId="1237"/>
    <cellStyle name="Comma 6 2 2 2 3" xfId="1238"/>
    <cellStyle name="Comma 6 2 2 2 3 2" xfId="1239"/>
    <cellStyle name="Comma 6 2 2 2 3 2 2" xfId="1240"/>
    <cellStyle name="Comma 6 2 2 2 3 3" xfId="1241"/>
    <cellStyle name="Comma 6 2 2 2 3 3 2" xfId="1242"/>
    <cellStyle name="Comma 6 2 2 2 3 4" xfId="1243"/>
    <cellStyle name="Comma 6 2 2 2 4" xfId="1244"/>
    <cellStyle name="Comma 6 2 2 2 4 2" xfId="1245"/>
    <cellStyle name="Comma 6 2 2 2 5" xfId="1246"/>
    <cellStyle name="Comma 6 2 2 2 5 2" xfId="1247"/>
    <cellStyle name="Comma 6 2 2 2 6" xfId="1248"/>
    <cellStyle name="Comma 6 2 2 3" xfId="1249"/>
    <cellStyle name="Comma 6 2 2 3 2" xfId="1250"/>
    <cellStyle name="Comma 6 2 2 3 2 2" xfId="1251"/>
    <cellStyle name="Comma 6 2 2 3 2 2 2" xfId="1252"/>
    <cellStyle name="Comma 6 2 2 3 2 3" xfId="1253"/>
    <cellStyle name="Comma 6 2 2 3 2 3 2" xfId="1254"/>
    <cellStyle name="Comma 6 2 2 3 2 4" xfId="1255"/>
    <cellStyle name="Comma 6 2 2 3 3" xfId="1256"/>
    <cellStyle name="Comma 6 2 2 3 3 2" xfId="1257"/>
    <cellStyle name="Comma 6 2 2 3 4" xfId="1258"/>
    <cellStyle name="Comma 6 2 2 3 4 2" xfId="1259"/>
    <cellStyle name="Comma 6 2 2 3 5" xfId="1260"/>
    <cellStyle name="Comma 6 2 2 4" xfId="1261"/>
    <cellStyle name="Comma 6 2 2 4 2" xfId="1262"/>
    <cellStyle name="Comma 6 2 2 4 2 2" xfId="1263"/>
    <cellStyle name="Comma 6 2 2 4 3" xfId="1264"/>
    <cellStyle name="Comma 6 2 2 4 3 2" xfId="1265"/>
    <cellStyle name="Comma 6 2 2 4 4" xfId="1266"/>
    <cellStyle name="Comma 6 2 2 5" xfId="1267"/>
    <cellStyle name="Comma 6 2 2 5 2" xfId="1268"/>
    <cellStyle name="Comma 6 2 2 6" xfId="1269"/>
    <cellStyle name="Comma 6 2 2 6 2" xfId="1270"/>
    <cellStyle name="Comma 6 2 2 7" xfId="1271"/>
    <cellStyle name="Comma 6 2 3" xfId="1272"/>
    <cellStyle name="Comma 6 2 3 2" xfId="1273"/>
    <cellStyle name="Comma 6 2 3 2 2" xfId="1274"/>
    <cellStyle name="Comma 6 2 3 2 2 2" xfId="1275"/>
    <cellStyle name="Comma 6 2 3 2 2 2 2" xfId="1276"/>
    <cellStyle name="Comma 6 2 3 2 2 3" xfId="1277"/>
    <cellStyle name="Comma 6 2 3 2 2 3 2" xfId="1278"/>
    <cellStyle name="Comma 6 2 3 2 2 4" xfId="1279"/>
    <cellStyle name="Comma 6 2 3 2 3" xfId="1280"/>
    <cellStyle name="Comma 6 2 3 2 3 2" xfId="1281"/>
    <cellStyle name="Comma 6 2 3 2 4" xfId="1282"/>
    <cellStyle name="Comma 6 2 3 2 4 2" xfId="1283"/>
    <cellStyle name="Comma 6 2 3 2 5" xfId="1284"/>
    <cellStyle name="Comma 6 2 3 3" xfId="1285"/>
    <cellStyle name="Comma 6 2 3 3 2" xfId="1286"/>
    <cellStyle name="Comma 6 2 3 3 2 2" xfId="1287"/>
    <cellStyle name="Comma 6 2 3 3 3" xfId="1288"/>
    <cellStyle name="Comma 6 2 3 3 3 2" xfId="1289"/>
    <cellStyle name="Comma 6 2 3 3 4" xfId="1290"/>
    <cellStyle name="Comma 6 2 3 4" xfId="1291"/>
    <cellStyle name="Comma 6 2 3 4 2" xfId="1292"/>
    <cellStyle name="Comma 6 2 3 5" xfId="1293"/>
    <cellStyle name="Comma 6 2 3 5 2" xfId="1294"/>
    <cellStyle name="Comma 6 2 3 6" xfId="1295"/>
    <cellStyle name="Comma 6 2 4" xfId="1296"/>
    <cellStyle name="Comma 6 2 4 2" xfId="1297"/>
    <cellStyle name="Comma 6 2 4 2 2" xfId="1298"/>
    <cellStyle name="Comma 6 2 4 2 2 2" xfId="1299"/>
    <cellStyle name="Comma 6 2 4 2 3" xfId="1300"/>
    <cellStyle name="Comma 6 2 4 2 3 2" xfId="1301"/>
    <cellStyle name="Comma 6 2 4 2 4" xfId="1302"/>
    <cellStyle name="Comma 6 2 4 3" xfId="1303"/>
    <cellStyle name="Comma 6 2 4 3 2" xfId="1304"/>
    <cellStyle name="Comma 6 2 4 4" xfId="1305"/>
    <cellStyle name="Comma 6 2 4 4 2" xfId="1306"/>
    <cellStyle name="Comma 6 2 4 5" xfId="1307"/>
    <cellStyle name="Comma 6 2 5" xfId="1308"/>
    <cellStyle name="Comma 6 2 5 2" xfId="1309"/>
    <cellStyle name="Comma 6 2 5 2 2" xfId="1310"/>
    <cellStyle name="Comma 6 2 5 3" xfId="1311"/>
    <cellStyle name="Comma 6 2 5 3 2" xfId="1312"/>
    <cellStyle name="Comma 6 2 5 4" xfId="1313"/>
    <cellStyle name="Comma 6 2 6" xfId="1314"/>
    <cellStyle name="Comma 6 2 6 2" xfId="1315"/>
    <cellStyle name="Comma 6 2 7" xfId="1316"/>
    <cellStyle name="Comma 6 2 7 2" xfId="1317"/>
    <cellStyle name="Comma 6 2 8" xfId="1318"/>
    <cellStyle name="Comma 6 3" xfId="1319"/>
    <cellStyle name="Comma 6 3 2" xfId="1320"/>
    <cellStyle name="Comma 6 3 2 2" xfId="1321"/>
    <cellStyle name="Comma 6 3 2 2 2" xfId="1322"/>
    <cellStyle name="Comma 6 3 2 2 2 2" xfId="1323"/>
    <cellStyle name="Comma 6 3 2 2 2 2 2" xfId="1324"/>
    <cellStyle name="Comma 6 3 2 2 2 3" xfId="1325"/>
    <cellStyle name="Comma 6 3 2 2 2 3 2" xfId="1326"/>
    <cellStyle name="Comma 6 3 2 2 2 4" xfId="1327"/>
    <cellStyle name="Comma 6 3 2 2 3" xfId="1328"/>
    <cellStyle name="Comma 6 3 2 2 3 2" xfId="1329"/>
    <cellStyle name="Comma 6 3 2 2 4" xfId="1330"/>
    <cellStyle name="Comma 6 3 2 2 4 2" xfId="1331"/>
    <cellStyle name="Comma 6 3 2 2 5" xfId="1332"/>
    <cellStyle name="Comma 6 3 2 3" xfId="1333"/>
    <cellStyle name="Comma 6 3 2 3 2" xfId="1334"/>
    <cellStyle name="Comma 6 3 2 3 2 2" xfId="1335"/>
    <cellStyle name="Comma 6 3 2 3 3" xfId="1336"/>
    <cellStyle name="Comma 6 3 2 3 3 2" xfId="1337"/>
    <cellStyle name="Comma 6 3 2 3 4" xfId="1338"/>
    <cellStyle name="Comma 6 3 2 4" xfId="1339"/>
    <cellStyle name="Comma 6 3 2 4 2" xfId="1340"/>
    <cellStyle name="Comma 6 3 2 5" xfId="1341"/>
    <cellStyle name="Comma 6 3 2 5 2" xfId="1342"/>
    <cellStyle name="Comma 6 3 2 6" xfId="1343"/>
    <cellStyle name="Comma 6 3 3" xfId="1344"/>
    <cellStyle name="Comma 6 3 3 2" xfId="1345"/>
    <cellStyle name="Comma 6 3 3 2 2" xfId="1346"/>
    <cellStyle name="Comma 6 3 3 2 2 2" xfId="1347"/>
    <cellStyle name="Comma 6 3 3 2 3" xfId="1348"/>
    <cellStyle name="Comma 6 3 3 2 3 2" xfId="1349"/>
    <cellStyle name="Comma 6 3 3 2 4" xfId="1350"/>
    <cellStyle name="Comma 6 3 3 3" xfId="1351"/>
    <cellStyle name="Comma 6 3 3 3 2" xfId="1352"/>
    <cellStyle name="Comma 6 3 3 4" xfId="1353"/>
    <cellStyle name="Comma 6 3 3 4 2" xfId="1354"/>
    <cellStyle name="Comma 6 3 3 5" xfId="1355"/>
    <cellStyle name="Comma 6 3 4" xfId="1356"/>
    <cellStyle name="Comma 6 3 4 2" xfId="1357"/>
    <cellStyle name="Comma 6 3 4 2 2" xfId="1358"/>
    <cellStyle name="Comma 6 3 4 3" xfId="1359"/>
    <cellStyle name="Comma 6 3 4 3 2" xfId="1360"/>
    <cellStyle name="Comma 6 3 4 4" xfId="1361"/>
    <cellStyle name="Comma 6 3 5" xfId="1362"/>
    <cellStyle name="Comma 6 3 5 2" xfId="1363"/>
    <cellStyle name="Comma 6 3 6" xfId="1364"/>
    <cellStyle name="Comma 6 3 6 2" xfId="1365"/>
    <cellStyle name="Comma 6 3 7" xfId="1366"/>
    <cellStyle name="Comma 6 4" xfId="1367"/>
    <cellStyle name="Comma 6 4 2" xfId="1368"/>
    <cellStyle name="Comma 6 4 2 2" xfId="1369"/>
    <cellStyle name="Comma 6 4 2 2 2" xfId="1370"/>
    <cellStyle name="Comma 6 4 2 2 2 2" xfId="1371"/>
    <cellStyle name="Comma 6 4 2 2 2 2 2" xfId="1372"/>
    <cellStyle name="Comma 6 4 2 2 2 3" xfId="1373"/>
    <cellStyle name="Comma 6 4 2 2 2 3 2" xfId="1374"/>
    <cellStyle name="Comma 6 4 2 2 2 4" xfId="1375"/>
    <cellStyle name="Comma 6 4 2 2 3" xfId="1376"/>
    <cellStyle name="Comma 6 4 2 2 3 2" xfId="1377"/>
    <cellStyle name="Comma 6 4 2 2 4" xfId="1378"/>
    <cellStyle name="Comma 6 4 2 2 4 2" xfId="1379"/>
    <cellStyle name="Comma 6 4 2 2 5" xfId="1380"/>
    <cellStyle name="Comma 6 4 2 3" xfId="1381"/>
    <cellStyle name="Comma 6 4 2 3 2" xfId="1382"/>
    <cellStyle name="Comma 6 4 2 3 2 2" xfId="1383"/>
    <cellStyle name="Comma 6 4 2 3 3" xfId="1384"/>
    <cellStyle name="Comma 6 4 2 3 3 2" xfId="1385"/>
    <cellStyle name="Comma 6 4 2 3 4" xfId="1386"/>
    <cellStyle name="Comma 6 4 2 4" xfId="1387"/>
    <cellStyle name="Comma 6 4 2 4 2" xfId="1388"/>
    <cellStyle name="Comma 6 4 2 5" xfId="1389"/>
    <cellStyle name="Comma 6 4 2 5 2" xfId="1390"/>
    <cellStyle name="Comma 6 4 2 6" xfId="1391"/>
    <cellStyle name="Comma 6 4 3" xfId="1392"/>
    <cellStyle name="Comma 6 4 3 2" xfId="1393"/>
    <cellStyle name="Comma 6 4 3 2 2" xfId="1394"/>
    <cellStyle name="Comma 6 4 3 2 2 2" xfId="1395"/>
    <cellStyle name="Comma 6 4 3 2 3" xfId="1396"/>
    <cellStyle name="Comma 6 4 3 2 3 2" xfId="1397"/>
    <cellStyle name="Comma 6 4 3 2 4" xfId="1398"/>
    <cellStyle name="Comma 6 4 3 3" xfId="1399"/>
    <cellStyle name="Comma 6 4 3 3 2" xfId="1400"/>
    <cellStyle name="Comma 6 4 3 4" xfId="1401"/>
    <cellStyle name="Comma 6 4 3 4 2" xfId="1402"/>
    <cellStyle name="Comma 6 4 3 5" xfId="1403"/>
    <cellStyle name="Comma 6 4 4" xfId="1404"/>
    <cellStyle name="Comma 6 4 4 2" xfId="1405"/>
    <cellStyle name="Comma 6 4 4 2 2" xfId="1406"/>
    <cellStyle name="Comma 6 4 4 3" xfId="1407"/>
    <cellStyle name="Comma 6 4 4 3 2" xfId="1408"/>
    <cellStyle name="Comma 6 4 4 4" xfId="1409"/>
    <cellStyle name="Comma 6 4 5" xfId="1410"/>
    <cellStyle name="Comma 6 4 5 2" xfId="1411"/>
    <cellStyle name="Comma 6 4 6" xfId="1412"/>
    <cellStyle name="Comma 6 4 6 2" xfId="1413"/>
    <cellStyle name="Comma 6 4 7" xfId="1414"/>
    <cellStyle name="Comma 6 5" xfId="1415"/>
    <cellStyle name="Comma 6 5 2" xfId="1416"/>
    <cellStyle name="Comma 6 5 2 2" xfId="1417"/>
    <cellStyle name="Comma 6 5 2 2 2" xfId="1418"/>
    <cellStyle name="Comma 6 5 2 2 2 2" xfId="1419"/>
    <cellStyle name="Comma 6 5 2 2 3" xfId="1420"/>
    <cellStyle name="Comma 6 5 2 2 3 2" xfId="1421"/>
    <cellStyle name="Comma 6 5 2 2 4" xfId="1422"/>
    <cellStyle name="Comma 6 5 2 3" xfId="1423"/>
    <cellStyle name="Comma 6 5 2 3 2" xfId="1424"/>
    <cellStyle name="Comma 6 5 2 4" xfId="1425"/>
    <cellStyle name="Comma 6 5 2 4 2" xfId="1426"/>
    <cellStyle name="Comma 6 5 2 5" xfId="1427"/>
    <cellStyle name="Comma 6 5 3" xfId="1428"/>
    <cellStyle name="Comma 6 5 3 2" xfId="1429"/>
    <cellStyle name="Comma 6 5 3 2 2" xfId="1430"/>
    <cellStyle name="Comma 6 5 3 3" xfId="1431"/>
    <cellStyle name="Comma 6 5 3 3 2" xfId="1432"/>
    <cellStyle name="Comma 6 5 3 4" xfId="1433"/>
    <cellStyle name="Comma 6 5 4" xfId="1434"/>
    <cellStyle name="Comma 6 5 4 2" xfId="1435"/>
    <cellStyle name="Comma 6 5 5" xfId="1436"/>
    <cellStyle name="Comma 6 5 5 2" xfId="1437"/>
    <cellStyle name="Comma 6 5 6" xfId="1438"/>
    <cellStyle name="Comma 6 6" xfId="1439"/>
    <cellStyle name="Comma 6 6 2" xfId="1440"/>
    <cellStyle name="Comma 6 6 2 2" xfId="1441"/>
    <cellStyle name="Comma 6 6 2 2 2" xfId="1442"/>
    <cellStyle name="Comma 6 6 2 3" xfId="1443"/>
    <cellStyle name="Comma 6 6 2 3 2" xfId="1444"/>
    <cellStyle name="Comma 6 6 2 4" xfId="1445"/>
    <cellStyle name="Comma 6 6 3" xfId="1446"/>
    <cellStyle name="Comma 6 6 3 2" xfId="1447"/>
    <cellStyle name="Comma 6 6 4" xfId="1448"/>
    <cellStyle name="Comma 6 6 4 2" xfId="1449"/>
    <cellStyle name="Comma 6 6 5" xfId="1450"/>
    <cellStyle name="Comma 6 7" xfId="1451"/>
    <cellStyle name="Comma 6 7 2" xfId="1452"/>
    <cellStyle name="Comma 6 7 2 2" xfId="1453"/>
    <cellStyle name="Comma 6 7 3" xfId="1454"/>
    <cellStyle name="Comma 6 7 3 2" xfId="1455"/>
    <cellStyle name="Comma 6 7 4" xfId="1456"/>
    <cellStyle name="Comma 6 8" xfId="1457"/>
    <cellStyle name="Comma 6 8 2" xfId="1458"/>
    <cellStyle name="Comma 6 9" xfId="1459"/>
    <cellStyle name="Comma 6 9 2" xfId="1460"/>
    <cellStyle name="Comma 7" xfId="1461"/>
    <cellStyle name="Comma 7 10" xfId="1462"/>
    <cellStyle name="Comma 7 2" xfId="1463"/>
    <cellStyle name="Comma 7 2 2" xfId="1464"/>
    <cellStyle name="Comma 7 2 2 2" xfId="1465"/>
    <cellStyle name="Comma 7 2 2 2 2" xfId="1466"/>
    <cellStyle name="Comma 7 2 2 2 2 2" xfId="1467"/>
    <cellStyle name="Comma 7 2 2 2 2 2 2" xfId="1468"/>
    <cellStyle name="Comma 7 2 2 2 2 2 2 2" xfId="1469"/>
    <cellStyle name="Comma 7 2 2 2 2 2 3" xfId="1470"/>
    <cellStyle name="Comma 7 2 2 2 2 2 3 2" xfId="1471"/>
    <cellStyle name="Comma 7 2 2 2 2 2 4" xfId="1472"/>
    <cellStyle name="Comma 7 2 2 2 2 3" xfId="1473"/>
    <cellStyle name="Comma 7 2 2 2 2 3 2" xfId="1474"/>
    <cellStyle name="Comma 7 2 2 2 2 4" xfId="1475"/>
    <cellStyle name="Comma 7 2 2 2 2 4 2" xfId="1476"/>
    <cellStyle name="Comma 7 2 2 2 2 5" xfId="1477"/>
    <cellStyle name="Comma 7 2 2 2 3" xfId="1478"/>
    <cellStyle name="Comma 7 2 2 2 3 2" xfId="1479"/>
    <cellStyle name="Comma 7 2 2 2 3 2 2" xfId="1480"/>
    <cellStyle name="Comma 7 2 2 2 3 3" xfId="1481"/>
    <cellStyle name="Comma 7 2 2 2 3 3 2" xfId="1482"/>
    <cellStyle name="Comma 7 2 2 2 3 4" xfId="1483"/>
    <cellStyle name="Comma 7 2 2 2 4" xfId="1484"/>
    <cellStyle name="Comma 7 2 2 2 4 2" xfId="1485"/>
    <cellStyle name="Comma 7 2 2 2 5" xfId="1486"/>
    <cellStyle name="Comma 7 2 2 2 5 2" xfId="1487"/>
    <cellStyle name="Comma 7 2 2 2 6" xfId="1488"/>
    <cellStyle name="Comma 7 2 2 3" xfId="1489"/>
    <cellStyle name="Comma 7 2 2 3 2" xfId="1490"/>
    <cellStyle name="Comma 7 2 2 3 2 2" xfId="1491"/>
    <cellStyle name="Comma 7 2 2 3 2 2 2" xfId="1492"/>
    <cellStyle name="Comma 7 2 2 3 2 3" xfId="1493"/>
    <cellStyle name="Comma 7 2 2 3 2 3 2" xfId="1494"/>
    <cellStyle name="Comma 7 2 2 3 2 4" xfId="1495"/>
    <cellStyle name="Comma 7 2 2 3 3" xfId="1496"/>
    <cellStyle name="Comma 7 2 2 3 3 2" xfId="1497"/>
    <cellStyle name="Comma 7 2 2 3 4" xfId="1498"/>
    <cellStyle name="Comma 7 2 2 3 4 2" xfId="1499"/>
    <cellStyle name="Comma 7 2 2 3 5" xfId="1500"/>
    <cellStyle name="Comma 7 2 2 4" xfId="1501"/>
    <cellStyle name="Comma 7 2 2 4 2" xfId="1502"/>
    <cellStyle name="Comma 7 2 2 4 2 2" xfId="1503"/>
    <cellStyle name="Comma 7 2 2 4 3" xfId="1504"/>
    <cellStyle name="Comma 7 2 2 4 3 2" xfId="1505"/>
    <cellStyle name="Comma 7 2 2 4 4" xfId="1506"/>
    <cellStyle name="Comma 7 2 2 5" xfId="1507"/>
    <cellStyle name="Comma 7 2 2 5 2" xfId="1508"/>
    <cellStyle name="Comma 7 2 2 6" xfId="1509"/>
    <cellStyle name="Comma 7 2 2 6 2" xfId="1510"/>
    <cellStyle name="Comma 7 2 2 7" xfId="1511"/>
    <cellStyle name="Comma 7 2 3" xfId="1512"/>
    <cellStyle name="Comma 7 2 3 2" xfId="1513"/>
    <cellStyle name="Comma 7 2 3 2 2" xfId="1514"/>
    <cellStyle name="Comma 7 2 3 2 2 2" xfId="1515"/>
    <cellStyle name="Comma 7 2 3 2 2 2 2" xfId="1516"/>
    <cellStyle name="Comma 7 2 3 2 2 3" xfId="1517"/>
    <cellStyle name="Comma 7 2 3 2 2 3 2" xfId="1518"/>
    <cellStyle name="Comma 7 2 3 2 2 4" xfId="1519"/>
    <cellStyle name="Comma 7 2 3 2 3" xfId="1520"/>
    <cellStyle name="Comma 7 2 3 2 3 2" xfId="1521"/>
    <cellStyle name="Comma 7 2 3 2 4" xfId="1522"/>
    <cellStyle name="Comma 7 2 3 2 4 2" xfId="1523"/>
    <cellStyle name="Comma 7 2 3 2 5" xfId="1524"/>
    <cellStyle name="Comma 7 2 3 3" xfId="1525"/>
    <cellStyle name="Comma 7 2 3 3 2" xfId="1526"/>
    <cellStyle name="Comma 7 2 3 3 2 2" xfId="1527"/>
    <cellStyle name="Comma 7 2 3 3 3" xfId="1528"/>
    <cellStyle name="Comma 7 2 3 3 3 2" xfId="1529"/>
    <cellStyle name="Comma 7 2 3 3 4" xfId="1530"/>
    <cellStyle name="Comma 7 2 3 4" xfId="1531"/>
    <cellStyle name="Comma 7 2 3 4 2" xfId="1532"/>
    <cellStyle name="Comma 7 2 3 5" xfId="1533"/>
    <cellStyle name="Comma 7 2 3 5 2" xfId="1534"/>
    <cellStyle name="Comma 7 2 3 6" xfId="1535"/>
    <cellStyle name="Comma 7 2 4" xfId="1536"/>
    <cellStyle name="Comma 7 2 4 2" xfId="1537"/>
    <cellStyle name="Comma 7 2 4 2 2" xfId="1538"/>
    <cellStyle name="Comma 7 2 4 2 2 2" xfId="1539"/>
    <cellStyle name="Comma 7 2 4 2 3" xfId="1540"/>
    <cellStyle name="Comma 7 2 4 2 3 2" xfId="1541"/>
    <cellStyle name="Comma 7 2 4 2 4" xfId="1542"/>
    <cellStyle name="Comma 7 2 4 3" xfId="1543"/>
    <cellStyle name="Comma 7 2 4 3 2" xfId="1544"/>
    <cellStyle name="Comma 7 2 4 4" xfId="1545"/>
    <cellStyle name="Comma 7 2 4 4 2" xfId="1546"/>
    <cellStyle name="Comma 7 2 4 5" xfId="1547"/>
    <cellStyle name="Comma 7 2 5" xfId="1548"/>
    <cellStyle name="Comma 7 2 5 2" xfId="1549"/>
    <cellStyle name="Comma 7 2 5 2 2" xfId="1550"/>
    <cellStyle name="Comma 7 2 5 3" xfId="1551"/>
    <cellStyle name="Comma 7 2 5 3 2" xfId="1552"/>
    <cellStyle name="Comma 7 2 5 4" xfId="1553"/>
    <cellStyle name="Comma 7 2 6" xfId="1554"/>
    <cellStyle name="Comma 7 2 6 2" xfId="1555"/>
    <cellStyle name="Comma 7 2 7" xfId="1556"/>
    <cellStyle name="Comma 7 2 7 2" xfId="1557"/>
    <cellStyle name="Comma 7 2 8" xfId="1558"/>
    <cellStyle name="Comma 7 2 9" xfId="1559"/>
    <cellStyle name="Comma 7 3" xfId="1560"/>
    <cellStyle name="Comma 7 3 2" xfId="1561"/>
    <cellStyle name="Comma 7 3 2 2" xfId="1562"/>
    <cellStyle name="Comma 7 3 2 2 2" xfId="1563"/>
    <cellStyle name="Comma 7 3 2 2 2 2" xfId="1564"/>
    <cellStyle name="Comma 7 3 2 2 2 2 2" xfId="1565"/>
    <cellStyle name="Comma 7 3 2 2 2 3" xfId="1566"/>
    <cellStyle name="Comma 7 3 2 2 2 3 2" xfId="1567"/>
    <cellStyle name="Comma 7 3 2 2 2 4" xfId="1568"/>
    <cellStyle name="Comma 7 3 2 2 3" xfId="1569"/>
    <cellStyle name="Comma 7 3 2 2 3 2" xfId="1570"/>
    <cellStyle name="Comma 7 3 2 2 4" xfId="1571"/>
    <cellStyle name="Comma 7 3 2 2 4 2" xfId="1572"/>
    <cellStyle name="Comma 7 3 2 2 5" xfId="1573"/>
    <cellStyle name="Comma 7 3 2 3" xfId="1574"/>
    <cellStyle name="Comma 7 3 2 3 2" xfId="1575"/>
    <cellStyle name="Comma 7 3 2 3 2 2" xfId="1576"/>
    <cellStyle name="Comma 7 3 2 3 3" xfId="1577"/>
    <cellStyle name="Comma 7 3 2 3 3 2" xfId="1578"/>
    <cellStyle name="Comma 7 3 2 3 4" xfId="1579"/>
    <cellStyle name="Comma 7 3 2 4" xfId="1580"/>
    <cellStyle name="Comma 7 3 2 4 2" xfId="1581"/>
    <cellStyle name="Comma 7 3 2 5" xfId="1582"/>
    <cellStyle name="Comma 7 3 2 5 2" xfId="1583"/>
    <cellStyle name="Comma 7 3 2 6" xfId="1584"/>
    <cellStyle name="Comma 7 3 3" xfId="1585"/>
    <cellStyle name="Comma 7 3 3 2" xfId="1586"/>
    <cellStyle name="Comma 7 3 3 2 2" xfId="1587"/>
    <cellStyle name="Comma 7 3 3 2 2 2" xfId="1588"/>
    <cellStyle name="Comma 7 3 3 2 3" xfId="1589"/>
    <cellStyle name="Comma 7 3 3 2 3 2" xfId="1590"/>
    <cellStyle name="Comma 7 3 3 2 4" xfId="1591"/>
    <cellStyle name="Comma 7 3 3 3" xfId="1592"/>
    <cellStyle name="Comma 7 3 3 3 2" xfId="1593"/>
    <cellStyle name="Comma 7 3 3 4" xfId="1594"/>
    <cellStyle name="Comma 7 3 3 4 2" xfId="1595"/>
    <cellStyle name="Comma 7 3 3 5" xfId="1596"/>
    <cellStyle name="Comma 7 3 4" xfId="1597"/>
    <cellStyle name="Comma 7 3 4 2" xfId="1598"/>
    <cellStyle name="Comma 7 3 4 2 2" xfId="1599"/>
    <cellStyle name="Comma 7 3 4 3" xfId="1600"/>
    <cellStyle name="Comma 7 3 4 3 2" xfId="1601"/>
    <cellStyle name="Comma 7 3 4 4" xfId="1602"/>
    <cellStyle name="Comma 7 3 5" xfId="1603"/>
    <cellStyle name="Comma 7 3 5 2" xfId="1604"/>
    <cellStyle name="Comma 7 3 6" xfId="1605"/>
    <cellStyle name="Comma 7 3 6 2" xfId="1606"/>
    <cellStyle name="Comma 7 3 7" xfId="1607"/>
    <cellStyle name="Comma 7 4" xfId="1608"/>
    <cellStyle name="Comma 7 4 2" xfId="1609"/>
    <cellStyle name="Comma 7 4 2 2" xfId="1610"/>
    <cellStyle name="Comma 7 4 2 2 2" xfId="1611"/>
    <cellStyle name="Comma 7 4 2 2 2 2" xfId="1612"/>
    <cellStyle name="Comma 7 4 2 2 2 2 2" xfId="1613"/>
    <cellStyle name="Comma 7 4 2 2 2 3" xfId="1614"/>
    <cellStyle name="Comma 7 4 2 2 2 3 2" xfId="1615"/>
    <cellStyle name="Comma 7 4 2 2 2 4" xfId="1616"/>
    <cellStyle name="Comma 7 4 2 2 3" xfId="1617"/>
    <cellStyle name="Comma 7 4 2 2 3 2" xfId="1618"/>
    <cellStyle name="Comma 7 4 2 2 4" xfId="1619"/>
    <cellStyle name="Comma 7 4 2 2 4 2" xfId="1620"/>
    <cellStyle name="Comma 7 4 2 2 5" xfId="1621"/>
    <cellStyle name="Comma 7 4 2 3" xfId="1622"/>
    <cellStyle name="Comma 7 4 2 3 2" xfId="1623"/>
    <cellStyle name="Comma 7 4 2 3 2 2" xfId="1624"/>
    <cellStyle name="Comma 7 4 2 3 3" xfId="1625"/>
    <cellStyle name="Comma 7 4 2 3 3 2" xfId="1626"/>
    <cellStyle name="Comma 7 4 2 3 4" xfId="1627"/>
    <cellStyle name="Comma 7 4 2 4" xfId="1628"/>
    <cellStyle name="Comma 7 4 2 4 2" xfId="1629"/>
    <cellStyle name="Comma 7 4 2 5" xfId="1630"/>
    <cellStyle name="Comma 7 4 2 5 2" xfId="1631"/>
    <cellStyle name="Comma 7 4 2 6" xfId="1632"/>
    <cellStyle name="Comma 7 4 3" xfId="1633"/>
    <cellStyle name="Comma 7 4 3 2" xfId="1634"/>
    <cellStyle name="Comma 7 4 3 2 2" xfId="1635"/>
    <cellStyle name="Comma 7 4 3 2 2 2" xfId="1636"/>
    <cellStyle name="Comma 7 4 3 2 3" xfId="1637"/>
    <cellStyle name="Comma 7 4 3 2 3 2" xfId="1638"/>
    <cellStyle name="Comma 7 4 3 2 4" xfId="1639"/>
    <cellStyle name="Comma 7 4 3 3" xfId="1640"/>
    <cellStyle name="Comma 7 4 3 3 2" xfId="1641"/>
    <cellStyle name="Comma 7 4 3 4" xfId="1642"/>
    <cellStyle name="Comma 7 4 3 4 2" xfId="1643"/>
    <cellStyle name="Comma 7 4 3 5" xfId="1644"/>
    <cellStyle name="Comma 7 4 4" xfId="1645"/>
    <cellStyle name="Comma 7 4 4 2" xfId="1646"/>
    <cellStyle name="Comma 7 4 4 2 2" xfId="1647"/>
    <cellStyle name="Comma 7 4 4 3" xfId="1648"/>
    <cellStyle name="Comma 7 4 4 3 2" xfId="1649"/>
    <cellStyle name="Comma 7 4 4 4" xfId="1650"/>
    <cellStyle name="Comma 7 4 5" xfId="1651"/>
    <cellStyle name="Comma 7 4 5 2" xfId="1652"/>
    <cellStyle name="Comma 7 4 6" xfId="1653"/>
    <cellStyle name="Comma 7 4 6 2" xfId="1654"/>
    <cellStyle name="Comma 7 4 7" xfId="1655"/>
    <cellStyle name="Comma 7 5" xfId="1656"/>
    <cellStyle name="Comma 7 5 2" xfId="1657"/>
    <cellStyle name="Comma 7 5 2 2" xfId="1658"/>
    <cellStyle name="Comma 7 5 2 2 2" xfId="1659"/>
    <cellStyle name="Comma 7 5 2 2 2 2" xfId="1660"/>
    <cellStyle name="Comma 7 5 2 2 3" xfId="1661"/>
    <cellStyle name="Comma 7 5 2 2 3 2" xfId="1662"/>
    <cellStyle name="Comma 7 5 2 2 4" xfId="1663"/>
    <cellStyle name="Comma 7 5 2 3" xfId="1664"/>
    <cellStyle name="Comma 7 5 2 3 2" xfId="1665"/>
    <cellStyle name="Comma 7 5 2 4" xfId="1666"/>
    <cellStyle name="Comma 7 5 2 4 2" xfId="1667"/>
    <cellStyle name="Comma 7 5 2 5" xfId="1668"/>
    <cellStyle name="Comma 7 5 3" xfId="1669"/>
    <cellStyle name="Comma 7 5 3 2" xfId="1670"/>
    <cellStyle name="Comma 7 5 3 2 2" xfId="1671"/>
    <cellStyle name="Comma 7 5 3 3" xfId="1672"/>
    <cellStyle name="Comma 7 5 3 3 2" xfId="1673"/>
    <cellStyle name="Comma 7 5 3 4" xfId="1674"/>
    <cellStyle name="Comma 7 5 4" xfId="1675"/>
    <cellStyle name="Comma 7 5 4 2" xfId="1676"/>
    <cellStyle name="Comma 7 5 5" xfId="1677"/>
    <cellStyle name="Comma 7 5 5 2" xfId="1678"/>
    <cellStyle name="Comma 7 5 6" xfId="1679"/>
    <cellStyle name="Comma 7 6" xfId="1680"/>
    <cellStyle name="Comma 7 6 2" xfId="1681"/>
    <cellStyle name="Comma 7 6 2 2" xfId="1682"/>
    <cellStyle name="Comma 7 6 2 2 2" xfId="1683"/>
    <cellStyle name="Comma 7 6 2 3" xfId="1684"/>
    <cellStyle name="Comma 7 6 2 3 2" xfId="1685"/>
    <cellStyle name="Comma 7 6 2 4" xfId="1686"/>
    <cellStyle name="Comma 7 6 3" xfId="1687"/>
    <cellStyle name="Comma 7 6 3 2" xfId="1688"/>
    <cellStyle name="Comma 7 6 4" xfId="1689"/>
    <cellStyle name="Comma 7 6 4 2" xfId="1690"/>
    <cellStyle name="Comma 7 6 5" xfId="1691"/>
    <cellStyle name="Comma 7 7" xfId="1692"/>
    <cellStyle name="Comma 7 7 2" xfId="1693"/>
    <cellStyle name="Comma 7 7 2 2" xfId="1694"/>
    <cellStyle name="Comma 7 7 3" xfId="1695"/>
    <cellStyle name="Comma 7 7 3 2" xfId="1696"/>
    <cellStyle name="Comma 7 7 4" xfId="1697"/>
    <cellStyle name="Comma 7 8" xfId="1698"/>
    <cellStyle name="Comma 7 8 2" xfId="1699"/>
    <cellStyle name="Comma 7 9" xfId="1700"/>
    <cellStyle name="Comma 7 9 2" xfId="1701"/>
    <cellStyle name="Comma 8" xfId="1702"/>
    <cellStyle name="Comma 8 2" xfId="1703"/>
    <cellStyle name="Comma 8 2 2" xfId="1704"/>
    <cellStyle name="Comma 8 2 2 2" xfId="1705"/>
    <cellStyle name="Comma 8 2 2 2 2" xfId="1706"/>
    <cellStyle name="Comma 8 2 2 2 2 2" xfId="1707"/>
    <cellStyle name="Comma 8 2 2 2 2 2 2" xfId="1708"/>
    <cellStyle name="Comma 8 2 2 2 2 3" xfId="1709"/>
    <cellStyle name="Comma 8 2 2 2 2 3 2" xfId="1710"/>
    <cellStyle name="Comma 8 2 2 2 2 4" xfId="1711"/>
    <cellStyle name="Comma 8 2 2 2 3" xfId="1712"/>
    <cellStyle name="Comma 8 2 2 2 3 2" xfId="1713"/>
    <cellStyle name="Comma 8 2 2 2 4" xfId="1714"/>
    <cellStyle name="Comma 8 2 2 2 4 2" xfId="1715"/>
    <cellStyle name="Comma 8 2 2 2 5" xfId="1716"/>
    <cellStyle name="Comma 8 2 2 3" xfId="1717"/>
    <cellStyle name="Comma 8 2 2 3 2" xfId="1718"/>
    <cellStyle name="Comma 8 2 2 3 2 2" xfId="1719"/>
    <cellStyle name="Comma 8 2 2 3 3" xfId="1720"/>
    <cellStyle name="Comma 8 2 2 3 3 2" xfId="1721"/>
    <cellStyle name="Comma 8 2 2 3 4" xfId="1722"/>
    <cellStyle name="Comma 8 2 2 4" xfId="1723"/>
    <cellStyle name="Comma 8 2 2 4 2" xfId="1724"/>
    <cellStyle name="Comma 8 2 2 5" xfId="1725"/>
    <cellStyle name="Comma 8 2 2 5 2" xfId="1726"/>
    <cellStyle name="Comma 8 2 2 6" xfId="1727"/>
    <cellStyle name="Comma 8 2 3" xfId="1728"/>
    <cellStyle name="Comma 8 2 3 2" xfId="1729"/>
    <cellStyle name="Comma 8 2 3 2 2" xfId="1730"/>
    <cellStyle name="Comma 8 2 3 2 2 2" xfId="1731"/>
    <cellStyle name="Comma 8 2 3 2 3" xfId="1732"/>
    <cellStyle name="Comma 8 2 3 2 3 2" xfId="1733"/>
    <cellStyle name="Comma 8 2 3 2 4" xfId="1734"/>
    <cellStyle name="Comma 8 2 3 3" xfId="1735"/>
    <cellStyle name="Comma 8 2 3 3 2" xfId="1736"/>
    <cellStyle name="Comma 8 2 3 4" xfId="1737"/>
    <cellStyle name="Comma 8 2 3 4 2" xfId="1738"/>
    <cellStyle name="Comma 8 2 3 5" xfId="1739"/>
    <cellStyle name="Comma 8 2 4" xfId="1740"/>
    <cellStyle name="Comma 8 2 4 2" xfId="1741"/>
    <cellStyle name="Comma 8 2 4 2 2" xfId="1742"/>
    <cellStyle name="Comma 8 2 4 3" xfId="1743"/>
    <cellStyle name="Comma 8 2 4 3 2" xfId="1744"/>
    <cellStyle name="Comma 8 2 4 4" xfId="1745"/>
    <cellStyle name="Comma 8 2 5" xfId="1746"/>
    <cellStyle name="Comma 8 2 5 2" xfId="1747"/>
    <cellStyle name="Comma 8 2 6" xfId="1748"/>
    <cellStyle name="Comma 8 2 6 2" xfId="1749"/>
    <cellStyle name="Comma 8 2 7" xfId="1750"/>
    <cellStyle name="Comma 8 2 8" xfId="1751"/>
    <cellStyle name="Comma 8 3" xfId="1752"/>
    <cellStyle name="Comma 8 3 2" xfId="1753"/>
    <cellStyle name="Comma 8 3 2 2" xfId="1754"/>
    <cellStyle name="Comma 8 3 2 2 2" xfId="1755"/>
    <cellStyle name="Comma 8 3 2 2 2 2" xfId="1756"/>
    <cellStyle name="Comma 8 3 2 2 2 2 2" xfId="1757"/>
    <cellStyle name="Comma 8 3 2 2 2 3" xfId="1758"/>
    <cellStyle name="Comma 8 3 2 2 2 3 2" xfId="1759"/>
    <cellStyle name="Comma 8 3 2 2 2 4" xfId="1760"/>
    <cellStyle name="Comma 8 3 2 2 3" xfId="1761"/>
    <cellStyle name="Comma 8 3 2 2 3 2" xfId="1762"/>
    <cellStyle name="Comma 8 3 2 2 4" xfId="1763"/>
    <cellStyle name="Comma 8 3 2 2 4 2" xfId="1764"/>
    <cellStyle name="Comma 8 3 2 2 5" xfId="1765"/>
    <cellStyle name="Comma 8 3 2 3" xfId="1766"/>
    <cellStyle name="Comma 8 3 2 3 2" xfId="1767"/>
    <cellStyle name="Comma 8 3 2 3 2 2" xfId="1768"/>
    <cellStyle name="Comma 8 3 2 3 3" xfId="1769"/>
    <cellStyle name="Comma 8 3 2 3 3 2" xfId="1770"/>
    <cellStyle name="Comma 8 3 2 3 4" xfId="1771"/>
    <cellStyle name="Comma 8 3 2 4" xfId="1772"/>
    <cellStyle name="Comma 8 3 2 4 2" xfId="1773"/>
    <cellStyle name="Comma 8 3 2 5" xfId="1774"/>
    <cellStyle name="Comma 8 3 2 5 2" xfId="1775"/>
    <cellStyle name="Comma 8 3 2 6" xfId="1776"/>
    <cellStyle name="Comma 8 3 3" xfId="1777"/>
    <cellStyle name="Comma 8 3 3 2" xfId="1778"/>
    <cellStyle name="Comma 8 3 3 2 2" xfId="1779"/>
    <cellStyle name="Comma 8 3 3 2 2 2" xfId="1780"/>
    <cellStyle name="Comma 8 3 3 2 3" xfId="1781"/>
    <cellStyle name="Comma 8 3 3 2 3 2" xfId="1782"/>
    <cellStyle name="Comma 8 3 3 2 4" xfId="1783"/>
    <cellStyle name="Comma 8 3 3 3" xfId="1784"/>
    <cellStyle name="Comma 8 3 3 3 2" xfId="1785"/>
    <cellStyle name="Comma 8 3 3 4" xfId="1786"/>
    <cellStyle name="Comma 8 3 3 4 2" xfId="1787"/>
    <cellStyle name="Comma 8 3 3 5" xfId="1788"/>
    <cellStyle name="Comma 8 3 4" xfId="1789"/>
    <cellStyle name="Comma 8 3 4 2" xfId="1790"/>
    <cellStyle name="Comma 8 3 4 2 2" xfId="1791"/>
    <cellStyle name="Comma 8 3 4 3" xfId="1792"/>
    <cellStyle name="Comma 8 3 4 3 2" xfId="1793"/>
    <cellStyle name="Comma 8 3 4 4" xfId="1794"/>
    <cellStyle name="Comma 8 3 5" xfId="1795"/>
    <cellStyle name="Comma 8 3 5 2" xfId="1796"/>
    <cellStyle name="Comma 8 3 6" xfId="1797"/>
    <cellStyle name="Comma 8 3 6 2" xfId="1798"/>
    <cellStyle name="Comma 8 3 7" xfId="1799"/>
    <cellStyle name="Comma 8 4" xfId="1800"/>
    <cellStyle name="Comma 8 4 2" xfId="1801"/>
    <cellStyle name="Comma 8 4 2 2" xfId="1802"/>
    <cellStyle name="Comma 8 4 2 2 2" xfId="1803"/>
    <cellStyle name="Comma 8 4 2 2 2 2" xfId="1804"/>
    <cellStyle name="Comma 8 4 2 2 3" xfId="1805"/>
    <cellStyle name="Comma 8 4 2 2 3 2" xfId="1806"/>
    <cellStyle name="Comma 8 4 2 2 4" xfId="1807"/>
    <cellStyle name="Comma 8 4 2 3" xfId="1808"/>
    <cellStyle name="Comma 8 4 2 3 2" xfId="1809"/>
    <cellStyle name="Comma 8 4 2 4" xfId="1810"/>
    <cellStyle name="Comma 8 4 2 4 2" xfId="1811"/>
    <cellStyle name="Comma 8 4 2 5" xfId="1812"/>
    <cellStyle name="Comma 8 4 3" xfId="1813"/>
    <cellStyle name="Comma 8 4 3 2" xfId="1814"/>
    <cellStyle name="Comma 8 4 3 2 2" xfId="1815"/>
    <cellStyle name="Comma 8 4 3 3" xfId="1816"/>
    <cellStyle name="Comma 8 4 3 3 2" xfId="1817"/>
    <cellStyle name="Comma 8 4 3 4" xfId="1818"/>
    <cellStyle name="Comma 8 4 4" xfId="1819"/>
    <cellStyle name="Comma 8 4 4 2" xfId="1820"/>
    <cellStyle name="Comma 8 4 5" xfId="1821"/>
    <cellStyle name="Comma 8 4 5 2" xfId="1822"/>
    <cellStyle name="Comma 8 4 6" xfId="1823"/>
    <cellStyle name="Comma 8 5" xfId="1824"/>
    <cellStyle name="Comma 8 5 2" xfId="1825"/>
    <cellStyle name="Comma 8 5 2 2" xfId="1826"/>
    <cellStyle name="Comma 8 5 2 2 2" xfId="1827"/>
    <cellStyle name="Comma 8 5 2 3" xfId="1828"/>
    <cellStyle name="Comma 8 5 2 3 2" xfId="1829"/>
    <cellStyle name="Comma 8 5 2 4" xfId="1830"/>
    <cellStyle name="Comma 8 5 3" xfId="1831"/>
    <cellStyle name="Comma 8 5 3 2" xfId="1832"/>
    <cellStyle name="Comma 8 5 4" xfId="1833"/>
    <cellStyle name="Comma 8 5 4 2" xfId="1834"/>
    <cellStyle name="Comma 8 5 5" xfId="1835"/>
    <cellStyle name="Comma 8 6" xfId="1836"/>
    <cellStyle name="Comma 8 6 2" xfId="1837"/>
    <cellStyle name="Comma 8 6 2 2" xfId="1838"/>
    <cellStyle name="Comma 8 6 3" xfId="1839"/>
    <cellStyle name="Comma 8 6 3 2" xfId="1840"/>
    <cellStyle name="Comma 8 6 4" xfId="1841"/>
    <cellStyle name="Comma 8 7" xfId="1842"/>
    <cellStyle name="Comma 8 7 2" xfId="1843"/>
    <cellStyle name="Comma 8 8" xfId="1844"/>
    <cellStyle name="Comma 8 8 2" xfId="1845"/>
    <cellStyle name="Comma 8 9" xfId="1846"/>
    <cellStyle name="Comma 9" xfId="1847"/>
    <cellStyle name="Comma 9 2" xfId="1848"/>
    <cellStyle name="Comma(2)" xfId="1849"/>
    <cellStyle name="Comma0" xfId="1850"/>
    <cellStyle name="Comma0 - Style2" xfId="1851"/>
    <cellStyle name="Comma1 - Style1" xfId="1852"/>
    <cellStyle name="Comments" xfId="1853"/>
    <cellStyle name="Currency 10" xfId="1854"/>
    <cellStyle name="Currency 10 2" xfId="1855"/>
    <cellStyle name="Currency 10 2 2" xfId="1856"/>
    <cellStyle name="Currency 10 2 2 2" xfId="1857"/>
    <cellStyle name="Currency 10 2 2 2 2" xfId="1858"/>
    <cellStyle name="Currency 10 2 2 2 2 2" xfId="1859"/>
    <cellStyle name="Currency 10 2 2 2 3" xfId="1860"/>
    <cellStyle name="Currency 10 2 2 2 3 2" xfId="1861"/>
    <cellStyle name="Currency 10 2 2 2 4" xfId="1862"/>
    <cellStyle name="Currency 10 2 2 3" xfId="1863"/>
    <cellStyle name="Currency 10 2 2 3 2" xfId="1864"/>
    <cellStyle name="Currency 10 2 2 4" xfId="1865"/>
    <cellStyle name="Currency 10 2 2 4 2" xfId="1866"/>
    <cellStyle name="Currency 10 2 2 5" xfId="1867"/>
    <cellStyle name="Currency 10 2 3" xfId="1868"/>
    <cellStyle name="Currency 10 2 3 2" xfId="1869"/>
    <cellStyle name="Currency 10 2 3 2 2" xfId="1870"/>
    <cellStyle name="Currency 10 2 3 3" xfId="1871"/>
    <cellStyle name="Currency 10 2 3 3 2" xfId="1872"/>
    <cellStyle name="Currency 10 2 3 4" xfId="1873"/>
    <cellStyle name="Currency 10 2 4" xfId="1874"/>
    <cellStyle name="Currency 10 2 4 2" xfId="1875"/>
    <cellStyle name="Currency 10 2 5" xfId="1876"/>
    <cellStyle name="Currency 10 2 5 2" xfId="1877"/>
    <cellStyle name="Currency 10 2 6" xfId="1878"/>
    <cellStyle name="Currency 10 3" xfId="1879"/>
    <cellStyle name="Currency 10 4" xfId="1880"/>
    <cellStyle name="Currency 10 5" xfId="1881"/>
    <cellStyle name="Currency 11" xfId="1882"/>
    <cellStyle name="Currency 11 2" xfId="1883"/>
    <cellStyle name="Currency 11 2 2" xfId="1884"/>
    <cellStyle name="Currency 11 3" xfId="1885"/>
    <cellStyle name="Currency 11 4" xfId="1886"/>
    <cellStyle name="Currency 11 5" xfId="1887"/>
    <cellStyle name="Currency 11 6" xfId="1888"/>
    <cellStyle name="Currency 12" xfId="1889"/>
    <cellStyle name="Currency 12 2" xfId="1890"/>
    <cellStyle name="Currency 12 2 2" xfId="1891"/>
    <cellStyle name="Currency 12 3" xfId="1892"/>
    <cellStyle name="Currency 12 4" xfId="1893"/>
    <cellStyle name="Currency 13" xfId="1894"/>
    <cellStyle name="Currency 14" xfId="1895"/>
    <cellStyle name="Currency 14 2" xfId="1896"/>
    <cellStyle name="Currency 15" xfId="1897"/>
    <cellStyle name="Currency 16" xfId="1898"/>
    <cellStyle name="Currency 17" xfId="1899"/>
    <cellStyle name="Currency 18" xfId="1900"/>
    <cellStyle name="Currency 19" xfId="1901"/>
    <cellStyle name="Currency 2" xfId="1902"/>
    <cellStyle name="Currency 2 2" xfId="1903"/>
    <cellStyle name="Currency 2 2 2" xfId="1904"/>
    <cellStyle name="Currency 2 2 2 2" xfId="1905"/>
    <cellStyle name="Currency 2 2 2 3" xfId="1906"/>
    <cellStyle name="Currency 2 2 2 4" xfId="1907"/>
    <cellStyle name="Currency 2 2 2 5" xfId="1908"/>
    <cellStyle name="Currency 2 2 2 6" xfId="1909"/>
    <cellStyle name="Currency 2 2 3" xfId="1910"/>
    <cellStyle name="Currency 2 2 3 2" xfId="1911"/>
    <cellStyle name="Currency 2 2 3 3" xfId="1912"/>
    <cellStyle name="Currency 2 2 3 4" xfId="1913"/>
    <cellStyle name="Currency 2 2 4" xfId="1914"/>
    <cellStyle name="Currency 2 2 4 2" xfId="1915"/>
    <cellStyle name="Currency 2 2 4 3" xfId="1916"/>
    <cellStyle name="Currency 2 2 5" xfId="1917"/>
    <cellStyle name="Currency 2 2 6" xfId="1918"/>
    <cellStyle name="Currency 2 2 7" xfId="1919"/>
    <cellStyle name="Currency 2 2 8" xfId="1920"/>
    <cellStyle name="Currency 2 3" xfId="1921"/>
    <cellStyle name="Currency 2 3 2" xfId="1922"/>
    <cellStyle name="Currency 2 3 2 2" xfId="1923"/>
    <cellStyle name="Currency 2 3 2 3" xfId="1924"/>
    <cellStyle name="Currency 2 3 2 4" xfId="1925"/>
    <cellStyle name="Currency 2 3 2 5" xfId="1926"/>
    <cellStyle name="Currency 2 3 2 6" xfId="1927"/>
    <cellStyle name="Currency 2 3 3" xfId="1928"/>
    <cellStyle name="Currency 2 3 3 2" xfId="1929"/>
    <cellStyle name="Currency 2 3 3 3" xfId="1930"/>
    <cellStyle name="Currency 2 3 3 4" xfId="1931"/>
    <cellStyle name="Currency 2 3 3 5" xfId="1932"/>
    <cellStyle name="Currency 2 3 4" xfId="1933"/>
    <cellStyle name="Currency 2 3 4 2" xfId="1934"/>
    <cellStyle name="Currency 2 3 4 3" xfId="1935"/>
    <cellStyle name="Currency 2 3 4 4" xfId="1936"/>
    <cellStyle name="Currency 2 3 5" xfId="1937"/>
    <cellStyle name="Currency 2 3 6" xfId="1938"/>
    <cellStyle name="Currency 2 3 7" xfId="1939"/>
    <cellStyle name="Currency 2 4" xfId="1940"/>
    <cellStyle name="Currency 2 4 2" xfId="1941"/>
    <cellStyle name="Currency 2 4 2 2" xfId="1942"/>
    <cellStyle name="Currency 2 4 2 3" xfId="1943"/>
    <cellStyle name="Currency 2 4 2 4" xfId="1944"/>
    <cellStyle name="Currency 2 4 2 5" xfId="1945"/>
    <cellStyle name="Currency 2 4 2 6" xfId="1946"/>
    <cellStyle name="Currency 2 4 3" xfId="1947"/>
    <cellStyle name="Currency 2 4 3 2" xfId="1948"/>
    <cellStyle name="Currency 2 4 3 3" xfId="1949"/>
    <cellStyle name="Currency 2 4 4" xfId="1950"/>
    <cellStyle name="Currency 2 4 4 2" xfId="1951"/>
    <cellStyle name="Currency 2 4 4 3" xfId="1952"/>
    <cellStyle name="Currency 2 4 5" xfId="1953"/>
    <cellStyle name="Currency 2 4 6" xfId="1954"/>
    <cellStyle name="Currency 2 4 7" xfId="1955"/>
    <cellStyle name="Currency 2 4 8" xfId="1956"/>
    <cellStyle name="Currency 2 4 9" xfId="1957"/>
    <cellStyle name="Currency 2 5" xfId="1958"/>
    <cellStyle name="Currency 2 5 2" xfId="1959"/>
    <cellStyle name="Currency 2 5 3" xfId="1960"/>
    <cellStyle name="Currency 2 6" xfId="1961"/>
    <cellStyle name="Currency 2 6 2" xfId="1962"/>
    <cellStyle name="Currency 2 6 3" xfId="1963"/>
    <cellStyle name="Currency 2 7" xfId="1964"/>
    <cellStyle name="Currency 3" xfId="1965"/>
    <cellStyle name="Currency 3 10" xfId="1966"/>
    <cellStyle name="Currency 3 2" xfId="1967"/>
    <cellStyle name="Currency 3 2 2" xfId="1968"/>
    <cellStyle name="Currency 3 2 2 2" xfId="1969"/>
    <cellStyle name="Currency 3 2 2 2 2" xfId="1970"/>
    <cellStyle name="Currency 3 2 2 2 2 2" xfId="1971"/>
    <cellStyle name="Currency 3 2 2 2 2 2 2" xfId="1972"/>
    <cellStyle name="Currency 3 2 2 2 2 2 2 2" xfId="1973"/>
    <cellStyle name="Currency 3 2 2 2 2 2 3" xfId="1974"/>
    <cellStyle name="Currency 3 2 2 2 2 2 3 2" xfId="1975"/>
    <cellStyle name="Currency 3 2 2 2 2 2 4" xfId="1976"/>
    <cellStyle name="Currency 3 2 2 2 2 3" xfId="1977"/>
    <cellStyle name="Currency 3 2 2 2 2 3 2" xfId="1978"/>
    <cellStyle name="Currency 3 2 2 2 2 4" xfId="1979"/>
    <cellStyle name="Currency 3 2 2 2 2 4 2" xfId="1980"/>
    <cellStyle name="Currency 3 2 2 2 2 5" xfId="1981"/>
    <cellStyle name="Currency 3 2 2 2 3" xfId="1982"/>
    <cellStyle name="Currency 3 2 2 2 3 2" xfId="1983"/>
    <cellStyle name="Currency 3 2 2 2 3 2 2" xfId="1984"/>
    <cellStyle name="Currency 3 2 2 2 3 3" xfId="1985"/>
    <cellStyle name="Currency 3 2 2 2 3 3 2" xfId="1986"/>
    <cellStyle name="Currency 3 2 2 2 3 4" xfId="1987"/>
    <cellStyle name="Currency 3 2 2 2 4" xfId="1988"/>
    <cellStyle name="Currency 3 2 2 2 4 2" xfId="1989"/>
    <cellStyle name="Currency 3 2 2 2 5" xfId="1990"/>
    <cellStyle name="Currency 3 2 2 2 5 2" xfId="1991"/>
    <cellStyle name="Currency 3 2 2 2 6" xfId="1992"/>
    <cellStyle name="Currency 3 2 2 3" xfId="1993"/>
    <cellStyle name="Currency 3 2 2 3 2" xfId="1994"/>
    <cellStyle name="Currency 3 2 2 3 2 2" xfId="1995"/>
    <cellStyle name="Currency 3 2 2 3 2 2 2" xfId="1996"/>
    <cellStyle name="Currency 3 2 2 3 2 3" xfId="1997"/>
    <cellStyle name="Currency 3 2 2 3 2 3 2" xfId="1998"/>
    <cellStyle name="Currency 3 2 2 3 2 4" xfId="1999"/>
    <cellStyle name="Currency 3 2 2 3 3" xfId="2000"/>
    <cellStyle name="Currency 3 2 2 3 3 2" xfId="2001"/>
    <cellStyle name="Currency 3 2 2 3 4" xfId="2002"/>
    <cellStyle name="Currency 3 2 2 3 4 2" xfId="2003"/>
    <cellStyle name="Currency 3 2 2 3 5" xfId="2004"/>
    <cellStyle name="Currency 3 2 2 4" xfId="2005"/>
    <cellStyle name="Currency 3 2 2 4 2" xfId="2006"/>
    <cellStyle name="Currency 3 2 2 4 2 2" xfId="2007"/>
    <cellStyle name="Currency 3 2 2 4 3" xfId="2008"/>
    <cellStyle name="Currency 3 2 2 4 3 2" xfId="2009"/>
    <cellStyle name="Currency 3 2 2 4 4" xfId="2010"/>
    <cellStyle name="Currency 3 2 2 5" xfId="2011"/>
    <cellStyle name="Currency 3 2 2 5 2" xfId="2012"/>
    <cellStyle name="Currency 3 2 2 6" xfId="2013"/>
    <cellStyle name="Currency 3 2 2 6 2" xfId="2014"/>
    <cellStyle name="Currency 3 2 2 7" xfId="2015"/>
    <cellStyle name="Currency 3 2 3" xfId="2016"/>
    <cellStyle name="Currency 3 2 3 2" xfId="2017"/>
    <cellStyle name="Currency 3 2 3 2 2" xfId="2018"/>
    <cellStyle name="Currency 3 2 3 2 2 2" xfId="2019"/>
    <cellStyle name="Currency 3 2 3 2 2 2 2" xfId="2020"/>
    <cellStyle name="Currency 3 2 3 2 2 3" xfId="2021"/>
    <cellStyle name="Currency 3 2 3 2 2 3 2" xfId="2022"/>
    <cellStyle name="Currency 3 2 3 2 2 4" xfId="2023"/>
    <cellStyle name="Currency 3 2 3 2 3" xfId="2024"/>
    <cellStyle name="Currency 3 2 3 2 3 2" xfId="2025"/>
    <cellStyle name="Currency 3 2 3 2 4" xfId="2026"/>
    <cellStyle name="Currency 3 2 3 2 4 2" xfId="2027"/>
    <cellStyle name="Currency 3 2 3 2 5" xfId="2028"/>
    <cellStyle name="Currency 3 2 3 3" xfId="2029"/>
    <cellStyle name="Currency 3 2 3 3 2" xfId="2030"/>
    <cellStyle name="Currency 3 2 3 3 2 2" xfId="2031"/>
    <cellStyle name="Currency 3 2 3 3 3" xfId="2032"/>
    <cellStyle name="Currency 3 2 3 3 3 2" xfId="2033"/>
    <cellStyle name="Currency 3 2 3 3 4" xfId="2034"/>
    <cellStyle name="Currency 3 2 3 4" xfId="2035"/>
    <cellStyle name="Currency 3 2 3 4 2" xfId="2036"/>
    <cellStyle name="Currency 3 2 3 5" xfId="2037"/>
    <cellStyle name="Currency 3 2 3 5 2" xfId="2038"/>
    <cellStyle name="Currency 3 2 3 6" xfId="2039"/>
    <cellStyle name="Currency 3 2 4" xfId="2040"/>
    <cellStyle name="Currency 3 2 4 2" xfId="2041"/>
    <cellStyle name="Currency 3 2 4 2 2" xfId="2042"/>
    <cellStyle name="Currency 3 2 4 2 2 2" xfId="2043"/>
    <cellStyle name="Currency 3 2 4 2 3" xfId="2044"/>
    <cellStyle name="Currency 3 2 4 2 3 2" xfId="2045"/>
    <cellStyle name="Currency 3 2 4 2 4" xfId="2046"/>
    <cellStyle name="Currency 3 2 4 3" xfId="2047"/>
    <cellStyle name="Currency 3 2 4 3 2" xfId="2048"/>
    <cellStyle name="Currency 3 2 4 4" xfId="2049"/>
    <cellStyle name="Currency 3 2 4 4 2" xfId="2050"/>
    <cellStyle name="Currency 3 2 4 5" xfId="2051"/>
    <cellStyle name="Currency 3 2 5" xfId="2052"/>
    <cellStyle name="Currency 3 2 5 2" xfId="2053"/>
    <cellStyle name="Currency 3 2 5 2 2" xfId="2054"/>
    <cellStyle name="Currency 3 2 5 3" xfId="2055"/>
    <cellStyle name="Currency 3 2 5 3 2" xfId="2056"/>
    <cellStyle name="Currency 3 2 5 4" xfId="2057"/>
    <cellStyle name="Currency 3 2 6" xfId="2058"/>
    <cellStyle name="Currency 3 2 6 2" xfId="2059"/>
    <cellStyle name="Currency 3 2 7" xfId="2060"/>
    <cellStyle name="Currency 3 2 7 2" xfId="2061"/>
    <cellStyle name="Currency 3 2 8" xfId="2062"/>
    <cellStyle name="Currency 3 3" xfId="2063"/>
    <cellStyle name="Currency 3 3 2" xfId="2064"/>
    <cellStyle name="Currency 3 3 2 2" xfId="2065"/>
    <cellStyle name="Currency 3 3 2 2 2" xfId="2066"/>
    <cellStyle name="Currency 3 3 2 2 2 2" xfId="2067"/>
    <cellStyle name="Currency 3 3 2 2 2 2 2" xfId="2068"/>
    <cellStyle name="Currency 3 3 2 2 2 3" xfId="2069"/>
    <cellStyle name="Currency 3 3 2 2 2 3 2" xfId="2070"/>
    <cellStyle name="Currency 3 3 2 2 2 4" xfId="2071"/>
    <cellStyle name="Currency 3 3 2 2 3" xfId="2072"/>
    <cellStyle name="Currency 3 3 2 2 3 2" xfId="2073"/>
    <cellStyle name="Currency 3 3 2 2 4" xfId="2074"/>
    <cellStyle name="Currency 3 3 2 2 4 2" xfId="2075"/>
    <cellStyle name="Currency 3 3 2 2 5" xfId="2076"/>
    <cellStyle name="Currency 3 3 2 3" xfId="2077"/>
    <cellStyle name="Currency 3 3 2 3 2" xfId="2078"/>
    <cellStyle name="Currency 3 3 2 3 2 2" xfId="2079"/>
    <cellStyle name="Currency 3 3 2 3 3" xfId="2080"/>
    <cellStyle name="Currency 3 3 2 3 3 2" xfId="2081"/>
    <cellStyle name="Currency 3 3 2 3 4" xfId="2082"/>
    <cellStyle name="Currency 3 3 2 4" xfId="2083"/>
    <cellStyle name="Currency 3 3 2 4 2" xfId="2084"/>
    <cellStyle name="Currency 3 3 2 5" xfId="2085"/>
    <cellStyle name="Currency 3 3 2 5 2" xfId="2086"/>
    <cellStyle name="Currency 3 3 2 6" xfId="2087"/>
    <cellStyle name="Currency 3 3 3" xfId="2088"/>
    <cellStyle name="Currency 3 3 3 2" xfId="2089"/>
    <cellStyle name="Currency 3 3 3 2 2" xfId="2090"/>
    <cellStyle name="Currency 3 3 3 2 2 2" xfId="2091"/>
    <cellStyle name="Currency 3 3 3 2 3" xfId="2092"/>
    <cellStyle name="Currency 3 3 3 2 3 2" xfId="2093"/>
    <cellStyle name="Currency 3 3 3 2 4" xfId="2094"/>
    <cellStyle name="Currency 3 3 3 3" xfId="2095"/>
    <cellStyle name="Currency 3 3 3 3 2" xfId="2096"/>
    <cellStyle name="Currency 3 3 3 4" xfId="2097"/>
    <cellStyle name="Currency 3 3 3 4 2" xfId="2098"/>
    <cellStyle name="Currency 3 3 3 5" xfId="2099"/>
    <cellStyle name="Currency 3 3 4" xfId="2100"/>
    <cellStyle name="Currency 3 3 4 2" xfId="2101"/>
    <cellStyle name="Currency 3 3 4 2 2" xfId="2102"/>
    <cellStyle name="Currency 3 3 4 3" xfId="2103"/>
    <cellStyle name="Currency 3 3 4 3 2" xfId="2104"/>
    <cellStyle name="Currency 3 3 4 4" xfId="2105"/>
    <cellStyle name="Currency 3 3 5" xfId="2106"/>
    <cellStyle name="Currency 3 3 5 2" xfId="2107"/>
    <cellStyle name="Currency 3 3 6" xfId="2108"/>
    <cellStyle name="Currency 3 3 6 2" xfId="2109"/>
    <cellStyle name="Currency 3 3 7" xfId="2110"/>
    <cellStyle name="Currency 3 4" xfId="2111"/>
    <cellStyle name="Currency 3 4 2" xfId="2112"/>
    <cellStyle name="Currency 3 4 2 2" xfId="2113"/>
    <cellStyle name="Currency 3 4 2 2 2" xfId="2114"/>
    <cellStyle name="Currency 3 4 2 2 2 2" xfId="2115"/>
    <cellStyle name="Currency 3 4 2 2 2 2 2" xfId="2116"/>
    <cellStyle name="Currency 3 4 2 2 2 3" xfId="2117"/>
    <cellStyle name="Currency 3 4 2 2 2 3 2" xfId="2118"/>
    <cellStyle name="Currency 3 4 2 2 2 4" xfId="2119"/>
    <cellStyle name="Currency 3 4 2 2 3" xfId="2120"/>
    <cellStyle name="Currency 3 4 2 2 3 2" xfId="2121"/>
    <cellStyle name="Currency 3 4 2 2 4" xfId="2122"/>
    <cellStyle name="Currency 3 4 2 2 4 2" xfId="2123"/>
    <cellStyle name="Currency 3 4 2 2 5" xfId="2124"/>
    <cellStyle name="Currency 3 4 2 3" xfId="2125"/>
    <cellStyle name="Currency 3 4 2 3 2" xfId="2126"/>
    <cellStyle name="Currency 3 4 2 3 2 2" xfId="2127"/>
    <cellStyle name="Currency 3 4 2 3 3" xfId="2128"/>
    <cellStyle name="Currency 3 4 2 3 3 2" xfId="2129"/>
    <cellStyle name="Currency 3 4 2 3 4" xfId="2130"/>
    <cellStyle name="Currency 3 4 2 4" xfId="2131"/>
    <cellStyle name="Currency 3 4 2 4 2" xfId="2132"/>
    <cellStyle name="Currency 3 4 2 5" xfId="2133"/>
    <cellStyle name="Currency 3 4 2 5 2" xfId="2134"/>
    <cellStyle name="Currency 3 4 2 6" xfId="2135"/>
    <cellStyle name="Currency 3 4 3" xfId="2136"/>
    <cellStyle name="Currency 3 4 3 2" xfId="2137"/>
    <cellStyle name="Currency 3 4 3 2 2" xfId="2138"/>
    <cellStyle name="Currency 3 4 3 2 2 2" xfId="2139"/>
    <cellStyle name="Currency 3 4 3 2 3" xfId="2140"/>
    <cellStyle name="Currency 3 4 3 2 3 2" xfId="2141"/>
    <cellStyle name="Currency 3 4 3 2 4" xfId="2142"/>
    <cellStyle name="Currency 3 4 3 3" xfId="2143"/>
    <cellStyle name="Currency 3 4 3 3 2" xfId="2144"/>
    <cellStyle name="Currency 3 4 3 4" xfId="2145"/>
    <cellStyle name="Currency 3 4 3 4 2" xfId="2146"/>
    <cellStyle name="Currency 3 4 3 5" xfId="2147"/>
    <cellStyle name="Currency 3 4 4" xfId="2148"/>
    <cellStyle name="Currency 3 4 4 2" xfId="2149"/>
    <cellStyle name="Currency 3 4 4 2 2" xfId="2150"/>
    <cellStyle name="Currency 3 4 4 3" xfId="2151"/>
    <cellStyle name="Currency 3 4 4 3 2" xfId="2152"/>
    <cellStyle name="Currency 3 4 4 4" xfId="2153"/>
    <cellStyle name="Currency 3 4 5" xfId="2154"/>
    <cellStyle name="Currency 3 4 5 2" xfId="2155"/>
    <cellStyle name="Currency 3 4 6" xfId="2156"/>
    <cellStyle name="Currency 3 4 6 2" xfId="2157"/>
    <cellStyle name="Currency 3 4 7" xfId="2158"/>
    <cellStyle name="Currency 3 5" xfId="2159"/>
    <cellStyle name="Currency 3 5 2" xfId="2160"/>
    <cellStyle name="Currency 3 5 2 2" xfId="2161"/>
    <cellStyle name="Currency 3 5 2 2 2" xfId="2162"/>
    <cellStyle name="Currency 3 5 2 2 2 2" xfId="2163"/>
    <cellStyle name="Currency 3 5 2 2 3" xfId="2164"/>
    <cellStyle name="Currency 3 5 2 2 3 2" xfId="2165"/>
    <cellStyle name="Currency 3 5 2 2 4" xfId="2166"/>
    <cellStyle name="Currency 3 5 2 3" xfId="2167"/>
    <cellStyle name="Currency 3 5 2 3 2" xfId="2168"/>
    <cellStyle name="Currency 3 5 2 4" xfId="2169"/>
    <cellStyle name="Currency 3 5 2 4 2" xfId="2170"/>
    <cellStyle name="Currency 3 5 2 5" xfId="2171"/>
    <cellStyle name="Currency 3 5 3" xfId="2172"/>
    <cellStyle name="Currency 3 5 3 2" xfId="2173"/>
    <cellStyle name="Currency 3 5 3 2 2" xfId="2174"/>
    <cellStyle name="Currency 3 5 3 3" xfId="2175"/>
    <cellStyle name="Currency 3 5 3 3 2" xfId="2176"/>
    <cellStyle name="Currency 3 5 3 4" xfId="2177"/>
    <cellStyle name="Currency 3 5 4" xfId="2178"/>
    <cellStyle name="Currency 3 5 4 2" xfId="2179"/>
    <cellStyle name="Currency 3 5 5" xfId="2180"/>
    <cellStyle name="Currency 3 5 5 2" xfId="2181"/>
    <cellStyle name="Currency 3 5 6" xfId="2182"/>
    <cellStyle name="Currency 3 5 7" xfId="2183"/>
    <cellStyle name="Currency 3 6" xfId="2184"/>
    <cellStyle name="Currency 3 6 2" xfId="2185"/>
    <cellStyle name="Currency 3 6 2 2" xfId="2186"/>
    <cellStyle name="Currency 3 6 2 2 2" xfId="2187"/>
    <cellStyle name="Currency 3 6 2 3" xfId="2188"/>
    <cellStyle name="Currency 3 6 2 3 2" xfId="2189"/>
    <cellStyle name="Currency 3 6 2 4" xfId="2190"/>
    <cellStyle name="Currency 3 6 3" xfId="2191"/>
    <cellStyle name="Currency 3 6 3 2" xfId="2192"/>
    <cellStyle name="Currency 3 6 4" xfId="2193"/>
    <cellStyle name="Currency 3 6 4 2" xfId="2194"/>
    <cellStyle name="Currency 3 6 5" xfId="2195"/>
    <cellStyle name="Currency 3 7" xfId="2196"/>
    <cellStyle name="Currency 3 7 2" xfId="2197"/>
    <cellStyle name="Currency 3 7 2 2" xfId="2198"/>
    <cellStyle name="Currency 3 7 3" xfId="2199"/>
    <cellStyle name="Currency 3 7 3 2" xfId="2200"/>
    <cellStyle name="Currency 3 7 4" xfId="2201"/>
    <cellStyle name="Currency 3 8" xfId="2202"/>
    <cellStyle name="Currency 3 8 2" xfId="2203"/>
    <cellStyle name="Currency 3 9" xfId="2204"/>
    <cellStyle name="Currency 3 9 2" xfId="2205"/>
    <cellStyle name="Currency 4" xfId="2206"/>
    <cellStyle name="Currency 4 10" xfId="2207"/>
    <cellStyle name="Currency 4 2" xfId="2208"/>
    <cellStyle name="Currency 4 2 2" xfId="2209"/>
    <cellStyle name="Currency 4 2 2 2" xfId="2210"/>
    <cellStyle name="Currency 4 2 2 2 2" xfId="2211"/>
    <cellStyle name="Currency 4 2 2 2 2 2" xfId="2212"/>
    <cellStyle name="Currency 4 2 2 2 2 2 2" xfId="2213"/>
    <cellStyle name="Currency 4 2 2 2 2 2 2 2" xfId="2214"/>
    <cellStyle name="Currency 4 2 2 2 2 2 3" xfId="2215"/>
    <cellStyle name="Currency 4 2 2 2 2 2 3 2" xfId="2216"/>
    <cellStyle name="Currency 4 2 2 2 2 2 4" xfId="2217"/>
    <cellStyle name="Currency 4 2 2 2 2 3" xfId="2218"/>
    <cellStyle name="Currency 4 2 2 2 2 3 2" xfId="2219"/>
    <cellStyle name="Currency 4 2 2 2 2 4" xfId="2220"/>
    <cellStyle name="Currency 4 2 2 2 2 4 2" xfId="2221"/>
    <cellStyle name="Currency 4 2 2 2 2 5" xfId="2222"/>
    <cellStyle name="Currency 4 2 2 2 3" xfId="2223"/>
    <cellStyle name="Currency 4 2 2 2 3 2" xfId="2224"/>
    <cellStyle name="Currency 4 2 2 2 3 2 2" xfId="2225"/>
    <cellStyle name="Currency 4 2 2 2 3 3" xfId="2226"/>
    <cellStyle name="Currency 4 2 2 2 3 3 2" xfId="2227"/>
    <cellStyle name="Currency 4 2 2 2 3 4" xfId="2228"/>
    <cellStyle name="Currency 4 2 2 2 4" xfId="2229"/>
    <cellStyle name="Currency 4 2 2 2 4 2" xfId="2230"/>
    <cellStyle name="Currency 4 2 2 2 5" xfId="2231"/>
    <cellStyle name="Currency 4 2 2 2 5 2" xfId="2232"/>
    <cellStyle name="Currency 4 2 2 2 6" xfId="2233"/>
    <cellStyle name="Currency 4 2 2 3" xfId="2234"/>
    <cellStyle name="Currency 4 2 2 3 2" xfId="2235"/>
    <cellStyle name="Currency 4 2 2 3 2 2" xfId="2236"/>
    <cellStyle name="Currency 4 2 2 3 2 2 2" xfId="2237"/>
    <cellStyle name="Currency 4 2 2 3 2 3" xfId="2238"/>
    <cellStyle name="Currency 4 2 2 3 2 3 2" xfId="2239"/>
    <cellStyle name="Currency 4 2 2 3 2 4" xfId="2240"/>
    <cellStyle name="Currency 4 2 2 3 3" xfId="2241"/>
    <cellStyle name="Currency 4 2 2 3 3 2" xfId="2242"/>
    <cellStyle name="Currency 4 2 2 3 4" xfId="2243"/>
    <cellStyle name="Currency 4 2 2 3 4 2" xfId="2244"/>
    <cellStyle name="Currency 4 2 2 3 5" xfId="2245"/>
    <cellStyle name="Currency 4 2 2 4" xfId="2246"/>
    <cellStyle name="Currency 4 2 2 4 2" xfId="2247"/>
    <cellStyle name="Currency 4 2 2 4 2 2" xfId="2248"/>
    <cellStyle name="Currency 4 2 2 4 3" xfId="2249"/>
    <cellStyle name="Currency 4 2 2 4 3 2" xfId="2250"/>
    <cellStyle name="Currency 4 2 2 4 4" xfId="2251"/>
    <cellStyle name="Currency 4 2 2 5" xfId="2252"/>
    <cellStyle name="Currency 4 2 2 5 2" xfId="2253"/>
    <cellStyle name="Currency 4 2 2 6" xfId="2254"/>
    <cellStyle name="Currency 4 2 2 6 2" xfId="2255"/>
    <cellStyle name="Currency 4 2 2 7" xfId="2256"/>
    <cellStyle name="Currency 4 2 3" xfId="2257"/>
    <cellStyle name="Currency 4 2 3 2" xfId="2258"/>
    <cellStyle name="Currency 4 2 3 2 2" xfId="2259"/>
    <cellStyle name="Currency 4 2 3 2 2 2" xfId="2260"/>
    <cellStyle name="Currency 4 2 3 2 2 2 2" xfId="2261"/>
    <cellStyle name="Currency 4 2 3 2 2 3" xfId="2262"/>
    <cellStyle name="Currency 4 2 3 2 2 3 2" xfId="2263"/>
    <cellStyle name="Currency 4 2 3 2 2 4" xfId="2264"/>
    <cellStyle name="Currency 4 2 3 2 3" xfId="2265"/>
    <cellStyle name="Currency 4 2 3 2 3 2" xfId="2266"/>
    <cellStyle name="Currency 4 2 3 2 4" xfId="2267"/>
    <cellStyle name="Currency 4 2 3 2 4 2" xfId="2268"/>
    <cellStyle name="Currency 4 2 3 2 5" xfId="2269"/>
    <cellStyle name="Currency 4 2 3 3" xfId="2270"/>
    <cellStyle name="Currency 4 2 3 3 2" xfId="2271"/>
    <cellStyle name="Currency 4 2 3 3 2 2" xfId="2272"/>
    <cellStyle name="Currency 4 2 3 3 3" xfId="2273"/>
    <cellStyle name="Currency 4 2 3 3 3 2" xfId="2274"/>
    <cellStyle name="Currency 4 2 3 3 4" xfId="2275"/>
    <cellStyle name="Currency 4 2 3 4" xfId="2276"/>
    <cellStyle name="Currency 4 2 3 4 2" xfId="2277"/>
    <cellStyle name="Currency 4 2 3 5" xfId="2278"/>
    <cellStyle name="Currency 4 2 3 5 2" xfId="2279"/>
    <cellStyle name="Currency 4 2 3 6" xfId="2280"/>
    <cellStyle name="Currency 4 2 4" xfId="2281"/>
    <cellStyle name="Currency 4 2 4 2" xfId="2282"/>
    <cellStyle name="Currency 4 2 4 2 2" xfId="2283"/>
    <cellStyle name="Currency 4 2 4 2 2 2" xfId="2284"/>
    <cellStyle name="Currency 4 2 4 2 3" xfId="2285"/>
    <cellStyle name="Currency 4 2 4 2 3 2" xfId="2286"/>
    <cellStyle name="Currency 4 2 4 2 4" xfId="2287"/>
    <cellStyle name="Currency 4 2 4 3" xfId="2288"/>
    <cellStyle name="Currency 4 2 4 3 2" xfId="2289"/>
    <cellStyle name="Currency 4 2 4 4" xfId="2290"/>
    <cellStyle name="Currency 4 2 4 4 2" xfId="2291"/>
    <cellStyle name="Currency 4 2 4 5" xfId="2292"/>
    <cellStyle name="Currency 4 2 5" xfId="2293"/>
    <cellStyle name="Currency 4 2 5 2" xfId="2294"/>
    <cellStyle name="Currency 4 2 5 2 2" xfId="2295"/>
    <cellStyle name="Currency 4 2 5 3" xfId="2296"/>
    <cellStyle name="Currency 4 2 5 3 2" xfId="2297"/>
    <cellStyle name="Currency 4 2 5 4" xfId="2298"/>
    <cellStyle name="Currency 4 2 6" xfId="2299"/>
    <cellStyle name="Currency 4 2 6 2" xfId="2300"/>
    <cellStyle name="Currency 4 2 7" xfId="2301"/>
    <cellStyle name="Currency 4 2 7 2" xfId="2302"/>
    <cellStyle name="Currency 4 2 8" xfId="2303"/>
    <cellStyle name="Currency 4 3" xfId="2304"/>
    <cellStyle name="Currency 4 3 2" xfId="2305"/>
    <cellStyle name="Currency 4 3 2 2" xfId="2306"/>
    <cellStyle name="Currency 4 3 2 2 2" xfId="2307"/>
    <cellStyle name="Currency 4 3 2 2 2 2" xfId="2308"/>
    <cellStyle name="Currency 4 3 2 2 2 2 2" xfId="2309"/>
    <cellStyle name="Currency 4 3 2 2 2 3" xfId="2310"/>
    <cellStyle name="Currency 4 3 2 2 2 3 2" xfId="2311"/>
    <cellStyle name="Currency 4 3 2 2 2 4" xfId="2312"/>
    <cellStyle name="Currency 4 3 2 2 3" xfId="2313"/>
    <cellStyle name="Currency 4 3 2 2 3 2" xfId="2314"/>
    <cellStyle name="Currency 4 3 2 2 4" xfId="2315"/>
    <cellStyle name="Currency 4 3 2 2 4 2" xfId="2316"/>
    <cellStyle name="Currency 4 3 2 2 5" xfId="2317"/>
    <cellStyle name="Currency 4 3 2 3" xfId="2318"/>
    <cellStyle name="Currency 4 3 2 3 2" xfId="2319"/>
    <cellStyle name="Currency 4 3 2 3 2 2" xfId="2320"/>
    <cellStyle name="Currency 4 3 2 3 3" xfId="2321"/>
    <cellStyle name="Currency 4 3 2 3 3 2" xfId="2322"/>
    <cellStyle name="Currency 4 3 2 3 4" xfId="2323"/>
    <cellStyle name="Currency 4 3 2 4" xfId="2324"/>
    <cellStyle name="Currency 4 3 2 4 2" xfId="2325"/>
    <cellStyle name="Currency 4 3 2 5" xfId="2326"/>
    <cellStyle name="Currency 4 3 2 5 2" xfId="2327"/>
    <cellStyle name="Currency 4 3 2 6" xfId="2328"/>
    <cellStyle name="Currency 4 3 3" xfId="2329"/>
    <cellStyle name="Currency 4 3 3 2" xfId="2330"/>
    <cellStyle name="Currency 4 3 3 2 2" xfId="2331"/>
    <cellStyle name="Currency 4 3 3 2 2 2" xfId="2332"/>
    <cellStyle name="Currency 4 3 3 2 3" xfId="2333"/>
    <cellStyle name="Currency 4 3 3 2 3 2" xfId="2334"/>
    <cellStyle name="Currency 4 3 3 2 4" xfId="2335"/>
    <cellStyle name="Currency 4 3 3 3" xfId="2336"/>
    <cellStyle name="Currency 4 3 3 3 2" xfId="2337"/>
    <cellStyle name="Currency 4 3 3 4" xfId="2338"/>
    <cellStyle name="Currency 4 3 3 4 2" xfId="2339"/>
    <cellStyle name="Currency 4 3 3 5" xfId="2340"/>
    <cellStyle name="Currency 4 3 4" xfId="2341"/>
    <cellStyle name="Currency 4 3 4 2" xfId="2342"/>
    <cellStyle name="Currency 4 3 4 2 2" xfId="2343"/>
    <cellStyle name="Currency 4 3 4 3" xfId="2344"/>
    <cellStyle name="Currency 4 3 4 3 2" xfId="2345"/>
    <cellStyle name="Currency 4 3 4 4" xfId="2346"/>
    <cellStyle name="Currency 4 3 5" xfId="2347"/>
    <cellStyle name="Currency 4 3 5 2" xfId="2348"/>
    <cellStyle name="Currency 4 3 6" xfId="2349"/>
    <cellStyle name="Currency 4 3 6 2" xfId="2350"/>
    <cellStyle name="Currency 4 3 7" xfId="2351"/>
    <cellStyle name="Currency 4 4" xfId="2352"/>
    <cellStyle name="Currency 4 4 2" xfId="2353"/>
    <cellStyle name="Currency 4 4 2 2" xfId="2354"/>
    <cellStyle name="Currency 4 4 2 2 2" xfId="2355"/>
    <cellStyle name="Currency 4 4 2 2 2 2" xfId="2356"/>
    <cellStyle name="Currency 4 4 2 2 2 2 2" xfId="2357"/>
    <cellStyle name="Currency 4 4 2 2 2 3" xfId="2358"/>
    <cellStyle name="Currency 4 4 2 2 2 3 2" xfId="2359"/>
    <cellStyle name="Currency 4 4 2 2 2 4" xfId="2360"/>
    <cellStyle name="Currency 4 4 2 2 3" xfId="2361"/>
    <cellStyle name="Currency 4 4 2 2 3 2" xfId="2362"/>
    <cellStyle name="Currency 4 4 2 2 4" xfId="2363"/>
    <cellStyle name="Currency 4 4 2 2 4 2" xfId="2364"/>
    <cellStyle name="Currency 4 4 2 2 5" xfId="2365"/>
    <cellStyle name="Currency 4 4 2 3" xfId="2366"/>
    <cellStyle name="Currency 4 4 2 3 2" xfId="2367"/>
    <cellStyle name="Currency 4 4 2 3 2 2" xfId="2368"/>
    <cellStyle name="Currency 4 4 2 3 3" xfId="2369"/>
    <cellStyle name="Currency 4 4 2 3 3 2" xfId="2370"/>
    <cellStyle name="Currency 4 4 2 3 4" xfId="2371"/>
    <cellStyle name="Currency 4 4 2 4" xfId="2372"/>
    <cellStyle name="Currency 4 4 2 4 2" xfId="2373"/>
    <cellStyle name="Currency 4 4 2 5" xfId="2374"/>
    <cellStyle name="Currency 4 4 2 5 2" xfId="2375"/>
    <cellStyle name="Currency 4 4 2 6" xfId="2376"/>
    <cellStyle name="Currency 4 4 3" xfId="2377"/>
    <cellStyle name="Currency 4 4 3 2" xfId="2378"/>
    <cellStyle name="Currency 4 4 3 2 2" xfId="2379"/>
    <cellStyle name="Currency 4 4 3 2 2 2" xfId="2380"/>
    <cellStyle name="Currency 4 4 3 2 3" xfId="2381"/>
    <cellStyle name="Currency 4 4 3 2 3 2" xfId="2382"/>
    <cellStyle name="Currency 4 4 3 2 4" xfId="2383"/>
    <cellStyle name="Currency 4 4 3 3" xfId="2384"/>
    <cellStyle name="Currency 4 4 3 3 2" xfId="2385"/>
    <cellStyle name="Currency 4 4 3 4" xfId="2386"/>
    <cellStyle name="Currency 4 4 3 4 2" xfId="2387"/>
    <cellStyle name="Currency 4 4 3 5" xfId="2388"/>
    <cellStyle name="Currency 4 4 4" xfId="2389"/>
    <cellStyle name="Currency 4 4 4 2" xfId="2390"/>
    <cellStyle name="Currency 4 4 4 2 2" xfId="2391"/>
    <cellStyle name="Currency 4 4 4 3" xfId="2392"/>
    <cellStyle name="Currency 4 4 4 3 2" xfId="2393"/>
    <cellStyle name="Currency 4 4 4 4" xfId="2394"/>
    <cellStyle name="Currency 4 4 5" xfId="2395"/>
    <cellStyle name="Currency 4 4 5 2" xfId="2396"/>
    <cellStyle name="Currency 4 4 6" xfId="2397"/>
    <cellStyle name="Currency 4 4 6 2" xfId="2398"/>
    <cellStyle name="Currency 4 4 7" xfId="2399"/>
    <cellStyle name="Currency 4 5" xfId="2400"/>
    <cellStyle name="Currency 4 5 2" xfId="2401"/>
    <cellStyle name="Currency 4 5 2 2" xfId="2402"/>
    <cellStyle name="Currency 4 5 2 2 2" xfId="2403"/>
    <cellStyle name="Currency 4 5 2 2 2 2" xfId="2404"/>
    <cellStyle name="Currency 4 5 2 2 3" xfId="2405"/>
    <cellStyle name="Currency 4 5 2 2 3 2" xfId="2406"/>
    <cellStyle name="Currency 4 5 2 2 4" xfId="2407"/>
    <cellStyle name="Currency 4 5 2 3" xfId="2408"/>
    <cellStyle name="Currency 4 5 2 3 2" xfId="2409"/>
    <cellStyle name="Currency 4 5 2 4" xfId="2410"/>
    <cellStyle name="Currency 4 5 2 4 2" xfId="2411"/>
    <cellStyle name="Currency 4 5 2 5" xfId="2412"/>
    <cellStyle name="Currency 4 5 3" xfId="2413"/>
    <cellStyle name="Currency 4 5 3 2" xfId="2414"/>
    <cellStyle name="Currency 4 5 3 2 2" xfId="2415"/>
    <cellStyle name="Currency 4 5 3 3" xfId="2416"/>
    <cellStyle name="Currency 4 5 3 3 2" xfId="2417"/>
    <cellStyle name="Currency 4 5 3 4" xfId="2418"/>
    <cellStyle name="Currency 4 5 4" xfId="2419"/>
    <cellStyle name="Currency 4 5 4 2" xfId="2420"/>
    <cellStyle name="Currency 4 5 5" xfId="2421"/>
    <cellStyle name="Currency 4 5 5 2" xfId="2422"/>
    <cellStyle name="Currency 4 5 6" xfId="2423"/>
    <cellStyle name="Currency 4 6" xfId="2424"/>
    <cellStyle name="Currency 4 6 2" xfId="2425"/>
    <cellStyle name="Currency 4 6 2 2" xfId="2426"/>
    <cellStyle name="Currency 4 6 2 2 2" xfId="2427"/>
    <cellStyle name="Currency 4 6 2 3" xfId="2428"/>
    <cellStyle name="Currency 4 6 2 3 2" xfId="2429"/>
    <cellStyle name="Currency 4 6 2 4" xfId="2430"/>
    <cellStyle name="Currency 4 6 3" xfId="2431"/>
    <cellStyle name="Currency 4 6 3 2" xfId="2432"/>
    <cellStyle name="Currency 4 6 4" xfId="2433"/>
    <cellStyle name="Currency 4 6 4 2" xfId="2434"/>
    <cellStyle name="Currency 4 6 5" xfId="2435"/>
    <cellStyle name="Currency 4 7" xfId="2436"/>
    <cellStyle name="Currency 4 7 2" xfId="2437"/>
    <cellStyle name="Currency 4 7 2 2" xfId="2438"/>
    <cellStyle name="Currency 4 7 3" xfId="2439"/>
    <cellStyle name="Currency 4 7 3 2" xfId="2440"/>
    <cellStyle name="Currency 4 7 4" xfId="2441"/>
    <cellStyle name="Currency 4 8" xfId="2442"/>
    <cellStyle name="Currency 4 8 2" xfId="2443"/>
    <cellStyle name="Currency 4 9" xfId="2444"/>
    <cellStyle name="Currency 4 9 2" xfId="2445"/>
    <cellStyle name="Currency 5" xfId="2446"/>
    <cellStyle name="Currency 5 2" xfId="2447"/>
    <cellStyle name="Currency 5 2 2" xfId="2448"/>
    <cellStyle name="Currency 5 2 2 2" xfId="2449"/>
    <cellStyle name="Currency 5 2 2 2 2" xfId="2450"/>
    <cellStyle name="Currency 5 2 2 2 2 2" xfId="2451"/>
    <cellStyle name="Currency 5 2 2 2 2 2 2" xfId="2452"/>
    <cellStyle name="Currency 5 2 2 2 2 3" xfId="2453"/>
    <cellStyle name="Currency 5 2 2 2 2 3 2" xfId="2454"/>
    <cellStyle name="Currency 5 2 2 2 2 4" xfId="2455"/>
    <cellStyle name="Currency 5 2 2 2 3" xfId="2456"/>
    <cellStyle name="Currency 5 2 2 2 3 2" xfId="2457"/>
    <cellStyle name="Currency 5 2 2 2 4" xfId="2458"/>
    <cellStyle name="Currency 5 2 2 2 4 2" xfId="2459"/>
    <cellStyle name="Currency 5 2 2 2 5" xfId="2460"/>
    <cellStyle name="Currency 5 2 2 3" xfId="2461"/>
    <cellStyle name="Currency 5 2 2 3 2" xfId="2462"/>
    <cellStyle name="Currency 5 2 2 3 2 2" xfId="2463"/>
    <cellStyle name="Currency 5 2 2 3 3" xfId="2464"/>
    <cellStyle name="Currency 5 2 2 3 3 2" xfId="2465"/>
    <cellStyle name="Currency 5 2 2 3 4" xfId="2466"/>
    <cellStyle name="Currency 5 2 2 4" xfId="2467"/>
    <cellStyle name="Currency 5 2 2 4 2" xfId="2468"/>
    <cellStyle name="Currency 5 2 2 5" xfId="2469"/>
    <cellStyle name="Currency 5 2 2 5 2" xfId="2470"/>
    <cellStyle name="Currency 5 2 2 6" xfId="2471"/>
    <cellStyle name="Currency 5 2 3" xfId="2472"/>
    <cellStyle name="Currency 5 2 3 2" xfId="2473"/>
    <cellStyle name="Currency 5 2 3 2 2" xfId="2474"/>
    <cellStyle name="Currency 5 2 3 2 2 2" xfId="2475"/>
    <cellStyle name="Currency 5 2 3 2 3" xfId="2476"/>
    <cellStyle name="Currency 5 2 3 2 3 2" xfId="2477"/>
    <cellStyle name="Currency 5 2 3 2 4" xfId="2478"/>
    <cellStyle name="Currency 5 2 3 3" xfId="2479"/>
    <cellStyle name="Currency 5 2 3 3 2" xfId="2480"/>
    <cellStyle name="Currency 5 2 3 4" xfId="2481"/>
    <cellStyle name="Currency 5 2 3 4 2" xfId="2482"/>
    <cellStyle name="Currency 5 2 3 5" xfId="2483"/>
    <cellStyle name="Currency 5 2 4" xfId="2484"/>
    <cellStyle name="Currency 5 2 4 2" xfId="2485"/>
    <cellStyle name="Currency 5 2 4 2 2" xfId="2486"/>
    <cellStyle name="Currency 5 2 4 3" xfId="2487"/>
    <cellStyle name="Currency 5 2 4 3 2" xfId="2488"/>
    <cellStyle name="Currency 5 2 4 4" xfId="2489"/>
    <cellStyle name="Currency 5 2 5" xfId="2490"/>
    <cellStyle name="Currency 5 2 5 2" xfId="2491"/>
    <cellStyle name="Currency 5 2 6" xfId="2492"/>
    <cellStyle name="Currency 5 2 6 2" xfId="2493"/>
    <cellStyle name="Currency 5 2 7" xfId="2494"/>
    <cellStyle name="Currency 5 3" xfId="2495"/>
    <cellStyle name="Currency 5 3 2" xfId="2496"/>
    <cellStyle name="Currency 5 3 2 2" xfId="2497"/>
    <cellStyle name="Currency 5 3 2 2 2" xfId="2498"/>
    <cellStyle name="Currency 5 3 2 2 2 2" xfId="2499"/>
    <cellStyle name="Currency 5 3 2 2 2 2 2" xfId="2500"/>
    <cellStyle name="Currency 5 3 2 2 2 3" xfId="2501"/>
    <cellStyle name="Currency 5 3 2 2 2 3 2" xfId="2502"/>
    <cellStyle name="Currency 5 3 2 2 2 4" xfId="2503"/>
    <cellStyle name="Currency 5 3 2 2 3" xfId="2504"/>
    <cellStyle name="Currency 5 3 2 2 3 2" xfId="2505"/>
    <cellStyle name="Currency 5 3 2 2 4" xfId="2506"/>
    <cellStyle name="Currency 5 3 2 2 4 2" xfId="2507"/>
    <cellStyle name="Currency 5 3 2 2 5" xfId="2508"/>
    <cellStyle name="Currency 5 3 2 3" xfId="2509"/>
    <cellStyle name="Currency 5 3 2 3 2" xfId="2510"/>
    <cellStyle name="Currency 5 3 2 3 2 2" xfId="2511"/>
    <cellStyle name="Currency 5 3 2 3 3" xfId="2512"/>
    <cellStyle name="Currency 5 3 2 3 3 2" xfId="2513"/>
    <cellStyle name="Currency 5 3 2 3 4" xfId="2514"/>
    <cellStyle name="Currency 5 3 2 4" xfId="2515"/>
    <cellStyle name="Currency 5 3 2 4 2" xfId="2516"/>
    <cellStyle name="Currency 5 3 2 5" xfId="2517"/>
    <cellStyle name="Currency 5 3 2 5 2" xfId="2518"/>
    <cellStyle name="Currency 5 3 2 6" xfId="2519"/>
    <cellStyle name="Currency 5 3 3" xfId="2520"/>
    <cellStyle name="Currency 5 3 3 2" xfId="2521"/>
    <cellStyle name="Currency 5 3 3 2 2" xfId="2522"/>
    <cellStyle name="Currency 5 3 3 2 2 2" xfId="2523"/>
    <cellStyle name="Currency 5 3 3 2 3" xfId="2524"/>
    <cellStyle name="Currency 5 3 3 2 3 2" xfId="2525"/>
    <cellStyle name="Currency 5 3 3 2 4" xfId="2526"/>
    <cellStyle name="Currency 5 3 3 3" xfId="2527"/>
    <cellStyle name="Currency 5 3 3 3 2" xfId="2528"/>
    <cellStyle name="Currency 5 3 3 4" xfId="2529"/>
    <cellStyle name="Currency 5 3 3 4 2" xfId="2530"/>
    <cellStyle name="Currency 5 3 3 5" xfId="2531"/>
    <cellStyle name="Currency 5 3 4" xfId="2532"/>
    <cellStyle name="Currency 5 3 4 2" xfId="2533"/>
    <cellStyle name="Currency 5 3 4 2 2" xfId="2534"/>
    <cellStyle name="Currency 5 3 4 3" xfId="2535"/>
    <cellStyle name="Currency 5 3 4 3 2" xfId="2536"/>
    <cellStyle name="Currency 5 3 4 4" xfId="2537"/>
    <cellStyle name="Currency 5 3 5" xfId="2538"/>
    <cellStyle name="Currency 5 3 5 2" xfId="2539"/>
    <cellStyle name="Currency 5 3 6" xfId="2540"/>
    <cellStyle name="Currency 5 3 6 2" xfId="2541"/>
    <cellStyle name="Currency 5 3 7" xfId="2542"/>
    <cellStyle name="Currency 5 4" xfId="2543"/>
    <cellStyle name="Currency 5 4 2" xfId="2544"/>
    <cellStyle name="Currency 5 4 2 2" xfId="2545"/>
    <cellStyle name="Currency 5 4 2 2 2" xfId="2546"/>
    <cellStyle name="Currency 5 4 2 2 2 2" xfId="2547"/>
    <cellStyle name="Currency 5 4 2 2 3" xfId="2548"/>
    <cellStyle name="Currency 5 4 2 2 3 2" xfId="2549"/>
    <cellStyle name="Currency 5 4 2 2 4" xfId="2550"/>
    <cellStyle name="Currency 5 4 2 3" xfId="2551"/>
    <cellStyle name="Currency 5 4 2 3 2" xfId="2552"/>
    <cellStyle name="Currency 5 4 2 4" xfId="2553"/>
    <cellStyle name="Currency 5 4 2 4 2" xfId="2554"/>
    <cellStyle name="Currency 5 4 2 5" xfId="2555"/>
    <cellStyle name="Currency 5 4 3" xfId="2556"/>
    <cellStyle name="Currency 5 4 3 2" xfId="2557"/>
    <cellStyle name="Currency 5 4 3 2 2" xfId="2558"/>
    <cellStyle name="Currency 5 4 3 3" xfId="2559"/>
    <cellStyle name="Currency 5 4 3 3 2" xfId="2560"/>
    <cellStyle name="Currency 5 4 3 4" xfId="2561"/>
    <cellStyle name="Currency 5 4 4" xfId="2562"/>
    <cellStyle name="Currency 5 4 4 2" xfId="2563"/>
    <cellStyle name="Currency 5 4 5" xfId="2564"/>
    <cellStyle name="Currency 5 4 5 2" xfId="2565"/>
    <cellStyle name="Currency 5 4 6" xfId="2566"/>
    <cellStyle name="Currency 5 5" xfId="2567"/>
    <cellStyle name="Currency 5 5 2" xfId="2568"/>
    <cellStyle name="Currency 5 5 2 2" xfId="2569"/>
    <cellStyle name="Currency 5 5 2 2 2" xfId="2570"/>
    <cellStyle name="Currency 5 5 2 3" xfId="2571"/>
    <cellStyle name="Currency 5 5 2 3 2" xfId="2572"/>
    <cellStyle name="Currency 5 5 2 4" xfId="2573"/>
    <cellStyle name="Currency 5 5 3" xfId="2574"/>
    <cellStyle name="Currency 5 5 3 2" xfId="2575"/>
    <cellStyle name="Currency 5 5 4" xfId="2576"/>
    <cellStyle name="Currency 5 5 4 2" xfId="2577"/>
    <cellStyle name="Currency 5 5 5" xfId="2578"/>
    <cellStyle name="Currency 5 6" xfId="2579"/>
    <cellStyle name="Currency 5 6 2" xfId="2580"/>
    <cellStyle name="Currency 5 6 2 2" xfId="2581"/>
    <cellStyle name="Currency 5 6 3" xfId="2582"/>
    <cellStyle name="Currency 5 6 3 2" xfId="2583"/>
    <cellStyle name="Currency 5 6 4" xfId="2584"/>
    <cellStyle name="Currency 5 7" xfId="2585"/>
    <cellStyle name="Currency 5 7 2" xfId="2586"/>
    <cellStyle name="Currency 5 8" xfId="2587"/>
    <cellStyle name="Currency 5 8 2" xfId="2588"/>
    <cellStyle name="Currency 5 9" xfId="2589"/>
    <cellStyle name="Currency 6" xfId="2590"/>
    <cellStyle name="Currency 6 2" xfId="2591"/>
    <cellStyle name="Currency 6 3" xfId="2592"/>
    <cellStyle name="Currency 6 4" xfId="2593"/>
    <cellStyle name="Currency 7" xfId="2594"/>
    <cellStyle name="Currency 7 2" xfId="2595"/>
    <cellStyle name="Currency 8" xfId="2596"/>
    <cellStyle name="Currency 8 2" xfId="2597"/>
    <cellStyle name="Currency 8 2 2" xfId="2598"/>
    <cellStyle name="Currency 8 2 2 2" xfId="2599"/>
    <cellStyle name="Currency 8 2 2 2 2" xfId="2600"/>
    <cellStyle name="Currency 8 2 2 2 2 2" xfId="2601"/>
    <cellStyle name="Currency 8 2 2 2 2 2 2" xfId="2602"/>
    <cellStyle name="Currency 8 2 2 2 2 3" xfId="2603"/>
    <cellStyle name="Currency 8 2 2 2 2 3 2" xfId="2604"/>
    <cellStyle name="Currency 8 2 2 2 2 4" xfId="2605"/>
    <cellStyle name="Currency 8 2 2 2 3" xfId="2606"/>
    <cellStyle name="Currency 8 2 2 2 3 2" xfId="2607"/>
    <cellStyle name="Currency 8 2 2 2 4" xfId="2608"/>
    <cellStyle name="Currency 8 2 2 2 4 2" xfId="2609"/>
    <cellStyle name="Currency 8 2 2 2 5" xfId="2610"/>
    <cellStyle name="Currency 8 2 2 3" xfId="2611"/>
    <cellStyle name="Currency 8 2 2 3 2" xfId="2612"/>
    <cellStyle name="Currency 8 2 2 3 2 2" xfId="2613"/>
    <cellStyle name="Currency 8 2 2 3 3" xfId="2614"/>
    <cellStyle name="Currency 8 2 2 3 3 2" xfId="2615"/>
    <cellStyle name="Currency 8 2 2 3 4" xfId="2616"/>
    <cellStyle name="Currency 8 2 2 4" xfId="2617"/>
    <cellStyle name="Currency 8 2 2 4 2" xfId="2618"/>
    <cellStyle name="Currency 8 2 2 5" xfId="2619"/>
    <cellStyle name="Currency 8 2 2 5 2" xfId="2620"/>
    <cellStyle name="Currency 8 2 2 6" xfId="2621"/>
    <cellStyle name="Currency 8 2 3" xfId="2622"/>
    <cellStyle name="Currency 8 2 3 2" xfId="2623"/>
    <cellStyle name="Currency 8 2 3 2 2" xfId="2624"/>
    <cellStyle name="Currency 8 2 3 2 2 2" xfId="2625"/>
    <cellStyle name="Currency 8 2 3 2 3" xfId="2626"/>
    <cellStyle name="Currency 8 2 3 2 3 2" xfId="2627"/>
    <cellStyle name="Currency 8 2 3 2 4" xfId="2628"/>
    <cellStyle name="Currency 8 2 3 3" xfId="2629"/>
    <cellStyle name="Currency 8 2 3 3 2" xfId="2630"/>
    <cellStyle name="Currency 8 2 3 4" xfId="2631"/>
    <cellStyle name="Currency 8 2 3 4 2" xfId="2632"/>
    <cellStyle name="Currency 8 2 3 5" xfId="2633"/>
    <cellStyle name="Currency 8 2 4" xfId="2634"/>
    <cellStyle name="Currency 8 2 4 2" xfId="2635"/>
    <cellStyle name="Currency 8 2 4 2 2" xfId="2636"/>
    <cellStyle name="Currency 8 2 4 3" xfId="2637"/>
    <cellStyle name="Currency 8 2 4 3 2" xfId="2638"/>
    <cellStyle name="Currency 8 2 4 4" xfId="2639"/>
    <cellStyle name="Currency 8 2 5" xfId="2640"/>
    <cellStyle name="Currency 8 2 5 2" xfId="2641"/>
    <cellStyle name="Currency 8 2 6" xfId="2642"/>
    <cellStyle name="Currency 8 2 6 2" xfId="2643"/>
    <cellStyle name="Currency 8 2 7" xfId="2644"/>
    <cellStyle name="Currency 8 3" xfId="2645"/>
    <cellStyle name="Currency 8 3 2" xfId="2646"/>
    <cellStyle name="Currency 8 3 2 2" xfId="2647"/>
    <cellStyle name="Currency 8 3 2 2 2" xfId="2648"/>
    <cellStyle name="Currency 8 3 2 2 2 2" xfId="2649"/>
    <cellStyle name="Currency 8 3 2 2 3" xfId="2650"/>
    <cellStyle name="Currency 8 3 2 2 3 2" xfId="2651"/>
    <cellStyle name="Currency 8 3 2 2 4" xfId="2652"/>
    <cellStyle name="Currency 8 3 2 3" xfId="2653"/>
    <cellStyle name="Currency 8 3 2 3 2" xfId="2654"/>
    <cellStyle name="Currency 8 3 2 4" xfId="2655"/>
    <cellStyle name="Currency 8 3 2 4 2" xfId="2656"/>
    <cellStyle name="Currency 8 3 2 5" xfId="2657"/>
    <cellStyle name="Currency 8 3 3" xfId="2658"/>
    <cellStyle name="Currency 8 3 3 2" xfId="2659"/>
    <cellStyle name="Currency 8 3 3 2 2" xfId="2660"/>
    <cellStyle name="Currency 8 3 3 3" xfId="2661"/>
    <cellStyle name="Currency 8 3 3 3 2" xfId="2662"/>
    <cellStyle name="Currency 8 3 3 4" xfId="2663"/>
    <cellStyle name="Currency 8 3 4" xfId="2664"/>
    <cellStyle name="Currency 8 3 4 2" xfId="2665"/>
    <cellStyle name="Currency 8 3 5" xfId="2666"/>
    <cellStyle name="Currency 8 3 5 2" xfId="2667"/>
    <cellStyle name="Currency 8 3 6" xfId="2668"/>
    <cellStyle name="Currency 8 3 7" xfId="2669"/>
    <cellStyle name="Currency 8 4" xfId="2670"/>
    <cellStyle name="Currency 8 4 2" xfId="2671"/>
    <cellStyle name="Currency 8 4 2 2" xfId="2672"/>
    <cellStyle name="Currency 8 4 2 2 2" xfId="2673"/>
    <cellStyle name="Currency 8 4 2 3" xfId="2674"/>
    <cellStyle name="Currency 8 4 2 3 2" xfId="2675"/>
    <cellStyle name="Currency 8 4 2 4" xfId="2676"/>
    <cellStyle name="Currency 8 4 3" xfId="2677"/>
    <cellStyle name="Currency 8 4 3 2" xfId="2678"/>
    <cellStyle name="Currency 8 4 4" xfId="2679"/>
    <cellStyle name="Currency 8 4 4 2" xfId="2680"/>
    <cellStyle name="Currency 8 4 5" xfId="2681"/>
    <cellStyle name="Currency 8 5" xfId="2682"/>
    <cellStyle name="Currency 8 5 2" xfId="2683"/>
    <cellStyle name="Currency 8 5 2 2" xfId="2684"/>
    <cellStyle name="Currency 8 5 3" xfId="2685"/>
    <cellStyle name="Currency 8 5 3 2" xfId="2686"/>
    <cellStyle name="Currency 8 5 4" xfId="2687"/>
    <cellStyle name="Currency 8 6" xfId="2688"/>
    <cellStyle name="Currency 8 6 2" xfId="2689"/>
    <cellStyle name="Currency 8 7" xfId="2690"/>
    <cellStyle name="Currency 8 7 2" xfId="2691"/>
    <cellStyle name="Currency 8 8" xfId="2692"/>
    <cellStyle name="Currency 9" xfId="2693"/>
    <cellStyle name="Currency 9 2" xfId="2694"/>
    <cellStyle name="Currency 9 2 2" xfId="2695"/>
    <cellStyle name="Currency 9 2 2 2" xfId="2696"/>
    <cellStyle name="Currency 9 2 2 2 2" xfId="2697"/>
    <cellStyle name="Currency 9 2 2 2 2 2" xfId="2698"/>
    <cellStyle name="Currency 9 2 2 2 3" xfId="2699"/>
    <cellStyle name="Currency 9 2 2 2 3 2" xfId="2700"/>
    <cellStyle name="Currency 9 2 2 2 4" xfId="2701"/>
    <cellStyle name="Currency 9 2 2 3" xfId="2702"/>
    <cellStyle name="Currency 9 2 2 3 2" xfId="2703"/>
    <cellStyle name="Currency 9 2 2 4" xfId="2704"/>
    <cellStyle name="Currency 9 2 2 4 2" xfId="2705"/>
    <cellStyle name="Currency 9 2 2 5" xfId="2706"/>
    <cellStyle name="Currency 9 2 3" xfId="2707"/>
    <cellStyle name="Currency 9 2 3 2" xfId="2708"/>
    <cellStyle name="Currency 9 2 3 2 2" xfId="2709"/>
    <cellStyle name="Currency 9 2 3 3" xfId="2710"/>
    <cellStyle name="Currency 9 2 3 3 2" xfId="2711"/>
    <cellStyle name="Currency 9 2 3 4" xfId="2712"/>
    <cellStyle name="Currency 9 2 4" xfId="2713"/>
    <cellStyle name="Currency 9 2 4 2" xfId="2714"/>
    <cellStyle name="Currency 9 2 5" xfId="2715"/>
    <cellStyle name="Currency 9 2 5 2" xfId="2716"/>
    <cellStyle name="Currency 9 2 6" xfId="2717"/>
    <cellStyle name="Currency 9 3" xfId="2718"/>
    <cellStyle name="Currency 9 3 2" xfId="2719"/>
    <cellStyle name="Currency 9 3 2 2" xfId="2720"/>
    <cellStyle name="Currency 9 3 2 2 2" xfId="2721"/>
    <cellStyle name="Currency 9 3 2 3" xfId="2722"/>
    <cellStyle name="Currency 9 3 2 3 2" xfId="2723"/>
    <cellStyle name="Currency 9 3 2 4" xfId="2724"/>
    <cellStyle name="Currency 9 3 3" xfId="2725"/>
    <cellStyle name="Currency 9 3 3 2" xfId="2726"/>
    <cellStyle name="Currency 9 3 4" xfId="2727"/>
    <cellStyle name="Currency 9 3 4 2" xfId="2728"/>
    <cellStyle name="Currency 9 3 5" xfId="2729"/>
    <cellStyle name="Currency 9 4" xfId="2730"/>
    <cellStyle name="Currency 9 4 2" xfId="2731"/>
    <cellStyle name="Currency 9 4 2 2" xfId="2732"/>
    <cellStyle name="Currency 9 4 3" xfId="2733"/>
    <cellStyle name="Currency 9 4 3 2" xfId="2734"/>
    <cellStyle name="Currency 9 4 4" xfId="2735"/>
    <cellStyle name="Currency 9 5" xfId="2736"/>
    <cellStyle name="Currency 9 5 2" xfId="2737"/>
    <cellStyle name="Currency 9 6" xfId="2738"/>
    <cellStyle name="Currency 9 6 2" xfId="2739"/>
    <cellStyle name="Currency 9 7" xfId="2740"/>
    <cellStyle name="Currency0" xfId="2741"/>
    <cellStyle name="Custom - Style1" xfId="2742"/>
    <cellStyle name="Custom - Style8" xfId="2743"/>
    <cellStyle name="Data   - Style2" xfId="2744"/>
    <cellStyle name="Data   - Style2 2" xfId="2745"/>
    <cellStyle name="Data   - Style2 3" xfId="2746"/>
    <cellStyle name="Data   - Style2 4" xfId="2747"/>
    <cellStyle name="Data   - Style2 5" xfId="2748"/>
    <cellStyle name="Data Enter" xfId="2749"/>
    <cellStyle name="date" xfId="2750"/>
    <cellStyle name="Euro" xfId="2751"/>
    <cellStyle name="Euro 2" xfId="2752"/>
    <cellStyle name="Explanatory Text" xfId="2753" builtinId="53" customBuiltin="1"/>
    <cellStyle name="Explanatory Text 2" xfId="2754"/>
    <cellStyle name="Explanatory Text 3" xfId="2755"/>
    <cellStyle name="Explanatory Text 4" xfId="2756"/>
    <cellStyle name="F9ReportControlStyle_ctpInquire" xfId="2757"/>
    <cellStyle name="FactSheet" xfId="2758"/>
    <cellStyle name="fish" xfId="2759"/>
    <cellStyle name="Good" xfId="2760" builtinId="26" customBuiltin="1"/>
    <cellStyle name="Good 2" xfId="2761"/>
    <cellStyle name="Good 2 2" xfId="2762"/>
    <cellStyle name="Good 2 2 2" xfId="2763"/>
    <cellStyle name="Good 2 2 3" xfId="2764"/>
    <cellStyle name="Good 2 3" xfId="2765"/>
    <cellStyle name="Good 2 4" xfId="2766"/>
    <cellStyle name="Good 2 5" xfId="2767"/>
    <cellStyle name="Good 3" xfId="2768"/>
    <cellStyle name="Good 3 2" xfId="2769"/>
    <cellStyle name="Good 3 3" xfId="2770"/>
    <cellStyle name="Good 3 3 2" xfId="2771"/>
    <cellStyle name="Good 4" xfId="2772"/>
    <cellStyle name="Good 5" xfId="2773"/>
    <cellStyle name="Heading 1" xfId="2774" builtinId="16" customBuiltin="1"/>
    <cellStyle name="Heading 1 2" xfId="2775"/>
    <cellStyle name="Heading 1 2 2" xfId="2776"/>
    <cellStyle name="Heading 1 2 2 2" xfId="2777"/>
    <cellStyle name="Heading 1 2 3" xfId="2778"/>
    <cellStyle name="Heading 1 2 4" xfId="2779"/>
    <cellStyle name="Heading 1 2 4 2" xfId="2780"/>
    <cellStyle name="Heading 1 3" xfId="2781"/>
    <cellStyle name="Heading 1 3 2" xfId="2782"/>
    <cellStyle name="Heading 1 3 3" xfId="2783"/>
    <cellStyle name="Heading 1 3 4" xfId="2784"/>
    <cellStyle name="Heading 1 4" xfId="2785"/>
    <cellStyle name="Heading 1 4 2" xfId="2786"/>
    <cellStyle name="Heading 2" xfId="2787" builtinId="17" customBuiltin="1"/>
    <cellStyle name="Heading 2 2" xfId="2788"/>
    <cellStyle name="Heading 2 2 2" xfId="2789"/>
    <cellStyle name="Heading 2 2 3" xfId="2790"/>
    <cellStyle name="Heading 2 2 4" xfId="2791"/>
    <cellStyle name="Heading 2 2 4 2" xfId="2792"/>
    <cellStyle name="Heading 2 3" xfId="2793"/>
    <cellStyle name="Heading 2 3 2" xfId="2794"/>
    <cellStyle name="Heading 2 3 3" xfId="2795"/>
    <cellStyle name="Heading 2 3 4" xfId="2796"/>
    <cellStyle name="Heading 2 4" xfId="2797"/>
    <cellStyle name="Heading 2 4 2" xfId="2798"/>
    <cellStyle name="Heading 3" xfId="2799" builtinId="18" customBuiltin="1"/>
    <cellStyle name="Heading 3 2" xfId="2800"/>
    <cellStyle name="Heading 3 2 2" xfId="2801"/>
    <cellStyle name="Heading 3 2 2 2" xfId="2802"/>
    <cellStyle name="Heading 3 2 3" xfId="2803"/>
    <cellStyle name="Heading 3 2 4" xfId="2804"/>
    <cellStyle name="Heading 3 2 4 2" xfId="2805"/>
    <cellStyle name="Heading 3 3" xfId="2806"/>
    <cellStyle name="Heading 3 3 2" xfId="2807"/>
    <cellStyle name="Heading 3 3 3" xfId="2808"/>
    <cellStyle name="Heading 3 3 4" xfId="2809"/>
    <cellStyle name="Heading 3 4" xfId="2810"/>
    <cellStyle name="Heading 3 4 2" xfId="2811"/>
    <cellStyle name="Heading 4" xfId="2812" builtinId="19" customBuiltin="1"/>
    <cellStyle name="Heading 4 2" xfId="2813"/>
    <cellStyle name="Heading 4 2 2" xfId="2814"/>
    <cellStyle name="Heading 4 2 2 2" xfId="2815"/>
    <cellStyle name="Heading 4 2 2 3" xfId="2816"/>
    <cellStyle name="Heading 4 2 3" xfId="2817"/>
    <cellStyle name="Heading 4 2 3 2" xfId="2818"/>
    <cellStyle name="Heading 4 3" xfId="2819"/>
    <cellStyle name="Heading 4 3 2" xfId="2820"/>
    <cellStyle name="Heading 4 3 3" xfId="2821"/>
    <cellStyle name="Heading 4 4" xfId="2822"/>
    <cellStyle name="Hyperlink 2" xfId="2823"/>
    <cellStyle name="Hyperlink 2 2" xfId="2824"/>
    <cellStyle name="Hyperlink 2 2 2" xfId="2825"/>
    <cellStyle name="Hyperlink 2 2 3" xfId="2826"/>
    <cellStyle name="Hyperlink 2 2 4" xfId="2827"/>
    <cellStyle name="Hyperlink 2 2 5" xfId="2828"/>
    <cellStyle name="Hyperlink 2 2 6" xfId="2829"/>
    <cellStyle name="Hyperlink 2 3" xfId="2830"/>
    <cellStyle name="Hyperlink 2 3 2" xfId="2831"/>
    <cellStyle name="Hyperlink 2 3 3" xfId="2832"/>
    <cellStyle name="Hyperlink 2 4" xfId="2833"/>
    <cellStyle name="Hyperlink 3" xfId="2834"/>
    <cellStyle name="Hyperlink 3 2" xfId="2835"/>
    <cellStyle name="Hyperlink 3 2 2" xfId="2836"/>
    <cellStyle name="Hyperlink 3 3" xfId="2837"/>
    <cellStyle name="Hyperlink 3 4" xfId="2838"/>
    <cellStyle name="Hyperlink 4" xfId="2839"/>
    <cellStyle name="Hyperlink 4 2" xfId="2840"/>
    <cellStyle name="Hyperlink 5" xfId="2841"/>
    <cellStyle name="Input" xfId="2842" builtinId="20" customBuiltin="1"/>
    <cellStyle name="Input 2" xfId="2843"/>
    <cellStyle name="Input 2 2" xfId="2844"/>
    <cellStyle name="Input 2 2 2" xfId="2845"/>
    <cellStyle name="Input 2 2 2 2" xfId="2846"/>
    <cellStyle name="Input 2 2 2 2 2" xfId="2847"/>
    <cellStyle name="Input 2 2 2 2 3" xfId="2848"/>
    <cellStyle name="Input 2 2 2 2 4" xfId="2849"/>
    <cellStyle name="Input 2 2 2 2 5" xfId="2850"/>
    <cellStyle name="Input 2 2 2 3" xfId="2851"/>
    <cellStyle name="Input 2 2 3" xfId="2852"/>
    <cellStyle name="Input 2 2 3 2" xfId="2853"/>
    <cellStyle name="Input 2 2 3 3" xfId="2854"/>
    <cellStyle name="Input 2 2 3 4" xfId="2855"/>
    <cellStyle name="Input 2 2 3 5" xfId="2856"/>
    <cellStyle name="Input 2 2 4" xfId="2857"/>
    <cellStyle name="Input 2 2 5" xfId="2858"/>
    <cellStyle name="Input 2 3" xfId="2859"/>
    <cellStyle name="Input 2 3 2" xfId="2860"/>
    <cellStyle name="Input 2 3 2 2" xfId="2861"/>
    <cellStyle name="Input 2 3 2 3" xfId="2862"/>
    <cellStyle name="Input 2 3 2 4" xfId="2863"/>
    <cellStyle name="Input 2 3 2 5" xfId="2864"/>
    <cellStyle name="Input 2 3 3" xfId="2865"/>
    <cellStyle name="Input 2 3 4" xfId="2866"/>
    <cellStyle name="Input 2 4" xfId="2867"/>
    <cellStyle name="Input 2 4 2" xfId="2868"/>
    <cellStyle name="Input 2 4 3" xfId="2869"/>
    <cellStyle name="Input 2 4 4" xfId="2870"/>
    <cellStyle name="Input 2 4 5" xfId="2871"/>
    <cellStyle name="Input 2 5" xfId="2872"/>
    <cellStyle name="Input 3" xfId="2873"/>
    <cellStyle name="Input 3 2" xfId="2874"/>
    <cellStyle name="Input 3 2 2" xfId="2875"/>
    <cellStyle name="Input 3 2 2 2" xfId="2876"/>
    <cellStyle name="Input 3 2 2 3" xfId="2877"/>
    <cellStyle name="Input 3 2 2 4" xfId="2878"/>
    <cellStyle name="Input 3 2 2 5" xfId="2879"/>
    <cellStyle name="Input 3 2 3" xfId="2880"/>
    <cellStyle name="Input 3 3" xfId="2881"/>
    <cellStyle name="Input 3 3 2" xfId="2882"/>
    <cellStyle name="Input 3 3 3" xfId="2883"/>
    <cellStyle name="Input 3 3 4" xfId="2884"/>
    <cellStyle name="Input 3 3 5" xfId="2885"/>
    <cellStyle name="Input 3 4" xfId="2886"/>
    <cellStyle name="Input 3 4 2" xfId="2887"/>
    <cellStyle name="Input 3 4 3" xfId="2888"/>
    <cellStyle name="Input 3 4 4" xfId="2889"/>
    <cellStyle name="Input 3 4 5" xfId="2890"/>
    <cellStyle name="Input 4" xfId="2891"/>
    <cellStyle name="input(0)" xfId="2892"/>
    <cellStyle name="Input(2)" xfId="2893"/>
    <cellStyle name="Labels" xfId="2894"/>
    <cellStyle name="Labels - Style3" xfId="2895"/>
    <cellStyle name="Labels - Style3 2" xfId="2896"/>
    <cellStyle name="Labels - Style3 3" xfId="2897"/>
    <cellStyle name="Labels - Style3 4" xfId="2898"/>
    <cellStyle name="Labels - Style3 5" xfId="2899"/>
    <cellStyle name="Labels 2" xfId="2900"/>
    <cellStyle name="Labels 2 2" xfId="2901"/>
    <cellStyle name="Labels 3" xfId="2902"/>
    <cellStyle name="Labels 4" xfId="2903"/>
    <cellStyle name="Labels 5" xfId="2904"/>
    <cellStyle name="Labels 6" xfId="2905"/>
    <cellStyle name="Labels 7" xfId="2906"/>
    <cellStyle name="Linked Cell" xfId="2907" builtinId="24" customBuiltin="1"/>
    <cellStyle name="Linked Cell 2" xfId="2908"/>
    <cellStyle name="Linked Cell 2 2" xfId="2909"/>
    <cellStyle name="Linked Cell 2 3" xfId="2910"/>
    <cellStyle name="Linked Cell 2 4" xfId="2911"/>
    <cellStyle name="Linked Cell 2 4 2" xfId="2912"/>
    <cellStyle name="Linked Cell 3" xfId="2913"/>
    <cellStyle name="Linked Cell 3 2" xfId="2914"/>
    <cellStyle name="Linked Cell 3 3" xfId="2915"/>
    <cellStyle name="Linked Cell 4" xfId="2916"/>
    <cellStyle name="Neutral" xfId="2917" builtinId="28" customBuiltin="1"/>
    <cellStyle name="Neutral 2" xfId="2918"/>
    <cellStyle name="Neutral 2 2" xfId="2919"/>
    <cellStyle name="Neutral 2 2 2" xfId="2920"/>
    <cellStyle name="Neutral 2 3" xfId="2921"/>
    <cellStyle name="Neutral 2 4" xfId="2922"/>
    <cellStyle name="Neutral 2 4 2" xfId="2923"/>
    <cellStyle name="Neutral 3" xfId="2924"/>
    <cellStyle name="Neutral 3 2" xfId="2925"/>
    <cellStyle name="Neutral 3 3" xfId="2926"/>
    <cellStyle name="Neutral 4" xfId="2927"/>
    <cellStyle name="New_normal" xfId="2928"/>
    <cellStyle name="Normal" xfId="0" builtinId="0"/>
    <cellStyle name="Normal - Style1" xfId="2929"/>
    <cellStyle name="Normal - Style2" xfId="2930"/>
    <cellStyle name="Normal - Style3" xfId="2931"/>
    <cellStyle name="Normal - Style4" xfId="2932"/>
    <cellStyle name="Normal - Style5" xfId="2933"/>
    <cellStyle name="Normal - Style6" xfId="2934"/>
    <cellStyle name="Normal - Style7" xfId="2935"/>
    <cellStyle name="Normal - Style8" xfId="2936"/>
    <cellStyle name="Normal 10" xfId="9260"/>
    <cellStyle name="Normal 10 10" xfId="2937"/>
    <cellStyle name="Normal 10 10 2" xfId="9261"/>
    <cellStyle name="Normal 10 2" xfId="2938"/>
    <cellStyle name="Normal 10 2 2" xfId="2939"/>
    <cellStyle name="Normal 10 2 2 2" xfId="2940"/>
    <cellStyle name="Normal 10 2 2 2 2" xfId="2941"/>
    <cellStyle name="Normal 10 2 2 2 2 2" xfId="2942"/>
    <cellStyle name="Normal 10 2 2 2 2 2 2" xfId="2943"/>
    <cellStyle name="Normal 10 2 2 2 2 2 2 2" xfId="2944"/>
    <cellStyle name="Normal 10 2 2 2 2 2 2 2 2" xfId="9267"/>
    <cellStyle name="Normal 10 2 2 2 2 2 2 3" xfId="9266"/>
    <cellStyle name="Normal 10 2 2 2 2 2 3" xfId="2945"/>
    <cellStyle name="Normal 10 2 2 2 2 2 3 2" xfId="2946"/>
    <cellStyle name="Normal 10 2 2 2 2 2 3 2 2" xfId="9269"/>
    <cellStyle name="Normal 10 2 2 2 2 2 3 3" xfId="9268"/>
    <cellStyle name="Normal 10 2 2 2 2 2 4" xfId="2947"/>
    <cellStyle name="Normal 10 2 2 2 2 2 4 2" xfId="9270"/>
    <cellStyle name="Normal 10 2 2 2 2 2 5" xfId="9265"/>
    <cellStyle name="Normal 10 2 2 2 2 3" xfId="2948"/>
    <cellStyle name="Normal 10 2 2 2 2 3 2" xfId="2949"/>
    <cellStyle name="Normal 10 2 2 2 2 3 2 2" xfId="9272"/>
    <cellStyle name="Normal 10 2 2 2 2 3 3" xfId="9271"/>
    <cellStyle name="Normal 10 2 2 2 2 4" xfId="2950"/>
    <cellStyle name="Normal 10 2 2 2 2 4 2" xfId="2951"/>
    <cellStyle name="Normal 10 2 2 2 2 4 2 2" xfId="9274"/>
    <cellStyle name="Normal 10 2 2 2 2 4 3" xfId="9273"/>
    <cellStyle name="Normal 10 2 2 2 2 5" xfId="2952"/>
    <cellStyle name="Normal 10 2 2 2 2 5 2" xfId="9275"/>
    <cellStyle name="Normal 10 2 2 2 2 6" xfId="9264"/>
    <cellStyle name="Normal 10 2 2 2 3" xfId="2953"/>
    <cellStyle name="Normal 10 2 2 2 3 2" xfId="2954"/>
    <cellStyle name="Normal 10 2 2 2 3 2 2" xfId="2955"/>
    <cellStyle name="Normal 10 2 2 2 3 2 2 2" xfId="9278"/>
    <cellStyle name="Normal 10 2 2 2 3 2 3" xfId="9277"/>
    <cellStyle name="Normal 10 2 2 2 3 3" xfId="2956"/>
    <cellStyle name="Normal 10 2 2 2 3 3 2" xfId="2957"/>
    <cellStyle name="Normal 10 2 2 2 3 3 2 2" xfId="9280"/>
    <cellStyle name="Normal 10 2 2 2 3 3 3" xfId="9279"/>
    <cellStyle name="Normal 10 2 2 2 3 4" xfId="2958"/>
    <cellStyle name="Normal 10 2 2 2 3 4 2" xfId="9281"/>
    <cellStyle name="Normal 10 2 2 2 3 5" xfId="9276"/>
    <cellStyle name="Normal 10 2 2 2 4" xfId="2959"/>
    <cellStyle name="Normal 10 2 2 2 4 2" xfId="2960"/>
    <cellStyle name="Normal 10 2 2 2 4 2 2" xfId="9283"/>
    <cellStyle name="Normal 10 2 2 2 4 3" xfId="9282"/>
    <cellStyle name="Normal 10 2 2 2 5" xfId="2961"/>
    <cellStyle name="Normal 10 2 2 2 5 2" xfId="2962"/>
    <cellStyle name="Normal 10 2 2 2 5 2 2" xfId="9285"/>
    <cellStyle name="Normal 10 2 2 2 5 3" xfId="9284"/>
    <cellStyle name="Normal 10 2 2 2 6" xfId="2963"/>
    <cellStyle name="Normal 10 2 2 2 6 2" xfId="9286"/>
    <cellStyle name="Normal 10 2 2 2 7" xfId="9263"/>
    <cellStyle name="Normal 10 2 2 3" xfId="2964"/>
    <cellStyle name="Normal 10 2 2 3 2" xfId="2965"/>
    <cellStyle name="Normal 10 2 2 3 2 2" xfId="2966"/>
    <cellStyle name="Normal 10 2 2 3 2 2 2" xfId="2967"/>
    <cellStyle name="Normal 10 2 2 3 2 2 2 2" xfId="9290"/>
    <cellStyle name="Normal 10 2 2 3 2 2 3" xfId="9289"/>
    <cellStyle name="Normal 10 2 2 3 2 3" xfId="2968"/>
    <cellStyle name="Normal 10 2 2 3 2 3 2" xfId="2969"/>
    <cellStyle name="Normal 10 2 2 3 2 3 2 2" xfId="9292"/>
    <cellStyle name="Normal 10 2 2 3 2 3 3" xfId="9291"/>
    <cellStyle name="Normal 10 2 2 3 2 4" xfId="2970"/>
    <cellStyle name="Normal 10 2 2 3 2 4 2" xfId="9293"/>
    <cellStyle name="Normal 10 2 2 3 2 5" xfId="9288"/>
    <cellStyle name="Normal 10 2 2 3 3" xfId="2971"/>
    <cellStyle name="Normal 10 2 2 3 3 2" xfId="2972"/>
    <cellStyle name="Normal 10 2 2 3 3 2 2" xfId="9295"/>
    <cellStyle name="Normal 10 2 2 3 3 3" xfId="9294"/>
    <cellStyle name="Normal 10 2 2 3 4" xfId="2973"/>
    <cellStyle name="Normal 10 2 2 3 4 2" xfId="2974"/>
    <cellStyle name="Normal 10 2 2 3 4 2 2" xfId="9297"/>
    <cellStyle name="Normal 10 2 2 3 4 3" xfId="9296"/>
    <cellStyle name="Normal 10 2 2 3 5" xfId="2975"/>
    <cellStyle name="Normal 10 2 2 3 5 2" xfId="9298"/>
    <cellStyle name="Normal 10 2 2 3 6" xfId="9287"/>
    <cellStyle name="Normal 10 2 2 4" xfId="2976"/>
    <cellStyle name="Normal 10 2 2 4 2" xfId="2977"/>
    <cellStyle name="Normal 10 2 2 4 2 2" xfId="2978"/>
    <cellStyle name="Normal 10 2 2 4 2 2 2" xfId="9301"/>
    <cellStyle name="Normal 10 2 2 4 2 3" xfId="9300"/>
    <cellStyle name="Normal 10 2 2 4 3" xfId="2979"/>
    <cellStyle name="Normal 10 2 2 4 3 2" xfId="2980"/>
    <cellStyle name="Normal 10 2 2 4 3 2 2" xfId="9303"/>
    <cellStyle name="Normal 10 2 2 4 3 3" xfId="9302"/>
    <cellStyle name="Normal 10 2 2 4 4" xfId="2981"/>
    <cellStyle name="Normal 10 2 2 4 4 2" xfId="9304"/>
    <cellStyle name="Normal 10 2 2 4 5" xfId="9299"/>
    <cellStyle name="Normal 10 2 2 5" xfId="2982"/>
    <cellStyle name="Normal 10 2 2 5 2" xfId="2983"/>
    <cellStyle name="Normal 10 2 2 5 2 2" xfId="9306"/>
    <cellStyle name="Normal 10 2 2 5 3" xfId="9305"/>
    <cellStyle name="Normal 10 2 2 6" xfId="2984"/>
    <cellStyle name="Normal 10 2 2 6 2" xfId="2985"/>
    <cellStyle name="Normal 10 2 2 6 2 2" xfId="9308"/>
    <cellStyle name="Normal 10 2 2 6 3" xfId="9307"/>
    <cellStyle name="Normal 10 2 2 7" xfId="2986"/>
    <cellStyle name="Normal 10 2 2 7 2" xfId="9309"/>
    <cellStyle name="Normal 10 2 2 8" xfId="9262"/>
    <cellStyle name="Normal 10 2 3" xfId="2987"/>
    <cellStyle name="Normal 10 2 3 2" xfId="2988"/>
    <cellStyle name="Normal 10 2 3 2 2" xfId="2989"/>
    <cellStyle name="Normal 10 2 3 2 2 2" xfId="2990"/>
    <cellStyle name="Normal 10 2 3 2 2 2 2" xfId="2991"/>
    <cellStyle name="Normal 10 2 3 2 2 2 2 2" xfId="9313"/>
    <cellStyle name="Normal 10 2 3 2 2 2 3" xfId="9312"/>
    <cellStyle name="Normal 10 2 3 2 2 3" xfId="2992"/>
    <cellStyle name="Normal 10 2 3 2 2 3 2" xfId="2993"/>
    <cellStyle name="Normal 10 2 3 2 2 3 2 2" xfId="9315"/>
    <cellStyle name="Normal 10 2 3 2 2 3 3" xfId="9314"/>
    <cellStyle name="Normal 10 2 3 2 2 4" xfId="2994"/>
    <cellStyle name="Normal 10 2 3 2 2 4 2" xfId="9316"/>
    <cellStyle name="Normal 10 2 3 2 2 5" xfId="9311"/>
    <cellStyle name="Normal 10 2 3 2 3" xfId="2995"/>
    <cellStyle name="Normal 10 2 3 2 3 2" xfId="2996"/>
    <cellStyle name="Normal 10 2 3 2 3 2 2" xfId="9318"/>
    <cellStyle name="Normal 10 2 3 2 3 3" xfId="9317"/>
    <cellStyle name="Normal 10 2 3 2 4" xfId="2997"/>
    <cellStyle name="Normal 10 2 3 2 4 2" xfId="2998"/>
    <cellStyle name="Normal 10 2 3 2 4 2 2" xfId="9320"/>
    <cellStyle name="Normal 10 2 3 2 4 3" xfId="9319"/>
    <cellStyle name="Normal 10 2 3 2 5" xfId="2999"/>
    <cellStyle name="Normal 10 2 3 2 5 2" xfId="9321"/>
    <cellStyle name="Normal 10 2 3 2 6" xfId="9310"/>
    <cellStyle name="Normal 10 2 3 3" xfId="3000"/>
    <cellStyle name="Normal 10 2 3 3 2" xfId="3001"/>
    <cellStyle name="Normal 10 2 3 3 2 2" xfId="3002"/>
    <cellStyle name="Normal 10 2 3 3 2 2 2" xfId="9324"/>
    <cellStyle name="Normal 10 2 3 3 2 3" xfId="9323"/>
    <cellStyle name="Normal 10 2 3 3 3" xfId="3003"/>
    <cellStyle name="Normal 10 2 3 3 3 2" xfId="3004"/>
    <cellStyle name="Normal 10 2 3 3 3 2 2" xfId="9326"/>
    <cellStyle name="Normal 10 2 3 3 3 3" xfId="9325"/>
    <cellStyle name="Normal 10 2 3 3 4" xfId="3005"/>
    <cellStyle name="Normal 10 2 3 3 4 2" xfId="9327"/>
    <cellStyle name="Normal 10 2 3 3 5" xfId="9322"/>
    <cellStyle name="Normal 10 2 3 4" xfId="3006"/>
    <cellStyle name="Normal 10 2 3 4 2" xfId="3007"/>
    <cellStyle name="Normal 10 2 3 4 2 2" xfId="9328"/>
    <cellStyle name="Normal 10 2 3 5" xfId="3008"/>
    <cellStyle name="Normal 10 2 3 5 2" xfId="3009"/>
    <cellStyle name="Normal 10 2 3 5 2 2" xfId="9330"/>
    <cellStyle name="Normal 10 2 3 5 3" xfId="9329"/>
    <cellStyle name="Normal 10 2 3 6" xfId="3010"/>
    <cellStyle name="Normal 10 2 3 6 2" xfId="9331"/>
    <cellStyle name="Normal 10 2 4" xfId="3011"/>
    <cellStyle name="Normal 10 2 4 2" xfId="3012"/>
    <cellStyle name="Normal 10 2 4 2 2" xfId="3013"/>
    <cellStyle name="Normal 10 2 4 2 2 2" xfId="3014"/>
    <cellStyle name="Normal 10 2 4 2 2 2 2" xfId="9333"/>
    <cellStyle name="Normal 10 2 4 2 2 3" xfId="9332"/>
    <cellStyle name="Normal 10 2 4 2 3" xfId="3015"/>
    <cellStyle name="Normal 10 2 4 2 3 2" xfId="3016"/>
    <cellStyle name="Normal 10 2 4 2 3 2 2" xfId="9335"/>
    <cellStyle name="Normal 10 2 4 2 3 3" xfId="9334"/>
    <cellStyle name="Normal 10 2 4 2 4" xfId="3017"/>
    <cellStyle name="Normal 10 2 4 2 4 2" xfId="9336"/>
    <cellStyle name="Normal 10 2 4 3" xfId="3018"/>
    <cellStyle name="Normal 10 2 4 3 2" xfId="3019"/>
    <cellStyle name="Normal 10 2 4 3 2 2" xfId="9338"/>
    <cellStyle name="Normal 10 2 4 3 3" xfId="9337"/>
    <cellStyle name="Normal 10 2 4 4" xfId="3020"/>
    <cellStyle name="Normal 10 2 4 4 2" xfId="3021"/>
    <cellStyle name="Normal 10 2 4 4 2 2" xfId="9340"/>
    <cellStyle name="Normal 10 2 4 4 3" xfId="9339"/>
    <cellStyle name="Normal 10 2 4 5" xfId="3022"/>
    <cellStyle name="Normal 10 2 4 5 2" xfId="9341"/>
    <cellStyle name="Normal 10 2 5" xfId="3023"/>
    <cellStyle name="Normal 10 2 5 2" xfId="3024"/>
    <cellStyle name="Normal 10 2 5 2 2" xfId="3025"/>
    <cellStyle name="Normal 10 2 5 2 2 2" xfId="9343"/>
    <cellStyle name="Normal 10 2 5 2 3" xfId="9342"/>
    <cellStyle name="Normal 10 2 5 3" xfId="3026"/>
    <cellStyle name="Normal 10 2 5 3 2" xfId="3027"/>
    <cellStyle name="Normal 10 2 5 3 2 2" xfId="9345"/>
    <cellStyle name="Normal 10 2 5 3 3" xfId="9344"/>
    <cellStyle name="Normal 10 2 5 4" xfId="3028"/>
    <cellStyle name="Normal 10 2 5 4 2" xfId="9346"/>
    <cellStyle name="Normal 10 2 6" xfId="3029"/>
    <cellStyle name="Normal 10 2 6 2" xfId="3030"/>
    <cellStyle name="Normal 10 2 6 2 2" xfId="9347"/>
    <cellStyle name="Normal 10 2 7" xfId="3031"/>
    <cellStyle name="Normal 10 2 7 2" xfId="3032"/>
    <cellStyle name="Normal 10 2 7 2 2" xfId="9349"/>
    <cellStyle name="Normal 10 2 7 3" xfId="9348"/>
    <cellStyle name="Normal 10 2 8" xfId="3033"/>
    <cellStyle name="Normal 10 2 8 2" xfId="9350"/>
    <cellStyle name="Normal 10 3" xfId="3034"/>
    <cellStyle name="Normal 10 3 2" xfId="3035"/>
    <cellStyle name="Normal 10 3 2 2" xfId="3036"/>
    <cellStyle name="Normal 10 3 2 2 2" xfId="3037"/>
    <cellStyle name="Normal 10 3 2 2 2 2" xfId="3038"/>
    <cellStyle name="Normal 10 3 2 2 2 2 2" xfId="3039"/>
    <cellStyle name="Normal 10 3 2 2 2 2 2 2" xfId="9355"/>
    <cellStyle name="Normal 10 3 2 2 2 2 3" xfId="9354"/>
    <cellStyle name="Normal 10 3 2 2 2 3" xfId="3040"/>
    <cellStyle name="Normal 10 3 2 2 2 3 2" xfId="3041"/>
    <cellStyle name="Normal 10 3 2 2 2 3 2 2" xfId="9357"/>
    <cellStyle name="Normal 10 3 2 2 2 3 3" xfId="9356"/>
    <cellStyle name="Normal 10 3 2 2 2 4" xfId="3042"/>
    <cellStyle name="Normal 10 3 2 2 2 4 2" xfId="9358"/>
    <cellStyle name="Normal 10 3 2 2 2 5" xfId="9353"/>
    <cellStyle name="Normal 10 3 2 2 3" xfId="3043"/>
    <cellStyle name="Normal 10 3 2 2 3 2" xfId="3044"/>
    <cellStyle name="Normal 10 3 2 2 3 2 2" xfId="9360"/>
    <cellStyle name="Normal 10 3 2 2 3 3" xfId="9359"/>
    <cellStyle name="Normal 10 3 2 2 4" xfId="3045"/>
    <cellStyle name="Normal 10 3 2 2 4 2" xfId="3046"/>
    <cellStyle name="Normal 10 3 2 2 4 2 2" xfId="9362"/>
    <cellStyle name="Normal 10 3 2 2 4 3" xfId="9361"/>
    <cellStyle name="Normal 10 3 2 2 5" xfId="3047"/>
    <cellStyle name="Normal 10 3 2 2 5 2" xfId="9363"/>
    <cellStyle name="Normal 10 3 2 2 6" xfId="9352"/>
    <cellStyle name="Normal 10 3 2 3" xfId="3048"/>
    <cellStyle name="Normal 10 3 2 3 2" xfId="3049"/>
    <cellStyle name="Normal 10 3 2 3 2 2" xfId="3050"/>
    <cellStyle name="Normal 10 3 2 3 2 2 2" xfId="9366"/>
    <cellStyle name="Normal 10 3 2 3 2 3" xfId="9365"/>
    <cellStyle name="Normal 10 3 2 3 3" xfId="3051"/>
    <cellStyle name="Normal 10 3 2 3 3 2" xfId="3052"/>
    <cellStyle name="Normal 10 3 2 3 3 2 2" xfId="9368"/>
    <cellStyle name="Normal 10 3 2 3 3 3" xfId="9367"/>
    <cellStyle name="Normal 10 3 2 3 4" xfId="3053"/>
    <cellStyle name="Normal 10 3 2 3 4 2" xfId="9369"/>
    <cellStyle name="Normal 10 3 2 3 5" xfId="9364"/>
    <cellStyle name="Normal 10 3 2 4" xfId="3054"/>
    <cellStyle name="Normal 10 3 2 4 2" xfId="3055"/>
    <cellStyle name="Normal 10 3 2 4 2 2" xfId="9371"/>
    <cellStyle name="Normal 10 3 2 4 3" xfId="9370"/>
    <cellStyle name="Normal 10 3 2 5" xfId="3056"/>
    <cellStyle name="Normal 10 3 2 5 2" xfId="3057"/>
    <cellStyle name="Normal 10 3 2 5 2 2" xfId="9373"/>
    <cellStyle name="Normal 10 3 2 5 3" xfId="9372"/>
    <cellStyle name="Normal 10 3 2 6" xfId="3058"/>
    <cellStyle name="Normal 10 3 2 6 2" xfId="9374"/>
    <cellStyle name="Normal 10 3 2 7" xfId="3059"/>
    <cellStyle name="Normal 10 3 2 8" xfId="9351"/>
    <cellStyle name="Normal 10 3 3" xfId="3060"/>
    <cellStyle name="Normal 10 3 3 2" xfId="3061"/>
    <cellStyle name="Normal 10 3 3 2 2" xfId="3062"/>
    <cellStyle name="Normal 10 3 3 2 2 2" xfId="3063"/>
    <cellStyle name="Normal 10 3 3 2 2 2 2" xfId="9378"/>
    <cellStyle name="Normal 10 3 3 2 2 3" xfId="9377"/>
    <cellStyle name="Normal 10 3 3 2 3" xfId="3064"/>
    <cellStyle name="Normal 10 3 3 2 3 2" xfId="3065"/>
    <cellStyle name="Normal 10 3 3 2 3 2 2" xfId="9380"/>
    <cellStyle name="Normal 10 3 3 2 3 3" xfId="9379"/>
    <cellStyle name="Normal 10 3 3 2 4" xfId="3066"/>
    <cellStyle name="Normal 10 3 3 2 4 2" xfId="9381"/>
    <cellStyle name="Normal 10 3 3 2 5" xfId="9376"/>
    <cellStyle name="Normal 10 3 3 3" xfId="3067"/>
    <cellStyle name="Normal 10 3 3 3 2" xfId="3068"/>
    <cellStyle name="Normal 10 3 3 3 2 2" xfId="9383"/>
    <cellStyle name="Normal 10 3 3 3 3" xfId="9382"/>
    <cellStyle name="Normal 10 3 3 4" xfId="3069"/>
    <cellStyle name="Normal 10 3 3 4 2" xfId="3070"/>
    <cellStyle name="Normal 10 3 3 4 2 2" xfId="9385"/>
    <cellStyle name="Normal 10 3 3 4 3" xfId="9384"/>
    <cellStyle name="Normal 10 3 3 5" xfId="3071"/>
    <cellStyle name="Normal 10 3 3 5 2" xfId="9386"/>
    <cellStyle name="Normal 10 3 3 6" xfId="9375"/>
    <cellStyle name="Normal 10 3 4" xfId="3072"/>
    <cellStyle name="Normal 10 3 4 2" xfId="3073"/>
    <cellStyle name="Normal 10 3 4 2 2" xfId="3074"/>
    <cellStyle name="Normal 10 3 4 2 2 2" xfId="9389"/>
    <cellStyle name="Normal 10 3 4 2 3" xfId="9388"/>
    <cellStyle name="Normal 10 3 4 3" xfId="3075"/>
    <cellStyle name="Normal 10 3 4 3 2" xfId="3076"/>
    <cellStyle name="Normal 10 3 4 3 2 2" xfId="9391"/>
    <cellStyle name="Normal 10 3 4 3 3" xfId="9390"/>
    <cellStyle name="Normal 10 3 4 4" xfId="3077"/>
    <cellStyle name="Normal 10 3 4 4 2" xfId="9392"/>
    <cellStyle name="Normal 10 3 4 5" xfId="9387"/>
    <cellStyle name="Normal 10 3 5" xfId="3078"/>
    <cellStyle name="Normal 10 3 5 2" xfId="3079"/>
    <cellStyle name="Normal 10 3 5 2 2" xfId="9394"/>
    <cellStyle name="Normal 10 3 5 3" xfId="9393"/>
    <cellStyle name="Normal 10 3 6" xfId="3080"/>
    <cellStyle name="Normal 10 3 6 2" xfId="3081"/>
    <cellStyle name="Normal 10 3 6 2 2" xfId="9395"/>
    <cellStyle name="Normal 10 3 7" xfId="3082"/>
    <cellStyle name="Normal 10 3 7 2" xfId="9396"/>
    <cellStyle name="Normal 10 3 8" xfId="3083"/>
    <cellStyle name="Normal 10 4" xfId="3084"/>
    <cellStyle name="Normal 10 4 2" xfId="3085"/>
    <cellStyle name="Normal 10 4 2 2" xfId="3086"/>
    <cellStyle name="Normal 10 4 2 2 2" xfId="3087"/>
    <cellStyle name="Normal 10 4 2 2 2 2" xfId="3088"/>
    <cellStyle name="Normal 10 4 2 2 2 2 2" xfId="3089"/>
    <cellStyle name="Normal 10 4 2 2 2 2 2 2" xfId="9402"/>
    <cellStyle name="Normal 10 4 2 2 2 2 3" xfId="9401"/>
    <cellStyle name="Normal 10 4 2 2 2 3" xfId="3090"/>
    <cellStyle name="Normal 10 4 2 2 2 3 2" xfId="3091"/>
    <cellStyle name="Normal 10 4 2 2 2 3 2 2" xfId="9404"/>
    <cellStyle name="Normal 10 4 2 2 2 3 3" xfId="9403"/>
    <cellStyle name="Normal 10 4 2 2 2 4" xfId="3092"/>
    <cellStyle name="Normal 10 4 2 2 2 4 2" xfId="9405"/>
    <cellStyle name="Normal 10 4 2 2 2 5" xfId="9400"/>
    <cellStyle name="Normal 10 4 2 2 3" xfId="3093"/>
    <cellStyle name="Normal 10 4 2 2 3 2" xfId="3094"/>
    <cellStyle name="Normal 10 4 2 2 3 2 2" xfId="9407"/>
    <cellStyle name="Normal 10 4 2 2 3 3" xfId="9406"/>
    <cellStyle name="Normal 10 4 2 2 4" xfId="3095"/>
    <cellStyle name="Normal 10 4 2 2 4 2" xfId="3096"/>
    <cellStyle name="Normal 10 4 2 2 4 2 2" xfId="9409"/>
    <cellStyle name="Normal 10 4 2 2 4 3" xfId="9408"/>
    <cellStyle name="Normal 10 4 2 2 5" xfId="3097"/>
    <cellStyle name="Normal 10 4 2 2 5 2" xfId="9410"/>
    <cellStyle name="Normal 10 4 2 2 6" xfId="9399"/>
    <cellStyle name="Normal 10 4 2 3" xfId="3098"/>
    <cellStyle name="Normal 10 4 2 3 2" xfId="3099"/>
    <cellStyle name="Normal 10 4 2 3 2 2" xfId="3100"/>
    <cellStyle name="Normal 10 4 2 3 2 2 2" xfId="9413"/>
    <cellStyle name="Normal 10 4 2 3 2 3" xfId="9412"/>
    <cellStyle name="Normal 10 4 2 3 3" xfId="3101"/>
    <cellStyle name="Normal 10 4 2 3 3 2" xfId="3102"/>
    <cellStyle name="Normal 10 4 2 3 3 2 2" xfId="9415"/>
    <cellStyle name="Normal 10 4 2 3 3 3" xfId="9414"/>
    <cellStyle name="Normal 10 4 2 3 4" xfId="3103"/>
    <cellStyle name="Normal 10 4 2 3 4 2" xfId="9416"/>
    <cellStyle name="Normal 10 4 2 3 5" xfId="9411"/>
    <cellStyle name="Normal 10 4 2 4" xfId="3104"/>
    <cellStyle name="Normal 10 4 2 4 2" xfId="3105"/>
    <cellStyle name="Normal 10 4 2 4 2 2" xfId="9418"/>
    <cellStyle name="Normal 10 4 2 4 3" xfId="9417"/>
    <cellStyle name="Normal 10 4 2 5" xfId="3106"/>
    <cellStyle name="Normal 10 4 2 5 2" xfId="3107"/>
    <cellStyle name="Normal 10 4 2 5 2 2" xfId="9420"/>
    <cellStyle name="Normal 10 4 2 5 3" xfId="9419"/>
    <cellStyle name="Normal 10 4 2 6" xfId="3108"/>
    <cellStyle name="Normal 10 4 2 6 2" xfId="9421"/>
    <cellStyle name="Normal 10 4 2 7" xfId="9398"/>
    <cellStyle name="Normal 10 4 3" xfId="3109"/>
    <cellStyle name="Normal 10 4 3 2" xfId="3110"/>
    <cellStyle name="Normal 10 4 3 2 2" xfId="3111"/>
    <cellStyle name="Normal 10 4 3 2 2 2" xfId="3112"/>
    <cellStyle name="Normal 10 4 3 2 2 2 2" xfId="9425"/>
    <cellStyle name="Normal 10 4 3 2 2 3" xfId="9424"/>
    <cellStyle name="Normal 10 4 3 2 3" xfId="3113"/>
    <cellStyle name="Normal 10 4 3 2 3 2" xfId="3114"/>
    <cellStyle name="Normal 10 4 3 2 3 2 2" xfId="9427"/>
    <cellStyle name="Normal 10 4 3 2 3 3" xfId="9426"/>
    <cellStyle name="Normal 10 4 3 2 4" xfId="3115"/>
    <cellStyle name="Normal 10 4 3 2 4 2" xfId="9428"/>
    <cellStyle name="Normal 10 4 3 2 5" xfId="9423"/>
    <cellStyle name="Normal 10 4 3 3" xfId="3116"/>
    <cellStyle name="Normal 10 4 3 3 2" xfId="3117"/>
    <cellStyle name="Normal 10 4 3 3 2 2" xfId="9430"/>
    <cellStyle name="Normal 10 4 3 3 3" xfId="9429"/>
    <cellStyle name="Normal 10 4 3 4" xfId="3118"/>
    <cellStyle name="Normal 10 4 3 4 2" xfId="3119"/>
    <cellStyle name="Normal 10 4 3 4 2 2" xfId="9432"/>
    <cellStyle name="Normal 10 4 3 4 3" xfId="9431"/>
    <cellStyle name="Normal 10 4 3 5" xfId="3120"/>
    <cellStyle name="Normal 10 4 3 5 2" xfId="9433"/>
    <cellStyle name="Normal 10 4 3 6" xfId="9422"/>
    <cellStyle name="Normal 10 4 4" xfId="3121"/>
    <cellStyle name="Normal 10 4 4 2" xfId="3122"/>
    <cellStyle name="Normal 10 4 4 2 2" xfId="3123"/>
    <cellStyle name="Normal 10 4 4 2 2 2" xfId="9436"/>
    <cellStyle name="Normal 10 4 4 2 3" xfId="9435"/>
    <cellStyle name="Normal 10 4 4 3" xfId="3124"/>
    <cellStyle name="Normal 10 4 4 3 2" xfId="3125"/>
    <cellStyle name="Normal 10 4 4 3 2 2" xfId="9438"/>
    <cellStyle name="Normal 10 4 4 3 3" xfId="9437"/>
    <cellStyle name="Normal 10 4 4 4" xfId="3126"/>
    <cellStyle name="Normal 10 4 4 4 2" xfId="9439"/>
    <cellStyle name="Normal 10 4 4 5" xfId="9434"/>
    <cellStyle name="Normal 10 4 5" xfId="3127"/>
    <cellStyle name="Normal 10 4 5 2" xfId="3128"/>
    <cellStyle name="Normal 10 4 5 2 2" xfId="9441"/>
    <cellStyle name="Normal 10 4 5 3" xfId="9440"/>
    <cellStyle name="Normal 10 4 6" xfId="3129"/>
    <cellStyle name="Normal 10 4 6 2" xfId="3130"/>
    <cellStyle name="Normal 10 4 6 2 2" xfId="9443"/>
    <cellStyle name="Normal 10 4 6 3" xfId="9442"/>
    <cellStyle name="Normal 10 4 7" xfId="3131"/>
    <cellStyle name="Normal 10 4 7 2" xfId="9444"/>
    <cellStyle name="Normal 10 4 8" xfId="9397"/>
    <cellStyle name="Normal 10 5" xfId="3132"/>
    <cellStyle name="Normal 10 5 2" xfId="3133"/>
    <cellStyle name="Normal 10 5 2 2" xfId="3134"/>
    <cellStyle name="Normal 10 5 2 2 2" xfId="3135"/>
    <cellStyle name="Normal 10 5 2 2 2 2" xfId="3136"/>
    <cellStyle name="Normal 10 5 2 2 2 2 2" xfId="9449"/>
    <cellStyle name="Normal 10 5 2 2 2 3" xfId="9448"/>
    <cellStyle name="Normal 10 5 2 2 3" xfId="3137"/>
    <cellStyle name="Normal 10 5 2 2 3 2" xfId="3138"/>
    <cellStyle name="Normal 10 5 2 2 3 2 2" xfId="9451"/>
    <cellStyle name="Normal 10 5 2 2 3 3" xfId="9450"/>
    <cellStyle name="Normal 10 5 2 2 4" xfId="3139"/>
    <cellStyle name="Normal 10 5 2 2 4 2" xfId="9452"/>
    <cellStyle name="Normal 10 5 2 2 5" xfId="9447"/>
    <cellStyle name="Normal 10 5 2 3" xfId="3140"/>
    <cellStyle name="Normal 10 5 2 3 2" xfId="3141"/>
    <cellStyle name="Normal 10 5 2 3 2 2" xfId="9454"/>
    <cellStyle name="Normal 10 5 2 3 3" xfId="9453"/>
    <cellStyle name="Normal 10 5 2 4" xfId="3142"/>
    <cellStyle name="Normal 10 5 2 4 2" xfId="3143"/>
    <cellStyle name="Normal 10 5 2 4 2 2" xfId="9456"/>
    <cellStyle name="Normal 10 5 2 4 3" xfId="9455"/>
    <cellStyle name="Normal 10 5 2 5" xfId="3144"/>
    <cellStyle name="Normal 10 5 2 5 2" xfId="9457"/>
    <cellStyle name="Normal 10 5 2 6" xfId="9446"/>
    <cellStyle name="Normal 10 5 3" xfId="3145"/>
    <cellStyle name="Normal 10 5 3 2" xfId="3146"/>
    <cellStyle name="Normal 10 5 3 2 2" xfId="3147"/>
    <cellStyle name="Normal 10 5 3 2 2 2" xfId="9460"/>
    <cellStyle name="Normal 10 5 3 2 3" xfId="9459"/>
    <cellStyle name="Normal 10 5 3 3" xfId="3148"/>
    <cellStyle name="Normal 10 5 3 3 2" xfId="3149"/>
    <cellStyle name="Normal 10 5 3 3 2 2" xfId="9462"/>
    <cellStyle name="Normal 10 5 3 3 3" xfId="9461"/>
    <cellStyle name="Normal 10 5 3 4" xfId="3150"/>
    <cellStyle name="Normal 10 5 3 4 2" xfId="9463"/>
    <cellStyle name="Normal 10 5 3 5" xfId="9458"/>
    <cellStyle name="Normal 10 5 4" xfId="3151"/>
    <cellStyle name="Normal 10 5 4 2" xfId="3152"/>
    <cellStyle name="Normal 10 5 4 2 2" xfId="9465"/>
    <cellStyle name="Normal 10 5 4 3" xfId="9464"/>
    <cellStyle name="Normal 10 5 5" xfId="3153"/>
    <cellStyle name="Normal 10 5 5 2" xfId="3154"/>
    <cellStyle name="Normal 10 5 5 2 2" xfId="9467"/>
    <cellStyle name="Normal 10 5 5 3" xfId="9466"/>
    <cellStyle name="Normal 10 5 6" xfId="3155"/>
    <cellStyle name="Normal 10 5 6 2" xfId="9468"/>
    <cellStyle name="Normal 10 5 7" xfId="9445"/>
    <cellStyle name="Normal 10 6" xfId="3156"/>
    <cellStyle name="Normal 10 6 2" xfId="3157"/>
    <cellStyle name="Normal 10 6 2 2" xfId="3158"/>
    <cellStyle name="Normal 10 6 2 2 2" xfId="3159"/>
    <cellStyle name="Normal 10 6 2 2 2 2" xfId="9472"/>
    <cellStyle name="Normal 10 6 2 2 3" xfId="9471"/>
    <cellStyle name="Normal 10 6 2 3" xfId="3160"/>
    <cellStyle name="Normal 10 6 2 3 2" xfId="3161"/>
    <cellStyle name="Normal 10 6 2 3 2 2" xfId="9474"/>
    <cellStyle name="Normal 10 6 2 3 3" xfId="9473"/>
    <cellStyle name="Normal 10 6 2 4" xfId="3162"/>
    <cellStyle name="Normal 10 6 2 4 2" xfId="9475"/>
    <cellStyle name="Normal 10 6 2 5" xfId="9470"/>
    <cellStyle name="Normal 10 6 3" xfId="3163"/>
    <cellStyle name="Normal 10 6 3 2" xfId="3164"/>
    <cellStyle name="Normal 10 6 3 2 2" xfId="9477"/>
    <cellStyle name="Normal 10 6 3 3" xfId="9476"/>
    <cellStyle name="Normal 10 6 4" xfId="3165"/>
    <cellStyle name="Normal 10 6 4 2" xfId="3166"/>
    <cellStyle name="Normal 10 6 4 2 2" xfId="9479"/>
    <cellStyle name="Normal 10 6 4 3" xfId="9478"/>
    <cellStyle name="Normal 10 6 5" xfId="3167"/>
    <cellStyle name="Normal 10 6 5 2" xfId="9480"/>
    <cellStyle name="Normal 10 6 6" xfId="9469"/>
    <cellStyle name="Normal 10 7" xfId="3168"/>
    <cellStyle name="Normal 10 7 2" xfId="3169"/>
    <cellStyle name="Normal 10 7 2 2" xfId="3170"/>
    <cellStyle name="Normal 10 7 2 2 2" xfId="9483"/>
    <cellStyle name="Normal 10 7 2 3" xfId="9482"/>
    <cellStyle name="Normal 10 7 3" xfId="3171"/>
    <cellStyle name="Normal 10 7 3 2" xfId="3172"/>
    <cellStyle name="Normal 10 7 3 2 2" xfId="9485"/>
    <cellStyle name="Normal 10 7 3 3" xfId="9484"/>
    <cellStyle name="Normal 10 7 4" xfId="3173"/>
    <cellStyle name="Normal 10 7 4 2" xfId="9486"/>
    <cellStyle name="Normal 10 7 5" xfId="9481"/>
    <cellStyle name="Normal 10 8" xfId="3174"/>
    <cellStyle name="Normal 10 8 2" xfId="3175"/>
    <cellStyle name="Normal 10 8 2 2" xfId="9487"/>
    <cellStyle name="Normal 10 9" xfId="3176"/>
    <cellStyle name="Normal 10 9 2" xfId="3177"/>
    <cellStyle name="Normal 10 9 2 2" xfId="9488"/>
    <cellStyle name="Normal 10_2112 DF Schedule" xfId="9489"/>
    <cellStyle name="Normal 100" xfId="3178"/>
    <cellStyle name="Normal 100 2" xfId="3179"/>
    <cellStyle name="Normal 100 2 2" xfId="9490"/>
    <cellStyle name="Normal 100 3" xfId="3180"/>
    <cellStyle name="Normal 101" xfId="3181"/>
    <cellStyle name="Normal 101 2" xfId="3182"/>
    <cellStyle name="Normal 101 2 2" xfId="9491"/>
    <cellStyle name="Normal 102" xfId="3183"/>
    <cellStyle name="Normal 102 2" xfId="3184"/>
    <cellStyle name="Normal 102 2 2" xfId="9492"/>
    <cellStyle name="Normal 103" xfId="3185"/>
    <cellStyle name="Normal 103 2" xfId="3186"/>
    <cellStyle name="Normal 103 2 2" xfId="9493"/>
    <cellStyle name="Normal 104" xfId="3187"/>
    <cellStyle name="Normal 104 2" xfId="3188"/>
    <cellStyle name="Normal 104 2 2" xfId="9494"/>
    <cellStyle name="Normal 105" xfId="3189"/>
    <cellStyle name="Normal 105 2" xfId="3190"/>
    <cellStyle name="Normal 105 2 2" xfId="9495"/>
    <cellStyle name="Normal 106" xfId="3191"/>
    <cellStyle name="Normal 107" xfId="3192"/>
    <cellStyle name="Normal 107 2" xfId="3193"/>
    <cellStyle name="Normal 107 2 2" xfId="9496"/>
    <cellStyle name="Normal 108" xfId="3194"/>
    <cellStyle name="Normal 108 2" xfId="3195"/>
    <cellStyle name="Normal 108 2 2" xfId="9497"/>
    <cellStyle name="Normal 109" xfId="3196"/>
    <cellStyle name="Normal 109 2" xfId="3197"/>
    <cellStyle name="Normal 109 2 2" xfId="3198"/>
    <cellStyle name="Normal 109 3" xfId="3199"/>
    <cellStyle name="Normal 109 3 2" xfId="9498"/>
    <cellStyle name="Normal 109 4" xfId="3200"/>
    <cellStyle name="Normal 11" xfId="9499"/>
    <cellStyle name="Normal 11 10" xfId="3201"/>
    <cellStyle name="Normal 11 10 2" xfId="9500"/>
    <cellStyle name="Normal 11 11" xfId="3202"/>
    <cellStyle name="Normal 11 11 2" xfId="9501"/>
    <cellStyle name="Normal 11 12" xfId="3203"/>
    <cellStyle name="Normal 11 2" xfId="3204"/>
    <cellStyle name="Normal 11 2 2" xfId="3205"/>
    <cellStyle name="Normal 11 2 2 2" xfId="3206"/>
    <cellStyle name="Normal 11 2 2 2 2" xfId="3207"/>
    <cellStyle name="Normal 11 2 2 2 2 2" xfId="3208"/>
    <cellStyle name="Normal 11 2 2 2 2 2 2" xfId="3209"/>
    <cellStyle name="Normal 11 2 2 2 2 2 2 2" xfId="3210"/>
    <cellStyle name="Normal 11 2 2 2 2 2 2 2 2" xfId="9505"/>
    <cellStyle name="Normal 11 2 2 2 2 2 2 3" xfId="9504"/>
    <cellStyle name="Normal 11 2 2 2 2 2 3" xfId="3211"/>
    <cellStyle name="Normal 11 2 2 2 2 2 3 2" xfId="3212"/>
    <cellStyle name="Normal 11 2 2 2 2 2 3 2 2" xfId="9507"/>
    <cellStyle name="Normal 11 2 2 2 2 2 3 3" xfId="9506"/>
    <cellStyle name="Normal 11 2 2 2 2 2 4" xfId="3213"/>
    <cellStyle name="Normal 11 2 2 2 2 2 4 2" xfId="9508"/>
    <cellStyle name="Normal 11 2 2 2 2 2 5" xfId="9503"/>
    <cellStyle name="Normal 11 2 2 2 2 3" xfId="3214"/>
    <cellStyle name="Normal 11 2 2 2 2 3 2" xfId="3215"/>
    <cellStyle name="Normal 11 2 2 2 2 3 2 2" xfId="9510"/>
    <cellStyle name="Normal 11 2 2 2 2 3 3" xfId="9509"/>
    <cellStyle name="Normal 11 2 2 2 2 4" xfId="3216"/>
    <cellStyle name="Normal 11 2 2 2 2 4 2" xfId="3217"/>
    <cellStyle name="Normal 11 2 2 2 2 4 2 2" xfId="9512"/>
    <cellStyle name="Normal 11 2 2 2 2 4 3" xfId="9511"/>
    <cellStyle name="Normal 11 2 2 2 2 5" xfId="3218"/>
    <cellStyle name="Normal 11 2 2 2 2 5 2" xfId="9513"/>
    <cellStyle name="Normal 11 2 2 2 2 6" xfId="9502"/>
    <cellStyle name="Normal 11 2 2 2 3" xfId="3219"/>
    <cellStyle name="Normal 11 2 2 2 3 2" xfId="3220"/>
    <cellStyle name="Normal 11 2 2 2 3 2 2" xfId="3221"/>
    <cellStyle name="Normal 11 2 2 2 3 2 2 2" xfId="9516"/>
    <cellStyle name="Normal 11 2 2 2 3 2 3" xfId="9515"/>
    <cellStyle name="Normal 11 2 2 2 3 3" xfId="3222"/>
    <cellStyle name="Normal 11 2 2 2 3 3 2" xfId="3223"/>
    <cellStyle name="Normal 11 2 2 2 3 3 2 2" xfId="9518"/>
    <cellStyle name="Normal 11 2 2 2 3 3 3" xfId="9517"/>
    <cellStyle name="Normal 11 2 2 2 3 4" xfId="3224"/>
    <cellStyle name="Normal 11 2 2 2 3 4 2" xfId="9519"/>
    <cellStyle name="Normal 11 2 2 2 3 5" xfId="9514"/>
    <cellStyle name="Normal 11 2 2 2 4" xfId="3225"/>
    <cellStyle name="Normal 11 2 2 2 4 2" xfId="3226"/>
    <cellStyle name="Normal 11 2 2 2 4 2 2" xfId="9521"/>
    <cellStyle name="Normal 11 2 2 2 4 3" xfId="9520"/>
    <cellStyle name="Normal 11 2 2 2 5" xfId="3227"/>
    <cellStyle name="Normal 11 2 2 2 5 2" xfId="3228"/>
    <cellStyle name="Normal 11 2 2 2 5 2 2" xfId="9523"/>
    <cellStyle name="Normal 11 2 2 2 5 3" xfId="9522"/>
    <cellStyle name="Normal 11 2 2 2 6" xfId="3229"/>
    <cellStyle name="Normal 11 2 2 2 6 2" xfId="9524"/>
    <cellStyle name="Normal 11 2 2 3" xfId="3230"/>
    <cellStyle name="Normal 11 2 2 3 2" xfId="3231"/>
    <cellStyle name="Normal 11 2 2 3 2 2" xfId="3232"/>
    <cellStyle name="Normal 11 2 2 3 2 2 2" xfId="3233"/>
    <cellStyle name="Normal 11 2 2 3 2 2 2 2" xfId="9528"/>
    <cellStyle name="Normal 11 2 2 3 2 2 3" xfId="9527"/>
    <cellStyle name="Normal 11 2 2 3 2 3" xfId="3234"/>
    <cellStyle name="Normal 11 2 2 3 2 3 2" xfId="3235"/>
    <cellStyle name="Normal 11 2 2 3 2 3 2 2" xfId="9530"/>
    <cellStyle name="Normal 11 2 2 3 2 3 3" xfId="9529"/>
    <cellStyle name="Normal 11 2 2 3 2 4" xfId="3236"/>
    <cellStyle name="Normal 11 2 2 3 2 4 2" xfId="9531"/>
    <cellStyle name="Normal 11 2 2 3 2 5" xfId="9526"/>
    <cellStyle name="Normal 11 2 2 3 3" xfId="3237"/>
    <cellStyle name="Normal 11 2 2 3 3 2" xfId="3238"/>
    <cellStyle name="Normal 11 2 2 3 3 2 2" xfId="9533"/>
    <cellStyle name="Normal 11 2 2 3 3 3" xfId="9532"/>
    <cellStyle name="Normal 11 2 2 3 4" xfId="3239"/>
    <cellStyle name="Normal 11 2 2 3 4 2" xfId="3240"/>
    <cellStyle name="Normal 11 2 2 3 4 2 2" xfId="9535"/>
    <cellStyle name="Normal 11 2 2 3 4 3" xfId="9534"/>
    <cellStyle name="Normal 11 2 2 3 5" xfId="3241"/>
    <cellStyle name="Normal 11 2 2 3 5 2" xfId="9536"/>
    <cellStyle name="Normal 11 2 2 3 6" xfId="9525"/>
    <cellStyle name="Normal 11 2 2 4" xfId="3242"/>
    <cellStyle name="Normal 11 2 2 4 2" xfId="3243"/>
    <cellStyle name="Normal 11 2 2 4 2 2" xfId="3244"/>
    <cellStyle name="Normal 11 2 2 4 2 2 2" xfId="9539"/>
    <cellStyle name="Normal 11 2 2 4 2 3" xfId="9538"/>
    <cellStyle name="Normal 11 2 2 4 3" xfId="3245"/>
    <cellStyle name="Normal 11 2 2 4 3 2" xfId="3246"/>
    <cellStyle name="Normal 11 2 2 4 3 2 2" xfId="9541"/>
    <cellStyle name="Normal 11 2 2 4 3 3" xfId="9540"/>
    <cellStyle name="Normal 11 2 2 4 4" xfId="3247"/>
    <cellStyle name="Normal 11 2 2 4 4 2" xfId="9542"/>
    <cellStyle name="Normal 11 2 2 4 5" xfId="9537"/>
    <cellStyle name="Normal 11 2 2 5" xfId="3248"/>
    <cellStyle name="Normal 11 2 2 5 2" xfId="3249"/>
    <cellStyle name="Normal 11 2 2 5 2 2" xfId="9544"/>
    <cellStyle name="Normal 11 2 2 5 3" xfId="9543"/>
    <cellStyle name="Normal 11 2 2 6" xfId="3250"/>
    <cellStyle name="Normal 11 2 2 6 2" xfId="3251"/>
    <cellStyle name="Normal 11 2 2 6 2 2" xfId="9546"/>
    <cellStyle name="Normal 11 2 2 6 3" xfId="9545"/>
    <cellStyle name="Normal 11 2 2 7" xfId="3252"/>
    <cellStyle name="Normal 11 2 2 7 2" xfId="9547"/>
    <cellStyle name="Normal 11 2 3" xfId="3253"/>
    <cellStyle name="Normal 11 2 3 2" xfId="3254"/>
    <cellStyle name="Normal 11 2 3 2 2" xfId="3255"/>
    <cellStyle name="Normal 11 2 3 2 2 2" xfId="3256"/>
    <cellStyle name="Normal 11 2 3 2 2 2 2" xfId="3257"/>
    <cellStyle name="Normal 11 2 3 2 2 2 2 2" xfId="9551"/>
    <cellStyle name="Normal 11 2 3 2 2 2 3" xfId="9550"/>
    <cellStyle name="Normal 11 2 3 2 2 3" xfId="3258"/>
    <cellStyle name="Normal 11 2 3 2 2 3 2" xfId="3259"/>
    <cellStyle name="Normal 11 2 3 2 2 3 2 2" xfId="9553"/>
    <cellStyle name="Normal 11 2 3 2 2 3 3" xfId="9552"/>
    <cellStyle name="Normal 11 2 3 2 2 4" xfId="3260"/>
    <cellStyle name="Normal 11 2 3 2 2 4 2" xfId="9554"/>
    <cellStyle name="Normal 11 2 3 2 2 5" xfId="9549"/>
    <cellStyle name="Normal 11 2 3 2 3" xfId="3261"/>
    <cellStyle name="Normal 11 2 3 2 3 2" xfId="3262"/>
    <cellStyle name="Normal 11 2 3 2 3 2 2" xfId="9556"/>
    <cellStyle name="Normal 11 2 3 2 3 3" xfId="9555"/>
    <cellStyle name="Normal 11 2 3 2 4" xfId="3263"/>
    <cellStyle name="Normal 11 2 3 2 4 2" xfId="3264"/>
    <cellStyle name="Normal 11 2 3 2 4 2 2" xfId="9558"/>
    <cellStyle name="Normal 11 2 3 2 4 3" xfId="9557"/>
    <cellStyle name="Normal 11 2 3 2 5" xfId="3265"/>
    <cellStyle name="Normal 11 2 3 2 5 2" xfId="9559"/>
    <cellStyle name="Normal 11 2 3 2 6" xfId="9548"/>
    <cellStyle name="Normal 11 2 3 3" xfId="3266"/>
    <cellStyle name="Normal 11 2 3 3 2" xfId="3267"/>
    <cellStyle name="Normal 11 2 3 3 2 2" xfId="3268"/>
    <cellStyle name="Normal 11 2 3 3 2 2 2" xfId="9562"/>
    <cellStyle name="Normal 11 2 3 3 2 3" xfId="9561"/>
    <cellStyle name="Normal 11 2 3 3 3" xfId="3269"/>
    <cellStyle name="Normal 11 2 3 3 3 2" xfId="3270"/>
    <cellStyle name="Normal 11 2 3 3 3 2 2" xfId="9564"/>
    <cellStyle name="Normal 11 2 3 3 3 3" xfId="9563"/>
    <cellStyle name="Normal 11 2 3 3 4" xfId="3271"/>
    <cellStyle name="Normal 11 2 3 3 4 2" xfId="9565"/>
    <cellStyle name="Normal 11 2 3 3 5" xfId="9560"/>
    <cellStyle name="Normal 11 2 3 4" xfId="3272"/>
    <cellStyle name="Normal 11 2 3 4 2" xfId="3273"/>
    <cellStyle name="Normal 11 2 3 4 2 2" xfId="9567"/>
    <cellStyle name="Normal 11 2 3 4 3" xfId="9566"/>
    <cellStyle name="Normal 11 2 3 5" xfId="3274"/>
    <cellStyle name="Normal 11 2 3 5 2" xfId="3275"/>
    <cellStyle name="Normal 11 2 3 5 2 2" xfId="9569"/>
    <cellStyle name="Normal 11 2 3 5 3" xfId="9568"/>
    <cellStyle name="Normal 11 2 3 6" xfId="3276"/>
    <cellStyle name="Normal 11 2 3 6 2" xfId="9570"/>
    <cellStyle name="Normal 11 2 4" xfId="3277"/>
    <cellStyle name="Normal 11 2 4 2" xfId="3278"/>
    <cellStyle name="Normal 11 2 4 2 2" xfId="3279"/>
    <cellStyle name="Normal 11 2 4 2 2 2" xfId="3280"/>
    <cellStyle name="Normal 11 2 4 2 2 2 2" xfId="9574"/>
    <cellStyle name="Normal 11 2 4 2 2 3" xfId="9573"/>
    <cellStyle name="Normal 11 2 4 2 3" xfId="3281"/>
    <cellStyle name="Normal 11 2 4 2 3 2" xfId="3282"/>
    <cellStyle name="Normal 11 2 4 2 3 2 2" xfId="9576"/>
    <cellStyle name="Normal 11 2 4 2 3 3" xfId="9575"/>
    <cellStyle name="Normal 11 2 4 2 4" xfId="3283"/>
    <cellStyle name="Normal 11 2 4 2 4 2" xfId="9577"/>
    <cellStyle name="Normal 11 2 4 2 5" xfId="9572"/>
    <cellStyle name="Normal 11 2 4 3" xfId="3284"/>
    <cellStyle name="Normal 11 2 4 3 2" xfId="3285"/>
    <cellStyle name="Normal 11 2 4 3 2 2" xfId="9579"/>
    <cellStyle name="Normal 11 2 4 3 3" xfId="9578"/>
    <cellStyle name="Normal 11 2 4 4" xfId="3286"/>
    <cellStyle name="Normal 11 2 4 4 2" xfId="3287"/>
    <cellStyle name="Normal 11 2 4 4 2 2" xfId="9581"/>
    <cellStyle name="Normal 11 2 4 4 3" xfId="9580"/>
    <cellStyle name="Normal 11 2 4 5" xfId="3288"/>
    <cellStyle name="Normal 11 2 4 5 2" xfId="9582"/>
    <cellStyle name="Normal 11 2 4 6" xfId="9571"/>
    <cellStyle name="Normal 11 2 5" xfId="3289"/>
    <cellStyle name="Normal 11 2 5 2" xfId="3290"/>
    <cellStyle name="Normal 11 2 5 2 2" xfId="3291"/>
    <cellStyle name="Normal 11 2 5 2 2 2" xfId="9585"/>
    <cellStyle name="Normal 11 2 5 2 3" xfId="9584"/>
    <cellStyle name="Normal 11 2 5 3" xfId="3292"/>
    <cellStyle name="Normal 11 2 5 3 2" xfId="3293"/>
    <cellStyle name="Normal 11 2 5 3 2 2" xfId="9587"/>
    <cellStyle name="Normal 11 2 5 3 3" xfId="9586"/>
    <cellStyle name="Normal 11 2 5 4" xfId="3294"/>
    <cellStyle name="Normal 11 2 5 4 2" xfId="9588"/>
    <cellStyle name="Normal 11 2 5 5" xfId="9583"/>
    <cellStyle name="Normal 11 2 6" xfId="3295"/>
    <cellStyle name="Normal 11 2 6 2" xfId="3296"/>
    <cellStyle name="Normal 11 2 6 2 2" xfId="9590"/>
    <cellStyle name="Normal 11 2 6 3" xfId="9589"/>
    <cellStyle name="Normal 11 2 7" xfId="3297"/>
    <cellStyle name="Normal 11 2 7 2" xfId="3298"/>
    <cellStyle name="Normal 11 2 7 2 2" xfId="9591"/>
    <cellStyle name="Normal 11 2 8" xfId="3299"/>
    <cellStyle name="Normal 11 2 8 2" xfId="9592"/>
    <cellStyle name="Normal 11 2 9" xfId="3300"/>
    <cellStyle name="Normal 11 3" xfId="3301"/>
    <cellStyle name="Normal 11 3 2" xfId="3302"/>
    <cellStyle name="Normal 11 3 2 2" xfId="3303"/>
    <cellStyle name="Normal 11 3 2 2 2" xfId="3304"/>
    <cellStyle name="Normal 11 3 2 2 2 2" xfId="3305"/>
    <cellStyle name="Normal 11 3 2 2 2 2 2" xfId="3306"/>
    <cellStyle name="Normal 11 3 2 2 2 2 2 2" xfId="9598"/>
    <cellStyle name="Normal 11 3 2 2 2 2 3" xfId="9597"/>
    <cellStyle name="Normal 11 3 2 2 2 3" xfId="3307"/>
    <cellStyle name="Normal 11 3 2 2 2 3 2" xfId="3308"/>
    <cellStyle name="Normal 11 3 2 2 2 3 2 2" xfId="9600"/>
    <cellStyle name="Normal 11 3 2 2 2 3 3" xfId="9599"/>
    <cellStyle name="Normal 11 3 2 2 2 4" xfId="3309"/>
    <cellStyle name="Normal 11 3 2 2 2 4 2" xfId="9601"/>
    <cellStyle name="Normal 11 3 2 2 2 5" xfId="9596"/>
    <cellStyle name="Normal 11 3 2 2 3" xfId="3310"/>
    <cellStyle name="Normal 11 3 2 2 3 2" xfId="3311"/>
    <cellStyle name="Normal 11 3 2 2 3 2 2" xfId="9603"/>
    <cellStyle name="Normal 11 3 2 2 3 3" xfId="9602"/>
    <cellStyle name="Normal 11 3 2 2 4" xfId="3312"/>
    <cellStyle name="Normal 11 3 2 2 4 2" xfId="3313"/>
    <cellStyle name="Normal 11 3 2 2 4 2 2" xfId="9605"/>
    <cellStyle name="Normal 11 3 2 2 4 3" xfId="9604"/>
    <cellStyle name="Normal 11 3 2 2 5" xfId="3314"/>
    <cellStyle name="Normal 11 3 2 2 5 2" xfId="9606"/>
    <cellStyle name="Normal 11 3 2 2 6" xfId="9595"/>
    <cellStyle name="Normal 11 3 2 3" xfId="3315"/>
    <cellStyle name="Normal 11 3 2 3 2" xfId="3316"/>
    <cellStyle name="Normal 11 3 2 3 2 2" xfId="3317"/>
    <cellStyle name="Normal 11 3 2 3 2 2 2" xfId="9609"/>
    <cellStyle name="Normal 11 3 2 3 2 3" xfId="9608"/>
    <cellStyle name="Normal 11 3 2 3 3" xfId="3318"/>
    <cellStyle name="Normal 11 3 2 3 3 2" xfId="3319"/>
    <cellStyle name="Normal 11 3 2 3 3 2 2" xfId="9611"/>
    <cellStyle name="Normal 11 3 2 3 3 3" xfId="9610"/>
    <cellStyle name="Normal 11 3 2 3 4" xfId="3320"/>
    <cellStyle name="Normal 11 3 2 3 4 2" xfId="9612"/>
    <cellStyle name="Normal 11 3 2 3 5" xfId="9607"/>
    <cellStyle name="Normal 11 3 2 4" xfId="3321"/>
    <cellStyle name="Normal 11 3 2 4 2" xfId="3322"/>
    <cellStyle name="Normal 11 3 2 4 2 2" xfId="9614"/>
    <cellStyle name="Normal 11 3 2 4 3" xfId="9613"/>
    <cellStyle name="Normal 11 3 2 5" xfId="3323"/>
    <cellStyle name="Normal 11 3 2 5 2" xfId="3324"/>
    <cellStyle name="Normal 11 3 2 5 2 2" xfId="9616"/>
    <cellStyle name="Normal 11 3 2 5 3" xfId="9615"/>
    <cellStyle name="Normal 11 3 2 6" xfId="3325"/>
    <cellStyle name="Normal 11 3 2 6 2" xfId="9617"/>
    <cellStyle name="Normal 11 3 2 7" xfId="9594"/>
    <cellStyle name="Normal 11 3 3" xfId="3326"/>
    <cellStyle name="Normal 11 3 3 2" xfId="3327"/>
    <cellStyle name="Normal 11 3 3 2 2" xfId="3328"/>
    <cellStyle name="Normal 11 3 3 2 2 2" xfId="3329"/>
    <cellStyle name="Normal 11 3 3 2 2 2 2" xfId="9621"/>
    <cellStyle name="Normal 11 3 3 2 2 3" xfId="9620"/>
    <cellStyle name="Normal 11 3 3 2 3" xfId="3330"/>
    <cellStyle name="Normal 11 3 3 2 3 2" xfId="3331"/>
    <cellStyle name="Normal 11 3 3 2 3 2 2" xfId="9623"/>
    <cellStyle name="Normal 11 3 3 2 3 3" xfId="9622"/>
    <cellStyle name="Normal 11 3 3 2 4" xfId="3332"/>
    <cellStyle name="Normal 11 3 3 2 4 2" xfId="9624"/>
    <cellStyle name="Normal 11 3 3 2 5" xfId="9619"/>
    <cellStyle name="Normal 11 3 3 3" xfId="3333"/>
    <cellStyle name="Normal 11 3 3 3 2" xfId="3334"/>
    <cellStyle name="Normal 11 3 3 3 2 2" xfId="9626"/>
    <cellStyle name="Normal 11 3 3 3 3" xfId="9625"/>
    <cellStyle name="Normal 11 3 3 4" xfId="3335"/>
    <cellStyle name="Normal 11 3 3 4 2" xfId="3336"/>
    <cellStyle name="Normal 11 3 3 4 2 2" xfId="9628"/>
    <cellStyle name="Normal 11 3 3 4 3" xfId="9627"/>
    <cellStyle name="Normal 11 3 3 5" xfId="3337"/>
    <cellStyle name="Normal 11 3 3 5 2" xfId="9629"/>
    <cellStyle name="Normal 11 3 3 6" xfId="9618"/>
    <cellStyle name="Normal 11 3 4" xfId="3338"/>
    <cellStyle name="Normal 11 3 4 2" xfId="3339"/>
    <cellStyle name="Normal 11 3 4 2 2" xfId="3340"/>
    <cellStyle name="Normal 11 3 4 2 2 2" xfId="9631"/>
    <cellStyle name="Normal 11 3 4 2 3" xfId="9630"/>
    <cellStyle name="Normal 11 3 4 3" xfId="3341"/>
    <cellStyle name="Normal 11 3 4 3 2" xfId="3342"/>
    <cellStyle name="Normal 11 3 4 3 2 2" xfId="9633"/>
    <cellStyle name="Normal 11 3 4 3 3" xfId="9632"/>
    <cellStyle name="Normal 11 3 4 4" xfId="3343"/>
    <cellStyle name="Normal 11 3 4 4 2" xfId="9634"/>
    <cellStyle name="Normal 11 3 5" xfId="3344"/>
    <cellStyle name="Normal 11 3 5 2" xfId="3345"/>
    <cellStyle name="Normal 11 3 5 2 2" xfId="9636"/>
    <cellStyle name="Normal 11 3 5 3" xfId="9635"/>
    <cellStyle name="Normal 11 3 6" xfId="3346"/>
    <cellStyle name="Normal 11 3 6 2" xfId="3347"/>
    <cellStyle name="Normal 11 3 6 2 2" xfId="9638"/>
    <cellStyle name="Normal 11 3 6 3" xfId="9637"/>
    <cellStyle name="Normal 11 3 7" xfId="3348"/>
    <cellStyle name="Normal 11 3 7 2" xfId="9639"/>
    <cellStyle name="Normal 11 3 8" xfId="3349"/>
    <cellStyle name="Normal 11 3 9" xfId="9593"/>
    <cellStyle name="Normal 11 4" xfId="3350"/>
    <cellStyle name="Normal 11 4 2" xfId="3351"/>
    <cellStyle name="Normal 11 4 2 2" xfId="3352"/>
    <cellStyle name="Normal 11 4 2 2 2" xfId="3353"/>
    <cellStyle name="Normal 11 4 2 2 2 2" xfId="3354"/>
    <cellStyle name="Normal 11 4 2 2 2 2 2" xfId="3355"/>
    <cellStyle name="Normal 11 4 2 2 2 2 2 2" xfId="9645"/>
    <cellStyle name="Normal 11 4 2 2 2 2 3" xfId="9644"/>
    <cellStyle name="Normal 11 4 2 2 2 3" xfId="3356"/>
    <cellStyle name="Normal 11 4 2 2 2 3 2" xfId="3357"/>
    <cellStyle name="Normal 11 4 2 2 2 3 2 2" xfId="9647"/>
    <cellStyle name="Normal 11 4 2 2 2 3 3" xfId="9646"/>
    <cellStyle name="Normal 11 4 2 2 2 4" xfId="3358"/>
    <cellStyle name="Normal 11 4 2 2 2 4 2" xfId="9648"/>
    <cellStyle name="Normal 11 4 2 2 2 5" xfId="9643"/>
    <cellStyle name="Normal 11 4 2 2 3" xfId="3359"/>
    <cellStyle name="Normal 11 4 2 2 3 2" xfId="3360"/>
    <cellStyle name="Normal 11 4 2 2 3 2 2" xfId="9650"/>
    <cellStyle name="Normal 11 4 2 2 3 3" xfId="9649"/>
    <cellStyle name="Normal 11 4 2 2 4" xfId="3361"/>
    <cellStyle name="Normal 11 4 2 2 4 2" xfId="3362"/>
    <cellStyle name="Normal 11 4 2 2 4 2 2" xfId="9652"/>
    <cellStyle name="Normal 11 4 2 2 4 3" xfId="9651"/>
    <cellStyle name="Normal 11 4 2 2 5" xfId="3363"/>
    <cellStyle name="Normal 11 4 2 2 5 2" xfId="9653"/>
    <cellStyle name="Normal 11 4 2 2 6" xfId="9642"/>
    <cellStyle name="Normal 11 4 2 3" xfId="3364"/>
    <cellStyle name="Normal 11 4 2 3 2" xfId="3365"/>
    <cellStyle name="Normal 11 4 2 3 2 2" xfId="3366"/>
    <cellStyle name="Normal 11 4 2 3 2 2 2" xfId="9656"/>
    <cellStyle name="Normal 11 4 2 3 2 3" xfId="9655"/>
    <cellStyle name="Normal 11 4 2 3 3" xfId="3367"/>
    <cellStyle name="Normal 11 4 2 3 3 2" xfId="3368"/>
    <cellStyle name="Normal 11 4 2 3 3 2 2" xfId="9658"/>
    <cellStyle name="Normal 11 4 2 3 3 3" xfId="9657"/>
    <cellStyle name="Normal 11 4 2 3 4" xfId="3369"/>
    <cellStyle name="Normal 11 4 2 3 4 2" xfId="9659"/>
    <cellStyle name="Normal 11 4 2 3 5" xfId="9654"/>
    <cellStyle name="Normal 11 4 2 4" xfId="3370"/>
    <cellStyle name="Normal 11 4 2 4 2" xfId="3371"/>
    <cellStyle name="Normal 11 4 2 4 2 2" xfId="9661"/>
    <cellStyle name="Normal 11 4 2 4 3" xfId="9660"/>
    <cellStyle name="Normal 11 4 2 5" xfId="3372"/>
    <cellStyle name="Normal 11 4 2 5 2" xfId="3373"/>
    <cellStyle name="Normal 11 4 2 5 2 2" xfId="9663"/>
    <cellStyle name="Normal 11 4 2 5 3" xfId="9662"/>
    <cellStyle name="Normal 11 4 2 6" xfId="3374"/>
    <cellStyle name="Normal 11 4 2 6 2" xfId="9664"/>
    <cellStyle name="Normal 11 4 2 7" xfId="9641"/>
    <cellStyle name="Normal 11 4 3" xfId="3375"/>
    <cellStyle name="Normal 11 4 3 2" xfId="3376"/>
    <cellStyle name="Normal 11 4 3 2 2" xfId="3377"/>
    <cellStyle name="Normal 11 4 3 2 2 2" xfId="3378"/>
    <cellStyle name="Normal 11 4 3 2 2 2 2" xfId="9668"/>
    <cellStyle name="Normal 11 4 3 2 2 3" xfId="9667"/>
    <cellStyle name="Normal 11 4 3 2 3" xfId="3379"/>
    <cellStyle name="Normal 11 4 3 2 3 2" xfId="3380"/>
    <cellStyle name="Normal 11 4 3 2 3 2 2" xfId="9670"/>
    <cellStyle name="Normal 11 4 3 2 3 3" xfId="9669"/>
    <cellStyle name="Normal 11 4 3 2 4" xfId="3381"/>
    <cellStyle name="Normal 11 4 3 2 4 2" xfId="9671"/>
    <cellStyle name="Normal 11 4 3 2 5" xfId="9666"/>
    <cellStyle name="Normal 11 4 3 3" xfId="3382"/>
    <cellStyle name="Normal 11 4 3 3 2" xfId="3383"/>
    <cellStyle name="Normal 11 4 3 3 2 2" xfId="9673"/>
    <cellStyle name="Normal 11 4 3 3 3" xfId="9672"/>
    <cellStyle name="Normal 11 4 3 4" xfId="3384"/>
    <cellStyle name="Normal 11 4 3 4 2" xfId="3385"/>
    <cellStyle name="Normal 11 4 3 4 2 2" xfId="9675"/>
    <cellStyle name="Normal 11 4 3 4 3" xfId="9674"/>
    <cellStyle name="Normal 11 4 3 5" xfId="3386"/>
    <cellStyle name="Normal 11 4 3 5 2" xfId="9676"/>
    <cellStyle name="Normal 11 4 3 6" xfId="9665"/>
    <cellStyle name="Normal 11 4 4" xfId="3387"/>
    <cellStyle name="Normal 11 4 4 2" xfId="3388"/>
    <cellStyle name="Normal 11 4 4 2 2" xfId="3389"/>
    <cellStyle name="Normal 11 4 4 2 2 2" xfId="9679"/>
    <cellStyle name="Normal 11 4 4 2 3" xfId="9678"/>
    <cellStyle name="Normal 11 4 4 3" xfId="3390"/>
    <cellStyle name="Normal 11 4 4 3 2" xfId="3391"/>
    <cellStyle name="Normal 11 4 4 3 2 2" xfId="9681"/>
    <cellStyle name="Normal 11 4 4 3 3" xfId="9680"/>
    <cellStyle name="Normal 11 4 4 4" xfId="3392"/>
    <cellStyle name="Normal 11 4 4 4 2" xfId="9682"/>
    <cellStyle name="Normal 11 4 4 5" xfId="9677"/>
    <cellStyle name="Normal 11 4 5" xfId="3393"/>
    <cellStyle name="Normal 11 4 5 2" xfId="3394"/>
    <cellStyle name="Normal 11 4 5 2 2" xfId="9684"/>
    <cellStyle name="Normal 11 4 5 3" xfId="9683"/>
    <cellStyle name="Normal 11 4 6" xfId="3395"/>
    <cellStyle name="Normal 11 4 6 2" xfId="3396"/>
    <cellStyle name="Normal 11 4 6 2 2" xfId="9686"/>
    <cellStyle name="Normal 11 4 6 3" xfId="9685"/>
    <cellStyle name="Normal 11 4 7" xfId="3397"/>
    <cellStyle name="Normal 11 4 7 2" xfId="9687"/>
    <cellStyle name="Normal 11 4 8" xfId="9640"/>
    <cellStyle name="Normal 11 5" xfId="3398"/>
    <cellStyle name="Normal 11 5 10" xfId="3399"/>
    <cellStyle name="Normal 11 5 10 2" xfId="3400"/>
    <cellStyle name="Normal 11 5 10 2 2" xfId="9690"/>
    <cellStyle name="Normal 11 5 10 3" xfId="3401"/>
    <cellStyle name="Normal 11 5 10 3 2" xfId="9691"/>
    <cellStyle name="Normal 11 5 10 4" xfId="9689"/>
    <cellStyle name="Normal 11 5 11" xfId="3402"/>
    <cellStyle name="Normal 11 5 11 2" xfId="3403"/>
    <cellStyle name="Normal 11 5 11 2 2" xfId="9693"/>
    <cellStyle name="Normal 11 5 11 3" xfId="9692"/>
    <cellStyle name="Normal 11 5 12" xfId="3404"/>
    <cellStyle name="Normal 11 5 12 2" xfId="3405"/>
    <cellStyle name="Normal 11 5 12 2 2" xfId="9695"/>
    <cellStyle name="Normal 11 5 12 3" xfId="9694"/>
    <cellStyle name="Normal 11 5 13" xfId="3406"/>
    <cellStyle name="Normal 11 5 13 2" xfId="9696"/>
    <cellStyle name="Normal 11 5 14" xfId="3407"/>
    <cellStyle name="Normal 11 5 14 2" xfId="9697"/>
    <cellStyle name="Normal 11 5 15" xfId="3408"/>
    <cellStyle name="Normal 11 5 15 2" xfId="9698"/>
    <cellStyle name="Normal 11 5 16" xfId="3409"/>
    <cellStyle name="Normal 11 5 16 2" xfId="9699"/>
    <cellStyle name="Normal 11 5 17" xfId="3410"/>
    <cellStyle name="Normal 11 5 17 2" xfId="9700"/>
    <cellStyle name="Normal 11 5 18" xfId="3411"/>
    <cellStyle name="Normal 11 5 18 2" xfId="9701"/>
    <cellStyle name="Normal 11 5 19" xfId="3412"/>
    <cellStyle name="Normal 11 5 19 2" xfId="3413"/>
    <cellStyle name="Normal 11 5 19 2 2" xfId="9703"/>
    <cellStyle name="Normal 11 5 19 3" xfId="3414"/>
    <cellStyle name="Normal 11 5 19 3 2" xfId="9704"/>
    <cellStyle name="Normal 11 5 19 4" xfId="3415"/>
    <cellStyle name="Normal 11 5 19 4 2" xfId="9705"/>
    <cellStyle name="Normal 11 5 19 5" xfId="3416"/>
    <cellStyle name="Normal 11 5 19 5 2" xfId="9706"/>
    <cellStyle name="Normal 11 5 19 6" xfId="3417"/>
    <cellStyle name="Normal 11 5 19 6 2" xfId="9707"/>
    <cellStyle name="Normal 11 5 19 7" xfId="9702"/>
    <cellStyle name="Normal 11 5 2" xfId="3418"/>
    <cellStyle name="Normal 11 5 2 2" xfId="3419"/>
    <cellStyle name="Normal 11 5 2 2 2" xfId="3420"/>
    <cellStyle name="Normal 11 5 2 2 2 2" xfId="3421"/>
    <cellStyle name="Normal 11 5 2 2 2 2 2" xfId="9711"/>
    <cellStyle name="Normal 11 5 2 2 2 3" xfId="9710"/>
    <cellStyle name="Normal 11 5 2 2 3" xfId="3422"/>
    <cellStyle name="Normal 11 5 2 2 3 2" xfId="3423"/>
    <cellStyle name="Normal 11 5 2 2 3 2 2" xfId="9713"/>
    <cellStyle name="Normal 11 5 2 2 3 3" xfId="9712"/>
    <cellStyle name="Normal 11 5 2 2 4" xfId="3424"/>
    <cellStyle name="Normal 11 5 2 2 4 2" xfId="9714"/>
    <cellStyle name="Normal 11 5 2 2 5" xfId="3425"/>
    <cellStyle name="Normal 11 5 2 2 5 2" xfId="9715"/>
    <cellStyle name="Normal 11 5 2 2 6" xfId="9709"/>
    <cellStyle name="Normal 11 5 2 3" xfId="3426"/>
    <cellStyle name="Normal 11 5 2 3 2" xfId="3427"/>
    <cellStyle name="Normal 11 5 2 3 2 2" xfId="9717"/>
    <cellStyle name="Normal 11 5 2 3 3" xfId="3428"/>
    <cellStyle name="Normal 11 5 2 3 3 2" xfId="9718"/>
    <cellStyle name="Normal 11 5 2 3 4" xfId="9716"/>
    <cellStyle name="Normal 11 5 2 4" xfId="3429"/>
    <cellStyle name="Normal 11 5 2 4 2" xfId="3430"/>
    <cellStyle name="Normal 11 5 2 4 2 2" xfId="9720"/>
    <cellStyle name="Normal 11 5 2 4 3" xfId="3431"/>
    <cellStyle name="Normal 11 5 2 4 3 2" xfId="9721"/>
    <cellStyle name="Normal 11 5 2 4 4" xfId="9719"/>
    <cellStyle name="Normal 11 5 2 5" xfId="3432"/>
    <cellStyle name="Normal 11 5 2 5 2" xfId="9722"/>
    <cellStyle name="Normal 11 5 2 6" xfId="3433"/>
    <cellStyle name="Normal 11 5 2 6 2" xfId="9723"/>
    <cellStyle name="Normal 11 5 2 7" xfId="9708"/>
    <cellStyle name="Normal 11 5 20" xfId="3434"/>
    <cellStyle name="Normal 11 5 20 2" xfId="9724"/>
    <cellStyle name="Normal 11 5 21" xfId="3435"/>
    <cellStyle name="Normal 11 5 21 2" xfId="9725"/>
    <cellStyle name="Normal 11 5 22" xfId="3436"/>
    <cellStyle name="Normal 11 5 22 2" xfId="9726"/>
    <cellStyle name="Normal 11 5 23" xfId="3437"/>
    <cellStyle name="Normal 11 5 23 2" xfId="9727"/>
    <cellStyle name="Normal 11 5 24" xfId="3438"/>
    <cellStyle name="Normal 11 5 24 2" xfId="9728"/>
    <cellStyle name="Normal 11 5 25" xfId="3439"/>
    <cellStyle name="Normal 11 5 25 2" xfId="9729"/>
    <cellStyle name="Normal 11 5 26" xfId="3440"/>
    <cellStyle name="Normal 11 5 26 2" xfId="9730"/>
    <cellStyle name="Normal 11 5 27" xfId="3441"/>
    <cellStyle name="Normal 11 5 27 2" xfId="9731"/>
    <cellStyle name="Normal 11 5 28" xfId="3442"/>
    <cellStyle name="Normal 11 5 28 2" xfId="9732"/>
    <cellStyle name="Normal 11 5 29" xfId="9688"/>
    <cellStyle name="Normal 11 5 3" xfId="3443"/>
    <cellStyle name="Normal 11 5 3 2" xfId="3444"/>
    <cellStyle name="Normal 11 5 3 2 2" xfId="3445"/>
    <cellStyle name="Normal 11 5 3 2 2 2" xfId="3446"/>
    <cellStyle name="Normal 11 5 3 2 2 2 2" xfId="9736"/>
    <cellStyle name="Normal 11 5 3 2 2 3" xfId="3447"/>
    <cellStyle name="Normal 11 5 3 2 2 3 2" xfId="9737"/>
    <cellStyle name="Normal 11 5 3 2 2 4" xfId="9735"/>
    <cellStyle name="Normal 11 5 3 2 3" xfId="3448"/>
    <cellStyle name="Normal 11 5 3 2 3 2" xfId="3449"/>
    <cellStyle name="Normal 11 5 3 2 3 2 2" xfId="9739"/>
    <cellStyle name="Normal 11 5 3 2 3 3" xfId="3450"/>
    <cellStyle name="Normal 11 5 3 2 3 3 2" xfId="9740"/>
    <cellStyle name="Normal 11 5 3 2 3 4" xfId="9738"/>
    <cellStyle name="Normal 11 5 3 2 4" xfId="3451"/>
    <cellStyle name="Normal 11 5 3 2 4 2" xfId="9741"/>
    <cellStyle name="Normal 11 5 3 2 5" xfId="3452"/>
    <cellStyle name="Normal 11 5 3 2 5 2" xfId="9742"/>
    <cellStyle name="Normal 11 5 3 2 6" xfId="9734"/>
    <cellStyle name="Normal 11 5 3 3" xfId="3453"/>
    <cellStyle name="Normal 11 5 3 3 2" xfId="3454"/>
    <cellStyle name="Normal 11 5 3 3 2 2" xfId="9744"/>
    <cellStyle name="Normal 11 5 3 3 3" xfId="3455"/>
    <cellStyle name="Normal 11 5 3 3 3 2" xfId="9745"/>
    <cellStyle name="Normal 11 5 3 3 4" xfId="3456"/>
    <cellStyle name="Normal 11 5 3 3 4 2" xfId="9746"/>
    <cellStyle name="Normal 11 5 3 3 5" xfId="3457"/>
    <cellStyle name="Normal 11 5 3 3 5 2" xfId="9747"/>
    <cellStyle name="Normal 11 5 3 3 6" xfId="9743"/>
    <cellStyle name="Normal 11 5 3 4" xfId="3458"/>
    <cellStyle name="Normal 11 5 3 4 2" xfId="3459"/>
    <cellStyle name="Normal 11 5 3 4 2 2" xfId="9749"/>
    <cellStyle name="Normal 11 5 3 4 3" xfId="3460"/>
    <cellStyle name="Normal 11 5 3 4 3 2" xfId="9750"/>
    <cellStyle name="Normal 11 5 3 4 4" xfId="9748"/>
    <cellStyle name="Normal 11 5 3 5" xfId="3461"/>
    <cellStyle name="Normal 11 5 3 5 2" xfId="3462"/>
    <cellStyle name="Normal 11 5 3 5 2 2" xfId="9752"/>
    <cellStyle name="Normal 11 5 3 5 3" xfId="3463"/>
    <cellStyle name="Normal 11 5 3 5 3 2" xfId="9753"/>
    <cellStyle name="Normal 11 5 3 5 4" xfId="9751"/>
    <cellStyle name="Normal 11 5 3 6" xfId="3464"/>
    <cellStyle name="Normal 11 5 3 6 2" xfId="9754"/>
    <cellStyle name="Normal 11 5 3 7" xfId="3465"/>
    <cellStyle name="Normal 11 5 3 7 2" xfId="9755"/>
    <cellStyle name="Normal 11 5 3 8" xfId="9733"/>
    <cellStyle name="Normal 11 5 4" xfId="3466"/>
    <cellStyle name="Normal 11 5 4 2" xfId="3467"/>
    <cellStyle name="Normal 11 5 4 2 2" xfId="3468"/>
    <cellStyle name="Normal 11 5 4 2 2 2" xfId="9758"/>
    <cellStyle name="Normal 11 5 4 2 3" xfId="3469"/>
    <cellStyle name="Normal 11 5 4 2 3 2" xfId="9759"/>
    <cellStyle name="Normal 11 5 4 2 4" xfId="3470"/>
    <cellStyle name="Normal 11 5 4 2 4 2" xfId="9760"/>
    <cellStyle name="Normal 11 5 4 2 5" xfId="3471"/>
    <cellStyle name="Normal 11 5 4 2 5 2" xfId="9761"/>
    <cellStyle name="Normal 11 5 4 2 6" xfId="9757"/>
    <cellStyle name="Normal 11 5 4 3" xfId="3472"/>
    <cellStyle name="Normal 11 5 4 3 2" xfId="3473"/>
    <cellStyle name="Normal 11 5 4 3 2 2" xfId="9763"/>
    <cellStyle name="Normal 11 5 4 3 3" xfId="3474"/>
    <cellStyle name="Normal 11 5 4 3 3 2" xfId="9764"/>
    <cellStyle name="Normal 11 5 4 3 4" xfId="9762"/>
    <cellStyle name="Normal 11 5 4 4" xfId="3475"/>
    <cellStyle name="Normal 11 5 4 4 2" xfId="3476"/>
    <cellStyle name="Normal 11 5 4 4 2 2" xfId="9766"/>
    <cellStyle name="Normal 11 5 4 4 3" xfId="3477"/>
    <cellStyle name="Normal 11 5 4 4 3 2" xfId="9767"/>
    <cellStyle name="Normal 11 5 4 4 4" xfId="9765"/>
    <cellStyle name="Normal 11 5 4 5" xfId="3478"/>
    <cellStyle name="Normal 11 5 4 5 2" xfId="9768"/>
    <cellStyle name="Normal 11 5 4 6" xfId="3479"/>
    <cellStyle name="Normal 11 5 4 6 2" xfId="9769"/>
    <cellStyle name="Normal 11 5 4 7" xfId="9756"/>
    <cellStyle name="Normal 11 5 5" xfId="3480"/>
    <cellStyle name="Normal 11 5 5 2" xfId="3481"/>
    <cellStyle name="Normal 11 5 5 2 2" xfId="3482"/>
    <cellStyle name="Normal 11 5 5 2 2 2" xfId="9772"/>
    <cellStyle name="Normal 11 5 5 2 3" xfId="3483"/>
    <cellStyle name="Normal 11 5 5 2 3 2" xfId="9773"/>
    <cellStyle name="Normal 11 5 5 2 4" xfId="3484"/>
    <cellStyle name="Normal 11 5 5 2 4 2" xfId="9774"/>
    <cellStyle name="Normal 11 5 5 2 5" xfId="3485"/>
    <cellStyle name="Normal 11 5 5 2 5 2" xfId="9775"/>
    <cellStyle name="Normal 11 5 5 2 6" xfId="9771"/>
    <cellStyle name="Normal 11 5 5 3" xfId="3486"/>
    <cellStyle name="Normal 11 5 5 3 2" xfId="3487"/>
    <cellStyle name="Normal 11 5 5 3 2 2" xfId="9777"/>
    <cellStyle name="Normal 11 5 5 3 3" xfId="3488"/>
    <cellStyle name="Normal 11 5 5 3 3 2" xfId="9778"/>
    <cellStyle name="Normal 11 5 5 3 4" xfId="9776"/>
    <cellStyle name="Normal 11 5 5 4" xfId="3489"/>
    <cellStyle name="Normal 11 5 5 4 2" xfId="3490"/>
    <cellStyle name="Normal 11 5 5 4 2 2" xfId="9780"/>
    <cellStyle name="Normal 11 5 5 4 3" xfId="3491"/>
    <cellStyle name="Normal 11 5 5 4 3 2" xfId="9781"/>
    <cellStyle name="Normal 11 5 5 4 4" xfId="9779"/>
    <cellStyle name="Normal 11 5 5 5" xfId="3492"/>
    <cellStyle name="Normal 11 5 5 5 2" xfId="9782"/>
    <cellStyle name="Normal 11 5 5 6" xfId="3493"/>
    <cellStyle name="Normal 11 5 5 6 2" xfId="9783"/>
    <cellStyle name="Normal 11 5 5 7" xfId="9770"/>
    <cellStyle name="Normal 11 5 6" xfId="3494"/>
    <cellStyle name="Normal 11 5 6 2" xfId="3495"/>
    <cellStyle name="Normal 11 5 6 2 2" xfId="3496"/>
    <cellStyle name="Normal 11 5 6 2 2 2" xfId="9786"/>
    <cellStyle name="Normal 11 5 6 2 3" xfId="3497"/>
    <cellStyle name="Normal 11 5 6 2 3 2" xfId="9787"/>
    <cellStyle name="Normal 11 5 6 2 4" xfId="3498"/>
    <cellStyle name="Normal 11 5 6 2 4 2" xfId="9788"/>
    <cellStyle name="Normal 11 5 6 2 5" xfId="3499"/>
    <cellStyle name="Normal 11 5 6 2 5 2" xfId="9789"/>
    <cellStyle name="Normal 11 5 6 2 6" xfId="9785"/>
    <cellStyle name="Normal 11 5 6 3" xfId="3500"/>
    <cellStyle name="Normal 11 5 6 3 2" xfId="3501"/>
    <cellStyle name="Normal 11 5 6 3 2 2" xfId="9791"/>
    <cellStyle name="Normal 11 5 6 3 3" xfId="3502"/>
    <cellStyle name="Normal 11 5 6 3 3 2" xfId="9792"/>
    <cellStyle name="Normal 11 5 6 3 4" xfId="9790"/>
    <cellStyle name="Normal 11 5 6 4" xfId="3503"/>
    <cellStyle name="Normal 11 5 6 4 2" xfId="3504"/>
    <cellStyle name="Normal 11 5 6 4 2 2" xfId="9794"/>
    <cellStyle name="Normal 11 5 6 4 3" xfId="3505"/>
    <cellStyle name="Normal 11 5 6 4 3 2" xfId="9795"/>
    <cellStyle name="Normal 11 5 6 4 4" xfId="9793"/>
    <cellStyle name="Normal 11 5 6 5" xfId="3506"/>
    <cellStyle name="Normal 11 5 6 5 2" xfId="3507"/>
    <cellStyle name="Normal 11 5 6 5 2 2" xfId="9797"/>
    <cellStyle name="Normal 11 5 6 5 3" xfId="9796"/>
    <cellStyle name="Normal 11 5 6 6" xfId="3508"/>
    <cellStyle name="Normal 11 5 6 6 2" xfId="9798"/>
    <cellStyle name="Normal 11 5 6 7" xfId="3509"/>
    <cellStyle name="Normal 11 5 6 7 2" xfId="9799"/>
    <cellStyle name="Normal 11 5 6 8" xfId="9784"/>
    <cellStyle name="Normal 11 5 7" xfId="3510"/>
    <cellStyle name="Normal 11 5 7 2" xfId="3511"/>
    <cellStyle name="Normal 11 5 7 2 2" xfId="3512"/>
    <cellStyle name="Normal 11 5 7 2 2 2" xfId="9802"/>
    <cellStyle name="Normal 11 5 7 2 3" xfId="3513"/>
    <cellStyle name="Normal 11 5 7 2 3 2" xfId="9803"/>
    <cellStyle name="Normal 11 5 7 2 4" xfId="9801"/>
    <cellStyle name="Normal 11 5 7 3" xfId="3514"/>
    <cellStyle name="Normal 11 5 7 3 2" xfId="3515"/>
    <cellStyle name="Normal 11 5 7 3 2 2" xfId="9805"/>
    <cellStyle name="Normal 11 5 7 3 3" xfId="3516"/>
    <cellStyle name="Normal 11 5 7 3 3 2" xfId="9806"/>
    <cellStyle name="Normal 11 5 7 3 4" xfId="9804"/>
    <cellStyle name="Normal 11 5 7 4" xfId="3517"/>
    <cellStyle name="Normal 11 5 7 4 2" xfId="3518"/>
    <cellStyle name="Normal 11 5 7 4 2 2" xfId="9808"/>
    <cellStyle name="Normal 11 5 7 4 3" xfId="9807"/>
    <cellStyle name="Normal 11 5 7 5" xfId="3519"/>
    <cellStyle name="Normal 11 5 7 5 2" xfId="9809"/>
    <cellStyle name="Normal 11 5 7 6" xfId="3520"/>
    <cellStyle name="Normal 11 5 7 6 2" xfId="9810"/>
    <cellStyle name="Normal 11 5 7 7" xfId="9800"/>
    <cellStyle name="Normal 11 5 8" xfId="3521"/>
    <cellStyle name="Normal 11 5 8 2" xfId="3522"/>
    <cellStyle name="Normal 11 5 8 2 2" xfId="9812"/>
    <cellStyle name="Normal 11 5 8 3" xfId="3523"/>
    <cellStyle name="Normal 11 5 8 3 2" xfId="9813"/>
    <cellStyle name="Normal 11 5 8 4" xfId="3524"/>
    <cellStyle name="Normal 11 5 8 4 2" xfId="9814"/>
    <cellStyle name="Normal 11 5 8 5" xfId="3525"/>
    <cellStyle name="Normal 11 5 8 5 2" xfId="9815"/>
    <cellStyle name="Normal 11 5 8 6" xfId="9811"/>
    <cellStyle name="Normal 11 5 9" xfId="3526"/>
    <cellStyle name="Normal 11 5 9 2" xfId="3527"/>
    <cellStyle name="Normal 11 5 9 2 2" xfId="9817"/>
    <cellStyle name="Normal 11 5 9 3" xfId="3528"/>
    <cellStyle name="Normal 11 5 9 3 2" xfId="9818"/>
    <cellStyle name="Normal 11 5 9 4" xfId="9816"/>
    <cellStyle name="Normal 11 5_10070" xfId="3529"/>
    <cellStyle name="Normal 11 6" xfId="3530"/>
    <cellStyle name="Normal 11 6 2" xfId="3531"/>
    <cellStyle name="Normal 11 6 2 2" xfId="3532"/>
    <cellStyle name="Normal 11 6 2 2 2" xfId="3533"/>
    <cellStyle name="Normal 11 6 2 2 2 2" xfId="9822"/>
    <cellStyle name="Normal 11 6 2 2 3" xfId="9821"/>
    <cellStyle name="Normal 11 6 2 3" xfId="3534"/>
    <cellStyle name="Normal 11 6 2 3 2" xfId="3535"/>
    <cellStyle name="Normal 11 6 2 3 2 2" xfId="9824"/>
    <cellStyle name="Normal 11 6 2 3 3" xfId="9823"/>
    <cellStyle name="Normal 11 6 2 4" xfId="3536"/>
    <cellStyle name="Normal 11 6 2 4 2" xfId="9825"/>
    <cellStyle name="Normal 11 6 2 5" xfId="9820"/>
    <cellStyle name="Normal 11 6 3" xfId="3537"/>
    <cellStyle name="Normal 11 6 3 2" xfId="3538"/>
    <cellStyle name="Normal 11 6 3 2 2" xfId="9827"/>
    <cellStyle name="Normal 11 6 3 3" xfId="3539"/>
    <cellStyle name="Normal 11 6 3 3 2" xfId="9828"/>
    <cellStyle name="Normal 11 6 3 4" xfId="9826"/>
    <cellStyle name="Normal 11 6 4" xfId="3540"/>
    <cellStyle name="Normal 11 6 4 2" xfId="3541"/>
    <cellStyle name="Normal 11 6 4 2 2" xfId="9830"/>
    <cellStyle name="Normal 11 6 4 3" xfId="9829"/>
    <cellStyle name="Normal 11 6 5" xfId="3542"/>
    <cellStyle name="Normal 11 6 5 2" xfId="9831"/>
    <cellStyle name="Normal 11 6 6" xfId="9819"/>
    <cellStyle name="Normal 11 7" xfId="3543"/>
    <cellStyle name="Normal 11 7 2" xfId="3544"/>
    <cellStyle name="Normal 11 7 2 2" xfId="3545"/>
    <cellStyle name="Normal 11 7 2 2 2" xfId="9834"/>
    <cellStyle name="Normal 11 7 2 3" xfId="9833"/>
    <cellStyle name="Normal 11 7 3" xfId="3546"/>
    <cellStyle name="Normal 11 7 3 2" xfId="3547"/>
    <cellStyle name="Normal 11 7 3 2 2" xfId="9836"/>
    <cellStyle name="Normal 11 7 3 3" xfId="9835"/>
    <cellStyle name="Normal 11 7 4" xfId="3548"/>
    <cellStyle name="Normal 11 7 4 2" xfId="9837"/>
    <cellStyle name="Normal 11 7 5" xfId="3549"/>
    <cellStyle name="Normal 11 7 5 2" xfId="9838"/>
    <cellStyle name="Normal 11 7 6" xfId="9832"/>
    <cellStyle name="Normal 11 8" xfId="3550"/>
    <cellStyle name="Normal 11 8 2" xfId="3551"/>
    <cellStyle name="Normal 11 8 2 2" xfId="9840"/>
    <cellStyle name="Normal 11 8 3" xfId="3552"/>
    <cellStyle name="Normal 11 8 3 2" xfId="9841"/>
    <cellStyle name="Normal 11 8 4" xfId="9839"/>
    <cellStyle name="Normal 11 9" xfId="3553"/>
    <cellStyle name="Normal 11 9 2" xfId="3554"/>
    <cellStyle name="Normal 11 9 2 2" xfId="9843"/>
    <cellStyle name="Normal 11 9 3" xfId="9842"/>
    <cellStyle name="Normal 11_2180" xfId="9844"/>
    <cellStyle name="Normal 110" xfId="3555"/>
    <cellStyle name="Normal 110 2" xfId="3556"/>
    <cellStyle name="Normal 110 2 2" xfId="9845"/>
    <cellStyle name="Normal 111" xfId="3557"/>
    <cellStyle name="Normal 111 2" xfId="3558"/>
    <cellStyle name="Normal 111 2 2" xfId="9846"/>
    <cellStyle name="Normal 111 3" xfId="3559"/>
    <cellStyle name="Normal 111 4" xfId="3560"/>
    <cellStyle name="Normal 112" xfId="3561"/>
    <cellStyle name="Normal 112 2" xfId="3562"/>
    <cellStyle name="Normal 112 2 2" xfId="9847"/>
    <cellStyle name="Normal 112 3" xfId="3563"/>
    <cellStyle name="Normal 112 4" xfId="3564"/>
    <cellStyle name="Normal 113" xfId="3565"/>
    <cellStyle name="Normal 113 2" xfId="3566"/>
    <cellStyle name="Normal 113 3" xfId="3567"/>
    <cellStyle name="Normal 113 3 2" xfId="9848"/>
    <cellStyle name="Normal 113 4" xfId="3568"/>
    <cellStyle name="Normal 113 5" xfId="3569"/>
    <cellStyle name="Normal 114" xfId="3570"/>
    <cellStyle name="Normal 114 2" xfId="3571"/>
    <cellStyle name="Normal 114 2 2" xfId="9850"/>
    <cellStyle name="Normal 114 3" xfId="9849"/>
    <cellStyle name="Normal 115" xfId="3572"/>
    <cellStyle name="Normal 115 2" xfId="9851"/>
    <cellStyle name="Normal 116" xfId="3573"/>
    <cellStyle name="Normal 116 2" xfId="3574"/>
    <cellStyle name="Normal 117" xfId="3575"/>
    <cellStyle name="Normal 117 2" xfId="3576"/>
    <cellStyle name="Normal 117 3" xfId="3577"/>
    <cellStyle name="Normal 118" xfId="3578"/>
    <cellStyle name="Normal 118 2" xfId="3579"/>
    <cellStyle name="Normal 118 3" xfId="3580"/>
    <cellStyle name="Normal 119" xfId="3581"/>
    <cellStyle name="Normal 119 2" xfId="9852"/>
    <cellStyle name="Normal 12" xfId="3582"/>
    <cellStyle name="Normal 12 10" xfId="3583"/>
    <cellStyle name="Normal 12 10 2" xfId="9854"/>
    <cellStyle name="Normal 12 11" xfId="9853"/>
    <cellStyle name="Normal 12 2" xfId="3584"/>
    <cellStyle name="Normal 12 2 2" xfId="3585"/>
    <cellStyle name="Normal 12 2 2 2" xfId="3586"/>
    <cellStyle name="Normal 12 2 2 2 2" xfId="3587"/>
    <cellStyle name="Normal 12 2 2 2 2 2" xfId="3588"/>
    <cellStyle name="Normal 12 2 2 2 2 2 2" xfId="3589"/>
    <cellStyle name="Normal 12 2 2 2 2 2 2 2" xfId="3590"/>
    <cellStyle name="Normal 12 2 2 2 2 2 2 2 2" xfId="9859"/>
    <cellStyle name="Normal 12 2 2 2 2 2 2 3" xfId="9858"/>
    <cellStyle name="Normal 12 2 2 2 2 2 3" xfId="3591"/>
    <cellStyle name="Normal 12 2 2 2 2 2 3 2" xfId="3592"/>
    <cellStyle name="Normal 12 2 2 2 2 2 3 2 2" xfId="9861"/>
    <cellStyle name="Normal 12 2 2 2 2 2 3 3" xfId="9860"/>
    <cellStyle name="Normal 12 2 2 2 2 2 4" xfId="3593"/>
    <cellStyle name="Normal 12 2 2 2 2 2 4 2" xfId="9862"/>
    <cellStyle name="Normal 12 2 2 2 2 2 5" xfId="9857"/>
    <cellStyle name="Normal 12 2 2 2 2 3" xfId="3594"/>
    <cellStyle name="Normal 12 2 2 2 2 3 2" xfId="3595"/>
    <cellStyle name="Normal 12 2 2 2 2 3 2 2" xfId="9864"/>
    <cellStyle name="Normal 12 2 2 2 2 3 3" xfId="9863"/>
    <cellStyle name="Normal 12 2 2 2 2 4" xfId="3596"/>
    <cellStyle name="Normal 12 2 2 2 2 4 2" xfId="3597"/>
    <cellStyle name="Normal 12 2 2 2 2 4 2 2" xfId="9866"/>
    <cellStyle name="Normal 12 2 2 2 2 4 3" xfId="9865"/>
    <cellStyle name="Normal 12 2 2 2 2 5" xfId="3598"/>
    <cellStyle name="Normal 12 2 2 2 2 5 2" xfId="9867"/>
    <cellStyle name="Normal 12 2 2 2 2 6" xfId="9856"/>
    <cellStyle name="Normal 12 2 2 2 3" xfId="3599"/>
    <cellStyle name="Normal 12 2 2 2 3 2" xfId="3600"/>
    <cellStyle name="Normal 12 2 2 2 3 2 2" xfId="3601"/>
    <cellStyle name="Normal 12 2 2 2 3 2 2 2" xfId="9870"/>
    <cellStyle name="Normal 12 2 2 2 3 2 3" xfId="9869"/>
    <cellStyle name="Normal 12 2 2 2 3 3" xfId="3602"/>
    <cellStyle name="Normal 12 2 2 2 3 3 2" xfId="3603"/>
    <cellStyle name="Normal 12 2 2 2 3 3 2 2" xfId="9872"/>
    <cellStyle name="Normal 12 2 2 2 3 3 3" xfId="9871"/>
    <cellStyle name="Normal 12 2 2 2 3 4" xfId="3604"/>
    <cellStyle name="Normal 12 2 2 2 3 4 2" xfId="9873"/>
    <cellStyle name="Normal 12 2 2 2 3 5" xfId="9868"/>
    <cellStyle name="Normal 12 2 2 2 4" xfId="3605"/>
    <cellStyle name="Normal 12 2 2 2 4 2" xfId="3606"/>
    <cellStyle name="Normal 12 2 2 2 4 2 2" xfId="9875"/>
    <cellStyle name="Normal 12 2 2 2 4 3" xfId="9874"/>
    <cellStyle name="Normal 12 2 2 2 5" xfId="3607"/>
    <cellStyle name="Normal 12 2 2 2 5 2" xfId="3608"/>
    <cellStyle name="Normal 12 2 2 2 5 2 2" xfId="9877"/>
    <cellStyle name="Normal 12 2 2 2 5 3" xfId="9876"/>
    <cellStyle name="Normal 12 2 2 2 6" xfId="3609"/>
    <cellStyle name="Normal 12 2 2 2 6 2" xfId="9878"/>
    <cellStyle name="Normal 12 2 2 3" xfId="3610"/>
    <cellStyle name="Normal 12 2 2 3 2" xfId="3611"/>
    <cellStyle name="Normal 12 2 2 3 2 2" xfId="3612"/>
    <cellStyle name="Normal 12 2 2 3 2 2 2" xfId="3613"/>
    <cellStyle name="Normal 12 2 2 3 2 2 2 2" xfId="9882"/>
    <cellStyle name="Normal 12 2 2 3 2 2 3" xfId="9881"/>
    <cellStyle name="Normal 12 2 2 3 2 3" xfId="3614"/>
    <cellStyle name="Normal 12 2 2 3 2 3 2" xfId="3615"/>
    <cellStyle name="Normal 12 2 2 3 2 3 2 2" xfId="9884"/>
    <cellStyle name="Normal 12 2 2 3 2 3 3" xfId="9883"/>
    <cellStyle name="Normal 12 2 2 3 2 4" xfId="3616"/>
    <cellStyle name="Normal 12 2 2 3 2 4 2" xfId="9885"/>
    <cellStyle name="Normal 12 2 2 3 2 5" xfId="9880"/>
    <cellStyle name="Normal 12 2 2 3 3" xfId="3617"/>
    <cellStyle name="Normal 12 2 2 3 3 2" xfId="3618"/>
    <cellStyle name="Normal 12 2 2 3 3 2 2" xfId="9887"/>
    <cellStyle name="Normal 12 2 2 3 3 3" xfId="9886"/>
    <cellStyle name="Normal 12 2 2 3 4" xfId="3619"/>
    <cellStyle name="Normal 12 2 2 3 4 2" xfId="3620"/>
    <cellStyle name="Normal 12 2 2 3 4 2 2" xfId="9889"/>
    <cellStyle name="Normal 12 2 2 3 4 3" xfId="9888"/>
    <cellStyle name="Normal 12 2 2 3 5" xfId="3621"/>
    <cellStyle name="Normal 12 2 2 3 5 2" xfId="9890"/>
    <cellStyle name="Normal 12 2 2 3 6" xfId="9879"/>
    <cellStyle name="Normal 12 2 2 4" xfId="3622"/>
    <cellStyle name="Normal 12 2 2 4 2" xfId="3623"/>
    <cellStyle name="Normal 12 2 2 4 2 2" xfId="3624"/>
    <cellStyle name="Normal 12 2 2 4 2 2 2" xfId="9893"/>
    <cellStyle name="Normal 12 2 2 4 2 3" xfId="9892"/>
    <cellStyle name="Normal 12 2 2 4 3" xfId="3625"/>
    <cellStyle name="Normal 12 2 2 4 3 2" xfId="3626"/>
    <cellStyle name="Normal 12 2 2 4 3 2 2" xfId="9895"/>
    <cellStyle name="Normal 12 2 2 4 3 3" xfId="9894"/>
    <cellStyle name="Normal 12 2 2 4 4" xfId="3627"/>
    <cellStyle name="Normal 12 2 2 4 4 2" xfId="9896"/>
    <cellStyle name="Normal 12 2 2 4 5" xfId="9891"/>
    <cellStyle name="Normal 12 2 2 5" xfId="3628"/>
    <cellStyle name="Normal 12 2 2 5 2" xfId="3629"/>
    <cellStyle name="Normal 12 2 2 5 2 2" xfId="9898"/>
    <cellStyle name="Normal 12 2 2 5 3" xfId="9897"/>
    <cellStyle name="Normal 12 2 2 6" xfId="3630"/>
    <cellStyle name="Normal 12 2 2 6 2" xfId="3631"/>
    <cellStyle name="Normal 12 2 2 6 2 2" xfId="9900"/>
    <cellStyle name="Normal 12 2 2 6 3" xfId="9899"/>
    <cellStyle name="Normal 12 2 2 7" xfId="3632"/>
    <cellStyle name="Normal 12 2 2 7 2" xfId="9901"/>
    <cellStyle name="Normal 12 2 2 8" xfId="9855"/>
    <cellStyle name="Normal 12 2 3" xfId="3633"/>
    <cellStyle name="Normal 12 2 3 2" xfId="3634"/>
    <cellStyle name="Normal 12 2 3 2 2" xfId="3635"/>
    <cellStyle name="Normal 12 2 3 2 2 2" xfId="3636"/>
    <cellStyle name="Normal 12 2 3 2 2 2 2" xfId="3637"/>
    <cellStyle name="Normal 12 2 3 2 2 2 2 2" xfId="9906"/>
    <cellStyle name="Normal 12 2 3 2 2 2 3" xfId="9905"/>
    <cellStyle name="Normal 12 2 3 2 2 3" xfId="3638"/>
    <cellStyle name="Normal 12 2 3 2 2 3 2" xfId="3639"/>
    <cellStyle name="Normal 12 2 3 2 2 3 2 2" xfId="9908"/>
    <cellStyle name="Normal 12 2 3 2 2 3 3" xfId="9907"/>
    <cellStyle name="Normal 12 2 3 2 2 4" xfId="3640"/>
    <cellStyle name="Normal 12 2 3 2 2 4 2" xfId="9909"/>
    <cellStyle name="Normal 12 2 3 2 2 5" xfId="9904"/>
    <cellStyle name="Normal 12 2 3 2 3" xfId="3641"/>
    <cellStyle name="Normal 12 2 3 2 3 2" xfId="3642"/>
    <cellStyle name="Normal 12 2 3 2 3 2 2" xfId="9911"/>
    <cellStyle name="Normal 12 2 3 2 3 3" xfId="9910"/>
    <cellStyle name="Normal 12 2 3 2 4" xfId="3643"/>
    <cellStyle name="Normal 12 2 3 2 4 2" xfId="3644"/>
    <cellStyle name="Normal 12 2 3 2 4 2 2" xfId="9913"/>
    <cellStyle name="Normal 12 2 3 2 4 3" xfId="9912"/>
    <cellStyle name="Normal 12 2 3 2 5" xfId="3645"/>
    <cellStyle name="Normal 12 2 3 2 5 2" xfId="9914"/>
    <cellStyle name="Normal 12 2 3 2 6" xfId="9903"/>
    <cellStyle name="Normal 12 2 3 3" xfId="3646"/>
    <cellStyle name="Normal 12 2 3 3 2" xfId="3647"/>
    <cellStyle name="Normal 12 2 3 3 2 2" xfId="3648"/>
    <cellStyle name="Normal 12 2 3 3 2 2 2" xfId="9917"/>
    <cellStyle name="Normal 12 2 3 3 2 3" xfId="9916"/>
    <cellStyle name="Normal 12 2 3 3 3" xfId="3649"/>
    <cellStyle name="Normal 12 2 3 3 3 2" xfId="3650"/>
    <cellStyle name="Normal 12 2 3 3 3 2 2" xfId="9919"/>
    <cellStyle name="Normal 12 2 3 3 3 3" xfId="9918"/>
    <cellStyle name="Normal 12 2 3 3 4" xfId="3651"/>
    <cellStyle name="Normal 12 2 3 3 4 2" xfId="9920"/>
    <cellStyle name="Normal 12 2 3 3 5" xfId="9915"/>
    <cellStyle name="Normal 12 2 3 4" xfId="3652"/>
    <cellStyle name="Normal 12 2 3 4 2" xfId="3653"/>
    <cellStyle name="Normal 12 2 3 4 2 2" xfId="9922"/>
    <cellStyle name="Normal 12 2 3 4 3" xfId="9921"/>
    <cellStyle name="Normal 12 2 3 5" xfId="3654"/>
    <cellStyle name="Normal 12 2 3 5 2" xfId="3655"/>
    <cellStyle name="Normal 12 2 3 5 2 2" xfId="9924"/>
    <cellStyle name="Normal 12 2 3 5 3" xfId="9923"/>
    <cellStyle name="Normal 12 2 3 6" xfId="3656"/>
    <cellStyle name="Normal 12 2 3 6 2" xfId="9925"/>
    <cellStyle name="Normal 12 2 3 7" xfId="9902"/>
    <cellStyle name="Normal 12 2 4" xfId="3657"/>
    <cellStyle name="Normal 12 2 4 2" xfId="3658"/>
    <cellStyle name="Normal 12 2 4 2 2" xfId="3659"/>
    <cellStyle name="Normal 12 2 4 2 2 2" xfId="3660"/>
    <cellStyle name="Normal 12 2 4 2 2 2 2" xfId="9929"/>
    <cellStyle name="Normal 12 2 4 2 2 3" xfId="9928"/>
    <cellStyle name="Normal 12 2 4 2 3" xfId="3661"/>
    <cellStyle name="Normal 12 2 4 2 3 2" xfId="3662"/>
    <cellStyle name="Normal 12 2 4 2 3 2 2" xfId="9931"/>
    <cellStyle name="Normal 12 2 4 2 3 3" xfId="9930"/>
    <cellStyle name="Normal 12 2 4 2 4" xfId="3663"/>
    <cellStyle name="Normal 12 2 4 2 4 2" xfId="9932"/>
    <cellStyle name="Normal 12 2 4 2 5" xfId="9927"/>
    <cellStyle name="Normal 12 2 4 3" xfId="3664"/>
    <cellStyle name="Normal 12 2 4 3 2" xfId="3665"/>
    <cellStyle name="Normal 12 2 4 3 2 2" xfId="9934"/>
    <cellStyle name="Normal 12 2 4 3 3" xfId="9933"/>
    <cellStyle name="Normal 12 2 4 4" xfId="3666"/>
    <cellStyle name="Normal 12 2 4 4 2" xfId="3667"/>
    <cellStyle name="Normal 12 2 4 4 2 2" xfId="9936"/>
    <cellStyle name="Normal 12 2 4 4 3" xfId="9935"/>
    <cellStyle name="Normal 12 2 4 5" xfId="3668"/>
    <cellStyle name="Normal 12 2 4 5 2" xfId="9937"/>
    <cellStyle name="Normal 12 2 4 6" xfId="9926"/>
    <cellStyle name="Normal 12 2 5" xfId="3669"/>
    <cellStyle name="Normal 12 2 5 2" xfId="3670"/>
    <cellStyle name="Normal 12 2 5 2 2" xfId="3671"/>
    <cellStyle name="Normal 12 2 5 2 2 2" xfId="9940"/>
    <cellStyle name="Normal 12 2 5 2 3" xfId="9939"/>
    <cellStyle name="Normal 12 2 5 3" xfId="3672"/>
    <cellStyle name="Normal 12 2 5 3 2" xfId="3673"/>
    <cellStyle name="Normal 12 2 5 3 2 2" xfId="9942"/>
    <cellStyle name="Normal 12 2 5 3 3" xfId="9941"/>
    <cellStyle name="Normal 12 2 5 4" xfId="3674"/>
    <cellStyle name="Normal 12 2 5 4 2" xfId="9943"/>
    <cellStyle name="Normal 12 2 5 5" xfId="9938"/>
    <cellStyle name="Normal 12 2 6" xfId="3675"/>
    <cellStyle name="Normal 12 2 6 2" xfId="3676"/>
    <cellStyle name="Normal 12 2 6 2 2" xfId="9945"/>
    <cellStyle name="Normal 12 2 6 3" xfId="9944"/>
    <cellStyle name="Normal 12 2 7" xfId="3677"/>
    <cellStyle name="Normal 12 2 7 2" xfId="3678"/>
    <cellStyle name="Normal 12 2 7 2 2" xfId="9947"/>
    <cellStyle name="Normal 12 2 7 3" xfId="9946"/>
    <cellStyle name="Normal 12 2 8" xfId="3679"/>
    <cellStyle name="Normal 12 2 8 2" xfId="9948"/>
    <cellStyle name="Normal 12 3" xfId="3680"/>
    <cellStyle name="Normal 12 3 2" xfId="3681"/>
    <cellStyle name="Normal 12 3 2 2" xfId="3682"/>
    <cellStyle name="Normal 12 3 2 2 2" xfId="3683"/>
    <cellStyle name="Normal 12 3 2 2 2 2" xfId="3684"/>
    <cellStyle name="Normal 12 3 2 2 2 2 2" xfId="3685"/>
    <cellStyle name="Normal 12 3 2 2 2 2 2 2" xfId="9952"/>
    <cellStyle name="Normal 12 3 2 2 2 2 3" xfId="9951"/>
    <cellStyle name="Normal 12 3 2 2 2 3" xfId="3686"/>
    <cellStyle name="Normal 12 3 2 2 2 3 2" xfId="3687"/>
    <cellStyle name="Normal 12 3 2 2 2 3 2 2" xfId="9954"/>
    <cellStyle name="Normal 12 3 2 2 2 3 3" xfId="9953"/>
    <cellStyle name="Normal 12 3 2 2 2 4" xfId="3688"/>
    <cellStyle name="Normal 12 3 2 2 2 4 2" xfId="9955"/>
    <cellStyle name="Normal 12 3 2 2 2 5" xfId="9950"/>
    <cellStyle name="Normal 12 3 2 2 3" xfId="3689"/>
    <cellStyle name="Normal 12 3 2 2 3 2" xfId="3690"/>
    <cellStyle name="Normal 12 3 2 2 3 2 2" xfId="9957"/>
    <cellStyle name="Normal 12 3 2 2 3 3" xfId="9956"/>
    <cellStyle name="Normal 12 3 2 2 4" xfId="3691"/>
    <cellStyle name="Normal 12 3 2 2 4 2" xfId="3692"/>
    <cellStyle name="Normal 12 3 2 2 4 2 2" xfId="9959"/>
    <cellStyle name="Normal 12 3 2 2 4 3" xfId="9958"/>
    <cellStyle name="Normal 12 3 2 2 5" xfId="3693"/>
    <cellStyle name="Normal 12 3 2 2 5 2" xfId="9960"/>
    <cellStyle name="Normal 12 3 2 3" xfId="3694"/>
    <cellStyle name="Normal 12 3 2 3 2" xfId="3695"/>
    <cellStyle name="Normal 12 3 2 3 2 2" xfId="3696"/>
    <cellStyle name="Normal 12 3 2 3 2 2 2" xfId="9963"/>
    <cellStyle name="Normal 12 3 2 3 2 3" xfId="9962"/>
    <cellStyle name="Normal 12 3 2 3 3" xfId="3697"/>
    <cellStyle name="Normal 12 3 2 3 3 2" xfId="3698"/>
    <cellStyle name="Normal 12 3 2 3 3 2 2" xfId="9965"/>
    <cellStyle name="Normal 12 3 2 3 3 3" xfId="9964"/>
    <cellStyle name="Normal 12 3 2 3 4" xfId="3699"/>
    <cellStyle name="Normal 12 3 2 3 4 2" xfId="9966"/>
    <cellStyle name="Normal 12 3 2 3 5" xfId="9961"/>
    <cellStyle name="Normal 12 3 2 4" xfId="3700"/>
    <cellStyle name="Normal 12 3 2 4 2" xfId="3701"/>
    <cellStyle name="Normal 12 3 2 4 2 2" xfId="9968"/>
    <cellStyle name="Normal 12 3 2 4 3" xfId="9967"/>
    <cellStyle name="Normal 12 3 2 5" xfId="3702"/>
    <cellStyle name="Normal 12 3 2 5 2" xfId="3703"/>
    <cellStyle name="Normal 12 3 2 5 2 2" xfId="9970"/>
    <cellStyle name="Normal 12 3 2 5 3" xfId="9969"/>
    <cellStyle name="Normal 12 3 2 6" xfId="3704"/>
    <cellStyle name="Normal 12 3 2 6 2" xfId="9971"/>
    <cellStyle name="Normal 12 3 2 7" xfId="9949"/>
    <cellStyle name="Normal 12 3 3" xfId="3705"/>
    <cellStyle name="Normal 12 3 3 2" xfId="3706"/>
    <cellStyle name="Normal 12 3 3 2 2" xfId="3707"/>
    <cellStyle name="Normal 12 3 3 2 2 2" xfId="3708"/>
    <cellStyle name="Normal 12 3 3 2 2 2 2" xfId="9975"/>
    <cellStyle name="Normal 12 3 3 2 2 3" xfId="9974"/>
    <cellStyle name="Normal 12 3 3 2 3" xfId="3709"/>
    <cellStyle name="Normal 12 3 3 2 3 2" xfId="3710"/>
    <cellStyle name="Normal 12 3 3 2 3 2 2" xfId="9977"/>
    <cellStyle name="Normal 12 3 3 2 3 3" xfId="9976"/>
    <cellStyle name="Normal 12 3 3 2 4" xfId="3711"/>
    <cellStyle name="Normal 12 3 3 2 4 2" xfId="9978"/>
    <cellStyle name="Normal 12 3 3 2 5" xfId="9973"/>
    <cellStyle name="Normal 12 3 3 3" xfId="3712"/>
    <cellStyle name="Normal 12 3 3 3 2" xfId="3713"/>
    <cellStyle name="Normal 12 3 3 3 2 2" xfId="9980"/>
    <cellStyle name="Normal 12 3 3 3 3" xfId="9979"/>
    <cellStyle name="Normal 12 3 3 4" xfId="3714"/>
    <cellStyle name="Normal 12 3 3 4 2" xfId="3715"/>
    <cellStyle name="Normal 12 3 3 4 2 2" xfId="9982"/>
    <cellStyle name="Normal 12 3 3 4 3" xfId="9981"/>
    <cellStyle name="Normal 12 3 3 5" xfId="3716"/>
    <cellStyle name="Normal 12 3 3 5 2" xfId="9983"/>
    <cellStyle name="Normal 12 3 3 6" xfId="9972"/>
    <cellStyle name="Normal 12 3 4" xfId="3717"/>
    <cellStyle name="Normal 12 3 4 2" xfId="3718"/>
    <cellStyle name="Normal 12 3 4 2 2" xfId="3719"/>
    <cellStyle name="Normal 12 3 4 2 2 2" xfId="9986"/>
    <cellStyle name="Normal 12 3 4 2 3" xfId="9985"/>
    <cellStyle name="Normal 12 3 4 3" xfId="3720"/>
    <cellStyle name="Normal 12 3 4 3 2" xfId="3721"/>
    <cellStyle name="Normal 12 3 4 3 2 2" xfId="9988"/>
    <cellStyle name="Normal 12 3 4 3 3" xfId="9987"/>
    <cellStyle name="Normal 12 3 4 4" xfId="3722"/>
    <cellStyle name="Normal 12 3 4 4 2" xfId="9989"/>
    <cellStyle name="Normal 12 3 4 5" xfId="9984"/>
    <cellStyle name="Normal 12 3 5" xfId="3723"/>
    <cellStyle name="Normal 12 3 5 2" xfId="3724"/>
    <cellStyle name="Normal 12 3 5 2 2" xfId="9991"/>
    <cellStyle name="Normal 12 3 5 3" xfId="9990"/>
    <cellStyle name="Normal 12 3 6" xfId="3725"/>
    <cellStyle name="Normal 12 3 6 2" xfId="3726"/>
    <cellStyle name="Normal 12 3 6 2 2" xfId="9993"/>
    <cellStyle name="Normal 12 3 6 3" xfId="9992"/>
    <cellStyle name="Normal 12 3 7" xfId="3727"/>
    <cellStyle name="Normal 12 3 7 2" xfId="9994"/>
    <cellStyle name="Normal 12 3 8" xfId="3728"/>
    <cellStyle name="Normal 12 3 9" xfId="3729"/>
    <cellStyle name="Normal 12 4" xfId="3730"/>
    <cellStyle name="Normal 12 4 2" xfId="3731"/>
    <cellStyle name="Normal 12 4 2 2" xfId="3732"/>
    <cellStyle name="Normal 12 4 2 2 2" xfId="3733"/>
    <cellStyle name="Normal 12 4 2 2 2 2" xfId="3734"/>
    <cellStyle name="Normal 12 4 2 2 2 2 2" xfId="3735"/>
    <cellStyle name="Normal 12 4 2 2 2 2 2 2" xfId="9999"/>
    <cellStyle name="Normal 12 4 2 2 2 2 3" xfId="9998"/>
    <cellStyle name="Normal 12 4 2 2 2 3" xfId="3736"/>
    <cellStyle name="Normal 12 4 2 2 2 3 2" xfId="3737"/>
    <cellStyle name="Normal 12 4 2 2 2 3 2 2" xfId="10001"/>
    <cellStyle name="Normal 12 4 2 2 2 3 3" xfId="10000"/>
    <cellStyle name="Normal 12 4 2 2 2 4" xfId="3738"/>
    <cellStyle name="Normal 12 4 2 2 2 4 2" xfId="10002"/>
    <cellStyle name="Normal 12 4 2 2 2 5" xfId="9997"/>
    <cellStyle name="Normal 12 4 2 2 3" xfId="3739"/>
    <cellStyle name="Normal 12 4 2 2 3 2" xfId="3740"/>
    <cellStyle name="Normal 12 4 2 2 3 2 2" xfId="10004"/>
    <cellStyle name="Normal 12 4 2 2 3 3" xfId="10003"/>
    <cellStyle name="Normal 12 4 2 2 4" xfId="3741"/>
    <cellStyle name="Normal 12 4 2 2 4 2" xfId="3742"/>
    <cellStyle name="Normal 12 4 2 2 4 2 2" xfId="10006"/>
    <cellStyle name="Normal 12 4 2 2 4 3" xfId="10005"/>
    <cellStyle name="Normal 12 4 2 2 5" xfId="3743"/>
    <cellStyle name="Normal 12 4 2 2 5 2" xfId="10007"/>
    <cellStyle name="Normal 12 4 2 2 6" xfId="9996"/>
    <cellStyle name="Normal 12 4 2 3" xfId="3744"/>
    <cellStyle name="Normal 12 4 2 3 2" xfId="3745"/>
    <cellStyle name="Normal 12 4 2 3 2 2" xfId="3746"/>
    <cellStyle name="Normal 12 4 2 3 2 2 2" xfId="10010"/>
    <cellStyle name="Normal 12 4 2 3 2 3" xfId="10009"/>
    <cellStyle name="Normal 12 4 2 3 3" xfId="3747"/>
    <cellStyle name="Normal 12 4 2 3 3 2" xfId="3748"/>
    <cellStyle name="Normal 12 4 2 3 3 2 2" xfId="10012"/>
    <cellStyle name="Normal 12 4 2 3 3 3" xfId="10011"/>
    <cellStyle name="Normal 12 4 2 3 4" xfId="3749"/>
    <cellStyle name="Normal 12 4 2 3 4 2" xfId="10013"/>
    <cellStyle name="Normal 12 4 2 3 5" xfId="10008"/>
    <cellStyle name="Normal 12 4 2 4" xfId="3750"/>
    <cellStyle name="Normal 12 4 2 4 2" xfId="3751"/>
    <cellStyle name="Normal 12 4 2 4 2 2" xfId="10015"/>
    <cellStyle name="Normal 12 4 2 4 3" xfId="10014"/>
    <cellStyle name="Normal 12 4 2 5" xfId="3752"/>
    <cellStyle name="Normal 12 4 2 5 2" xfId="3753"/>
    <cellStyle name="Normal 12 4 2 5 2 2" xfId="10017"/>
    <cellStyle name="Normal 12 4 2 5 3" xfId="10016"/>
    <cellStyle name="Normal 12 4 2 6" xfId="3754"/>
    <cellStyle name="Normal 12 4 2 6 2" xfId="10018"/>
    <cellStyle name="Normal 12 4 2 7" xfId="9995"/>
    <cellStyle name="Normal 12 4 3" xfId="3755"/>
    <cellStyle name="Normal 12 4 3 2" xfId="3756"/>
    <cellStyle name="Normal 12 4 3 2 2" xfId="3757"/>
    <cellStyle name="Normal 12 4 3 2 2 2" xfId="3758"/>
    <cellStyle name="Normal 12 4 3 2 2 2 2" xfId="10022"/>
    <cellStyle name="Normal 12 4 3 2 2 3" xfId="10021"/>
    <cellStyle name="Normal 12 4 3 2 3" xfId="3759"/>
    <cellStyle name="Normal 12 4 3 2 3 2" xfId="3760"/>
    <cellStyle name="Normal 12 4 3 2 3 2 2" xfId="10024"/>
    <cellStyle name="Normal 12 4 3 2 3 3" xfId="10023"/>
    <cellStyle name="Normal 12 4 3 2 4" xfId="3761"/>
    <cellStyle name="Normal 12 4 3 2 4 2" xfId="10025"/>
    <cellStyle name="Normal 12 4 3 2 5" xfId="10020"/>
    <cellStyle name="Normal 12 4 3 3" xfId="3762"/>
    <cellStyle name="Normal 12 4 3 3 2" xfId="3763"/>
    <cellStyle name="Normal 12 4 3 3 2 2" xfId="10027"/>
    <cellStyle name="Normal 12 4 3 3 3" xfId="10026"/>
    <cellStyle name="Normal 12 4 3 4" xfId="3764"/>
    <cellStyle name="Normal 12 4 3 4 2" xfId="3765"/>
    <cellStyle name="Normal 12 4 3 4 2 2" xfId="10029"/>
    <cellStyle name="Normal 12 4 3 4 3" xfId="10028"/>
    <cellStyle name="Normal 12 4 3 5" xfId="3766"/>
    <cellStyle name="Normal 12 4 3 5 2" xfId="10030"/>
    <cellStyle name="Normal 12 4 3 6" xfId="10019"/>
    <cellStyle name="Normal 12 4 4" xfId="3767"/>
    <cellStyle name="Normal 12 4 4 2" xfId="3768"/>
    <cellStyle name="Normal 12 4 4 2 2" xfId="3769"/>
    <cellStyle name="Normal 12 4 4 2 2 2" xfId="10033"/>
    <cellStyle name="Normal 12 4 4 2 3" xfId="10032"/>
    <cellStyle name="Normal 12 4 4 3" xfId="3770"/>
    <cellStyle name="Normal 12 4 4 3 2" xfId="3771"/>
    <cellStyle name="Normal 12 4 4 3 2 2" xfId="10035"/>
    <cellStyle name="Normal 12 4 4 3 3" xfId="10034"/>
    <cellStyle name="Normal 12 4 4 4" xfId="3772"/>
    <cellStyle name="Normal 12 4 4 4 2" xfId="10036"/>
    <cellStyle name="Normal 12 4 4 5" xfId="10031"/>
    <cellStyle name="Normal 12 4 5" xfId="3773"/>
    <cellStyle name="Normal 12 4 5 2" xfId="3774"/>
    <cellStyle name="Normal 12 4 5 2 2" xfId="10038"/>
    <cellStyle name="Normal 12 4 5 3" xfId="10037"/>
    <cellStyle name="Normal 12 4 6" xfId="3775"/>
    <cellStyle name="Normal 12 4 6 2" xfId="3776"/>
    <cellStyle name="Normal 12 4 6 2 2" xfId="10040"/>
    <cellStyle name="Normal 12 4 6 3" xfId="10039"/>
    <cellStyle name="Normal 12 4 7" xfId="3777"/>
    <cellStyle name="Normal 12 4 7 2" xfId="10041"/>
    <cellStyle name="Normal 12 5" xfId="3778"/>
    <cellStyle name="Normal 12 5 2" xfId="3779"/>
    <cellStyle name="Normal 12 5 2 2" xfId="3780"/>
    <cellStyle name="Normal 12 5 2 2 2" xfId="3781"/>
    <cellStyle name="Normal 12 5 2 2 2 2" xfId="3782"/>
    <cellStyle name="Normal 12 5 2 2 2 2 2" xfId="10046"/>
    <cellStyle name="Normal 12 5 2 2 2 3" xfId="10045"/>
    <cellStyle name="Normal 12 5 2 2 3" xfId="3783"/>
    <cellStyle name="Normal 12 5 2 2 3 2" xfId="3784"/>
    <cellStyle name="Normal 12 5 2 2 3 2 2" xfId="10048"/>
    <cellStyle name="Normal 12 5 2 2 3 3" xfId="10047"/>
    <cellStyle name="Normal 12 5 2 2 4" xfId="3785"/>
    <cellStyle name="Normal 12 5 2 2 4 2" xfId="10049"/>
    <cellStyle name="Normal 12 5 2 2 5" xfId="10044"/>
    <cellStyle name="Normal 12 5 2 3" xfId="3786"/>
    <cellStyle name="Normal 12 5 2 3 2" xfId="3787"/>
    <cellStyle name="Normal 12 5 2 3 2 2" xfId="10051"/>
    <cellStyle name="Normal 12 5 2 3 3" xfId="10050"/>
    <cellStyle name="Normal 12 5 2 4" xfId="3788"/>
    <cellStyle name="Normal 12 5 2 4 2" xfId="3789"/>
    <cellStyle name="Normal 12 5 2 4 2 2" xfId="10053"/>
    <cellStyle name="Normal 12 5 2 4 3" xfId="10052"/>
    <cellStyle name="Normal 12 5 2 5" xfId="3790"/>
    <cellStyle name="Normal 12 5 2 5 2" xfId="10054"/>
    <cellStyle name="Normal 12 5 2 6" xfId="10043"/>
    <cellStyle name="Normal 12 5 3" xfId="3791"/>
    <cellStyle name="Normal 12 5 3 2" xfId="3792"/>
    <cellStyle name="Normal 12 5 3 2 2" xfId="3793"/>
    <cellStyle name="Normal 12 5 3 2 2 2" xfId="10057"/>
    <cellStyle name="Normal 12 5 3 2 3" xfId="10056"/>
    <cellStyle name="Normal 12 5 3 3" xfId="3794"/>
    <cellStyle name="Normal 12 5 3 3 2" xfId="3795"/>
    <cellStyle name="Normal 12 5 3 3 2 2" xfId="10059"/>
    <cellStyle name="Normal 12 5 3 3 3" xfId="10058"/>
    <cellStyle name="Normal 12 5 3 4" xfId="3796"/>
    <cellStyle name="Normal 12 5 3 4 2" xfId="10060"/>
    <cellStyle name="Normal 12 5 3 5" xfId="10055"/>
    <cellStyle name="Normal 12 5 4" xfId="3797"/>
    <cellStyle name="Normal 12 5 4 2" xfId="3798"/>
    <cellStyle name="Normal 12 5 4 2 2" xfId="10062"/>
    <cellStyle name="Normal 12 5 4 3" xfId="10061"/>
    <cellStyle name="Normal 12 5 5" xfId="3799"/>
    <cellStyle name="Normal 12 5 5 2" xfId="3800"/>
    <cellStyle name="Normal 12 5 5 2 2" xfId="10064"/>
    <cellStyle name="Normal 12 5 5 3" xfId="10063"/>
    <cellStyle name="Normal 12 5 6" xfId="3801"/>
    <cellStyle name="Normal 12 5 6 2" xfId="10065"/>
    <cellStyle name="Normal 12 5 7" xfId="10042"/>
    <cellStyle name="Normal 12 6" xfId="3802"/>
    <cellStyle name="Normal 12 6 2" xfId="3803"/>
    <cellStyle name="Normal 12 6 2 2" xfId="3804"/>
    <cellStyle name="Normal 12 6 2 2 2" xfId="3805"/>
    <cellStyle name="Normal 12 6 2 2 2 2" xfId="10069"/>
    <cellStyle name="Normal 12 6 2 2 3" xfId="10068"/>
    <cellStyle name="Normal 12 6 2 3" xfId="3806"/>
    <cellStyle name="Normal 12 6 2 3 2" xfId="3807"/>
    <cellStyle name="Normal 12 6 2 3 2 2" xfId="10071"/>
    <cellStyle name="Normal 12 6 2 3 3" xfId="10070"/>
    <cellStyle name="Normal 12 6 2 4" xfId="3808"/>
    <cellStyle name="Normal 12 6 2 4 2" xfId="10072"/>
    <cellStyle name="Normal 12 6 2 5" xfId="10067"/>
    <cellStyle name="Normal 12 6 3" xfId="3809"/>
    <cellStyle name="Normal 12 6 3 2" xfId="3810"/>
    <cellStyle name="Normal 12 6 3 2 2" xfId="10074"/>
    <cellStyle name="Normal 12 6 3 3" xfId="10073"/>
    <cellStyle name="Normal 12 6 4" xfId="3811"/>
    <cellStyle name="Normal 12 6 4 2" xfId="3812"/>
    <cellStyle name="Normal 12 6 4 2 2" xfId="10076"/>
    <cellStyle name="Normal 12 6 4 3" xfId="10075"/>
    <cellStyle name="Normal 12 6 5" xfId="3813"/>
    <cellStyle name="Normal 12 6 5 2" xfId="10077"/>
    <cellStyle name="Normal 12 6 6" xfId="3814"/>
    <cellStyle name="Normal 12 6 7" xfId="10066"/>
    <cellStyle name="Normal 12 7" xfId="3815"/>
    <cellStyle name="Normal 12 7 2" xfId="3816"/>
    <cellStyle name="Normal 12 7 2 2" xfId="3817"/>
    <cellStyle name="Normal 12 7 2 2 2" xfId="10079"/>
    <cellStyle name="Normal 12 7 2 3" xfId="10078"/>
    <cellStyle name="Normal 12 7 3" xfId="3818"/>
    <cellStyle name="Normal 12 7 3 2" xfId="3819"/>
    <cellStyle name="Normal 12 7 3 2 2" xfId="10081"/>
    <cellStyle name="Normal 12 7 3 3" xfId="10080"/>
    <cellStyle name="Normal 12 7 4" xfId="3820"/>
    <cellStyle name="Normal 12 7 4 2" xfId="10082"/>
    <cellStyle name="Normal 12 8" xfId="3821"/>
    <cellStyle name="Normal 12 8 2" xfId="3822"/>
    <cellStyle name="Normal 12 8 2 2" xfId="10083"/>
    <cellStyle name="Normal 12 9" xfId="3823"/>
    <cellStyle name="Normal 12 9 2" xfId="3824"/>
    <cellStyle name="Normal 12 9 2 2" xfId="10085"/>
    <cellStyle name="Normal 12 9 3" xfId="10084"/>
    <cellStyle name="Normal 12_2180" xfId="3825"/>
    <cellStyle name="Normal 120" xfId="3826"/>
    <cellStyle name="Normal 120 2" xfId="10086"/>
    <cellStyle name="Normal 121" xfId="3827"/>
    <cellStyle name="Normal 121 2" xfId="10087"/>
    <cellStyle name="Normal 122" xfId="3828"/>
    <cellStyle name="Normal 122 2" xfId="10088"/>
    <cellStyle name="Normal 123" xfId="3829"/>
    <cellStyle name="Normal 123 2" xfId="10089"/>
    <cellStyle name="Normal 124" xfId="3830"/>
    <cellStyle name="Normal 124 2" xfId="10090"/>
    <cellStyle name="Normal 125" xfId="3831"/>
    <cellStyle name="Normal 125 2" xfId="10091"/>
    <cellStyle name="Normal 126" xfId="3832"/>
    <cellStyle name="Normal 126 2" xfId="10092"/>
    <cellStyle name="Normal 127" xfId="3833"/>
    <cellStyle name="Normal 127 2" xfId="10093"/>
    <cellStyle name="Normal 128" xfId="3834"/>
    <cellStyle name="Normal 128 2" xfId="3835"/>
    <cellStyle name="Normal 128 3" xfId="3836"/>
    <cellStyle name="Normal 129" xfId="3837"/>
    <cellStyle name="Normal 129 2" xfId="10094"/>
    <cellStyle name="Normal 13" xfId="3838"/>
    <cellStyle name="Normal 13 10" xfId="3839"/>
    <cellStyle name="Normal 13 10 2" xfId="10096"/>
    <cellStyle name="Normal 13 11" xfId="10095"/>
    <cellStyle name="Normal 13 2" xfId="3840"/>
    <cellStyle name="Normal 13 2 2" xfId="3841"/>
    <cellStyle name="Normal 13 2 2 2" xfId="3842"/>
    <cellStyle name="Normal 13 2 2 2 2" xfId="3843"/>
    <cellStyle name="Normal 13 2 2 2 2 2" xfId="3844"/>
    <cellStyle name="Normal 13 2 2 2 2 2 2" xfId="3845"/>
    <cellStyle name="Normal 13 2 2 2 2 2 2 2" xfId="3846"/>
    <cellStyle name="Normal 13 2 2 2 2 2 2 2 2" xfId="10101"/>
    <cellStyle name="Normal 13 2 2 2 2 2 2 3" xfId="10100"/>
    <cellStyle name="Normal 13 2 2 2 2 2 3" xfId="3847"/>
    <cellStyle name="Normal 13 2 2 2 2 2 3 2" xfId="3848"/>
    <cellStyle name="Normal 13 2 2 2 2 2 3 2 2" xfId="10103"/>
    <cellStyle name="Normal 13 2 2 2 2 2 3 3" xfId="10102"/>
    <cellStyle name="Normal 13 2 2 2 2 2 4" xfId="3849"/>
    <cellStyle name="Normal 13 2 2 2 2 2 4 2" xfId="10104"/>
    <cellStyle name="Normal 13 2 2 2 2 2 5" xfId="10099"/>
    <cellStyle name="Normal 13 2 2 2 2 3" xfId="3850"/>
    <cellStyle name="Normal 13 2 2 2 2 3 2" xfId="3851"/>
    <cellStyle name="Normal 13 2 2 2 2 3 2 2" xfId="10106"/>
    <cellStyle name="Normal 13 2 2 2 2 3 3" xfId="10105"/>
    <cellStyle name="Normal 13 2 2 2 2 4" xfId="3852"/>
    <cellStyle name="Normal 13 2 2 2 2 4 2" xfId="3853"/>
    <cellStyle name="Normal 13 2 2 2 2 4 2 2" xfId="10108"/>
    <cellStyle name="Normal 13 2 2 2 2 4 3" xfId="10107"/>
    <cellStyle name="Normal 13 2 2 2 2 5" xfId="3854"/>
    <cellStyle name="Normal 13 2 2 2 2 5 2" xfId="10109"/>
    <cellStyle name="Normal 13 2 2 2 2 6" xfId="10098"/>
    <cellStyle name="Normal 13 2 2 2 3" xfId="3855"/>
    <cellStyle name="Normal 13 2 2 2 3 2" xfId="3856"/>
    <cellStyle name="Normal 13 2 2 2 3 2 2" xfId="3857"/>
    <cellStyle name="Normal 13 2 2 2 3 2 2 2" xfId="10112"/>
    <cellStyle name="Normal 13 2 2 2 3 2 3" xfId="10111"/>
    <cellStyle name="Normal 13 2 2 2 3 3" xfId="3858"/>
    <cellStyle name="Normal 13 2 2 2 3 3 2" xfId="3859"/>
    <cellStyle name="Normal 13 2 2 2 3 3 2 2" xfId="10114"/>
    <cellStyle name="Normal 13 2 2 2 3 3 3" xfId="10113"/>
    <cellStyle name="Normal 13 2 2 2 3 4" xfId="3860"/>
    <cellStyle name="Normal 13 2 2 2 3 4 2" xfId="10115"/>
    <cellStyle name="Normal 13 2 2 2 3 5" xfId="10110"/>
    <cellStyle name="Normal 13 2 2 2 4" xfId="3861"/>
    <cellStyle name="Normal 13 2 2 2 4 2" xfId="3862"/>
    <cellStyle name="Normal 13 2 2 2 4 2 2" xfId="10117"/>
    <cellStyle name="Normal 13 2 2 2 4 3" xfId="10116"/>
    <cellStyle name="Normal 13 2 2 2 5" xfId="3863"/>
    <cellStyle name="Normal 13 2 2 2 5 2" xfId="3864"/>
    <cellStyle name="Normal 13 2 2 2 5 2 2" xfId="10119"/>
    <cellStyle name="Normal 13 2 2 2 5 3" xfId="10118"/>
    <cellStyle name="Normal 13 2 2 2 6" xfId="3865"/>
    <cellStyle name="Normal 13 2 2 2 6 2" xfId="10120"/>
    <cellStyle name="Normal 13 2 2 3" xfId="3866"/>
    <cellStyle name="Normal 13 2 2 3 2" xfId="3867"/>
    <cellStyle name="Normal 13 2 2 3 2 2" xfId="3868"/>
    <cellStyle name="Normal 13 2 2 3 2 2 2" xfId="3869"/>
    <cellStyle name="Normal 13 2 2 3 2 2 2 2" xfId="10123"/>
    <cellStyle name="Normal 13 2 2 3 2 2 3" xfId="10122"/>
    <cellStyle name="Normal 13 2 2 3 2 3" xfId="3870"/>
    <cellStyle name="Normal 13 2 2 3 2 3 2" xfId="3871"/>
    <cellStyle name="Normal 13 2 2 3 2 3 2 2" xfId="10125"/>
    <cellStyle name="Normal 13 2 2 3 2 3 3" xfId="10124"/>
    <cellStyle name="Normal 13 2 2 3 2 4" xfId="3872"/>
    <cellStyle name="Normal 13 2 2 3 2 4 2" xfId="10126"/>
    <cellStyle name="Normal 13 2 2 3 2 5" xfId="10121"/>
    <cellStyle name="Normal 13 2 2 3 3" xfId="3873"/>
    <cellStyle name="Normal 13 2 2 3 3 2" xfId="3874"/>
    <cellStyle name="Normal 13 2 2 3 3 2 2" xfId="10128"/>
    <cellStyle name="Normal 13 2 2 3 3 3" xfId="10127"/>
    <cellStyle name="Normal 13 2 2 3 4" xfId="3875"/>
    <cellStyle name="Normal 13 2 2 3 4 2" xfId="3876"/>
    <cellStyle name="Normal 13 2 2 3 4 2 2" xfId="10130"/>
    <cellStyle name="Normal 13 2 2 3 4 3" xfId="10129"/>
    <cellStyle name="Normal 13 2 2 3 5" xfId="3877"/>
    <cellStyle name="Normal 13 2 2 3 5 2" xfId="10131"/>
    <cellStyle name="Normal 13 2 2 4" xfId="3878"/>
    <cellStyle name="Normal 13 2 2 4 2" xfId="3879"/>
    <cellStyle name="Normal 13 2 2 4 2 2" xfId="3880"/>
    <cellStyle name="Normal 13 2 2 4 2 2 2" xfId="10134"/>
    <cellStyle name="Normal 13 2 2 4 2 3" xfId="10133"/>
    <cellStyle name="Normal 13 2 2 4 3" xfId="3881"/>
    <cellStyle name="Normal 13 2 2 4 3 2" xfId="3882"/>
    <cellStyle name="Normal 13 2 2 4 3 2 2" xfId="10136"/>
    <cellStyle name="Normal 13 2 2 4 3 3" xfId="10135"/>
    <cellStyle name="Normal 13 2 2 4 4" xfId="3883"/>
    <cellStyle name="Normal 13 2 2 4 4 2" xfId="10137"/>
    <cellStyle name="Normal 13 2 2 4 5" xfId="10132"/>
    <cellStyle name="Normal 13 2 2 5" xfId="3884"/>
    <cellStyle name="Normal 13 2 2 5 2" xfId="3885"/>
    <cellStyle name="Normal 13 2 2 5 2 2" xfId="10139"/>
    <cellStyle name="Normal 13 2 2 5 3" xfId="10138"/>
    <cellStyle name="Normal 13 2 2 6" xfId="3886"/>
    <cellStyle name="Normal 13 2 2 6 2" xfId="3887"/>
    <cellStyle name="Normal 13 2 2 6 2 2" xfId="10141"/>
    <cellStyle name="Normal 13 2 2 6 3" xfId="10140"/>
    <cellStyle name="Normal 13 2 2 7" xfId="3888"/>
    <cellStyle name="Normal 13 2 2 7 2" xfId="10142"/>
    <cellStyle name="Normal 13 2 2 8" xfId="3889"/>
    <cellStyle name="Normal 13 2 2 9" xfId="10097"/>
    <cellStyle name="Normal 13 2 3" xfId="3890"/>
    <cellStyle name="Normal 13 2 3 2" xfId="3891"/>
    <cellStyle name="Normal 13 2 3 2 2" xfId="3892"/>
    <cellStyle name="Normal 13 2 3 2 2 2" xfId="3893"/>
    <cellStyle name="Normal 13 2 3 2 2 2 2" xfId="3894"/>
    <cellStyle name="Normal 13 2 3 2 2 2 2 2" xfId="10147"/>
    <cellStyle name="Normal 13 2 3 2 2 2 3" xfId="10146"/>
    <cellStyle name="Normal 13 2 3 2 2 3" xfId="3895"/>
    <cellStyle name="Normal 13 2 3 2 2 3 2" xfId="3896"/>
    <cellStyle name="Normal 13 2 3 2 2 3 2 2" xfId="10149"/>
    <cellStyle name="Normal 13 2 3 2 2 3 3" xfId="10148"/>
    <cellStyle name="Normal 13 2 3 2 2 4" xfId="3897"/>
    <cellStyle name="Normal 13 2 3 2 2 4 2" xfId="10150"/>
    <cellStyle name="Normal 13 2 3 2 2 5" xfId="10145"/>
    <cellStyle name="Normal 13 2 3 2 3" xfId="3898"/>
    <cellStyle name="Normal 13 2 3 2 3 2" xfId="3899"/>
    <cellStyle name="Normal 13 2 3 2 3 2 2" xfId="10152"/>
    <cellStyle name="Normal 13 2 3 2 3 3" xfId="10151"/>
    <cellStyle name="Normal 13 2 3 2 4" xfId="3900"/>
    <cellStyle name="Normal 13 2 3 2 4 2" xfId="3901"/>
    <cellStyle name="Normal 13 2 3 2 4 2 2" xfId="10154"/>
    <cellStyle name="Normal 13 2 3 2 4 3" xfId="10153"/>
    <cellStyle name="Normal 13 2 3 2 5" xfId="3902"/>
    <cellStyle name="Normal 13 2 3 2 5 2" xfId="10155"/>
    <cellStyle name="Normal 13 2 3 2 6" xfId="10144"/>
    <cellStyle name="Normal 13 2 3 3" xfId="3903"/>
    <cellStyle name="Normal 13 2 3 3 2" xfId="3904"/>
    <cellStyle name="Normal 13 2 3 3 2 2" xfId="3905"/>
    <cellStyle name="Normal 13 2 3 3 2 2 2" xfId="10158"/>
    <cellStyle name="Normal 13 2 3 3 2 3" xfId="10157"/>
    <cellStyle name="Normal 13 2 3 3 3" xfId="3906"/>
    <cellStyle name="Normal 13 2 3 3 3 2" xfId="3907"/>
    <cellStyle name="Normal 13 2 3 3 3 2 2" xfId="10160"/>
    <cellStyle name="Normal 13 2 3 3 3 3" xfId="10159"/>
    <cellStyle name="Normal 13 2 3 3 4" xfId="3908"/>
    <cellStyle name="Normal 13 2 3 3 4 2" xfId="10161"/>
    <cellStyle name="Normal 13 2 3 3 5" xfId="10156"/>
    <cellStyle name="Normal 13 2 3 4" xfId="3909"/>
    <cellStyle name="Normal 13 2 3 4 2" xfId="3910"/>
    <cellStyle name="Normal 13 2 3 4 2 2" xfId="10163"/>
    <cellStyle name="Normal 13 2 3 4 3" xfId="10162"/>
    <cellStyle name="Normal 13 2 3 5" xfId="3911"/>
    <cellStyle name="Normal 13 2 3 5 2" xfId="3912"/>
    <cellStyle name="Normal 13 2 3 5 2 2" xfId="10165"/>
    <cellStyle name="Normal 13 2 3 5 3" xfId="10164"/>
    <cellStyle name="Normal 13 2 3 6" xfId="3913"/>
    <cellStyle name="Normal 13 2 3 6 2" xfId="10166"/>
    <cellStyle name="Normal 13 2 3 7" xfId="3914"/>
    <cellStyle name="Normal 13 2 3 8" xfId="10143"/>
    <cellStyle name="Normal 13 2 4" xfId="3915"/>
    <cellStyle name="Normal 13 2 4 2" xfId="3916"/>
    <cellStyle name="Normal 13 2 4 2 2" xfId="3917"/>
    <cellStyle name="Normal 13 2 4 2 2 2" xfId="3918"/>
    <cellStyle name="Normal 13 2 4 2 2 2 2" xfId="10170"/>
    <cellStyle name="Normal 13 2 4 2 2 3" xfId="10169"/>
    <cellStyle name="Normal 13 2 4 2 3" xfId="3919"/>
    <cellStyle name="Normal 13 2 4 2 3 2" xfId="3920"/>
    <cellStyle name="Normal 13 2 4 2 3 2 2" xfId="10172"/>
    <cellStyle name="Normal 13 2 4 2 3 3" xfId="10171"/>
    <cellStyle name="Normal 13 2 4 2 4" xfId="3921"/>
    <cellStyle name="Normal 13 2 4 2 4 2" xfId="10173"/>
    <cellStyle name="Normal 13 2 4 2 5" xfId="10168"/>
    <cellStyle name="Normal 13 2 4 3" xfId="3922"/>
    <cellStyle name="Normal 13 2 4 3 2" xfId="3923"/>
    <cellStyle name="Normal 13 2 4 3 2 2" xfId="10175"/>
    <cellStyle name="Normal 13 2 4 3 3" xfId="10174"/>
    <cellStyle name="Normal 13 2 4 4" xfId="3924"/>
    <cellStyle name="Normal 13 2 4 4 2" xfId="3925"/>
    <cellStyle name="Normal 13 2 4 4 2 2" xfId="10177"/>
    <cellStyle name="Normal 13 2 4 4 3" xfId="10176"/>
    <cellStyle name="Normal 13 2 4 5" xfId="3926"/>
    <cellStyle name="Normal 13 2 4 5 2" xfId="10178"/>
    <cellStyle name="Normal 13 2 4 6" xfId="10167"/>
    <cellStyle name="Normal 13 2 5" xfId="3927"/>
    <cellStyle name="Normal 13 2 5 2" xfId="3928"/>
    <cellStyle name="Normal 13 2 5 2 2" xfId="3929"/>
    <cellStyle name="Normal 13 2 5 2 2 2" xfId="10181"/>
    <cellStyle name="Normal 13 2 5 2 3" xfId="10180"/>
    <cellStyle name="Normal 13 2 5 3" xfId="3930"/>
    <cellStyle name="Normal 13 2 5 3 2" xfId="3931"/>
    <cellStyle name="Normal 13 2 5 3 2 2" xfId="10183"/>
    <cellStyle name="Normal 13 2 5 3 3" xfId="10182"/>
    <cellStyle name="Normal 13 2 5 4" xfId="3932"/>
    <cellStyle name="Normal 13 2 5 4 2" xfId="10184"/>
    <cellStyle name="Normal 13 2 5 5" xfId="10179"/>
    <cellStyle name="Normal 13 2 6" xfId="3933"/>
    <cellStyle name="Normal 13 2 6 2" xfId="3934"/>
    <cellStyle name="Normal 13 2 6 2 2" xfId="10186"/>
    <cellStyle name="Normal 13 2 6 3" xfId="10185"/>
    <cellStyle name="Normal 13 2 7" xfId="3935"/>
    <cellStyle name="Normal 13 2 7 2" xfId="3936"/>
    <cellStyle name="Normal 13 2 7 2 2" xfId="10188"/>
    <cellStyle name="Normal 13 2 7 3" xfId="10187"/>
    <cellStyle name="Normal 13 2 8" xfId="3937"/>
    <cellStyle name="Normal 13 2 8 2" xfId="10189"/>
    <cellStyle name="Normal 13 3" xfId="3938"/>
    <cellStyle name="Normal 13 3 2" xfId="3939"/>
    <cellStyle name="Normal 13 3 2 2" xfId="3940"/>
    <cellStyle name="Normal 13 3 2 2 2" xfId="3941"/>
    <cellStyle name="Normal 13 3 2 2 2 2" xfId="3942"/>
    <cellStyle name="Normal 13 3 2 2 2 2 2" xfId="3943"/>
    <cellStyle name="Normal 13 3 2 2 2 2 2 2" xfId="10194"/>
    <cellStyle name="Normal 13 3 2 2 2 2 3" xfId="10193"/>
    <cellStyle name="Normal 13 3 2 2 2 3" xfId="3944"/>
    <cellStyle name="Normal 13 3 2 2 2 3 2" xfId="3945"/>
    <cellStyle name="Normal 13 3 2 2 2 3 2 2" xfId="10196"/>
    <cellStyle name="Normal 13 3 2 2 2 3 3" xfId="10195"/>
    <cellStyle name="Normal 13 3 2 2 2 4" xfId="3946"/>
    <cellStyle name="Normal 13 3 2 2 2 4 2" xfId="10197"/>
    <cellStyle name="Normal 13 3 2 2 2 5" xfId="10192"/>
    <cellStyle name="Normal 13 3 2 2 3" xfId="3947"/>
    <cellStyle name="Normal 13 3 2 2 3 2" xfId="3948"/>
    <cellStyle name="Normal 13 3 2 2 3 2 2" xfId="10199"/>
    <cellStyle name="Normal 13 3 2 2 3 3" xfId="10198"/>
    <cellStyle name="Normal 13 3 2 2 4" xfId="3949"/>
    <cellStyle name="Normal 13 3 2 2 4 2" xfId="3950"/>
    <cellStyle name="Normal 13 3 2 2 4 2 2" xfId="10201"/>
    <cellStyle name="Normal 13 3 2 2 4 3" xfId="10200"/>
    <cellStyle name="Normal 13 3 2 2 5" xfId="3951"/>
    <cellStyle name="Normal 13 3 2 2 5 2" xfId="10202"/>
    <cellStyle name="Normal 13 3 2 2 6" xfId="10191"/>
    <cellStyle name="Normal 13 3 2 3" xfId="3952"/>
    <cellStyle name="Normal 13 3 2 3 2" xfId="3953"/>
    <cellStyle name="Normal 13 3 2 3 2 2" xfId="3954"/>
    <cellStyle name="Normal 13 3 2 3 2 2 2" xfId="10205"/>
    <cellStyle name="Normal 13 3 2 3 2 3" xfId="10204"/>
    <cellStyle name="Normal 13 3 2 3 3" xfId="3955"/>
    <cellStyle name="Normal 13 3 2 3 3 2" xfId="3956"/>
    <cellStyle name="Normal 13 3 2 3 3 2 2" xfId="10207"/>
    <cellStyle name="Normal 13 3 2 3 3 3" xfId="10206"/>
    <cellStyle name="Normal 13 3 2 3 4" xfId="3957"/>
    <cellStyle name="Normal 13 3 2 3 4 2" xfId="10208"/>
    <cellStyle name="Normal 13 3 2 3 5" xfId="10203"/>
    <cellStyle name="Normal 13 3 2 4" xfId="3958"/>
    <cellStyle name="Normal 13 3 2 4 2" xfId="3959"/>
    <cellStyle name="Normal 13 3 2 4 2 2" xfId="10210"/>
    <cellStyle name="Normal 13 3 2 4 3" xfId="10209"/>
    <cellStyle name="Normal 13 3 2 5" xfId="3960"/>
    <cellStyle name="Normal 13 3 2 5 2" xfId="3961"/>
    <cellStyle name="Normal 13 3 2 5 2 2" xfId="10212"/>
    <cellStyle name="Normal 13 3 2 5 3" xfId="10211"/>
    <cellStyle name="Normal 13 3 2 6" xfId="3962"/>
    <cellStyle name="Normal 13 3 2 6 2" xfId="10213"/>
    <cellStyle name="Normal 13 3 2 7" xfId="10190"/>
    <cellStyle name="Normal 13 3 3" xfId="3963"/>
    <cellStyle name="Normal 13 3 3 2" xfId="3964"/>
    <cellStyle name="Normal 13 3 3 2 2" xfId="3965"/>
    <cellStyle name="Normal 13 3 3 2 2 2" xfId="3966"/>
    <cellStyle name="Normal 13 3 3 2 2 2 2" xfId="10217"/>
    <cellStyle name="Normal 13 3 3 2 2 3" xfId="10216"/>
    <cellStyle name="Normal 13 3 3 2 3" xfId="3967"/>
    <cellStyle name="Normal 13 3 3 2 3 2" xfId="3968"/>
    <cellStyle name="Normal 13 3 3 2 3 2 2" xfId="10219"/>
    <cellStyle name="Normal 13 3 3 2 3 3" xfId="10218"/>
    <cellStyle name="Normal 13 3 3 2 4" xfId="3969"/>
    <cellStyle name="Normal 13 3 3 2 4 2" xfId="10220"/>
    <cellStyle name="Normal 13 3 3 2 5" xfId="10215"/>
    <cellStyle name="Normal 13 3 3 3" xfId="3970"/>
    <cellStyle name="Normal 13 3 3 3 2" xfId="3971"/>
    <cellStyle name="Normal 13 3 3 3 2 2" xfId="10222"/>
    <cellStyle name="Normal 13 3 3 3 3" xfId="10221"/>
    <cellStyle name="Normal 13 3 3 4" xfId="3972"/>
    <cellStyle name="Normal 13 3 3 4 2" xfId="3973"/>
    <cellStyle name="Normal 13 3 3 4 2 2" xfId="10224"/>
    <cellStyle name="Normal 13 3 3 4 3" xfId="10223"/>
    <cellStyle name="Normal 13 3 3 5" xfId="3974"/>
    <cellStyle name="Normal 13 3 3 5 2" xfId="10225"/>
    <cellStyle name="Normal 13 3 3 6" xfId="10214"/>
    <cellStyle name="Normal 13 3 4" xfId="3975"/>
    <cellStyle name="Normal 13 3 4 2" xfId="3976"/>
    <cellStyle name="Normal 13 3 4 2 2" xfId="3977"/>
    <cellStyle name="Normal 13 3 4 2 2 2" xfId="10228"/>
    <cellStyle name="Normal 13 3 4 2 3" xfId="10227"/>
    <cellStyle name="Normal 13 3 4 3" xfId="3978"/>
    <cellStyle name="Normal 13 3 4 3 2" xfId="3979"/>
    <cellStyle name="Normal 13 3 4 3 2 2" xfId="10230"/>
    <cellStyle name="Normal 13 3 4 3 3" xfId="10229"/>
    <cellStyle name="Normal 13 3 4 4" xfId="3980"/>
    <cellStyle name="Normal 13 3 4 4 2" xfId="10231"/>
    <cellStyle name="Normal 13 3 4 5" xfId="10226"/>
    <cellStyle name="Normal 13 3 5" xfId="3981"/>
    <cellStyle name="Normal 13 3 5 2" xfId="3982"/>
    <cellStyle name="Normal 13 3 5 2 2" xfId="10233"/>
    <cellStyle name="Normal 13 3 5 3" xfId="10232"/>
    <cellStyle name="Normal 13 3 6" xfId="3983"/>
    <cellStyle name="Normal 13 3 6 2" xfId="3984"/>
    <cellStyle name="Normal 13 3 6 2 2" xfId="10235"/>
    <cellStyle name="Normal 13 3 6 3" xfId="10234"/>
    <cellStyle name="Normal 13 3 7" xfId="3985"/>
    <cellStyle name="Normal 13 3 7 2" xfId="10236"/>
    <cellStyle name="Normal 13 3 8" xfId="3986"/>
    <cellStyle name="Normal 13 3 9" xfId="3987"/>
    <cellStyle name="Normal 13 4" xfId="3988"/>
    <cellStyle name="Normal 13 4 2" xfId="3989"/>
    <cellStyle name="Normal 13 4 2 2" xfId="3990"/>
    <cellStyle name="Normal 13 4 2 2 2" xfId="3991"/>
    <cellStyle name="Normal 13 4 2 2 2 2" xfId="3992"/>
    <cellStyle name="Normal 13 4 2 2 2 2 2" xfId="3993"/>
    <cellStyle name="Normal 13 4 2 2 2 2 2 2" xfId="10241"/>
    <cellStyle name="Normal 13 4 2 2 2 2 3" xfId="10240"/>
    <cellStyle name="Normal 13 4 2 2 2 3" xfId="3994"/>
    <cellStyle name="Normal 13 4 2 2 2 3 2" xfId="3995"/>
    <cellStyle name="Normal 13 4 2 2 2 3 2 2" xfId="10243"/>
    <cellStyle name="Normal 13 4 2 2 2 3 3" xfId="10242"/>
    <cellStyle name="Normal 13 4 2 2 2 4" xfId="3996"/>
    <cellStyle name="Normal 13 4 2 2 2 4 2" xfId="10244"/>
    <cellStyle name="Normal 13 4 2 2 2 5" xfId="10239"/>
    <cellStyle name="Normal 13 4 2 2 3" xfId="3997"/>
    <cellStyle name="Normal 13 4 2 2 3 2" xfId="3998"/>
    <cellStyle name="Normal 13 4 2 2 3 2 2" xfId="10246"/>
    <cellStyle name="Normal 13 4 2 2 3 3" xfId="10245"/>
    <cellStyle name="Normal 13 4 2 2 4" xfId="3999"/>
    <cellStyle name="Normal 13 4 2 2 4 2" xfId="4000"/>
    <cellStyle name="Normal 13 4 2 2 4 2 2" xfId="10248"/>
    <cellStyle name="Normal 13 4 2 2 4 3" xfId="10247"/>
    <cellStyle name="Normal 13 4 2 2 5" xfId="4001"/>
    <cellStyle name="Normal 13 4 2 2 5 2" xfId="10249"/>
    <cellStyle name="Normal 13 4 2 2 6" xfId="10238"/>
    <cellStyle name="Normal 13 4 2 3" xfId="4002"/>
    <cellStyle name="Normal 13 4 2 3 2" xfId="4003"/>
    <cellStyle name="Normal 13 4 2 3 2 2" xfId="4004"/>
    <cellStyle name="Normal 13 4 2 3 2 2 2" xfId="10252"/>
    <cellStyle name="Normal 13 4 2 3 2 3" xfId="10251"/>
    <cellStyle name="Normal 13 4 2 3 3" xfId="4005"/>
    <cellStyle name="Normal 13 4 2 3 3 2" xfId="4006"/>
    <cellStyle name="Normal 13 4 2 3 3 2 2" xfId="10254"/>
    <cellStyle name="Normal 13 4 2 3 3 3" xfId="10253"/>
    <cellStyle name="Normal 13 4 2 3 4" xfId="4007"/>
    <cellStyle name="Normal 13 4 2 3 4 2" xfId="10255"/>
    <cellStyle name="Normal 13 4 2 3 5" xfId="10250"/>
    <cellStyle name="Normal 13 4 2 4" xfId="4008"/>
    <cellStyle name="Normal 13 4 2 4 2" xfId="4009"/>
    <cellStyle name="Normal 13 4 2 4 2 2" xfId="10257"/>
    <cellStyle name="Normal 13 4 2 4 3" xfId="10256"/>
    <cellStyle name="Normal 13 4 2 5" xfId="4010"/>
    <cellStyle name="Normal 13 4 2 5 2" xfId="4011"/>
    <cellStyle name="Normal 13 4 2 5 2 2" xfId="10259"/>
    <cellStyle name="Normal 13 4 2 5 3" xfId="10258"/>
    <cellStyle name="Normal 13 4 2 6" xfId="4012"/>
    <cellStyle name="Normal 13 4 2 6 2" xfId="10260"/>
    <cellStyle name="Normal 13 4 2 7" xfId="10237"/>
    <cellStyle name="Normal 13 4 3" xfId="4013"/>
    <cellStyle name="Normal 13 4 3 2" xfId="4014"/>
    <cellStyle name="Normal 13 4 3 2 2" xfId="4015"/>
    <cellStyle name="Normal 13 4 3 2 2 2" xfId="4016"/>
    <cellStyle name="Normal 13 4 3 2 2 2 2" xfId="10264"/>
    <cellStyle name="Normal 13 4 3 2 2 3" xfId="10263"/>
    <cellStyle name="Normal 13 4 3 2 3" xfId="4017"/>
    <cellStyle name="Normal 13 4 3 2 3 2" xfId="4018"/>
    <cellStyle name="Normal 13 4 3 2 3 2 2" xfId="10266"/>
    <cellStyle name="Normal 13 4 3 2 3 3" xfId="10265"/>
    <cellStyle name="Normal 13 4 3 2 4" xfId="4019"/>
    <cellStyle name="Normal 13 4 3 2 4 2" xfId="10267"/>
    <cellStyle name="Normal 13 4 3 2 5" xfId="10262"/>
    <cellStyle name="Normal 13 4 3 3" xfId="4020"/>
    <cellStyle name="Normal 13 4 3 3 2" xfId="4021"/>
    <cellStyle name="Normal 13 4 3 3 2 2" xfId="10269"/>
    <cellStyle name="Normal 13 4 3 3 3" xfId="10268"/>
    <cellStyle name="Normal 13 4 3 4" xfId="4022"/>
    <cellStyle name="Normal 13 4 3 4 2" xfId="4023"/>
    <cellStyle name="Normal 13 4 3 4 2 2" xfId="10271"/>
    <cellStyle name="Normal 13 4 3 4 3" xfId="10270"/>
    <cellStyle name="Normal 13 4 3 5" xfId="4024"/>
    <cellStyle name="Normal 13 4 3 5 2" xfId="10272"/>
    <cellStyle name="Normal 13 4 3 6" xfId="10261"/>
    <cellStyle name="Normal 13 4 4" xfId="4025"/>
    <cellStyle name="Normal 13 4 4 2" xfId="4026"/>
    <cellStyle name="Normal 13 4 4 2 2" xfId="4027"/>
    <cellStyle name="Normal 13 4 4 2 2 2" xfId="10275"/>
    <cellStyle name="Normal 13 4 4 2 3" xfId="10274"/>
    <cellStyle name="Normal 13 4 4 3" xfId="4028"/>
    <cellStyle name="Normal 13 4 4 3 2" xfId="4029"/>
    <cellStyle name="Normal 13 4 4 3 2 2" xfId="10277"/>
    <cellStyle name="Normal 13 4 4 3 3" xfId="10276"/>
    <cellStyle name="Normal 13 4 4 4" xfId="4030"/>
    <cellStyle name="Normal 13 4 4 4 2" xfId="10278"/>
    <cellStyle name="Normal 13 4 4 5" xfId="10273"/>
    <cellStyle name="Normal 13 4 5" xfId="4031"/>
    <cellStyle name="Normal 13 4 5 2" xfId="4032"/>
    <cellStyle name="Normal 13 4 5 2 2" xfId="10280"/>
    <cellStyle name="Normal 13 4 5 3" xfId="10279"/>
    <cellStyle name="Normal 13 4 6" xfId="4033"/>
    <cellStyle name="Normal 13 4 6 2" xfId="4034"/>
    <cellStyle name="Normal 13 4 6 2 2" xfId="10282"/>
    <cellStyle name="Normal 13 4 6 3" xfId="10281"/>
    <cellStyle name="Normal 13 4 7" xfId="4035"/>
    <cellStyle name="Normal 13 4 7 2" xfId="10283"/>
    <cellStyle name="Normal 13 5" xfId="4036"/>
    <cellStyle name="Normal 13 5 2" xfId="4037"/>
    <cellStyle name="Normal 13 5 2 2" xfId="4038"/>
    <cellStyle name="Normal 13 5 2 2 2" xfId="4039"/>
    <cellStyle name="Normal 13 5 2 2 2 2" xfId="4040"/>
    <cellStyle name="Normal 13 5 2 2 2 2 2" xfId="10288"/>
    <cellStyle name="Normal 13 5 2 2 2 3" xfId="10287"/>
    <cellStyle name="Normal 13 5 2 2 3" xfId="4041"/>
    <cellStyle name="Normal 13 5 2 2 3 2" xfId="4042"/>
    <cellStyle name="Normal 13 5 2 2 3 2 2" xfId="10290"/>
    <cellStyle name="Normal 13 5 2 2 3 3" xfId="10289"/>
    <cellStyle name="Normal 13 5 2 2 4" xfId="4043"/>
    <cellStyle name="Normal 13 5 2 2 4 2" xfId="10291"/>
    <cellStyle name="Normal 13 5 2 2 5" xfId="10286"/>
    <cellStyle name="Normal 13 5 2 3" xfId="4044"/>
    <cellStyle name="Normal 13 5 2 3 2" xfId="4045"/>
    <cellStyle name="Normal 13 5 2 3 2 2" xfId="10293"/>
    <cellStyle name="Normal 13 5 2 3 3" xfId="10292"/>
    <cellStyle name="Normal 13 5 2 4" xfId="4046"/>
    <cellStyle name="Normal 13 5 2 4 2" xfId="4047"/>
    <cellStyle name="Normal 13 5 2 4 2 2" xfId="10295"/>
    <cellStyle name="Normal 13 5 2 4 3" xfId="10294"/>
    <cellStyle name="Normal 13 5 2 5" xfId="4048"/>
    <cellStyle name="Normal 13 5 2 5 2" xfId="10296"/>
    <cellStyle name="Normal 13 5 2 6" xfId="10285"/>
    <cellStyle name="Normal 13 5 3" xfId="4049"/>
    <cellStyle name="Normal 13 5 3 2" xfId="4050"/>
    <cellStyle name="Normal 13 5 3 2 2" xfId="4051"/>
    <cellStyle name="Normal 13 5 3 2 2 2" xfId="10299"/>
    <cellStyle name="Normal 13 5 3 2 3" xfId="10298"/>
    <cellStyle name="Normal 13 5 3 3" xfId="4052"/>
    <cellStyle name="Normal 13 5 3 3 2" xfId="4053"/>
    <cellStyle name="Normal 13 5 3 3 2 2" xfId="10301"/>
    <cellStyle name="Normal 13 5 3 3 3" xfId="10300"/>
    <cellStyle name="Normal 13 5 3 4" xfId="4054"/>
    <cellStyle name="Normal 13 5 3 4 2" xfId="10302"/>
    <cellStyle name="Normal 13 5 3 5" xfId="10297"/>
    <cellStyle name="Normal 13 5 4" xfId="4055"/>
    <cellStyle name="Normal 13 5 4 2" xfId="4056"/>
    <cellStyle name="Normal 13 5 4 2 2" xfId="10304"/>
    <cellStyle name="Normal 13 5 4 3" xfId="10303"/>
    <cellStyle name="Normal 13 5 5" xfId="4057"/>
    <cellStyle name="Normal 13 5 5 2" xfId="4058"/>
    <cellStyle name="Normal 13 5 5 2 2" xfId="10306"/>
    <cellStyle name="Normal 13 5 5 3" xfId="10305"/>
    <cellStyle name="Normal 13 5 6" xfId="4059"/>
    <cellStyle name="Normal 13 5 6 2" xfId="10307"/>
    <cellStyle name="Normal 13 5 7" xfId="10284"/>
    <cellStyle name="Normal 13 6" xfId="4060"/>
    <cellStyle name="Normal 13 6 2" xfId="4061"/>
    <cellStyle name="Normal 13 6 2 2" xfId="4062"/>
    <cellStyle name="Normal 13 6 2 2 2" xfId="4063"/>
    <cellStyle name="Normal 13 6 2 2 2 2" xfId="10311"/>
    <cellStyle name="Normal 13 6 2 2 3" xfId="10310"/>
    <cellStyle name="Normal 13 6 2 3" xfId="4064"/>
    <cellStyle name="Normal 13 6 2 3 2" xfId="4065"/>
    <cellStyle name="Normal 13 6 2 3 2 2" xfId="10313"/>
    <cellStyle name="Normal 13 6 2 3 3" xfId="10312"/>
    <cellStyle name="Normal 13 6 2 4" xfId="4066"/>
    <cellStyle name="Normal 13 6 2 4 2" xfId="10314"/>
    <cellStyle name="Normal 13 6 2 5" xfId="10309"/>
    <cellStyle name="Normal 13 6 3" xfId="4067"/>
    <cellStyle name="Normal 13 6 3 2" xfId="4068"/>
    <cellStyle name="Normal 13 6 3 2 2" xfId="10316"/>
    <cellStyle name="Normal 13 6 3 3" xfId="10315"/>
    <cellStyle name="Normal 13 6 4" xfId="4069"/>
    <cellStyle name="Normal 13 6 4 2" xfId="4070"/>
    <cellStyle name="Normal 13 6 4 2 2" xfId="10318"/>
    <cellStyle name="Normal 13 6 4 3" xfId="10317"/>
    <cellStyle name="Normal 13 6 5" xfId="4071"/>
    <cellStyle name="Normal 13 6 5 2" xfId="10319"/>
    <cellStyle name="Normal 13 6 6" xfId="4072"/>
    <cellStyle name="Normal 13 6 7" xfId="10308"/>
    <cellStyle name="Normal 13 7" xfId="4073"/>
    <cellStyle name="Normal 13 7 2" xfId="4074"/>
    <cellStyle name="Normal 13 7 2 2" xfId="4075"/>
    <cellStyle name="Normal 13 7 2 2 2" xfId="10322"/>
    <cellStyle name="Normal 13 7 2 3" xfId="10321"/>
    <cellStyle name="Normal 13 7 3" xfId="4076"/>
    <cellStyle name="Normal 13 7 3 2" xfId="4077"/>
    <cellStyle name="Normal 13 7 3 2 2" xfId="10324"/>
    <cellStyle name="Normal 13 7 3 3" xfId="10323"/>
    <cellStyle name="Normal 13 7 4" xfId="4078"/>
    <cellStyle name="Normal 13 7 4 2" xfId="10325"/>
    <cellStyle name="Normal 13 7 5" xfId="10320"/>
    <cellStyle name="Normal 13 8" xfId="4079"/>
    <cellStyle name="Normal 13 8 2" xfId="4080"/>
    <cellStyle name="Normal 13 8 2 2" xfId="10327"/>
    <cellStyle name="Normal 13 8 3" xfId="10326"/>
    <cellStyle name="Normal 13 9" xfId="4081"/>
    <cellStyle name="Normal 13 9 2" xfId="4082"/>
    <cellStyle name="Normal 13 9 2 2" xfId="10329"/>
    <cellStyle name="Normal 13 9 3" xfId="10328"/>
    <cellStyle name="Normal 13_Recycling Tons" xfId="4083"/>
    <cellStyle name="Normal 130" xfId="4084"/>
    <cellStyle name="Normal 131" xfId="4085"/>
    <cellStyle name="Normal 132" xfId="4086"/>
    <cellStyle name="Normal 133" xfId="4087"/>
    <cellStyle name="Normal 134" xfId="4088"/>
    <cellStyle name="Normal 135" xfId="4089"/>
    <cellStyle name="Normal 136" xfId="4090"/>
    <cellStyle name="Normal 137" xfId="9214"/>
    <cellStyle name="Normal 138" xfId="15198"/>
    <cellStyle name="Normal 139" xfId="15203"/>
    <cellStyle name="Normal 14" xfId="4091"/>
    <cellStyle name="Normal 14 10" xfId="10330"/>
    <cellStyle name="Normal 14 2" xfId="4092"/>
    <cellStyle name="Normal 14 2 2" xfId="4093"/>
    <cellStyle name="Normal 14 2 2 2" xfId="4094"/>
    <cellStyle name="Normal 14 2 2 2 2" xfId="4095"/>
    <cellStyle name="Normal 14 2 2 2 2 2" xfId="4096"/>
    <cellStyle name="Normal 14 2 2 2 2 2 2" xfId="4097"/>
    <cellStyle name="Normal 14 2 2 2 2 2 2 2" xfId="10336"/>
    <cellStyle name="Normal 14 2 2 2 2 2 3" xfId="10335"/>
    <cellStyle name="Normal 14 2 2 2 2 3" xfId="4098"/>
    <cellStyle name="Normal 14 2 2 2 2 3 2" xfId="4099"/>
    <cellStyle name="Normal 14 2 2 2 2 3 2 2" xfId="10338"/>
    <cellStyle name="Normal 14 2 2 2 2 3 3" xfId="10337"/>
    <cellStyle name="Normal 14 2 2 2 2 4" xfId="4100"/>
    <cellStyle name="Normal 14 2 2 2 2 4 2" xfId="10339"/>
    <cellStyle name="Normal 14 2 2 2 2 5" xfId="10334"/>
    <cellStyle name="Normal 14 2 2 2 3" xfId="4101"/>
    <cellStyle name="Normal 14 2 2 2 3 2" xfId="4102"/>
    <cellStyle name="Normal 14 2 2 2 3 2 2" xfId="10341"/>
    <cellStyle name="Normal 14 2 2 2 3 3" xfId="10340"/>
    <cellStyle name="Normal 14 2 2 2 4" xfId="4103"/>
    <cellStyle name="Normal 14 2 2 2 4 2" xfId="4104"/>
    <cellStyle name="Normal 14 2 2 2 4 2 2" xfId="10343"/>
    <cellStyle name="Normal 14 2 2 2 4 3" xfId="10342"/>
    <cellStyle name="Normal 14 2 2 2 5" xfId="4105"/>
    <cellStyle name="Normal 14 2 2 2 5 2" xfId="10344"/>
    <cellStyle name="Normal 14 2 2 2 6" xfId="10333"/>
    <cellStyle name="Normal 14 2 2 3" xfId="4106"/>
    <cellStyle name="Normal 14 2 2 3 2" xfId="4107"/>
    <cellStyle name="Normal 14 2 2 3 2 2" xfId="4108"/>
    <cellStyle name="Normal 14 2 2 3 2 2 2" xfId="10347"/>
    <cellStyle name="Normal 14 2 2 3 2 3" xfId="10346"/>
    <cellStyle name="Normal 14 2 2 3 3" xfId="4109"/>
    <cellStyle name="Normal 14 2 2 3 3 2" xfId="4110"/>
    <cellStyle name="Normal 14 2 2 3 3 2 2" xfId="10349"/>
    <cellStyle name="Normal 14 2 2 3 3 3" xfId="10348"/>
    <cellStyle name="Normal 14 2 2 3 4" xfId="4111"/>
    <cellStyle name="Normal 14 2 2 3 4 2" xfId="10350"/>
    <cellStyle name="Normal 14 2 2 3 5" xfId="10345"/>
    <cellStyle name="Normal 14 2 2 4" xfId="4112"/>
    <cellStyle name="Normal 14 2 2 4 2" xfId="4113"/>
    <cellStyle name="Normal 14 2 2 4 2 2" xfId="10352"/>
    <cellStyle name="Normal 14 2 2 4 3" xfId="10351"/>
    <cellStyle name="Normal 14 2 2 5" xfId="4114"/>
    <cellStyle name="Normal 14 2 2 5 2" xfId="4115"/>
    <cellStyle name="Normal 14 2 2 5 2 2" xfId="10354"/>
    <cellStyle name="Normal 14 2 2 5 3" xfId="10353"/>
    <cellStyle name="Normal 14 2 2 6" xfId="4116"/>
    <cellStyle name="Normal 14 2 2 6 2" xfId="10355"/>
    <cellStyle name="Normal 14 2 2 7" xfId="4117"/>
    <cellStyle name="Normal 14 2 2 8" xfId="10332"/>
    <cellStyle name="Normal 14 2 3" xfId="4118"/>
    <cellStyle name="Normal 14 2 3 2" xfId="4119"/>
    <cellStyle name="Normal 14 2 3 2 2" xfId="4120"/>
    <cellStyle name="Normal 14 2 3 2 2 2" xfId="4121"/>
    <cellStyle name="Normal 14 2 3 2 2 2 2" xfId="10359"/>
    <cellStyle name="Normal 14 2 3 2 2 3" xfId="10358"/>
    <cellStyle name="Normal 14 2 3 2 3" xfId="4122"/>
    <cellStyle name="Normal 14 2 3 2 3 2" xfId="4123"/>
    <cellStyle name="Normal 14 2 3 2 3 2 2" xfId="10361"/>
    <cellStyle name="Normal 14 2 3 2 3 3" xfId="10360"/>
    <cellStyle name="Normal 14 2 3 2 4" xfId="4124"/>
    <cellStyle name="Normal 14 2 3 2 4 2" xfId="10362"/>
    <cellStyle name="Normal 14 2 3 2 5" xfId="10357"/>
    <cellStyle name="Normal 14 2 3 3" xfId="4125"/>
    <cellStyle name="Normal 14 2 3 3 2" xfId="4126"/>
    <cellStyle name="Normal 14 2 3 3 2 2" xfId="10364"/>
    <cellStyle name="Normal 14 2 3 3 3" xfId="10363"/>
    <cellStyle name="Normal 14 2 3 4" xfId="4127"/>
    <cellStyle name="Normal 14 2 3 4 2" xfId="4128"/>
    <cellStyle name="Normal 14 2 3 4 2 2" xfId="10366"/>
    <cellStyle name="Normal 14 2 3 4 3" xfId="10365"/>
    <cellStyle name="Normal 14 2 3 5" xfId="4129"/>
    <cellStyle name="Normal 14 2 3 5 2" xfId="10367"/>
    <cellStyle name="Normal 14 2 3 6" xfId="4130"/>
    <cellStyle name="Normal 14 2 3 7" xfId="10356"/>
    <cellStyle name="Normal 14 2 4" xfId="4131"/>
    <cellStyle name="Normal 14 2 4 2" xfId="4132"/>
    <cellStyle name="Normal 14 2 4 2 2" xfId="4133"/>
    <cellStyle name="Normal 14 2 4 2 2 2" xfId="10370"/>
    <cellStyle name="Normal 14 2 4 2 3" xfId="10369"/>
    <cellStyle name="Normal 14 2 4 3" xfId="4134"/>
    <cellStyle name="Normal 14 2 4 3 2" xfId="4135"/>
    <cellStyle name="Normal 14 2 4 3 2 2" xfId="10372"/>
    <cellStyle name="Normal 14 2 4 3 3" xfId="10371"/>
    <cellStyle name="Normal 14 2 4 4" xfId="4136"/>
    <cellStyle name="Normal 14 2 4 4 2" xfId="10373"/>
    <cellStyle name="Normal 14 2 4 5" xfId="10368"/>
    <cellStyle name="Normal 14 2 5" xfId="4137"/>
    <cellStyle name="Normal 14 2 5 2" xfId="4138"/>
    <cellStyle name="Normal 14 2 5 2 2" xfId="10375"/>
    <cellStyle name="Normal 14 2 5 3" xfId="10374"/>
    <cellStyle name="Normal 14 2 6" xfId="4139"/>
    <cellStyle name="Normal 14 2 6 2" xfId="4140"/>
    <cellStyle name="Normal 14 2 6 2 2" xfId="10377"/>
    <cellStyle name="Normal 14 2 6 3" xfId="10376"/>
    <cellStyle name="Normal 14 2 7" xfId="4141"/>
    <cellStyle name="Normal 14 2 7 2" xfId="10378"/>
    <cellStyle name="Normal 14 2 8" xfId="10331"/>
    <cellStyle name="Normal 14 3" xfId="4142"/>
    <cellStyle name="Normal 14 3 10" xfId="10379"/>
    <cellStyle name="Normal 14 3 2" xfId="4143"/>
    <cellStyle name="Normal 14 3 2 2" xfId="4144"/>
    <cellStyle name="Normal 14 3 2 2 2" xfId="4145"/>
    <cellStyle name="Normal 14 3 2 2 2 2" xfId="4146"/>
    <cellStyle name="Normal 14 3 2 2 2 2 2" xfId="4147"/>
    <cellStyle name="Normal 14 3 2 2 2 2 2 2" xfId="10384"/>
    <cellStyle name="Normal 14 3 2 2 2 2 3" xfId="10383"/>
    <cellStyle name="Normal 14 3 2 2 2 3" xfId="4148"/>
    <cellStyle name="Normal 14 3 2 2 2 3 2" xfId="4149"/>
    <cellStyle name="Normal 14 3 2 2 2 3 2 2" xfId="10386"/>
    <cellStyle name="Normal 14 3 2 2 2 3 3" xfId="10385"/>
    <cellStyle name="Normal 14 3 2 2 2 4" xfId="4150"/>
    <cellStyle name="Normal 14 3 2 2 2 4 2" xfId="10387"/>
    <cellStyle name="Normal 14 3 2 2 2 5" xfId="10382"/>
    <cellStyle name="Normal 14 3 2 2 3" xfId="4151"/>
    <cellStyle name="Normal 14 3 2 2 3 2" xfId="4152"/>
    <cellStyle name="Normal 14 3 2 2 3 2 2" xfId="10389"/>
    <cellStyle name="Normal 14 3 2 2 3 3" xfId="10388"/>
    <cellStyle name="Normal 14 3 2 2 4" xfId="4153"/>
    <cellStyle name="Normal 14 3 2 2 4 2" xfId="4154"/>
    <cellStyle name="Normal 14 3 2 2 4 2 2" xfId="10391"/>
    <cellStyle name="Normal 14 3 2 2 4 3" xfId="10390"/>
    <cellStyle name="Normal 14 3 2 2 5" xfId="4155"/>
    <cellStyle name="Normal 14 3 2 2 5 2" xfId="10392"/>
    <cellStyle name="Normal 14 3 2 2 6" xfId="10381"/>
    <cellStyle name="Normal 14 3 2 3" xfId="4156"/>
    <cellStyle name="Normal 14 3 2 3 2" xfId="4157"/>
    <cellStyle name="Normal 14 3 2 3 2 2" xfId="4158"/>
    <cellStyle name="Normal 14 3 2 3 2 2 2" xfId="10395"/>
    <cellStyle name="Normal 14 3 2 3 2 3" xfId="10394"/>
    <cellStyle name="Normal 14 3 2 3 3" xfId="4159"/>
    <cellStyle name="Normal 14 3 2 3 3 2" xfId="4160"/>
    <cellStyle name="Normal 14 3 2 3 3 2 2" xfId="10397"/>
    <cellStyle name="Normal 14 3 2 3 3 3" xfId="10396"/>
    <cellStyle name="Normal 14 3 2 3 4" xfId="4161"/>
    <cellStyle name="Normal 14 3 2 3 4 2" xfId="10398"/>
    <cellStyle name="Normal 14 3 2 3 5" xfId="10393"/>
    <cellStyle name="Normal 14 3 2 4" xfId="4162"/>
    <cellStyle name="Normal 14 3 2 4 2" xfId="4163"/>
    <cellStyle name="Normal 14 3 2 4 2 2" xfId="10400"/>
    <cellStyle name="Normal 14 3 2 4 3" xfId="10399"/>
    <cellStyle name="Normal 14 3 2 5" xfId="4164"/>
    <cellStyle name="Normal 14 3 2 5 2" xfId="4165"/>
    <cellStyle name="Normal 14 3 2 5 2 2" xfId="10402"/>
    <cellStyle name="Normal 14 3 2 5 3" xfId="10401"/>
    <cellStyle name="Normal 14 3 2 6" xfId="4166"/>
    <cellStyle name="Normal 14 3 2 6 2" xfId="10403"/>
    <cellStyle name="Normal 14 3 2 7" xfId="10380"/>
    <cellStyle name="Normal 14 3 3" xfId="4167"/>
    <cellStyle name="Normal 14 3 3 2" xfId="4168"/>
    <cellStyle name="Normal 14 3 3 2 2" xfId="4169"/>
    <cellStyle name="Normal 14 3 3 2 2 2" xfId="4170"/>
    <cellStyle name="Normal 14 3 3 2 2 2 2" xfId="10407"/>
    <cellStyle name="Normal 14 3 3 2 2 3" xfId="10406"/>
    <cellStyle name="Normal 14 3 3 2 3" xfId="4171"/>
    <cellStyle name="Normal 14 3 3 2 3 2" xfId="4172"/>
    <cellStyle name="Normal 14 3 3 2 3 2 2" xfId="10409"/>
    <cellStyle name="Normal 14 3 3 2 3 3" xfId="10408"/>
    <cellStyle name="Normal 14 3 3 2 4" xfId="4173"/>
    <cellStyle name="Normal 14 3 3 2 4 2" xfId="10410"/>
    <cellStyle name="Normal 14 3 3 2 5" xfId="10405"/>
    <cellStyle name="Normal 14 3 3 3" xfId="4174"/>
    <cellStyle name="Normal 14 3 3 3 2" xfId="4175"/>
    <cellStyle name="Normal 14 3 3 3 2 2" xfId="10412"/>
    <cellStyle name="Normal 14 3 3 3 3" xfId="10411"/>
    <cellStyle name="Normal 14 3 3 4" xfId="4176"/>
    <cellStyle name="Normal 14 3 3 4 2" xfId="4177"/>
    <cellStyle name="Normal 14 3 3 4 2 2" xfId="10414"/>
    <cellStyle name="Normal 14 3 3 4 3" xfId="10413"/>
    <cellStyle name="Normal 14 3 3 5" xfId="4178"/>
    <cellStyle name="Normal 14 3 3 5 2" xfId="10415"/>
    <cellStyle name="Normal 14 3 3 6" xfId="10404"/>
    <cellStyle name="Normal 14 3 4" xfId="4179"/>
    <cellStyle name="Normal 14 3 4 2" xfId="4180"/>
    <cellStyle name="Normal 14 3 4 2 2" xfId="4181"/>
    <cellStyle name="Normal 14 3 4 2 2 2" xfId="10418"/>
    <cellStyle name="Normal 14 3 4 2 3" xfId="10417"/>
    <cellStyle name="Normal 14 3 4 3" xfId="4182"/>
    <cellStyle name="Normal 14 3 4 3 2" xfId="4183"/>
    <cellStyle name="Normal 14 3 4 3 2 2" xfId="10420"/>
    <cellStyle name="Normal 14 3 4 3 3" xfId="10419"/>
    <cellStyle name="Normal 14 3 4 4" xfId="4184"/>
    <cellStyle name="Normal 14 3 4 4 2" xfId="10421"/>
    <cellStyle name="Normal 14 3 4 5" xfId="10416"/>
    <cellStyle name="Normal 14 3 5" xfId="4185"/>
    <cellStyle name="Normal 14 3 5 2" xfId="4186"/>
    <cellStyle name="Normal 14 3 5 2 2" xfId="10423"/>
    <cellStyle name="Normal 14 3 5 3" xfId="10422"/>
    <cellStyle name="Normal 14 3 6" xfId="4187"/>
    <cellStyle name="Normal 14 3 6 2" xfId="4188"/>
    <cellStyle name="Normal 14 3 6 2 2" xfId="10425"/>
    <cellStyle name="Normal 14 3 6 3" xfId="10424"/>
    <cellStyle name="Normal 14 3 7" xfId="4189"/>
    <cellStyle name="Normal 14 3 7 2" xfId="10426"/>
    <cellStyle name="Normal 14 3 8" xfId="4190"/>
    <cellStyle name="Normal 14 3 8 2" xfId="10427"/>
    <cellStyle name="Normal 14 3 9" xfId="4191"/>
    <cellStyle name="Normal 14 4" xfId="4192"/>
    <cellStyle name="Normal 14 4 2" xfId="4193"/>
    <cellStyle name="Normal 14 4 2 2" xfId="4194"/>
    <cellStyle name="Normal 14 4 2 2 2" xfId="4195"/>
    <cellStyle name="Normal 14 4 2 2 2 2" xfId="4196"/>
    <cellStyle name="Normal 14 4 2 2 2 2 2" xfId="10432"/>
    <cellStyle name="Normal 14 4 2 2 2 3" xfId="10431"/>
    <cellStyle name="Normal 14 4 2 2 3" xfId="4197"/>
    <cellStyle name="Normal 14 4 2 2 3 2" xfId="4198"/>
    <cellStyle name="Normal 14 4 2 2 3 2 2" xfId="10434"/>
    <cellStyle name="Normal 14 4 2 2 3 3" xfId="10433"/>
    <cellStyle name="Normal 14 4 2 2 4" xfId="4199"/>
    <cellStyle name="Normal 14 4 2 2 4 2" xfId="10435"/>
    <cellStyle name="Normal 14 4 2 2 5" xfId="10430"/>
    <cellStyle name="Normal 14 4 2 3" xfId="4200"/>
    <cellStyle name="Normal 14 4 2 3 2" xfId="4201"/>
    <cellStyle name="Normal 14 4 2 3 2 2" xfId="10437"/>
    <cellStyle name="Normal 14 4 2 3 3" xfId="10436"/>
    <cellStyle name="Normal 14 4 2 4" xfId="4202"/>
    <cellStyle name="Normal 14 4 2 4 2" xfId="4203"/>
    <cellStyle name="Normal 14 4 2 4 2 2" xfId="10439"/>
    <cellStyle name="Normal 14 4 2 4 3" xfId="10438"/>
    <cellStyle name="Normal 14 4 2 5" xfId="4204"/>
    <cellStyle name="Normal 14 4 2 5 2" xfId="10440"/>
    <cellStyle name="Normal 14 4 2 6" xfId="10429"/>
    <cellStyle name="Normal 14 4 3" xfId="4205"/>
    <cellStyle name="Normal 14 4 3 2" xfId="4206"/>
    <cellStyle name="Normal 14 4 3 2 2" xfId="4207"/>
    <cellStyle name="Normal 14 4 3 2 2 2" xfId="10443"/>
    <cellStyle name="Normal 14 4 3 2 3" xfId="10442"/>
    <cellStyle name="Normal 14 4 3 3" xfId="4208"/>
    <cellStyle name="Normal 14 4 3 3 2" xfId="4209"/>
    <cellStyle name="Normal 14 4 3 3 2 2" xfId="10445"/>
    <cellStyle name="Normal 14 4 3 3 3" xfId="10444"/>
    <cellStyle name="Normal 14 4 3 4" xfId="4210"/>
    <cellStyle name="Normal 14 4 3 4 2" xfId="10446"/>
    <cellStyle name="Normal 14 4 3 5" xfId="10441"/>
    <cellStyle name="Normal 14 4 4" xfId="4211"/>
    <cellStyle name="Normal 14 4 4 2" xfId="4212"/>
    <cellStyle name="Normal 14 4 4 2 2" xfId="10448"/>
    <cellStyle name="Normal 14 4 4 3" xfId="10447"/>
    <cellStyle name="Normal 14 4 5" xfId="4213"/>
    <cellStyle name="Normal 14 4 5 2" xfId="4214"/>
    <cellStyle name="Normal 14 4 5 2 2" xfId="10450"/>
    <cellStyle name="Normal 14 4 5 3" xfId="10449"/>
    <cellStyle name="Normal 14 4 6" xfId="4215"/>
    <cellStyle name="Normal 14 4 6 2" xfId="10451"/>
    <cellStyle name="Normal 14 4 7" xfId="4216"/>
    <cellStyle name="Normal 14 4 8" xfId="10428"/>
    <cellStyle name="Normal 14 5" xfId="4217"/>
    <cellStyle name="Normal 14 5 2" xfId="4218"/>
    <cellStyle name="Normal 14 5 2 2" xfId="4219"/>
    <cellStyle name="Normal 14 5 2 2 2" xfId="4220"/>
    <cellStyle name="Normal 14 5 2 2 2 2" xfId="10455"/>
    <cellStyle name="Normal 14 5 2 2 3" xfId="10454"/>
    <cellStyle name="Normal 14 5 2 3" xfId="4221"/>
    <cellStyle name="Normal 14 5 2 3 2" xfId="4222"/>
    <cellStyle name="Normal 14 5 2 3 2 2" xfId="10457"/>
    <cellStyle name="Normal 14 5 2 3 3" xfId="10456"/>
    <cellStyle name="Normal 14 5 2 4" xfId="4223"/>
    <cellStyle name="Normal 14 5 2 4 2" xfId="10458"/>
    <cellStyle name="Normal 14 5 2 5" xfId="10453"/>
    <cellStyle name="Normal 14 5 3" xfId="4224"/>
    <cellStyle name="Normal 14 5 3 2" xfId="4225"/>
    <cellStyle name="Normal 14 5 3 2 2" xfId="10460"/>
    <cellStyle name="Normal 14 5 3 3" xfId="10459"/>
    <cellStyle name="Normal 14 5 4" xfId="4226"/>
    <cellStyle name="Normal 14 5 4 2" xfId="4227"/>
    <cellStyle name="Normal 14 5 4 2 2" xfId="10462"/>
    <cellStyle name="Normal 14 5 4 3" xfId="10461"/>
    <cellStyle name="Normal 14 5 5" xfId="4228"/>
    <cellStyle name="Normal 14 5 5 2" xfId="10463"/>
    <cellStyle name="Normal 14 5 6" xfId="4229"/>
    <cellStyle name="Normal 14 5 7" xfId="10452"/>
    <cellStyle name="Normal 14 6" xfId="4230"/>
    <cellStyle name="Normal 14 6 2" xfId="4231"/>
    <cellStyle name="Normal 14 6 2 2" xfId="4232"/>
    <cellStyle name="Normal 14 6 2 2 2" xfId="10466"/>
    <cellStyle name="Normal 14 6 2 3" xfId="10465"/>
    <cellStyle name="Normal 14 6 3" xfId="4233"/>
    <cellStyle name="Normal 14 6 3 2" xfId="4234"/>
    <cellStyle name="Normal 14 6 3 2 2" xfId="10468"/>
    <cellStyle name="Normal 14 6 3 3" xfId="10467"/>
    <cellStyle name="Normal 14 6 4" xfId="4235"/>
    <cellStyle name="Normal 14 6 4 2" xfId="10469"/>
    <cellStyle name="Normal 14 6 5" xfId="10464"/>
    <cellStyle name="Normal 14 7" xfId="4236"/>
    <cellStyle name="Normal 14 7 2" xfId="4237"/>
    <cellStyle name="Normal 14 7 2 2" xfId="10471"/>
    <cellStyle name="Normal 14 7 3" xfId="10470"/>
    <cellStyle name="Normal 14 8" xfId="4238"/>
    <cellStyle name="Normal 14 8 2" xfId="4239"/>
    <cellStyle name="Normal 14 8 2 2" xfId="10473"/>
    <cellStyle name="Normal 14 8 3" xfId="10472"/>
    <cellStyle name="Normal 14 9" xfId="4240"/>
    <cellStyle name="Normal 14 9 2" xfId="10474"/>
    <cellStyle name="Normal 14_Recycling Tons" xfId="4241"/>
    <cellStyle name="Normal 140" xfId="15205"/>
    <cellStyle name="Normal 141" xfId="15206"/>
    <cellStyle name="Normal 142" xfId="15210"/>
    <cellStyle name="Normal 143" xfId="15212"/>
    <cellStyle name="Normal 15" xfId="4242"/>
    <cellStyle name="Normal 15 2" xfId="4243"/>
    <cellStyle name="Normal 15 2 2" xfId="4244"/>
    <cellStyle name="Normal 15 2 2 2" xfId="4245"/>
    <cellStyle name="Normal 15 2 2 2 2" xfId="10478"/>
    <cellStyle name="Normal 15 2 2 3" xfId="10477"/>
    <cellStyle name="Normal 15 2 3" xfId="4246"/>
    <cellStyle name="Normal 15 2 3 2" xfId="10479"/>
    <cellStyle name="Normal 15 2 4" xfId="10476"/>
    <cellStyle name="Normal 15 3" xfId="4247"/>
    <cellStyle name="Normal 15 3 2" xfId="4248"/>
    <cellStyle name="Normal 15 3 2 2" xfId="10481"/>
    <cellStyle name="Normal 15 3 3" xfId="4249"/>
    <cellStyle name="Normal 15 3 3 2" xfId="10482"/>
    <cellStyle name="Normal 15 3 4" xfId="4250"/>
    <cellStyle name="Normal 15 3 5" xfId="10480"/>
    <cellStyle name="Normal 15 4" xfId="4251"/>
    <cellStyle name="Normal 15 4 2" xfId="4252"/>
    <cellStyle name="Normal 15 4 2 2" xfId="10484"/>
    <cellStyle name="Normal 15 4 3" xfId="4253"/>
    <cellStyle name="Normal 15 4 4" xfId="10483"/>
    <cellStyle name="Normal 15 5" xfId="4254"/>
    <cellStyle name="Normal 15 5 2" xfId="4255"/>
    <cellStyle name="Normal 15 5 3" xfId="10485"/>
    <cellStyle name="Normal 15 6" xfId="10475"/>
    <cellStyle name="Normal 15_Recycling Tons" xfId="4256"/>
    <cellStyle name="Normal 16" xfId="4257"/>
    <cellStyle name="Normal 16 10" xfId="10486"/>
    <cellStyle name="Normal 16 2" xfId="4258"/>
    <cellStyle name="Normal 16 2 2" xfId="4259"/>
    <cellStyle name="Normal 16 2 2 2" xfId="4260"/>
    <cellStyle name="Normal 16 2 2 2 2" xfId="10489"/>
    <cellStyle name="Normal 16 2 2 3" xfId="10488"/>
    <cellStyle name="Normal 16 2 3" xfId="4261"/>
    <cellStyle name="Normal 16 2 3 2" xfId="10490"/>
    <cellStyle name="Normal 16 2 4" xfId="10487"/>
    <cellStyle name="Normal 16 3" xfId="4262"/>
    <cellStyle name="Normal 16 3 10" xfId="10491"/>
    <cellStyle name="Normal 16 3 2" xfId="4263"/>
    <cellStyle name="Normal 16 3 2 2" xfId="4264"/>
    <cellStyle name="Normal 16 3 2 2 2" xfId="4265"/>
    <cellStyle name="Normal 16 3 2 2 2 2" xfId="4266"/>
    <cellStyle name="Normal 16 3 2 2 2 2 2" xfId="4267"/>
    <cellStyle name="Normal 16 3 2 2 2 2 2 2" xfId="10496"/>
    <cellStyle name="Normal 16 3 2 2 2 2 3" xfId="10495"/>
    <cellStyle name="Normal 16 3 2 2 2 3" xfId="4268"/>
    <cellStyle name="Normal 16 3 2 2 2 3 2" xfId="4269"/>
    <cellStyle name="Normal 16 3 2 2 2 3 2 2" xfId="10498"/>
    <cellStyle name="Normal 16 3 2 2 2 3 3" xfId="10497"/>
    <cellStyle name="Normal 16 3 2 2 2 4" xfId="4270"/>
    <cellStyle name="Normal 16 3 2 2 2 4 2" xfId="10499"/>
    <cellStyle name="Normal 16 3 2 2 2 5" xfId="10494"/>
    <cellStyle name="Normal 16 3 2 2 3" xfId="4271"/>
    <cellStyle name="Normal 16 3 2 2 3 2" xfId="4272"/>
    <cellStyle name="Normal 16 3 2 2 3 2 2" xfId="10501"/>
    <cellStyle name="Normal 16 3 2 2 3 3" xfId="10500"/>
    <cellStyle name="Normal 16 3 2 2 4" xfId="4273"/>
    <cellStyle name="Normal 16 3 2 2 4 2" xfId="4274"/>
    <cellStyle name="Normal 16 3 2 2 4 2 2" xfId="10503"/>
    <cellStyle name="Normal 16 3 2 2 4 3" xfId="10502"/>
    <cellStyle name="Normal 16 3 2 2 5" xfId="4275"/>
    <cellStyle name="Normal 16 3 2 2 5 2" xfId="10504"/>
    <cellStyle name="Normal 16 3 2 2 6" xfId="10493"/>
    <cellStyle name="Normal 16 3 2 3" xfId="4276"/>
    <cellStyle name="Normal 16 3 2 3 2" xfId="4277"/>
    <cellStyle name="Normal 16 3 2 3 2 2" xfId="4278"/>
    <cellStyle name="Normal 16 3 2 3 2 2 2" xfId="10507"/>
    <cellStyle name="Normal 16 3 2 3 2 3" xfId="10506"/>
    <cellStyle name="Normal 16 3 2 3 3" xfId="4279"/>
    <cellStyle name="Normal 16 3 2 3 3 2" xfId="4280"/>
    <cellStyle name="Normal 16 3 2 3 3 2 2" xfId="10509"/>
    <cellStyle name="Normal 16 3 2 3 3 3" xfId="10508"/>
    <cellStyle name="Normal 16 3 2 3 4" xfId="4281"/>
    <cellStyle name="Normal 16 3 2 3 4 2" xfId="10510"/>
    <cellStyle name="Normal 16 3 2 3 5" xfId="10505"/>
    <cellStyle name="Normal 16 3 2 4" xfId="4282"/>
    <cellStyle name="Normal 16 3 2 4 2" xfId="4283"/>
    <cellStyle name="Normal 16 3 2 4 2 2" xfId="10512"/>
    <cellStyle name="Normal 16 3 2 4 3" xfId="10511"/>
    <cellStyle name="Normal 16 3 2 5" xfId="4284"/>
    <cellStyle name="Normal 16 3 2 5 2" xfId="4285"/>
    <cellStyle name="Normal 16 3 2 5 2 2" xfId="10514"/>
    <cellStyle name="Normal 16 3 2 5 3" xfId="10513"/>
    <cellStyle name="Normal 16 3 2 6" xfId="4286"/>
    <cellStyle name="Normal 16 3 2 6 2" xfId="10515"/>
    <cellStyle name="Normal 16 3 2 7" xfId="10492"/>
    <cellStyle name="Normal 16 3 3" xfId="4287"/>
    <cellStyle name="Normal 16 3 3 2" xfId="4288"/>
    <cellStyle name="Normal 16 3 3 2 2" xfId="4289"/>
    <cellStyle name="Normal 16 3 3 2 2 2" xfId="4290"/>
    <cellStyle name="Normal 16 3 3 2 2 2 2" xfId="10519"/>
    <cellStyle name="Normal 16 3 3 2 2 3" xfId="10518"/>
    <cellStyle name="Normal 16 3 3 2 3" xfId="4291"/>
    <cellStyle name="Normal 16 3 3 2 3 2" xfId="4292"/>
    <cellStyle name="Normal 16 3 3 2 3 2 2" xfId="10521"/>
    <cellStyle name="Normal 16 3 3 2 3 3" xfId="10520"/>
    <cellStyle name="Normal 16 3 3 2 4" xfId="4293"/>
    <cellStyle name="Normal 16 3 3 2 4 2" xfId="10522"/>
    <cellStyle name="Normal 16 3 3 2 5" xfId="10517"/>
    <cellStyle name="Normal 16 3 3 3" xfId="4294"/>
    <cellStyle name="Normal 16 3 3 3 2" xfId="4295"/>
    <cellStyle name="Normal 16 3 3 3 2 2" xfId="10524"/>
    <cellStyle name="Normal 16 3 3 3 3" xfId="10523"/>
    <cellStyle name="Normal 16 3 3 4" xfId="4296"/>
    <cellStyle name="Normal 16 3 3 4 2" xfId="4297"/>
    <cellStyle name="Normal 16 3 3 4 2 2" xfId="10526"/>
    <cellStyle name="Normal 16 3 3 4 3" xfId="10525"/>
    <cellStyle name="Normal 16 3 3 5" xfId="4298"/>
    <cellStyle name="Normal 16 3 3 5 2" xfId="10527"/>
    <cellStyle name="Normal 16 3 3 6" xfId="10516"/>
    <cellStyle name="Normal 16 3 4" xfId="4299"/>
    <cellStyle name="Normal 16 3 4 2" xfId="4300"/>
    <cellStyle name="Normal 16 3 4 2 2" xfId="4301"/>
    <cellStyle name="Normal 16 3 4 2 2 2" xfId="10530"/>
    <cellStyle name="Normal 16 3 4 2 3" xfId="10529"/>
    <cellStyle name="Normal 16 3 4 3" xfId="4302"/>
    <cellStyle name="Normal 16 3 4 3 2" xfId="4303"/>
    <cellStyle name="Normal 16 3 4 3 2 2" xfId="10532"/>
    <cellStyle name="Normal 16 3 4 3 3" xfId="10531"/>
    <cellStyle name="Normal 16 3 4 4" xfId="4304"/>
    <cellStyle name="Normal 16 3 4 4 2" xfId="10533"/>
    <cellStyle name="Normal 16 3 4 5" xfId="10528"/>
    <cellStyle name="Normal 16 3 5" xfId="4305"/>
    <cellStyle name="Normal 16 3 5 2" xfId="4306"/>
    <cellStyle name="Normal 16 3 5 2 2" xfId="10535"/>
    <cellStyle name="Normal 16 3 5 3" xfId="10534"/>
    <cellStyle name="Normal 16 3 6" xfId="4307"/>
    <cellStyle name="Normal 16 3 6 2" xfId="4308"/>
    <cellStyle name="Normal 16 3 6 2 2" xfId="10537"/>
    <cellStyle name="Normal 16 3 6 3" xfId="10536"/>
    <cellStyle name="Normal 16 3 7" xfId="4309"/>
    <cellStyle name="Normal 16 3 7 2" xfId="10538"/>
    <cellStyle name="Normal 16 3 8" xfId="4310"/>
    <cellStyle name="Normal 16 3 8 2" xfId="10539"/>
    <cellStyle name="Normal 16 3 9" xfId="4311"/>
    <cellStyle name="Normal 16 4" xfId="4312"/>
    <cellStyle name="Normal 16 4 2" xfId="4313"/>
    <cellStyle name="Normal 16 4 2 2" xfId="4314"/>
    <cellStyle name="Normal 16 4 2 2 2" xfId="4315"/>
    <cellStyle name="Normal 16 4 2 2 2 2" xfId="4316"/>
    <cellStyle name="Normal 16 4 2 2 2 2 2" xfId="10544"/>
    <cellStyle name="Normal 16 4 2 2 2 3" xfId="10543"/>
    <cellStyle name="Normal 16 4 2 2 3" xfId="4317"/>
    <cellStyle name="Normal 16 4 2 2 3 2" xfId="4318"/>
    <cellStyle name="Normal 16 4 2 2 3 2 2" xfId="10546"/>
    <cellStyle name="Normal 16 4 2 2 3 3" xfId="10545"/>
    <cellStyle name="Normal 16 4 2 2 4" xfId="4319"/>
    <cellStyle name="Normal 16 4 2 2 4 2" xfId="10547"/>
    <cellStyle name="Normal 16 4 2 2 5" xfId="10542"/>
    <cellStyle name="Normal 16 4 2 3" xfId="4320"/>
    <cellStyle name="Normal 16 4 2 3 2" xfId="4321"/>
    <cellStyle name="Normal 16 4 2 3 2 2" xfId="10549"/>
    <cellStyle name="Normal 16 4 2 3 3" xfId="10548"/>
    <cellStyle name="Normal 16 4 2 4" xfId="4322"/>
    <cellStyle name="Normal 16 4 2 4 2" xfId="4323"/>
    <cellStyle name="Normal 16 4 2 4 2 2" xfId="10551"/>
    <cellStyle name="Normal 16 4 2 4 3" xfId="10550"/>
    <cellStyle name="Normal 16 4 2 5" xfId="4324"/>
    <cellStyle name="Normal 16 4 2 5 2" xfId="10552"/>
    <cellStyle name="Normal 16 4 2 6" xfId="10541"/>
    <cellStyle name="Normal 16 4 3" xfId="4325"/>
    <cellStyle name="Normal 16 4 3 2" xfId="4326"/>
    <cellStyle name="Normal 16 4 3 2 2" xfId="4327"/>
    <cellStyle name="Normal 16 4 3 2 2 2" xfId="10555"/>
    <cellStyle name="Normal 16 4 3 2 3" xfId="10554"/>
    <cellStyle name="Normal 16 4 3 3" xfId="4328"/>
    <cellStyle name="Normal 16 4 3 3 2" xfId="4329"/>
    <cellStyle name="Normal 16 4 3 3 2 2" xfId="10557"/>
    <cellStyle name="Normal 16 4 3 3 3" xfId="10556"/>
    <cellStyle name="Normal 16 4 3 4" xfId="4330"/>
    <cellStyle name="Normal 16 4 3 4 2" xfId="10558"/>
    <cellStyle name="Normal 16 4 3 5" xfId="10553"/>
    <cellStyle name="Normal 16 4 4" xfId="4331"/>
    <cellStyle name="Normal 16 4 4 2" xfId="4332"/>
    <cellStyle name="Normal 16 4 4 2 2" xfId="10560"/>
    <cellStyle name="Normal 16 4 4 3" xfId="10559"/>
    <cellStyle name="Normal 16 4 5" xfId="4333"/>
    <cellStyle name="Normal 16 4 5 2" xfId="4334"/>
    <cellStyle name="Normal 16 4 5 2 2" xfId="10562"/>
    <cellStyle name="Normal 16 4 5 3" xfId="10561"/>
    <cellStyle name="Normal 16 4 6" xfId="4335"/>
    <cellStyle name="Normal 16 4 6 2" xfId="10563"/>
    <cellStyle name="Normal 16 4 7" xfId="4336"/>
    <cellStyle name="Normal 16 4 8" xfId="10540"/>
    <cellStyle name="Normal 16 5" xfId="4337"/>
    <cellStyle name="Normal 16 5 2" xfId="4338"/>
    <cellStyle name="Normal 16 5 2 2" xfId="4339"/>
    <cellStyle name="Normal 16 5 2 2 2" xfId="4340"/>
    <cellStyle name="Normal 16 5 2 2 2 2" xfId="10567"/>
    <cellStyle name="Normal 16 5 2 2 3" xfId="10566"/>
    <cellStyle name="Normal 16 5 2 3" xfId="4341"/>
    <cellStyle name="Normal 16 5 2 3 2" xfId="4342"/>
    <cellStyle name="Normal 16 5 2 3 2 2" xfId="10569"/>
    <cellStyle name="Normal 16 5 2 3 3" xfId="10568"/>
    <cellStyle name="Normal 16 5 2 4" xfId="4343"/>
    <cellStyle name="Normal 16 5 2 4 2" xfId="10570"/>
    <cellStyle name="Normal 16 5 2 5" xfId="10565"/>
    <cellStyle name="Normal 16 5 3" xfId="4344"/>
    <cellStyle name="Normal 16 5 3 2" xfId="4345"/>
    <cellStyle name="Normal 16 5 3 2 2" xfId="10572"/>
    <cellStyle name="Normal 16 5 3 3" xfId="10571"/>
    <cellStyle name="Normal 16 5 4" xfId="4346"/>
    <cellStyle name="Normal 16 5 4 2" xfId="4347"/>
    <cellStyle name="Normal 16 5 4 2 2" xfId="10574"/>
    <cellStyle name="Normal 16 5 4 3" xfId="10573"/>
    <cellStyle name="Normal 16 5 5" xfId="4348"/>
    <cellStyle name="Normal 16 5 5 2" xfId="10575"/>
    <cellStyle name="Normal 16 5 6" xfId="10564"/>
    <cellStyle name="Normal 16 6" xfId="4349"/>
    <cellStyle name="Normal 16 6 2" xfId="4350"/>
    <cellStyle name="Normal 16 6 2 2" xfId="4351"/>
    <cellStyle name="Normal 16 6 2 2 2" xfId="10578"/>
    <cellStyle name="Normal 16 6 2 3" xfId="10577"/>
    <cellStyle name="Normal 16 6 3" xfId="4352"/>
    <cellStyle name="Normal 16 6 3 2" xfId="4353"/>
    <cellStyle name="Normal 16 6 3 2 2" xfId="10580"/>
    <cellStyle name="Normal 16 6 3 3" xfId="10579"/>
    <cellStyle name="Normal 16 6 4" xfId="4354"/>
    <cellStyle name="Normal 16 6 4 2" xfId="10581"/>
    <cellStyle name="Normal 16 6 5" xfId="10576"/>
    <cellStyle name="Normal 16 7" xfId="4355"/>
    <cellStyle name="Normal 16 7 2" xfId="4356"/>
    <cellStyle name="Normal 16 7 2 2" xfId="10583"/>
    <cellStyle name="Normal 16 7 3" xfId="10582"/>
    <cellStyle name="Normal 16 8" xfId="4357"/>
    <cellStyle name="Normal 16 8 2" xfId="4358"/>
    <cellStyle name="Normal 16 8 2 2" xfId="10585"/>
    <cellStyle name="Normal 16 8 3" xfId="10584"/>
    <cellStyle name="Normal 16 9" xfId="4359"/>
    <cellStyle name="Normal 16 9 2" xfId="10586"/>
    <cellStyle name="Normal 17" xfId="4360"/>
    <cellStyle name="Normal 17 2" xfId="4361"/>
    <cellStyle name="Normal 17 2 2" xfId="4362"/>
    <cellStyle name="Normal 17 2 2 2" xfId="4363"/>
    <cellStyle name="Normal 17 2 2 2 2" xfId="10590"/>
    <cellStyle name="Normal 17 2 2 3" xfId="10589"/>
    <cellStyle name="Normal 17 2 3" xfId="4364"/>
    <cellStyle name="Normal 17 2 3 2" xfId="10591"/>
    <cellStyle name="Normal 17 2 4" xfId="10588"/>
    <cellStyle name="Normal 17 3" xfId="4365"/>
    <cellStyle name="Normal 17 3 2" xfId="4366"/>
    <cellStyle name="Normal 17 3 2 2" xfId="10593"/>
    <cellStyle name="Normal 17 3 3" xfId="4367"/>
    <cellStyle name="Normal 17 3 3 2" xfId="10594"/>
    <cellStyle name="Normal 17 3 4" xfId="4368"/>
    <cellStyle name="Normal 17 3 5" xfId="10592"/>
    <cellStyle name="Normal 17 4" xfId="4369"/>
    <cellStyle name="Normal 17 4 2" xfId="4370"/>
    <cellStyle name="Normal 17 4 3" xfId="10595"/>
    <cellStyle name="Normal 17 5" xfId="10587"/>
    <cellStyle name="Normal 18" xfId="4371"/>
    <cellStyle name="Normal 18 10" xfId="4372"/>
    <cellStyle name="Normal 18 10 2" xfId="10597"/>
    <cellStyle name="Normal 18 11" xfId="10596"/>
    <cellStyle name="Normal 18 2" xfId="4373"/>
    <cellStyle name="Normal 18 2 2" xfId="4374"/>
    <cellStyle name="Normal 18 2 2 2" xfId="4375"/>
    <cellStyle name="Normal 18 2 2 2 2" xfId="4376"/>
    <cellStyle name="Normal 18 2 2 2 2 2" xfId="4377"/>
    <cellStyle name="Normal 18 2 2 2 2 2 2" xfId="4378"/>
    <cellStyle name="Normal 18 2 2 2 2 2 2 2" xfId="10603"/>
    <cellStyle name="Normal 18 2 2 2 2 2 3" xfId="10602"/>
    <cellStyle name="Normal 18 2 2 2 2 3" xfId="4379"/>
    <cellStyle name="Normal 18 2 2 2 2 3 2" xfId="4380"/>
    <cellStyle name="Normal 18 2 2 2 2 3 2 2" xfId="10605"/>
    <cellStyle name="Normal 18 2 2 2 2 3 3" xfId="10604"/>
    <cellStyle name="Normal 18 2 2 2 2 4" xfId="4381"/>
    <cellStyle name="Normal 18 2 2 2 2 4 2" xfId="10606"/>
    <cellStyle name="Normal 18 2 2 2 2 5" xfId="10601"/>
    <cellStyle name="Normal 18 2 2 2 3" xfId="4382"/>
    <cellStyle name="Normal 18 2 2 2 3 2" xfId="4383"/>
    <cellStyle name="Normal 18 2 2 2 3 2 2" xfId="10608"/>
    <cellStyle name="Normal 18 2 2 2 3 3" xfId="10607"/>
    <cellStyle name="Normal 18 2 2 2 4" xfId="4384"/>
    <cellStyle name="Normal 18 2 2 2 4 2" xfId="4385"/>
    <cellStyle name="Normal 18 2 2 2 4 2 2" xfId="10610"/>
    <cellStyle name="Normal 18 2 2 2 4 3" xfId="10609"/>
    <cellStyle name="Normal 18 2 2 2 5" xfId="4386"/>
    <cellStyle name="Normal 18 2 2 2 5 2" xfId="10611"/>
    <cellStyle name="Normal 18 2 2 2 6" xfId="10600"/>
    <cellStyle name="Normal 18 2 2 3" xfId="4387"/>
    <cellStyle name="Normal 18 2 2 3 2" xfId="4388"/>
    <cellStyle name="Normal 18 2 2 3 2 2" xfId="4389"/>
    <cellStyle name="Normal 18 2 2 3 2 2 2" xfId="10614"/>
    <cellStyle name="Normal 18 2 2 3 2 3" xfId="10613"/>
    <cellStyle name="Normal 18 2 2 3 3" xfId="4390"/>
    <cellStyle name="Normal 18 2 2 3 3 2" xfId="4391"/>
    <cellStyle name="Normal 18 2 2 3 3 2 2" xfId="10616"/>
    <cellStyle name="Normal 18 2 2 3 3 3" xfId="10615"/>
    <cellStyle name="Normal 18 2 2 3 4" xfId="4392"/>
    <cellStyle name="Normal 18 2 2 3 4 2" xfId="10617"/>
    <cellStyle name="Normal 18 2 2 3 5" xfId="10612"/>
    <cellStyle name="Normal 18 2 2 4" xfId="4393"/>
    <cellStyle name="Normal 18 2 2 4 2" xfId="4394"/>
    <cellStyle name="Normal 18 2 2 4 2 2" xfId="10619"/>
    <cellStyle name="Normal 18 2 2 4 3" xfId="10618"/>
    <cellStyle name="Normal 18 2 2 5" xfId="4395"/>
    <cellStyle name="Normal 18 2 2 5 2" xfId="4396"/>
    <cellStyle name="Normal 18 2 2 5 2 2" xfId="10621"/>
    <cellStyle name="Normal 18 2 2 5 3" xfId="10620"/>
    <cellStyle name="Normal 18 2 2 6" xfId="4397"/>
    <cellStyle name="Normal 18 2 2 6 2" xfId="10622"/>
    <cellStyle name="Normal 18 2 2 7" xfId="10599"/>
    <cellStyle name="Normal 18 2 3" xfId="4398"/>
    <cellStyle name="Normal 18 2 3 2" xfId="4399"/>
    <cellStyle name="Normal 18 2 3 2 2" xfId="4400"/>
    <cellStyle name="Normal 18 2 3 2 2 2" xfId="4401"/>
    <cellStyle name="Normal 18 2 3 2 2 2 2" xfId="10626"/>
    <cellStyle name="Normal 18 2 3 2 2 3" xfId="10625"/>
    <cellStyle name="Normal 18 2 3 2 3" xfId="4402"/>
    <cellStyle name="Normal 18 2 3 2 3 2" xfId="4403"/>
    <cellStyle name="Normal 18 2 3 2 3 2 2" xfId="10628"/>
    <cellStyle name="Normal 18 2 3 2 3 3" xfId="10627"/>
    <cellStyle name="Normal 18 2 3 2 4" xfId="4404"/>
    <cellStyle name="Normal 18 2 3 2 4 2" xfId="10629"/>
    <cellStyle name="Normal 18 2 3 2 5" xfId="10624"/>
    <cellStyle name="Normal 18 2 3 3" xfId="4405"/>
    <cellStyle name="Normal 18 2 3 3 2" xfId="4406"/>
    <cellStyle name="Normal 18 2 3 3 2 2" xfId="10631"/>
    <cellStyle name="Normal 18 2 3 3 3" xfId="10630"/>
    <cellStyle name="Normal 18 2 3 4" xfId="4407"/>
    <cellStyle name="Normal 18 2 3 4 2" xfId="4408"/>
    <cellStyle name="Normal 18 2 3 4 2 2" xfId="10633"/>
    <cellStyle name="Normal 18 2 3 4 3" xfId="10632"/>
    <cellStyle name="Normal 18 2 3 5" xfId="4409"/>
    <cellStyle name="Normal 18 2 3 5 2" xfId="10634"/>
    <cellStyle name="Normal 18 2 3 6" xfId="10623"/>
    <cellStyle name="Normal 18 2 4" xfId="4410"/>
    <cellStyle name="Normal 18 2 4 2" xfId="4411"/>
    <cellStyle name="Normal 18 2 4 2 2" xfId="4412"/>
    <cellStyle name="Normal 18 2 4 2 2 2" xfId="10637"/>
    <cellStyle name="Normal 18 2 4 2 3" xfId="10636"/>
    <cellStyle name="Normal 18 2 4 3" xfId="4413"/>
    <cellStyle name="Normal 18 2 4 3 2" xfId="4414"/>
    <cellStyle name="Normal 18 2 4 3 2 2" xfId="10639"/>
    <cellStyle name="Normal 18 2 4 3 3" xfId="10638"/>
    <cellStyle name="Normal 18 2 4 4" xfId="4415"/>
    <cellStyle name="Normal 18 2 4 4 2" xfId="10640"/>
    <cellStyle name="Normal 18 2 4 5" xfId="10635"/>
    <cellStyle name="Normal 18 2 5" xfId="4416"/>
    <cellStyle name="Normal 18 2 5 2" xfId="4417"/>
    <cellStyle name="Normal 18 2 5 2 2" xfId="10642"/>
    <cellStyle name="Normal 18 2 5 3" xfId="10641"/>
    <cellStyle name="Normal 18 2 6" xfId="4418"/>
    <cellStyle name="Normal 18 2 6 2" xfId="4419"/>
    <cellStyle name="Normal 18 2 6 2 2" xfId="10644"/>
    <cellStyle name="Normal 18 2 6 3" xfId="10643"/>
    <cellStyle name="Normal 18 2 7" xfId="4420"/>
    <cellStyle name="Normal 18 2 7 2" xfId="10645"/>
    <cellStyle name="Normal 18 2 8" xfId="10598"/>
    <cellStyle name="Normal 18 3" xfId="4421"/>
    <cellStyle name="Normal 18 3 10" xfId="10646"/>
    <cellStyle name="Normal 18 3 2" xfId="4422"/>
    <cellStyle name="Normal 18 3 2 2" xfId="4423"/>
    <cellStyle name="Normal 18 3 2 2 2" xfId="4424"/>
    <cellStyle name="Normal 18 3 2 2 2 2" xfId="4425"/>
    <cellStyle name="Normal 18 3 2 2 2 2 2" xfId="4426"/>
    <cellStyle name="Normal 18 3 2 2 2 2 2 2" xfId="10651"/>
    <cellStyle name="Normal 18 3 2 2 2 2 3" xfId="10650"/>
    <cellStyle name="Normal 18 3 2 2 2 3" xfId="4427"/>
    <cellStyle name="Normal 18 3 2 2 2 3 2" xfId="4428"/>
    <cellStyle name="Normal 18 3 2 2 2 3 2 2" xfId="10653"/>
    <cellStyle name="Normal 18 3 2 2 2 3 3" xfId="10652"/>
    <cellStyle name="Normal 18 3 2 2 2 4" xfId="4429"/>
    <cellStyle name="Normal 18 3 2 2 2 4 2" xfId="10654"/>
    <cellStyle name="Normal 18 3 2 2 2 5" xfId="10649"/>
    <cellStyle name="Normal 18 3 2 2 3" xfId="4430"/>
    <cellStyle name="Normal 18 3 2 2 3 2" xfId="4431"/>
    <cellStyle name="Normal 18 3 2 2 3 2 2" xfId="10656"/>
    <cellStyle name="Normal 18 3 2 2 3 3" xfId="10655"/>
    <cellStyle name="Normal 18 3 2 2 4" xfId="4432"/>
    <cellStyle name="Normal 18 3 2 2 4 2" xfId="4433"/>
    <cellStyle name="Normal 18 3 2 2 4 2 2" xfId="10658"/>
    <cellStyle name="Normal 18 3 2 2 4 3" xfId="10657"/>
    <cellStyle name="Normal 18 3 2 2 5" xfId="4434"/>
    <cellStyle name="Normal 18 3 2 2 5 2" xfId="10659"/>
    <cellStyle name="Normal 18 3 2 2 6" xfId="10648"/>
    <cellStyle name="Normal 18 3 2 3" xfId="4435"/>
    <cellStyle name="Normal 18 3 2 3 2" xfId="4436"/>
    <cellStyle name="Normal 18 3 2 3 2 2" xfId="4437"/>
    <cellStyle name="Normal 18 3 2 3 2 2 2" xfId="10662"/>
    <cellStyle name="Normal 18 3 2 3 2 3" xfId="10661"/>
    <cellStyle name="Normal 18 3 2 3 3" xfId="4438"/>
    <cellStyle name="Normal 18 3 2 3 3 2" xfId="4439"/>
    <cellStyle name="Normal 18 3 2 3 3 2 2" xfId="10664"/>
    <cellStyle name="Normal 18 3 2 3 3 3" xfId="10663"/>
    <cellStyle name="Normal 18 3 2 3 4" xfId="4440"/>
    <cellStyle name="Normal 18 3 2 3 4 2" xfId="10665"/>
    <cellStyle name="Normal 18 3 2 3 5" xfId="10660"/>
    <cellStyle name="Normal 18 3 2 4" xfId="4441"/>
    <cellStyle name="Normal 18 3 2 4 2" xfId="4442"/>
    <cellStyle name="Normal 18 3 2 4 2 2" xfId="10667"/>
    <cellStyle name="Normal 18 3 2 4 3" xfId="10666"/>
    <cellStyle name="Normal 18 3 2 5" xfId="4443"/>
    <cellStyle name="Normal 18 3 2 5 2" xfId="4444"/>
    <cellStyle name="Normal 18 3 2 5 2 2" xfId="10669"/>
    <cellStyle name="Normal 18 3 2 5 3" xfId="10668"/>
    <cellStyle name="Normal 18 3 2 6" xfId="4445"/>
    <cellStyle name="Normal 18 3 2 6 2" xfId="10670"/>
    <cellStyle name="Normal 18 3 2 7" xfId="10647"/>
    <cellStyle name="Normal 18 3 3" xfId="4446"/>
    <cellStyle name="Normal 18 3 3 2" xfId="4447"/>
    <cellStyle name="Normal 18 3 3 2 2" xfId="4448"/>
    <cellStyle name="Normal 18 3 3 2 2 2" xfId="4449"/>
    <cellStyle name="Normal 18 3 3 2 2 2 2" xfId="10674"/>
    <cellStyle name="Normal 18 3 3 2 2 3" xfId="10673"/>
    <cellStyle name="Normal 18 3 3 2 3" xfId="4450"/>
    <cellStyle name="Normal 18 3 3 2 3 2" xfId="4451"/>
    <cellStyle name="Normal 18 3 3 2 3 2 2" xfId="10676"/>
    <cellStyle name="Normal 18 3 3 2 3 3" xfId="10675"/>
    <cellStyle name="Normal 18 3 3 2 4" xfId="4452"/>
    <cellStyle name="Normal 18 3 3 2 4 2" xfId="10677"/>
    <cellStyle name="Normal 18 3 3 2 5" xfId="10672"/>
    <cellStyle name="Normal 18 3 3 3" xfId="4453"/>
    <cellStyle name="Normal 18 3 3 3 2" xfId="4454"/>
    <cellStyle name="Normal 18 3 3 3 2 2" xfId="10679"/>
    <cellStyle name="Normal 18 3 3 3 3" xfId="10678"/>
    <cellStyle name="Normal 18 3 3 4" xfId="4455"/>
    <cellStyle name="Normal 18 3 3 4 2" xfId="4456"/>
    <cellStyle name="Normal 18 3 3 4 2 2" xfId="10681"/>
    <cellStyle name="Normal 18 3 3 4 3" xfId="10680"/>
    <cellStyle name="Normal 18 3 3 5" xfId="4457"/>
    <cellStyle name="Normal 18 3 3 5 2" xfId="10682"/>
    <cellStyle name="Normal 18 3 3 6" xfId="10671"/>
    <cellStyle name="Normal 18 3 4" xfId="4458"/>
    <cellStyle name="Normal 18 3 4 2" xfId="4459"/>
    <cellStyle name="Normal 18 3 4 2 2" xfId="4460"/>
    <cellStyle name="Normal 18 3 4 2 2 2" xfId="10685"/>
    <cellStyle name="Normal 18 3 4 2 3" xfId="10684"/>
    <cellStyle name="Normal 18 3 4 3" xfId="4461"/>
    <cellStyle name="Normal 18 3 4 3 2" xfId="4462"/>
    <cellStyle name="Normal 18 3 4 3 2 2" xfId="10687"/>
    <cellStyle name="Normal 18 3 4 3 3" xfId="10686"/>
    <cellStyle name="Normal 18 3 4 4" xfId="4463"/>
    <cellStyle name="Normal 18 3 4 4 2" xfId="10688"/>
    <cellStyle name="Normal 18 3 4 5" xfId="10683"/>
    <cellStyle name="Normal 18 3 5" xfId="4464"/>
    <cellStyle name="Normal 18 3 5 2" xfId="4465"/>
    <cellStyle name="Normal 18 3 5 2 2" xfId="10690"/>
    <cellStyle name="Normal 18 3 5 3" xfId="10689"/>
    <cellStyle name="Normal 18 3 6" xfId="4466"/>
    <cellStyle name="Normal 18 3 6 2" xfId="4467"/>
    <cellStyle name="Normal 18 3 6 2 2" xfId="10692"/>
    <cellStyle name="Normal 18 3 6 3" xfId="10691"/>
    <cellStyle name="Normal 18 3 7" xfId="4468"/>
    <cellStyle name="Normal 18 3 7 2" xfId="10693"/>
    <cellStyle name="Normal 18 3 8" xfId="4469"/>
    <cellStyle name="Normal 18 3 8 2" xfId="10694"/>
    <cellStyle name="Normal 18 3 9" xfId="4470"/>
    <cellStyle name="Normal 18 4" xfId="4471"/>
    <cellStyle name="Normal 18 4 2" xfId="4472"/>
    <cellStyle name="Normal 18 4 2 2" xfId="10696"/>
    <cellStyle name="Normal 18 4 3" xfId="4473"/>
    <cellStyle name="Normal 18 4 4" xfId="10695"/>
    <cellStyle name="Normal 18 5" xfId="4474"/>
    <cellStyle name="Normal 18 5 2" xfId="4475"/>
    <cellStyle name="Normal 18 5 2 2" xfId="4476"/>
    <cellStyle name="Normal 18 5 2 2 2" xfId="4477"/>
    <cellStyle name="Normal 18 5 2 2 2 2" xfId="4478"/>
    <cellStyle name="Normal 18 5 2 2 2 2 2" xfId="10701"/>
    <cellStyle name="Normal 18 5 2 2 2 3" xfId="10700"/>
    <cellStyle name="Normal 18 5 2 2 3" xfId="4479"/>
    <cellStyle name="Normal 18 5 2 2 3 2" xfId="4480"/>
    <cellStyle name="Normal 18 5 2 2 3 2 2" xfId="10703"/>
    <cellStyle name="Normal 18 5 2 2 3 3" xfId="10702"/>
    <cellStyle name="Normal 18 5 2 2 4" xfId="4481"/>
    <cellStyle name="Normal 18 5 2 2 4 2" xfId="10704"/>
    <cellStyle name="Normal 18 5 2 2 5" xfId="10699"/>
    <cellStyle name="Normal 18 5 2 3" xfId="4482"/>
    <cellStyle name="Normal 18 5 2 3 2" xfId="4483"/>
    <cellStyle name="Normal 18 5 2 3 2 2" xfId="10706"/>
    <cellStyle name="Normal 18 5 2 3 3" xfId="10705"/>
    <cellStyle name="Normal 18 5 2 4" xfId="4484"/>
    <cellStyle name="Normal 18 5 2 4 2" xfId="4485"/>
    <cellStyle name="Normal 18 5 2 4 2 2" xfId="10708"/>
    <cellStyle name="Normal 18 5 2 4 3" xfId="10707"/>
    <cellStyle name="Normal 18 5 2 5" xfId="4486"/>
    <cellStyle name="Normal 18 5 2 5 2" xfId="10709"/>
    <cellStyle name="Normal 18 5 2 6" xfId="10698"/>
    <cellStyle name="Normal 18 5 3" xfId="4487"/>
    <cellStyle name="Normal 18 5 3 2" xfId="4488"/>
    <cellStyle name="Normal 18 5 3 2 2" xfId="4489"/>
    <cellStyle name="Normal 18 5 3 2 2 2" xfId="10712"/>
    <cellStyle name="Normal 18 5 3 2 3" xfId="10711"/>
    <cellStyle name="Normal 18 5 3 3" xfId="4490"/>
    <cellStyle name="Normal 18 5 3 3 2" xfId="4491"/>
    <cellStyle name="Normal 18 5 3 3 2 2" xfId="10714"/>
    <cellStyle name="Normal 18 5 3 3 3" xfId="10713"/>
    <cellStyle name="Normal 18 5 3 4" xfId="4492"/>
    <cellStyle name="Normal 18 5 3 4 2" xfId="10715"/>
    <cellStyle name="Normal 18 5 3 5" xfId="10710"/>
    <cellStyle name="Normal 18 5 4" xfId="4493"/>
    <cellStyle name="Normal 18 5 4 2" xfId="4494"/>
    <cellStyle name="Normal 18 5 4 2 2" xfId="10717"/>
    <cellStyle name="Normal 18 5 4 3" xfId="10716"/>
    <cellStyle name="Normal 18 5 5" xfId="4495"/>
    <cellStyle name="Normal 18 5 5 2" xfId="4496"/>
    <cellStyle name="Normal 18 5 5 2 2" xfId="10719"/>
    <cellStyle name="Normal 18 5 5 3" xfId="10718"/>
    <cellStyle name="Normal 18 5 6" xfId="4497"/>
    <cellStyle name="Normal 18 5 6 2" xfId="10720"/>
    <cellStyle name="Normal 18 5 7" xfId="10697"/>
    <cellStyle name="Normal 18 6" xfId="4498"/>
    <cellStyle name="Normal 18 6 2" xfId="4499"/>
    <cellStyle name="Normal 18 6 2 2" xfId="4500"/>
    <cellStyle name="Normal 18 6 2 2 2" xfId="4501"/>
    <cellStyle name="Normal 18 6 2 2 2 2" xfId="10724"/>
    <cellStyle name="Normal 18 6 2 2 3" xfId="10723"/>
    <cellStyle name="Normal 18 6 2 3" xfId="4502"/>
    <cellStyle name="Normal 18 6 2 3 2" xfId="4503"/>
    <cellStyle name="Normal 18 6 2 3 2 2" xfId="10726"/>
    <cellStyle name="Normal 18 6 2 3 3" xfId="10725"/>
    <cellStyle name="Normal 18 6 2 4" xfId="4504"/>
    <cellStyle name="Normal 18 6 2 4 2" xfId="10727"/>
    <cellStyle name="Normal 18 6 2 5" xfId="10722"/>
    <cellStyle name="Normal 18 6 3" xfId="4505"/>
    <cellStyle name="Normal 18 6 3 2" xfId="4506"/>
    <cellStyle name="Normal 18 6 3 2 2" xfId="10729"/>
    <cellStyle name="Normal 18 6 3 3" xfId="10728"/>
    <cellStyle name="Normal 18 6 4" xfId="4507"/>
    <cellStyle name="Normal 18 6 4 2" xfId="4508"/>
    <cellStyle name="Normal 18 6 4 2 2" xfId="10731"/>
    <cellStyle name="Normal 18 6 4 3" xfId="10730"/>
    <cellStyle name="Normal 18 6 5" xfId="4509"/>
    <cellStyle name="Normal 18 6 5 2" xfId="10732"/>
    <cellStyle name="Normal 18 6 6" xfId="10721"/>
    <cellStyle name="Normal 18 7" xfId="4510"/>
    <cellStyle name="Normal 18 7 2" xfId="4511"/>
    <cellStyle name="Normal 18 7 2 2" xfId="4512"/>
    <cellStyle name="Normal 18 7 2 2 2" xfId="10735"/>
    <cellStyle name="Normal 18 7 2 3" xfId="10734"/>
    <cellStyle name="Normal 18 7 3" xfId="4513"/>
    <cellStyle name="Normal 18 7 3 2" xfId="4514"/>
    <cellStyle name="Normal 18 7 3 2 2" xfId="10737"/>
    <cellStyle name="Normal 18 7 3 3" xfId="10736"/>
    <cellStyle name="Normal 18 7 4" xfId="4515"/>
    <cellStyle name="Normal 18 7 4 2" xfId="10738"/>
    <cellStyle name="Normal 18 7 5" xfId="10733"/>
    <cellStyle name="Normal 18 8" xfId="4516"/>
    <cellStyle name="Normal 18 8 2" xfId="4517"/>
    <cellStyle name="Normal 18 8 2 2" xfId="10740"/>
    <cellStyle name="Normal 18 8 3" xfId="10739"/>
    <cellStyle name="Normal 18 9" xfId="4518"/>
    <cellStyle name="Normal 18 9 2" xfId="4519"/>
    <cellStyle name="Normal 18 9 2 2" xfId="10742"/>
    <cellStyle name="Normal 18 9 3" xfId="10741"/>
    <cellStyle name="Normal 19" xfId="4520"/>
    <cellStyle name="Normal 19 2" xfId="4521"/>
    <cellStyle name="Normal 19 2 2" xfId="4522"/>
    <cellStyle name="Normal 19 2 2 2" xfId="10745"/>
    <cellStyle name="Normal 19 2 3" xfId="4523"/>
    <cellStyle name="Normal 19 2 3 2" xfId="10746"/>
    <cellStyle name="Normal 19 2 4" xfId="10744"/>
    <cellStyle name="Normal 19 3" xfId="4524"/>
    <cellStyle name="Normal 19 3 2" xfId="4525"/>
    <cellStyle name="Normal 19 3 2 2" xfId="10748"/>
    <cellStyle name="Normal 19 3 3" xfId="4526"/>
    <cellStyle name="Normal 19 3 3 2" xfId="10749"/>
    <cellStyle name="Normal 19 3 4" xfId="4527"/>
    <cellStyle name="Normal 19 3 5" xfId="10747"/>
    <cellStyle name="Normal 19 4" xfId="4528"/>
    <cellStyle name="Normal 19 4 2" xfId="4529"/>
    <cellStyle name="Normal 19 4 3" xfId="10750"/>
    <cellStyle name="Normal 19 5" xfId="4530"/>
    <cellStyle name="Normal 19 5 2" xfId="10751"/>
    <cellStyle name="Normal 19 6" xfId="4531"/>
    <cellStyle name="Normal 19 6 2" xfId="10752"/>
    <cellStyle name="Normal 19 7" xfId="10743"/>
    <cellStyle name="Normal 2" xfId="4532"/>
    <cellStyle name="Normal 2 10" xfId="4533"/>
    <cellStyle name="Normal 2 10 2" xfId="4534"/>
    <cellStyle name="Normal 2 10 2 2" xfId="4535"/>
    <cellStyle name="Normal 2 10 2 2 2" xfId="10756"/>
    <cellStyle name="Normal 2 10 2 3" xfId="10755"/>
    <cellStyle name="Normal 2 10 3" xfId="4536"/>
    <cellStyle name="Normal 2 10 3 2" xfId="10757"/>
    <cellStyle name="Normal 2 10 4" xfId="4537"/>
    <cellStyle name="Normal 2 10 4 2" xfId="10758"/>
    <cellStyle name="Normal 2 10 5" xfId="4538"/>
    <cellStyle name="Normal 2 10 5 2" xfId="10759"/>
    <cellStyle name="Normal 2 10 6" xfId="4539"/>
    <cellStyle name="Normal 2 10 7" xfId="10754"/>
    <cellStyle name="Normal 2 11" xfId="4540"/>
    <cellStyle name="Normal 2 11 2" xfId="4541"/>
    <cellStyle name="Normal 2 11 2 2" xfId="10761"/>
    <cellStyle name="Normal 2 11 3" xfId="4542"/>
    <cellStyle name="Normal 2 11 3 2" xfId="10762"/>
    <cellStyle name="Normal 2 11 4" xfId="4543"/>
    <cellStyle name="Normal 2 11 5" xfId="10760"/>
    <cellStyle name="Normal 2 12" xfId="4544"/>
    <cellStyle name="Normal 2 12 2" xfId="4545"/>
    <cellStyle name="Normal 2 12 2 2" xfId="10764"/>
    <cellStyle name="Normal 2 12 3" xfId="10763"/>
    <cellStyle name="Normal 2 13" xfId="4546"/>
    <cellStyle name="Normal 2 13 2" xfId="10765"/>
    <cellStyle name="Normal 2 14" xfId="4547"/>
    <cellStyle name="Normal 2 14 2" xfId="10766"/>
    <cellStyle name="Normal 2 15" xfId="4548"/>
    <cellStyle name="Normal 2 15 2" xfId="10767"/>
    <cellStyle name="Normal 2 16" xfId="4549"/>
    <cellStyle name="Normal 2 16 2" xfId="10768"/>
    <cellStyle name="Normal 2 17" xfId="4550"/>
    <cellStyle name="Normal 2 17 2" xfId="10769"/>
    <cellStyle name="Normal 2 18" xfId="4551"/>
    <cellStyle name="Normal 2 19" xfId="10753"/>
    <cellStyle name="Normal 2 2" xfId="4552"/>
    <cellStyle name="Normal 2 2 10" xfId="4553"/>
    <cellStyle name="Normal 2 2 10 2" xfId="10771"/>
    <cellStyle name="Normal 2 2 11" xfId="4554"/>
    <cellStyle name="Normal 2 2 11 2" xfId="10772"/>
    <cellStyle name="Normal 2 2 12" xfId="4555"/>
    <cellStyle name="Normal 2 2 13" xfId="10770"/>
    <cellStyle name="Normal 2 2 2" xfId="4556"/>
    <cellStyle name="Normal 2 2 2 10" xfId="4557"/>
    <cellStyle name="Normal 2 2 2 11" xfId="10773"/>
    <cellStyle name="Normal 2 2 2 2" xfId="4558"/>
    <cellStyle name="Normal 2 2 2 2 2" xfId="4559"/>
    <cellStyle name="Normal 2 2 2 2 2 2" xfId="4560"/>
    <cellStyle name="Normal 2 2 2 2 2 2 2" xfId="4561"/>
    <cellStyle name="Normal 2 2 2 2 2 2 2 2" xfId="10777"/>
    <cellStyle name="Normal 2 2 2 2 2 2 3" xfId="4562"/>
    <cellStyle name="Normal 2 2 2 2 2 2 3 2" xfId="10778"/>
    <cellStyle name="Normal 2 2 2 2 2 2 4" xfId="10776"/>
    <cellStyle name="Normal 2 2 2 2 2 3" xfId="4563"/>
    <cellStyle name="Normal 2 2 2 2 2 3 2" xfId="4564"/>
    <cellStyle name="Normal 2 2 2 2 2 3 2 2" xfId="10780"/>
    <cellStyle name="Normal 2 2 2 2 2 3 3" xfId="4565"/>
    <cellStyle name="Normal 2 2 2 2 2 3 3 2" xfId="10781"/>
    <cellStyle name="Normal 2 2 2 2 2 3 4" xfId="10779"/>
    <cellStyle name="Normal 2 2 2 2 2 4" xfId="4566"/>
    <cellStyle name="Normal 2 2 2 2 2 4 2" xfId="10782"/>
    <cellStyle name="Normal 2 2 2 2 2 5" xfId="4567"/>
    <cellStyle name="Normal 2 2 2 2 2 5 2" xfId="10783"/>
    <cellStyle name="Normal 2 2 2 2 2 6" xfId="10775"/>
    <cellStyle name="Normal 2 2 2 2 3" xfId="4568"/>
    <cellStyle name="Normal 2 2 2 2 3 2" xfId="4569"/>
    <cellStyle name="Normal 2 2 2 2 3 2 2" xfId="10785"/>
    <cellStyle name="Normal 2 2 2 2 3 3" xfId="4570"/>
    <cellStyle name="Normal 2 2 2 2 3 3 2" xfId="10786"/>
    <cellStyle name="Normal 2 2 2 2 3 4" xfId="4571"/>
    <cellStyle name="Normal 2 2 2 2 3 4 2" xfId="10787"/>
    <cellStyle name="Normal 2 2 2 2 3 5" xfId="4572"/>
    <cellStyle name="Normal 2 2 2 2 3 5 2" xfId="10788"/>
    <cellStyle name="Normal 2 2 2 2 3 6" xfId="10784"/>
    <cellStyle name="Normal 2 2 2 2 4" xfId="4573"/>
    <cellStyle name="Normal 2 2 2 2 4 2" xfId="4574"/>
    <cellStyle name="Normal 2 2 2 2 4 2 2" xfId="10790"/>
    <cellStyle name="Normal 2 2 2 2 4 3" xfId="4575"/>
    <cellStyle name="Normal 2 2 2 2 4 3 2" xfId="10791"/>
    <cellStyle name="Normal 2 2 2 2 4 4" xfId="10789"/>
    <cellStyle name="Normal 2 2 2 2 5" xfId="4576"/>
    <cellStyle name="Normal 2 2 2 2 5 2" xfId="4577"/>
    <cellStyle name="Normal 2 2 2 2 5 2 2" xfId="10793"/>
    <cellStyle name="Normal 2 2 2 2 5 3" xfId="4578"/>
    <cellStyle name="Normal 2 2 2 2 5 3 2" xfId="10794"/>
    <cellStyle name="Normal 2 2 2 2 5 4" xfId="10792"/>
    <cellStyle name="Normal 2 2 2 2 6" xfId="4579"/>
    <cellStyle name="Normal 2 2 2 2 6 2" xfId="10795"/>
    <cellStyle name="Normal 2 2 2 2 7" xfId="4580"/>
    <cellStyle name="Normal 2 2 2 2 7 2" xfId="10796"/>
    <cellStyle name="Normal 2 2 2 2 8" xfId="4581"/>
    <cellStyle name="Normal 2 2 2 2 9" xfId="10774"/>
    <cellStyle name="Normal 2 2 2 3" xfId="4582"/>
    <cellStyle name="Normal 2 2 2 3 2" xfId="4583"/>
    <cellStyle name="Normal 2 2 2 3 2 2" xfId="4584"/>
    <cellStyle name="Normal 2 2 2 3 2 2 2" xfId="10799"/>
    <cellStyle name="Normal 2 2 2 3 2 3" xfId="4585"/>
    <cellStyle name="Normal 2 2 2 3 2 3 2" xfId="10800"/>
    <cellStyle name="Normal 2 2 2 3 2 4" xfId="10798"/>
    <cellStyle name="Normal 2 2 2 3 3" xfId="4586"/>
    <cellStyle name="Normal 2 2 2 3 3 2" xfId="4587"/>
    <cellStyle name="Normal 2 2 2 3 3 2 2" xfId="10802"/>
    <cellStyle name="Normal 2 2 2 3 3 3" xfId="4588"/>
    <cellStyle name="Normal 2 2 2 3 3 3 2" xfId="10803"/>
    <cellStyle name="Normal 2 2 2 3 3 4" xfId="10801"/>
    <cellStyle name="Normal 2 2 2 3 4" xfId="4589"/>
    <cellStyle name="Normal 2 2 2 3 4 2" xfId="10804"/>
    <cellStyle name="Normal 2 2 2 3 5" xfId="4590"/>
    <cellStyle name="Normal 2 2 2 3 5 2" xfId="10805"/>
    <cellStyle name="Normal 2 2 2 3 6" xfId="10797"/>
    <cellStyle name="Normal 2 2 2 4" xfId="4591"/>
    <cellStyle name="Normal 2 2 2 4 2" xfId="4592"/>
    <cellStyle name="Normal 2 2 2 4 2 2" xfId="10807"/>
    <cellStyle name="Normal 2 2 2 4 3" xfId="4593"/>
    <cellStyle name="Normal 2 2 2 4 3 2" xfId="10808"/>
    <cellStyle name="Normal 2 2 2 4 4" xfId="4594"/>
    <cellStyle name="Normal 2 2 2 4 4 2" xfId="10809"/>
    <cellStyle name="Normal 2 2 2 4 5" xfId="4595"/>
    <cellStyle name="Normal 2 2 2 4 5 2" xfId="10810"/>
    <cellStyle name="Normal 2 2 2 4 6" xfId="10806"/>
    <cellStyle name="Normal 2 2 2 5" xfId="4596"/>
    <cellStyle name="Normal 2 2 2 5 2" xfId="4597"/>
    <cellStyle name="Normal 2 2 2 5 2 2" xfId="10812"/>
    <cellStyle name="Normal 2 2 2 5 3" xfId="4598"/>
    <cellStyle name="Normal 2 2 2 5 3 2" xfId="10813"/>
    <cellStyle name="Normal 2 2 2 5 4" xfId="10811"/>
    <cellStyle name="Normal 2 2 2 6" xfId="4599"/>
    <cellStyle name="Normal 2 2 2 6 2" xfId="4600"/>
    <cellStyle name="Normal 2 2 2 6 2 2" xfId="10815"/>
    <cellStyle name="Normal 2 2 2 6 3" xfId="4601"/>
    <cellStyle name="Normal 2 2 2 6 3 2" xfId="10816"/>
    <cellStyle name="Normal 2 2 2 6 4" xfId="10814"/>
    <cellStyle name="Normal 2 2 2 7" xfId="4602"/>
    <cellStyle name="Normal 2 2 2 7 2" xfId="10817"/>
    <cellStyle name="Normal 2 2 2 8" xfId="4603"/>
    <cellStyle name="Normal 2 2 2 8 2" xfId="10818"/>
    <cellStyle name="Normal 2 2 2 9" xfId="4604"/>
    <cellStyle name="Normal 2 2 2 9 2" xfId="10819"/>
    <cellStyle name="Normal 2 2 2_Epicor" xfId="4605"/>
    <cellStyle name="Normal 2 2 3" xfId="4606"/>
    <cellStyle name="Normal 2 2 3 2" xfId="4607"/>
    <cellStyle name="Normal 2 2 3 2 2" xfId="4608"/>
    <cellStyle name="Normal 2 2 3 2 2 2" xfId="4609"/>
    <cellStyle name="Normal 2 2 3 2 2 2 2" xfId="10823"/>
    <cellStyle name="Normal 2 2 3 2 2 3" xfId="4610"/>
    <cellStyle name="Normal 2 2 3 2 2 3 2" xfId="10824"/>
    <cellStyle name="Normal 2 2 3 2 2 4" xfId="10822"/>
    <cellStyle name="Normal 2 2 3 2 3" xfId="4611"/>
    <cellStyle name="Normal 2 2 3 2 3 2" xfId="4612"/>
    <cellStyle name="Normal 2 2 3 2 3 2 2" xfId="10826"/>
    <cellStyle name="Normal 2 2 3 2 3 3" xfId="4613"/>
    <cellStyle name="Normal 2 2 3 2 3 3 2" xfId="10827"/>
    <cellStyle name="Normal 2 2 3 2 3 4" xfId="10825"/>
    <cellStyle name="Normal 2 2 3 2 4" xfId="4614"/>
    <cellStyle name="Normal 2 2 3 2 4 2" xfId="10828"/>
    <cellStyle name="Normal 2 2 3 2 5" xfId="4615"/>
    <cellStyle name="Normal 2 2 3 2 5 2" xfId="10829"/>
    <cellStyle name="Normal 2 2 3 2 6" xfId="10821"/>
    <cellStyle name="Normal 2 2 3 3" xfId="4616"/>
    <cellStyle name="Normal 2 2 3 3 2" xfId="4617"/>
    <cellStyle name="Normal 2 2 3 3 2 2" xfId="10831"/>
    <cellStyle name="Normal 2 2 3 3 3" xfId="4618"/>
    <cellStyle name="Normal 2 2 3 3 3 2" xfId="10832"/>
    <cellStyle name="Normal 2 2 3 3 4" xfId="4619"/>
    <cellStyle name="Normal 2 2 3 3 4 2" xfId="10833"/>
    <cellStyle name="Normal 2 2 3 3 5" xfId="4620"/>
    <cellStyle name="Normal 2 2 3 3 5 2" xfId="10834"/>
    <cellStyle name="Normal 2 2 3 3 6" xfId="10830"/>
    <cellStyle name="Normal 2 2 3 4" xfId="4621"/>
    <cellStyle name="Normal 2 2 3 4 2" xfId="4622"/>
    <cellStyle name="Normal 2 2 3 4 2 2" xfId="10836"/>
    <cellStyle name="Normal 2 2 3 4 3" xfId="4623"/>
    <cellStyle name="Normal 2 2 3 4 3 2" xfId="10837"/>
    <cellStyle name="Normal 2 2 3 4 4" xfId="10835"/>
    <cellStyle name="Normal 2 2 3 5" xfId="4624"/>
    <cellStyle name="Normal 2 2 3 5 2" xfId="4625"/>
    <cellStyle name="Normal 2 2 3 5 2 2" xfId="10839"/>
    <cellStyle name="Normal 2 2 3 5 3" xfId="4626"/>
    <cellStyle name="Normal 2 2 3 5 3 2" xfId="10840"/>
    <cellStyle name="Normal 2 2 3 5 4" xfId="10838"/>
    <cellStyle name="Normal 2 2 3 6" xfId="4627"/>
    <cellStyle name="Normal 2 2 3 6 2" xfId="10841"/>
    <cellStyle name="Normal 2 2 3 7" xfId="4628"/>
    <cellStyle name="Normal 2 2 3 7 2" xfId="10842"/>
    <cellStyle name="Normal 2 2 3 8" xfId="4629"/>
    <cellStyle name="Normal 2 2 3 9" xfId="10820"/>
    <cellStyle name="Normal 2 2 4" xfId="4630"/>
    <cellStyle name="Normal 2 2 4 2" xfId="4631"/>
    <cellStyle name="Normal 2 2 4 2 2" xfId="4632"/>
    <cellStyle name="Normal 2 2 4 2 2 2" xfId="10845"/>
    <cellStyle name="Normal 2 2 4 2 3" xfId="4633"/>
    <cellStyle name="Normal 2 2 4 2 3 2" xfId="10846"/>
    <cellStyle name="Normal 2 2 4 2 4" xfId="10844"/>
    <cellStyle name="Normal 2 2 4 3" xfId="4634"/>
    <cellStyle name="Normal 2 2 4 3 2" xfId="4635"/>
    <cellStyle name="Normal 2 2 4 3 2 2" xfId="10848"/>
    <cellStyle name="Normal 2 2 4 3 3" xfId="4636"/>
    <cellStyle name="Normal 2 2 4 3 3 2" xfId="10849"/>
    <cellStyle name="Normal 2 2 4 3 4" xfId="10847"/>
    <cellStyle name="Normal 2 2 4 4" xfId="4637"/>
    <cellStyle name="Normal 2 2 4 4 2" xfId="10850"/>
    <cellStyle name="Normal 2 2 4 5" xfId="4638"/>
    <cellStyle name="Normal 2 2 4 5 2" xfId="10851"/>
    <cellStyle name="Normal 2 2 4 6" xfId="4639"/>
    <cellStyle name="Normal 2 2 4 7" xfId="10843"/>
    <cellStyle name="Normal 2 2 5" xfId="4640"/>
    <cellStyle name="Normal 2 2 5 2" xfId="4641"/>
    <cellStyle name="Normal 2 2 5 2 2" xfId="10853"/>
    <cellStyle name="Normal 2 2 5 3" xfId="4642"/>
    <cellStyle name="Normal 2 2 5 3 2" xfId="10854"/>
    <cellStyle name="Normal 2 2 5 4" xfId="4643"/>
    <cellStyle name="Normal 2 2 5 4 2" xfId="10855"/>
    <cellStyle name="Normal 2 2 5 5" xfId="4644"/>
    <cellStyle name="Normal 2 2 5 5 2" xfId="10856"/>
    <cellStyle name="Normal 2 2 5 6" xfId="10852"/>
    <cellStyle name="Normal 2 2 6" xfId="4645"/>
    <cellStyle name="Normal 2 2 6 2" xfId="4646"/>
    <cellStyle name="Normal 2 2 6 2 2" xfId="10858"/>
    <cellStyle name="Normal 2 2 6 3" xfId="4647"/>
    <cellStyle name="Normal 2 2 6 3 2" xfId="10859"/>
    <cellStyle name="Normal 2 2 6 4" xfId="10857"/>
    <cellStyle name="Normal 2 2 7" xfId="4648"/>
    <cellStyle name="Normal 2 2 7 2" xfId="4649"/>
    <cellStyle name="Normal 2 2 7 2 2" xfId="10861"/>
    <cellStyle name="Normal 2 2 7 3" xfId="4650"/>
    <cellStyle name="Normal 2 2 7 3 2" xfId="10862"/>
    <cellStyle name="Normal 2 2 7 4" xfId="10860"/>
    <cellStyle name="Normal 2 2 8" xfId="4651"/>
    <cellStyle name="Normal 2 2 8 2" xfId="10863"/>
    <cellStyle name="Normal 2 2 9" xfId="4652"/>
    <cellStyle name="Normal 2 2 9 2" xfId="10864"/>
    <cellStyle name="Normal 2 2_10051" xfId="4653"/>
    <cellStyle name="Normal 2 20" xfId="15201"/>
    <cellStyle name="Normal 2 21" xfId="15204"/>
    <cellStyle name="Normal 2 22" xfId="15200"/>
    <cellStyle name="Normal 2 23" xfId="15208"/>
    <cellStyle name="Normal 2 24" xfId="15211"/>
    <cellStyle name="Normal 2 25" xfId="15207"/>
    <cellStyle name="Normal 2 3" xfId="4654"/>
    <cellStyle name="Normal 2 3 2" xfId="4655"/>
    <cellStyle name="Normal 2 3 2 2" xfId="4656"/>
    <cellStyle name="Normal 2 3 2 2 2" xfId="10867"/>
    <cellStyle name="Normal 2 3 2 3" xfId="4657"/>
    <cellStyle name="Normal 2 3 2 3 2" xfId="10868"/>
    <cellStyle name="Normal 2 3 2 4" xfId="4658"/>
    <cellStyle name="Normal 2 3 2 5" xfId="10866"/>
    <cellStyle name="Normal 2 3 2_Active emp List" xfId="4659"/>
    <cellStyle name="Normal 2 3 3" xfId="4660"/>
    <cellStyle name="Normal 2 3 3 2" xfId="4661"/>
    <cellStyle name="Normal 2 3 3 2 2" xfId="4662"/>
    <cellStyle name="Normal 2 3 3 2 2 2" xfId="10871"/>
    <cellStyle name="Normal 2 3 3 2 3" xfId="4663"/>
    <cellStyle name="Normal 2 3 3 2 4" xfId="10870"/>
    <cellStyle name="Normal 2 3 3 3" xfId="4664"/>
    <cellStyle name="Normal 2 3 3 3 2" xfId="10872"/>
    <cellStyle name="Normal 2 3 3 4" xfId="4665"/>
    <cellStyle name="Normal 2 3 3 5" xfId="10869"/>
    <cellStyle name="Normal 2 3 4" xfId="4666"/>
    <cellStyle name="Normal 2 3 4 2" xfId="4667"/>
    <cellStyle name="Normal 2 3 4 2 2" xfId="10874"/>
    <cellStyle name="Normal 2 3 4 3" xfId="4668"/>
    <cellStyle name="Normal 2 3 4 4" xfId="10873"/>
    <cellStyle name="Normal 2 3 5" xfId="4669"/>
    <cellStyle name="Normal 2 3 5 2" xfId="10875"/>
    <cellStyle name="Normal 2 3 6" xfId="4670"/>
    <cellStyle name="Normal 2 3 7" xfId="10865"/>
    <cellStyle name="Normal 2 3_2012 TV Budget" xfId="4671"/>
    <cellStyle name="Normal 2 4" xfId="4672"/>
    <cellStyle name="Normal 2 4 2" xfId="4673"/>
    <cellStyle name="Normal 2 4 2 2" xfId="4674"/>
    <cellStyle name="Normal 2 4 2 2 2" xfId="4675"/>
    <cellStyle name="Normal 2 4 2 2 2 2" xfId="10879"/>
    <cellStyle name="Normal 2 4 2 2 3" xfId="10878"/>
    <cellStyle name="Normal 2 4 2 3" xfId="4676"/>
    <cellStyle name="Normal 2 4 2 3 2" xfId="10880"/>
    <cellStyle name="Normal 2 4 2 4" xfId="4677"/>
    <cellStyle name="Normal 2 4 2 4 2" xfId="10881"/>
    <cellStyle name="Normal 2 4 2 5" xfId="4678"/>
    <cellStyle name="Normal 2 4 2 5 2" xfId="10882"/>
    <cellStyle name="Normal 2 4 2 6" xfId="4679"/>
    <cellStyle name="Normal 2 4 2 6 2" xfId="10883"/>
    <cellStyle name="Normal 2 4 2 7" xfId="4680"/>
    <cellStyle name="Normal 2 4 2 8" xfId="10877"/>
    <cellStyle name="Normal 2 4 3" xfId="4681"/>
    <cellStyle name="Normal 2 4 3 2" xfId="4682"/>
    <cellStyle name="Normal 2 4 3 2 2" xfId="10885"/>
    <cellStyle name="Normal 2 4 3 3" xfId="4683"/>
    <cellStyle name="Normal 2 4 3 3 2" xfId="10886"/>
    <cellStyle name="Normal 2 4 3 4" xfId="10884"/>
    <cellStyle name="Normal 2 4 4" xfId="4684"/>
    <cellStyle name="Normal 2 4 4 2" xfId="4685"/>
    <cellStyle name="Normal 2 4 4 2 2" xfId="10888"/>
    <cellStyle name="Normal 2 4 4 3" xfId="4686"/>
    <cellStyle name="Normal 2 4 4 3 2" xfId="10889"/>
    <cellStyle name="Normal 2 4 4 4" xfId="10887"/>
    <cellStyle name="Normal 2 4 5" xfId="4687"/>
    <cellStyle name="Normal 2 4 5 2" xfId="10890"/>
    <cellStyle name="Normal 2 4 6" xfId="4688"/>
    <cellStyle name="Normal 2 4 6 2" xfId="10891"/>
    <cellStyle name="Normal 2 4 7" xfId="4689"/>
    <cellStyle name="Normal 2 4 8" xfId="10876"/>
    <cellStyle name="Normal 2 5" xfId="4690"/>
    <cellStyle name="Normal 2 5 2" xfId="4691"/>
    <cellStyle name="Normal 2 5 2 2" xfId="10893"/>
    <cellStyle name="Normal 2 5 3" xfId="4692"/>
    <cellStyle name="Normal 2 5 3 2" xfId="10894"/>
    <cellStyle name="Normal 2 5 4" xfId="4693"/>
    <cellStyle name="Normal 2 5 5" xfId="10892"/>
    <cellStyle name="Normal 2 6" xfId="4694"/>
    <cellStyle name="Normal 2 6 2" xfId="4695"/>
    <cellStyle name="Normal 2 6 2 2" xfId="4696"/>
    <cellStyle name="Normal 2 6 2 2 2" xfId="10897"/>
    <cellStyle name="Normal 2 6 2 3" xfId="10896"/>
    <cellStyle name="Normal 2 6 3" xfId="4697"/>
    <cellStyle name="Normal 2 6 3 2" xfId="10898"/>
    <cellStyle name="Normal 2 6 4" xfId="4698"/>
    <cellStyle name="Normal 2 6 4 2" xfId="10899"/>
    <cellStyle name="Normal 2 6 5" xfId="4699"/>
    <cellStyle name="Normal 2 6 5 2" xfId="10900"/>
    <cellStyle name="Normal 2 6 6" xfId="4700"/>
    <cellStyle name="Normal 2 6 7" xfId="10895"/>
    <cellStyle name="Normal 2 7" xfId="4701"/>
    <cellStyle name="Normal 2 7 2" xfId="4702"/>
    <cellStyle name="Normal 2 7 2 2" xfId="10902"/>
    <cellStyle name="Normal 2 7 3" xfId="4703"/>
    <cellStyle name="Normal 2 7 3 2" xfId="10903"/>
    <cellStyle name="Normal 2 7 4" xfId="4704"/>
    <cellStyle name="Normal 2 7 4 2" xfId="10904"/>
    <cellStyle name="Normal 2 7 5" xfId="4705"/>
    <cellStyle name="Normal 2 7 5 2" xfId="10905"/>
    <cellStyle name="Normal 2 7 6" xfId="4706"/>
    <cellStyle name="Normal 2 7 7" xfId="10901"/>
    <cellStyle name="Normal 2 8" xfId="4707"/>
    <cellStyle name="Normal 2 8 2" xfId="4708"/>
    <cellStyle name="Normal 2 8 2 2" xfId="4709"/>
    <cellStyle name="Normal 2 8 2 2 2" xfId="10908"/>
    <cellStyle name="Normal 2 8 2 3" xfId="10907"/>
    <cellStyle name="Normal 2 8 3" xfId="4710"/>
    <cellStyle name="Normal 2 8 3 2" xfId="10909"/>
    <cellStyle name="Normal 2 8 4" xfId="4711"/>
    <cellStyle name="Normal 2 8 4 2" xfId="10910"/>
    <cellStyle name="Normal 2 8 5" xfId="4712"/>
    <cellStyle name="Normal 2 8 5 2" xfId="10911"/>
    <cellStyle name="Normal 2 8 6" xfId="4713"/>
    <cellStyle name="Normal 2 8 7" xfId="10906"/>
    <cellStyle name="Normal 2 9" xfId="4714"/>
    <cellStyle name="Normal 2 9 2" xfId="4715"/>
    <cellStyle name="Normal 2 9 2 2" xfId="10913"/>
    <cellStyle name="Normal 2 9 3" xfId="4716"/>
    <cellStyle name="Normal 2 9 3 2" xfId="10914"/>
    <cellStyle name="Normal 2 9 4" xfId="4717"/>
    <cellStyle name="Normal 2 9 4 2" xfId="10915"/>
    <cellStyle name="Normal 2 9 5" xfId="4718"/>
    <cellStyle name="Normal 2 9 5 2" xfId="10916"/>
    <cellStyle name="Normal 2 9 6" xfId="4719"/>
    <cellStyle name="Normal 2 9 7" xfId="10912"/>
    <cellStyle name="Normal 2_2009 Regulated Price Out" xfId="4720"/>
    <cellStyle name="Normal 20" xfId="4721"/>
    <cellStyle name="Normal 20 2" xfId="4722"/>
    <cellStyle name="Normal 20 2 2" xfId="4723"/>
    <cellStyle name="Normal 20 2 2 2" xfId="10919"/>
    <cellStyle name="Normal 20 2 3" xfId="4724"/>
    <cellStyle name="Normal 20 2 3 2" xfId="10920"/>
    <cellStyle name="Normal 20 2 4" xfId="4725"/>
    <cellStyle name="Normal 20 2 4 2" xfId="10921"/>
    <cellStyle name="Normal 20 2 5" xfId="4726"/>
    <cellStyle name="Normal 20 2 6" xfId="10918"/>
    <cellStyle name="Normal 20 3" xfId="4727"/>
    <cellStyle name="Normal 20 3 2" xfId="4728"/>
    <cellStyle name="Normal 20 3 3" xfId="10922"/>
    <cellStyle name="Normal 20 4" xfId="4729"/>
    <cellStyle name="Normal 20 4 2" xfId="4730"/>
    <cellStyle name="Normal 20 4 2 2" xfId="10924"/>
    <cellStyle name="Normal 20 4 3" xfId="10923"/>
    <cellStyle name="Normal 20 5" xfId="4731"/>
    <cellStyle name="Normal 20 5 2" xfId="4732"/>
    <cellStyle name="Normal 20 5 3" xfId="10925"/>
    <cellStyle name="Normal 20 6" xfId="4733"/>
    <cellStyle name="Normal 20 6 2" xfId="10926"/>
    <cellStyle name="Normal 20 7" xfId="4734"/>
    <cellStyle name="Normal 20 7 2" xfId="10927"/>
    <cellStyle name="Normal 20 8" xfId="10917"/>
    <cellStyle name="Normal 21" xfId="4735"/>
    <cellStyle name="Normal 21 2" xfId="4736"/>
    <cellStyle name="Normal 21 2 2" xfId="4737"/>
    <cellStyle name="Normal 21 2 2 2" xfId="10930"/>
    <cellStyle name="Normal 21 2 3" xfId="4738"/>
    <cellStyle name="Normal 21 2 3 2" xfId="10931"/>
    <cellStyle name="Normal 21 2 4" xfId="4739"/>
    <cellStyle name="Normal 21 2 4 2" xfId="10932"/>
    <cellStyle name="Normal 21 2 5" xfId="4740"/>
    <cellStyle name="Normal 21 2 6" xfId="10929"/>
    <cellStyle name="Normal 21 3" xfId="4741"/>
    <cellStyle name="Normal 21 3 2" xfId="4742"/>
    <cellStyle name="Normal 21 3 2 2" xfId="10934"/>
    <cellStyle name="Normal 21 3 3" xfId="10933"/>
    <cellStyle name="Normal 21 4" xfId="4743"/>
    <cellStyle name="Normal 21 4 2" xfId="4744"/>
    <cellStyle name="Normal 21 4 3" xfId="10935"/>
    <cellStyle name="Normal 21 5" xfId="4745"/>
    <cellStyle name="Normal 21 5 2" xfId="10936"/>
    <cellStyle name="Normal 21 6" xfId="10928"/>
    <cellStyle name="Normal 22" xfId="4746"/>
    <cellStyle name="Normal 22 2" xfId="4747"/>
    <cellStyle name="Normal 22 2 2" xfId="4748"/>
    <cellStyle name="Normal 22 2 2 2" xfId="10939"/>
    <cellStyle name="Normal 22 2 3" xfId="4749"/>
    <cellStyle name="Normal 22 2 3 2" xfId="10940"/>
    <cellStyle name="Normal 22 2 4" xfId="4750"/>
    <cellStyle name="Normal 22 2 5" xfId="10938"/>
    <cellStyle name="Normal 22 3" xfId="4751"/>
    <cellStyle name="Normal 22 3 2" xfId="4752"/>
    <cellStyle name="Normal 22 3 2 2" xfId="10942"/>
    <cellStyle name="Normal 22 3 3" xfId="10941"/>
    <cellStyle name="Normal 22 4" xfId="4753"/>
    <cellStyle name="Normal 22 4 2" xfId="4754"/>
    <cellStyle name="Normal 22 4 3" xfId="10943"/>
    <cellStyle name="Normal 22 5" xfId="4755"/>
    <cellStyle name="Normal 22 5 2" xfId="10944"/>
    <cellStyle name="Normal 22 6" xfId="10937"/>
    <cellStyle name="Normal 23" xfId="4756"/>
    <cellStyle name="Normal 23 2" xfId="4757"/>
    <cellStyle name="Normal 23 2 2" xfId="4758"/>
    <cellStyle name="Normal 23 2 2 2" xfId="10947"/>
    <cellStyle name="Normal 23 2 3" xfId="4759"/>
    <cellStyle name="Normal 23 2 3 2" xfId="10948"/>
    <cellStyle name="Normal 23 2 4" xfId="4760"/>
    <cellStyle name="Normal 23 2 5" xfId="10946"/>
    <cellStyle name="Normal 23 3" xfId="4761"/>
    <cellStyle name="Normal 23 3 2" xfId="4762"/>
    <cellStyle name="Normal 23 3 2 2" xfId="10950"/>
    <cellStyle name="Normal 23 3 3" xfId="4763"/>
    <cellStyle name="Normal 23 3 3 2" xfId="10951"/>
    <cellStyle name="Normal 23 3 4" xfId="10949"/>
    <cellStyle name="Normal 23 4" xfId="4764"/>
    <cellStyle name="Normal 23 4 2" xfId="4765"/>
    <cellStyle name="Normal 23 4 3" xfId="10952"/>
    <cellStyle name="Normal 23 5" xfId="10945"/>
    <cellStyle name="Normal 24" xfId="4766"/>
    <cellStyle name="Normal 24 2" xfId="4767"/>
    <cellStyle name="Normal 24 2 2" xfId="4768"/>
    <cellStyle name="Normal 24 2 2 2" xfId="10955"/>
    <cellStyle name="Normal 24 2 3" xfId="4769"/>
    <cellStyle name="Normal 24 2 3 2" xfId="10956"/>
    <cellStyle name="Normal 24 2 4" xfId="4770"/>
    <cellStyle name="Normal 24 2 5" xfId="10954"/>
    <cellStyle name="Normal 24 3" xfId="4771"/>
    <cellStyle name="Normal 24 3 2" xfId="4772"/>
    <cellStyle name="Normal 24 3 2 2" xfId="10958"/>
    <cellStyle name="Normal 24 3 3" xfId="10957"/>
    <cellStyle name="Normal 24 4" xfId="4773"/>
    <cellStyle name="Normal 24 4 2" xfId="4774"/>
    <cellStyle name="Normal 24 4 3" xfId="10959"/>
    <cellStyle name="Normal 24 5" xfId="4775"/>
    <cellStyle name="Normal 24 5 2" xfId="10960"/>
    <cellStyle name="Normal 24 6" xfId="10953"/>
    <cellStyle name="Normal 25" xfId="4776"/>
    <cellStyle name="Normal 25 2" xfId="4777"/>
    <cellStyle name="Normal 25 2 2" xfId="4778"/>
    <cellStyle name="Normal 25 2 2 2" xfId="10963"/>
    <cellStyle name="Normal 25 2 3" xfId="4779"/>
    <cellStyle name="Normal 25 2 3 2" xfId="10964"/>
    <cellStyle name="Normal 25 2 4" xfId="10962"/>
    <cellStyle name="Normal 25 3" xfId="4780"/>
    <cellStyle name="Normal 25 3 2" xfId="4781"/>
    <cellStyle name="Normal 25 3 2 2" xfId="10966"/>
    <cellStyle name="Normal 25 3 3" xfId="4782"/>
    <cellStyle name="Normal 25 3 4" xfId="10965"/>
    <cellStyle name="Normal 25 4" xfId="4783"/>
    <cellStyle name="Normal 25 4 2" xfId="10967"/>
    <cellStyle name="Normal 25 5" xfId="10961"/>
    <cellStyle name="Normal 26" xfId="4784"/>
    <cellStyle name="Normal 26 2" xfId="4785"/>
    <cellStyle name="Normal 26 2 2" xfId="4786"/>
    <cellStyle name="Normal 26 2 2 2" xfId="10970"/>
    <cellStyle name="Normal 26 2 3" xfId="4787"/>
    <cellStyle name="Normal 26 2 3 2" xfId="10971"/>
    <cellStyle name="Normal 26 2 4" xfId="4788"/>
    <cellStyle name="Normal 26 2 5" xfId="10969"/>
    <cellStyle name="Normal 26 3" xfId="4789"/>
    <cellStyle name="Normal 26 3 2" xfId="10972"/>
    <cellStyle name="Normal 26 4" xfId="4790"/>
    <cellStyle name="Normal 26 4 2" xfId="10973"/>
    <cellStyle name="Normal 26 5" xfId="4791"/>
    <cellStyle name="Normal 26 6" xfId="10968"/>
    <cellStyle name="Normal 27" xfId="4792"/>
    <cellStyle name="Normal 27 2" xfId="4793"/>
    <cellStyle name="Normal 27 2 2" xfId="4794"/>
    <cellStyle name="Normal 27 2 2 2" xfId="4795"/>
    <cellStyle name="Normal 27 2 2 2 2" xfId="10977"/>
    <cellStyle name="Normal 27 2 2 3" xfId="10976"/>
    <cellStyle name="Normal 27 2 3" xfId="4796"/>
    <cellStyle name="Normal 27 2 4" xfId="10975"/>
    <cellStyle name="Normal 27 3" xfId="4797"/>
    <cellStyle name="Normal 27 3 2" xfId="4798"/>
    <cellStyle name="Normal 27 3 2 2" xfId="10979"/>
    <cellStyle name="Normal 27 3 3" xfId="4799"/>
    <cellStyle name="Normal 27 3 3 2" xfId="10980"/>
    <cellStyle name="Normal 27 3 4" xfId="4800"/>
    <cellStyle name="Normal 27 3 5" xfId="10978"/>
    <cellStyle name="Normal 27 4" xfId="4801"/>
    <cellStyle name="Normal 27 4 2" xfId="4802"/>
    <cellStyle name="Normal 27 4 3" xfId="10981"/>
    <cellStyle name="Normal 27 5" xfId="4803"/>
    <cellStyle name="Normal 27 5 2" xfId="10982"/>
    <cellStyle name="Normal 27 6" xfId="10974"/>
    <cellStyle name="Normal 28" xfId="4804"/>
    <cellStyle name="Normal 28 2" xfId="4805"/>
    <cellStyle name="Normal 28 2 2" xfId="4806"/>
    <cellStyle name="Normal 28 2 2 2" xfId="10985"/>
    <cellStyle name="Normal 28 2 3" xfId="4807"/>
    <cellStyle name="Normal 28 2 3 2" xfId="10986"/>
    <cellStyle name="Normal 28 2 4" xfId="10984"/>
    <cellStyle name="Normal 28 3" xfId="4808"/>
    <cellStyle name="Normal 28 3 2" xfId="10987"/>
    <cellStyle name="Normal 28 4" xfId="4809"/>
    <cellStyle name="Normal 28 4 2" xfId="10988"/>
    <cellStyle name="Normal 28 5" xfId="4810"/>
    <cellStyle name="Normal 28 6" xfId="10983"/>
    <cellStyle name="Normal 29" xfId="4811"/>
    <cellStyle name="Normal 29 2" xfId="4812"/>
    <cellStyle name="Normal 29 2 2" xfId="4813"/>
    <cellStyle name="Normal 29 2 2 2" xfId="10991"/>
    <cellStyle name="Normal 29 2 3" xfId="10990"/>
    <cellStyle name="Normal 29 3" xfId="4814"/>
    <cellStyle name="Normal 29 3 2" xfId="10992"/>
    <cellStyle name="Normal 29 4" xfId="4815"/>
    <cellStyle name="Normal 29 4 2" xfId="10993"/>
    <cellStyle name="Normal 29 5" xfId="4816"/>
    <cellStyle name="Normal 29 6" xfId="10989"/>
    <cellStyle name="Normal 3" xfId="4817"/>
    <cellStyle name="Normal 3 10" xfId="15209"/>
    <cellStyle name="Normal 3 2" xfId="4818"/>
    <cellStyle name="Normal 3 2 2" xfId="4819"/>
    <cellStyle name="Normal 3 2 2 2" xfId="4820"/>
    <cellStyle name="Normal 3 2 2 2 2" xfId="4821"/>
    <cellStyle name="Normal 3 2 2 2 2 2" xfId="4822"/>
    <cellStyle name="Normal 3 2 2 2 2 2 2" xfId="10999"/>
    <cellStyle name="Normal 3 2 2 2 2 3" xfId="10998"/>
    <cellStyle name="Normal 3 2 2 2 3" xfId="4823"/>
    <cellStyle name="Normal 3 2 2 2 3 2" xfId="4824"/>
    <cellStyle name="Normal 3 2 2 2 3 2 2" xfId="11001"/>
    <cellStyle name="Normal 3 2 2 2 3 3" xfId="11000"/>
    <cellStyle name="Normal 3 2 2 2 4" xfId="4825"/>
    <cellStyle name="Normal 3 2 2 2 4 2" xfId="11002"/>
    <cellStyle name="Normal 3 2 2 2 5" xfId="10997"/>
    <cellStyle name="Normal 3 2 2 3" xfId="4826"/>
    <cellStyle name="Normal 3 2 2 3 2" xfId="4827"/>
    <cellStyle name="Normal 3 2 2 3 2 2" xfId="11004"/>
    <cellStyle name="Normal 3 2 2 3 3" xfId="4828"/>
    <cellStyle name="Normal 3 2 2 3 3 2" xfId="11005"/>
    <cellStyle name="Normal 3 2 2 3 4" xfId="11003"/>
    <cellStyle name="Normal 3 2 2 4" xfId="4829"/>
    <cellStyle name="Normal 3 2 2 4 2" xfId="4830"/>
    <cellStyle name="Normal 3 2 2 4 2 2" xfId="11007"/>
    <cellStyle name="Normal 3 2 2 4 3" xfId="11006"/>
    <cellStyle name="Normal 3 2 2 5" xfId="4831"/>
    <cellStyle name="Normal 3 2 2 5 2" xfId="11008"/>
    <cellStyle name="Normal 3 2 2 6" xfId="4832"/>
    <cellStyle name="Normal 3 2 2 6 2" xfId="11009"/>
    <cellStyle name="Normal 3 2 2 7" xfId="4833"/>
    <cellStyle name="Normal 3 2 2 7 2" xfId="11010"/>
    <cellStyle name="Normal 3 2 2 8" xfId="4834"/>
    <cellStyle name="Normal 3 2 2 9" xfId="10996"/>
    <cellStyle name="Normal 3 2 3" xfId="4835"/>
    <cellStyle name="Normal 3 2 3 2" xfId="4836"/>
    <cellStyle name="Normal 3 2 3 2 2" xfId="4837"/>
    <cellStyle name="Normal 3 2 3 2 2 2" xfId="11013"/>
    <cellStyle name="Normal 3 2 3 2 3" xfId="11012"/>
    <cellStyle name="Normal 3 2 3 3" xfId="4838"/>
    <cellStyle name="Normal 3 2 3 3 2" xfId="4839"/>
    <cellStyle name="Normal 3 2 3 3 2 2" xfId="11015"/>
    <cellStyle name="Normal 3 2 3 3 3" xfId="11014"/>
    <cellStyle name="Normal 3 2 3 4" xfId="4840"/>
    <cellStyle name="Normal 3 2 3 4 2" xfId="11016"/>
    <cellStyle name="Normal 3 2 3 5" xfId="4841"/>
    <cellStyle name="Normal 3 2 3 5 2" xfId="11017"/>
    <cellStyle name="Normal 3 2 3 6" xfId="11011"/>
    <cellStyle name="Normal 3 2 4" xfId="4842"/>
    <cellStyle name="Normal 3 2 4 2" xfId="4843"/>
    <cellStyle name="Normal 3 2 4 2 2" xfId="11019"/>
    <cellStyle name="Normal 3 2 4 3" xfId="4844"/>
    <cellStyle name="Normal 3 2 4 3 2" xfId="11020"/>
    <cellStyle name="Normal 3 2 4 4" xfId="11018"/>
    <cellStyle name="Normal 3 2 5" xfId="4845"/>
    <cellStyle name="Normal 3 2 5 2" xfId="4846"/>
    <cellStyle name="Normal 3 2 5 2 2" xfId="11022"/>
    <cellStyle name="Normal 3 2 5 3" xfId="4847"/>
    <cellStyle name="Normal 3 2 5 3 2" xfId="11023"/>
    <cellStyle name="Normal 3 2 5 4" xfId="11021"/>
    <cellStyle name="Normal 3 2 6" xfId="4848"/>
    <cellStyle name="Normal 3 2 6 2" xfId="11024"/>
    <cellStyle name="Normal 3 2 7" xfId="4849"/>
    <cellStyle name="Normal 3 2 7 2" xfId="11025"/>
    <cellStyle name="Normal 3 2 8" xfId="4850"/>
    <cellStyle name="Normal 3 2 8 2" xfId="11026"/>
    <cellStyle name="Normal 3 2 9" xfId="10995"/>
    <cellStyle name="Normal 3 3" xfId="4851"/>
    <cellStyle name="Normal 3 3 2" xfId="4852"/>
    <cellStyle name="Normal 3 3 2 2" xfId="4853"/>
    <cellStyle name="Normal 3 3 2 2 2" xfId="11029"/>
    <cellStyle name="Normal 3 3 2 3" xfId="4854"/>
    <cellStyle name="Normal 3 3 2 4" xfId="11028"/>
    <cellStyle name="Normal 3 3 3" xfId="4855"/>
    <cellStyle name="Normal 3 3 3 2" xfId="4856"/>
    <cellStyle name="Normal 3 3 3 2 2" xfId="11031"/>
    <cellStyle name="Normal 3 3 3 3" xfId="11030"/>
    <cellStyle name="Normal 3 3 4" xfId="4857"/>
    <cellStyle name="Normal 3 3 4 2" xfId="4858"/>
    <cellStyle name="Normal 3 3 4 2 2" xfId="11033"/>
    <cellStyle name="Normal 3 3 4 3" xfId="11032"/>
    <cellStyle name="Normal 3 3 5" xfId="4859"/>
    <cellStyle name="Normal 3 3 5 2" xfId="11034"/>
    <cellStyle name="Normal 3 3 6" xfId="11027"/>
    <cellStyle name="Normal 3 4" xfId="4860"/>
    <cellStyle name="Normal 3 4 2" xfId="4861"/>
    <cellStyle name="Normal 3 4 2 2" xfId="11036"/>
    <cellStyle name="Normal 3 4 3" xfId="4862"/>
    <cellStyle name="Normal 3 4 3 2" xfId="11037"/>
    <cellStyle name="Normal 3 4 4" xfId="4863"/>
    <cellStyle name="Normal 3 4 4 2" xfId="11038"/>
    <cellStyle name="Normal 3 4 5" xfId="4864"/>
    <cellStyle name="Normal 3 4 6" xfId="11035"/>
    <cellStyle name="Normal 3 5" xfId="4865"/>
    <cellStyle name="Normal 3 5 2" xfId="4866"/>
    <cellStyle name="Normal 3 5 2 2" xfId="11040"/>
    <cellStyle name="Normal 3 5 3" xfId="4867"/>
    <cellStyle name="Normal 3 5 4" xfId="11039"/>
    <cellStyle name="Normal 3 6" xfId="4868"/>
    <cellStyle name="Normal 3 6 2" xfId="11041"/>
    <cellStyle name="Normal 3 7" xfId="4869"/>
    <cellStyle name="Normal 3 7 2" xfId="11042"/>
    <cellStyle name="Normal 3 8" xfId="10994"/>
    <cellStyle name="Normal 3 9" xfId="15202"/>
    <cellStyle name="Normal 3_10051" xfId="4870"/>
    <cellStyle name="Normal 30" xfId="4871"/>
    <cellStyle name="Normal 30 2" xfId="4872"/>
    <cellStyle name="Normal 30 2 2" xfId="11044"/>
    <cellStyle name="Normal 30 3" xfId="4873"/>
    <cellStyle name="Normal 30 3 2" xfId="11045"/>
    <cellStyle name="Normal 30 4" xfId="4874"/>
    <cellStyle name="Normal 30 4 2" xfId="11046"/>
    <cellStyle name="Normal 30 5" xfId="4875"/>
    <cellStyle name="Normal 30 6" xfId="11043"/>
    <cellStyle name="Normal 31" xfId="4876"/>
    <cellStyle name="Normal 31 10" xfId="11047"/>
    <cellStyle name="Normal 31 2" xfId="4877"/>
    <cellStyle name="Normal 31 2 2" xfId="4878"/>
    <cellStyle name="Normal 31 2 2 2" xfId="4879"/>
    <cellStyle name="Normal 31 2 2 2 2" xfId="4880"/>
    <cellStyle name="Normal 31 2 2 2 2 2" xfId="4881"/>
    <cellStyle name="Normal 31 2 2 2 2 2 2" xfId="4882"/>
    <cellStyle name="Normal 31 2 2 2 2 2 2 2" xfId="11053"/>
    <cellStyle name="Normal 31 2 2 2 2 2 3" xfId="11052"/>
    <cellStyle name="Normal 31 2 2 2 2 3" xfId="4883"/>
    <cellStyle name="Normal 31 2 2 2 2 3 2" xfId="4884"/>
    <cellStyle name="Normal 31 2 2 2 2 3 2 2" xfId="11055"/>
    <cellStyle name="Normal 31 2 2 2 2 3 3" xfId="11054"/>
    <cellStyle name="Normal 31 2 2 2 2 4" xfId="4885"/>
    <cellStyle name="Normal 31 2 2 2 2 4 2" xfId="11056"/>
    <cellStyle name="Normal 31 2 2 2 2 5" xfId="11051"/>
    <cellStyle name="Normal 31 2 2 2 3" xfId="4886"/>
    <cellStyle name="Normal 31 2 2 2 3 2" xfId="4887"/>
    <cellStyle name="Normal 31 2 2 2 3 2 2" xfId="11058"/>
    <cellStyle name="Normal 31 2 2 2 3 3" xfId="11057"/>
    <cellStyle name="Normal 31 2 2 2 4" xfId="4888"/>
    <cellStyle name="Normal 31 2 2 2 4 2" xfId="4889"/>
    <cellStyle name="Normal 31 2 2 2 4 2 2" xfId="11060"/>
    <cellStyle name="Normal 31 2 2 2 4 3" xfId="11059"/>
    <cellStyle name="Normal 31 2 2 2 5" xfId="4890"/>
    <cellStyle name="Normal 31 2 2 2 5 2" xfId="11061"/>
    <cellStyle name="Normal 31 2 2 2 6" xfId="11050"/>
    <cellStyle name="Normal 31 2 2 3" xfId="4891"/>
    <cellStyle name="Normal 31 2 2 3 2" xfId="4892"/>
    <cellStyle name="Normal 31 2 2 3 2 2" xfId="4893"/>
    <cellStyle name="Normal 31 2 2 3 2 2 2" xfId="11064"/>
    <cellStyle name="Normal 31 2 2 3 2 3" xfId="11063"/>
    <cellStyle name="Normal 31 2 2 3 3" xfId="4894"/>
    <cellStyle name="Normal 31 2 2 3 3 2" xfId="4895"/>
    <cellStyle name="Normal 31 2 2 3 3 2 2" xfId="11066"/>
    <cellStyle name="Normal 31 2 2 3 3 3" xfId="11065"/>
    <cellStyle name="Normal 31 2 2 3 4" xfId="4896"/>
    <cellStyle name="Normal 31 2 2 3 4 2" xfId="11067"/>
    <cellStyle name="Normal 31 2 2 3 5" xfId="11062"/>
    <cellStyle name="Normal 31 2 2 4" xfId="4897"/>
    <cellStyle name="Normal 31 2 2 4 2" xfId="4898"/>
    <cellStyle name="Normal 31 2 2 4 2 2" xfId="11069"/>
    <cellStyle name="Normal 31 2 2 4 3" xfId="11068"/>
    <cellStyle name="Normal 31 2 2 5" xfId="4899"/>
    <cellStyle name="Normal 31 2 2 5 2" xfId="4900"/>
    <cellStyle name="Normal 31 2 2 5 2 2" xfId="11071"/>
    <cellStyle name="Normal 31 2 2 5 3" xfId="11070"/>
    <cellStyle name="Normal 31 2 2 6" xfId="4901"/>
    <cellStyle name="Normal 31 2 2 6 2" xfId="11072"/>
    <cellStyle name="Normal 31 2 2 7" xfId="11049"/>
    <cellStyle name="Normal 31 2 3" xfId="4902"/>
    <cellStyle name="Normal 31 2 3 2" xfId="4903"/>
    <cellStyle name="Normal 31 2 3 2 2" xfId="4904"/>
    <cellStyle name="Normal 31 2 3 2 2 2" xfId="4905"/>
    <cellStyle name="Normal 31 2 3 2 2 2 2" xfId="11076"/>
    <cellStyle name="Normal 31 2 3 2 2 3" xfId="11075"/>
    <cellStyle name="Normal 31 2 3 2 3" xfId="4906"/>
    <cellStyle name="Normal 31 2 3 2 3 2" xfId="4907"/>
    <cellStyle name="Normal 31 2 3 2 3 2 2" xfId="11078"/>
    <cellStyle name="Normal 31 2 3 2 3 3" xfId="11077"/>
    <cellStyle name="Normal 31 2 3 2 4" xfId="4908"/>
    <cellStyle name="Normal 31 2 3 2 4 2" xfId="11079"/>
    <cellStyle name="Normal 31 2 3 2 5" xfId="11074"/>
    <cellStyle name="Normal 31 2 3 3" xfId="4909"/>
    <cellStyle name="Normal 31 2 3 3 2" xfId="4910"/>
    <cellStyle name="Normal 31 2 3 3 2 2" xfId="11081"/>
    <cellStyle name="Normal 31 2 3 3 3" xfId="11080"/>
    <cellStyle name="Normal 31 2 3 4" xfId="4911"/>
    <cellStyle name="Normal 31 2 3 4 2" xfId="4912"/>
    <cellStyle name="Normal 31 2 3 4 2 2" xfId="11083"/>
    <cellStyle name="Normal 31 2 3 4 3" xfId="11082"/>
    <cellStyle name="Normal 31 2 3 5" xfId="4913"/>
    <cellStyle name="Normal 31 2 3 5 2" xfId="11084"/>
    <cellStyle name="Normal 31 2 3 6" xfId="11073"/>
    <cellStyle name="Normal 31 2 4" xfId="4914"/>
    <cellStyle name="Normal 31 2 4 2" xfId="4915"/>
    <cellStyle name="Normal 31 2 4 2 2" xfId="4916"/>
    <cellStyle name="Normal 31 2 4 2 2 2" xfId="11087"/>
    <cellStyle name="Normal 31 2 4 2 3" xfId="11086"/>
    <cellStyle name="Normal 31 2 4 3" xfId="4917"/>
    <cellStyle name="Normal 31 2 4 3 2" xfId="4918"/>
    <cellStyle name="Normal 31 2 4 3 2 2" xfId="11089"/>
    <cellStyle name="Normal 31 2 4 3 3" xfId="11088"/>
    <cellStyle name="Normal 31 2 4 4" xfId="4919"/>
    <cellStyle name="Normal 31 2 4 4 2" xfId="11090"/>
    <cellStyle name="Normal 31 2 4 5" xfId="11085"/>
    <cellStyle name="Normal 31 2 5" xfId="4920"/>
    <cellStyle name="Normal 31 2 5 2" xfId="4921"/>
    <cellStyle name="Normal 31 2 5 2 2" xfId="11092"/>
    <cellStyle name="Normal 31 2 5 3" xfId="11091"/>
    <cellStyle name="Normal 31 2 6" xfId="4922"/>
    <cellStyle name="Normal 31 2 6 2" xfId="4923"/>
    <cellStyle name="Normal 31 2 6 2 2" xfId="11094"/>
    <cellStyle name="Normal 31 2 6 3" xfId="11093"/>
    <cellStyle name="Normal 31 2 7" xfId="4924"/>
    <cellStyle name="Normal 31 2 7 2" xfId="11095"/>
    <cellStyle name="Normal 31 2 8" xfId="4925"/>
    <cellStyle name="Normal 31 2 9" xfId="11048"/>
    <cellStyle name="Normal 31 3" xfId="4926"/>
    <cellStyle name="Normal 31 3 2" xfId="4927"/>
    <cellStyle name="Normal 31 3 2 2" xfId="4928"/>
    <cellStyle name="Normal 31 3 2 2 2" xfId="4929"/>
    <cellStyle name="Normal 31 3 2 2 2 2" xfId="4930"/>
    <cellStyle name="Normal 31 3 2 2 2 2 2" xfId="11100"/>
    <cellStyle name="Normal 31 3 2 2 2 3" xfId="11099"/>
    <cellStyle name="Normal 31 3 2 2 3" xfId="4931"/>
    <cellStyle name="Normal 31 3 2 2 3 2" xfId="4932"/>
    <cellStyle name="Normal 31 3 2 2 3 2 2" xfId="11102"/>
    <cellStyle name="Normal 31 3 2 2 3 3" xfId="11101"/>
    <cellStyle name="Normal 31 3 2 2 4" xfId="4933"/>
    <cellStyle name="Normal 31 3 2 2 4 2" xfId="11103"/>
    <cellStyle name="Normal 31 3 2 2 5" xfId="11098"/>
    <cellStyle name="Normal 31 3 2 3" xfId="4934"/>
    <cellStyle name="Normal 31 3 2 3 2" xfId="4935"/>
    <cellStyle name="Normal 31 3 2 3 2 2" xfId="11105"/>
    <cellStyle name="Normal 31 3 2 3 3" xfId="11104"/>
    <cellStyle name="Normal 31 3 2 4" xfId="4936"/>
    <cellStyle name="Normal 31 3 2 4 2" xfId="4937"/>
    <cellStyle name="Normal 31 3 2 4 2 2" xfId="11107"/>
    <cellStyle name="Normal 31 3 2 4 3" xfId="11106"/>
    <cellStyle name="Normal 31 3 2 5" xfId="4938"/>
    <cellStyle name="Normal 31 3 2 5 2" xfId="11108"/>
    <cellStyle name="Normal 31 3 2 6" xfId="11097"/>
    <cellStyle name="Normal 31 3 3" xfId="4939"/>
    <cellStyle name="Normal 31 3 3 2" xfId="4940"/>
    <cellStyle name="Normal 31 3 3 2 2" xfId="4941"/>
    <cellStyle name="Normal 31 3 3 2 2 2" xfId="11111"/>
    <cellStyle name="Normal 31 3 3 2 3" xfId="11110"/>
    <cellStyle name="Normal 31 3 3 3" xfId="4942"/>
    <cellStyle name="Normal 31 3 3 3 2" xfId="4943"/>
    <cellStyle name="Normal 31 3 3 3 2 2" xfId="11113"/>
    <cellStyle name="Normal 31 3 3 3 3" xfId="11112"/>
    <cellStyle name="Normal 31 3 3 4" xfId="4944"/>
    <cellStyle name="Normal 31 3 3 4 2" xfId="11114"/>
    <cellStyle name="Normal 31 3 3 5" xfId="11109"/>
    <cellStyle name="Normal 31 3 4" xfId="4945"/>
    <cellStyle name="Normal 31 3 4 2" xfId="4946"/>
    <cellStyle name="Normal 31 3 4 2 2" xfId="11116"/>
    <cellStyle name="Normal 31 3 4 3" xfId="11115"/>
    <cellStyle name="Normal 31 3 5" xfId="4947"/>
    <cellStyle name="Normal 31 3 5 2" xfId="4948"/>
    <cellStyle name="Normal 31 3 5 2 2" xfId="11118"/>
    <cellStyle name="Normal 31 3 5 3" xfId="11117"/>
    <cellStyle name="Normal 31 3 6" xfId="4949"/>
    <cellStyle name="Normal 31 3 6 2" xfId="11119"/>
    <cellStyle name="Normal 31 3 7" xfId="11096"/>
    <cellStyle name="Normal 31 4" xfId="4950"/>
    <cellStyle name="Normal 31 4 2" xfId="4951"/>
    <cellStyle name="Normal 31 4 2 2" xfId="4952"/>
    <cellStyle name="Normal 31 4 2 2 2" xfId="4953"/>
    <cellStyle name="Normal 31 4 2 2 2 2" xfId="11123"/>
    <cellStyle name="Normal 31 4 2 2 3" xfId="11122"/>
    <cellStyle name="Normal 31 4 2 3" xfId="4954"/>
    <cellStyle name="Normal 31 4 2 3 2" xfId="4955"/>
    <cellStyle name="Normal 31 4 2 3 2 2" xfId="11125"/>
    <cellStyle name="Normal 31 4 2 3 3" xfId="11124"/>
    <cellStyle name="Normal 31 4 2 4" xfId="4956"/>
    <cellStyle name="Normal 31 4 2 4 2" xfId="11126"/>
    <cellStyle name="Normal 31 4 2 5" xfId="11121"/>
    <cellStyle name="Normal 31 4 3" xfId="4957"/>
    <cellStyle name="Normal 31 4 3 2" xfId="4958"/>
    <cellStyle name="Normal 31 4 3 2 2" xfId="11128"/>
    <cellStyle name="Normal 31 4 3 3" xfId="11127"/>
    <cellStyle name="Normal 31 4 4" xfId="4959"/>
    <cellStyle name="Normal 31 4 4 2" xfId="4960"/>
    <cellStyle name="Normal 31 4 4 2 2" xfId="11130"/>
    <cellStyle name="Normal 31 4 4 3" xfId="11129"/>
    <cellStyle name="Normal 31 4 5" xfId="4961"/>
    <cellStyle name="Normal 31 4 5 2" xfId="11131"/>
    <cellStyle name="Normal 31 4 6" xfId="11120"/>
    <cellStyle name="Normal 31 5" xfId="4962"/>
    <cellStyle name="Normal 31 5 2" xfId="4963"/>
    <cellStyle name="Normal 31 5 2 2" xfId="4964"/>
    <cellStyle name="Normal 31 5 2 2 2" xfId="11134"/>
    <cellStyle name="Normal 31 5 2 3" xfId="11133"/>
    <cellStyle name="Normal 31 5 3" xfId="4965"/>
    <cellStyle name="Normal 31 5 3 2" xfId="4966"/>
    <cellStyle name="Normal 31 5 3 2 2" xfId="11136"/>
    <cellStyle name="Normal 31 5 3 3" xfId="11135"/>
    <cellStyle name="Normal 31 5 4" xfId="4967"/>
    <cellStyle name="Normal 31 5 4 2" xfId="11137"/>
    <cellStyle name="Normal 31 5 5" xfId="11132"/>
    <cellStyle name="Normal 31 6" xfId="4968"/>
    <cellStyle name="Normal 31 6 2" xfId="4969"/>
    <cellStyle name="Normal 31 6 2 2" xfId="11139"/>
    <cellStyle name="Normal 31 6 3" xfId="11138"/>
    <cellStyle name="Normal 31 7" xfId="4970"/>
    <cellStyle name="Normal 31 7 2" xfId="4971"/>
    <cellStyle name="Normal 31 7 2 2" xfId="11141"/>
    <cellStyle name="Normal 31 7 3" xfId="11140"/>
    <cellStyle name="Normal 31 8" xfId="4972"/>
    <cellStyle name="Normal 31 8 2" xfId="11142"/>
    <cellStyle name="Normal 31 9" xfId="4973"/>
    <cellStyle name="Normal 32" xfId="4974"/>
    <cellStyle name="Normal 32 10" xfId="11143"/>
    <cellStyle name="Normal 32 2" xfId="4975"/>
    <cellStyle name="Normal 32 2 2" xfId="4976"/>
    <cellStyle name="Normal 32 2 2 2" xfId="4977"/>
    <cellStyle name="Normal 32 2 2 2 2" xfId="4978"/>
    <cellStyle name="Normal 32 2 2 2 2 2" xfId="4979"/>
    <cellStyle name="Normal 32 2 2 2 2 2 2" xfId="4980"/>
    <cellStyle name="Normal 32 2 2 2 2 2 2 2" xfId="11149"/>
    <cellStyle name="Normal 32 2 2 2 2 2 3" xfId="11148"/>
    <cellStyle name="Normal 32 2 2 2 2 3" xfId="4981"/>
    <cellStyle name="Normal 32 2 2 2 2 3 2" xfId="4982"/>
    <cellStyle name="Normal 32 2 2 2 2 3 2 2" xfId="11151"/>
    <cellStyle name="Normal 32 2 2 2 2 3 3" xfId="11150"/>
    <cellStyle name="Normal 32 2 2 2 2 4" xfId="4983"/>
    <cellStyle name="Normal 32 2 2 2 2 4 2" xfId="11152"/>
    <cellStyle name="Normal 32 2 2 2 2 5" xfId="11147"/>
    <cellStyle name="Normal 32 2 2 2 3" xfId="4984"/>
    <cellStyle name="Normal 32 2 2 2 3 2" xfId="4985"/>
    <cellStyle name="Normal 32 2 2 2 3 2 2" xfId="11154"/>
    <cellStyle name="Normal 32 2 2 2 3 3" xfId="11153"/>
    <cellStyle name="Normal 32 2 2 2 4" xfId="4986"/>
    <cellStyle name="Normal 32 2 2 2 4 2" xfId="4987"/>
    <cellStyle name="Normal 32 2 2 2 4 2 2" xfId="11156"/>
    <cellStyle name="Normal 32 2 2 2 4 3" xfId="11155"/>
    <cellStyle name="Normal 32 2 2 2 5" xfId="4988"/>
    <cellStyle name="Normal 32 2 2 2 5 2" xfId="11157"/>
    <cellStyle name="Normal 32 2 2 2 6" xfId="11146"/>
    <cellStyle name="Normal 32 2 2 3" xfId="4989"/>
    <cellStyle name="Normal 32 2 2 3 2" xfId="4990"/>
    <cellStyle name="Normal 32 2 2 3 2 2" xfId="4991"/>
    <cellStyle name="Normal 32 2 2 3 2 2 2" xfId="11160"/>
    <cellStyle name="Normal 32 2 2 3 2 3" xfId="11159"/>
    <cellStyle name="Normal 32 2 2 3 3" xfId="4992"/>
    <cellStyle name="Normal 32 2 2 3 3 2" xfId="4993"/>
    <cellStyle name="Normal 32 2 2 3 3 2 2" xfId="11162"/>
    <cellStyle name="Normal 32 2 2 3 3 3" xfId="11161"/>
    <cellStyle name="Normal 32 2 2 3 4" xfId="4994"/>
    <cellStyle name="Normal 32 2 2 3 4 2" xfId="11163"/>
    <cellStyle name="Normal 32 2 2 3 5" xfId="11158"/>
    <cellStyle name="Normal 32 2 2 4" xfId="4995"/>
    <cellStyle name="Normal 32 2 2 4 2" xfId="4996"/>
    <cellStyle name="Normal 32 2 2 4 2 2" xfId="11165"/>
    <cellStyle name="Normal 32 2 2 4 3" xfId="11164"/>
    <cellStyle name="Normal 32 2 2 5" xfId="4997"/>
    <cellStyle name="Normal 32 2 2 5 2" xfId="4998"/>
    <cellStyle name="Normal 32 2 2 5 2 2" xfId="11167"/>
    <cellStyle name="Normal 32 2 2 5 3" xfId="11166"/>
    <cellStyle name="Normal 32 2 2 6" xfId="4999"/>
    <cellStyle name="Normal 32 2 2 6 2" xfId="11168"/>
    <cellStyle name="Normal 32 2 2 7" xfId="11145"/>
    <cellStyle name="Normal 32 2 3" xfId="5000"/>
    <cellStyle name="Normal 32 2 3 2" xfId="5001"/>
    <cellStyle name="Normal 32 2 3 2 2" xfId="5002"/>
    <cellStyle name="Normal 32 2 3 2 2 2" xfId="5003"/>
    <cellStyle name="Normal 32 2 3 2 2 2 2" xfId="11172"/>
    <cellStyle name="Normal 32 2 3 2 2 3" xfId="11171"/>
    <cellStyle name="Normal 32 2 3 2 3" xfId="5004"/>
    <cellStyle name="Normal 32 2 3 2 3 2" xfId="5005"/>
    <cellStyle name="Normal 32 2 3 2 3 2 2" xfId="11174"/>
    <cellStyle name="Normal 32 2 3 2 3 3" xfId="11173"/>
    <cellStyle name="Normal 32 2 3 2 4" xfId="5006"/>
    <cellStyle name="Normal 32 2 3 2 4 2" xfId="11175"/>
    <cellStyle name="Normal 32 2 3 2 5" xfId="11170"/>
    <cellStyle name="Normal 32 2 3 3" xfId="5007"/>
    <cellStyle name="Normal 32 2 3 3 2" xfId="5008"/>
    <cellStyle name="Normal 32 2 3 3 2 2" xfId="11177"/>
    <cellStyle name="Normal 32 2 3 3 3" xfId="11176"/>
    <cellStyle name="Normal 32 2 3 4" xfId="5009"/>
    <cellStyle name="Normal 32 2 3 4 2" xfId="5010"/>
    <cellStyle name="Normal 32 2 3 4 2 2" xfId="11179"/>
    <cellStyle name="Normal 32 2 3 4 3" xfId="11178"/>
    <cellStyle name="Normal 32 2 3 5" xfId="5011"/>
    <cellStyle name="Normal 32 2 3 5 2" xfId="11180"/>
    <cellStyle name="Normal 32 2 3 6" xfId="11169"/>
    <cellStyle name="Normal 32 2 4" xfId="5012"/>
    <cellStyle name="Normal 32 2 4 2" xfId="5013"/>
    <cellStyle name="Normal 32 2 4 2 2" xfId="5014"/>
    <cellStyle name="Normal 32 2 4 2 2 2" xfId="11183"/>
    <cellStyle name="Normal 32 2 4 2 3" xfId="11182"/>
    <cellStyle name="Normal 32 2 4 3" xfId="5015"/>
    <cellStyle name="Normal 32 2 4 3 2" xfId="5016"/>
    <cellStyle name="Normal 32 2 4 3 2 2" xfId="11185"/>
    <cellStyle name="Normal 32 2 4 3 3" xfId="11184"/>
    <cellStyle name="Normal 32 2 4 4" xfId="5017"/>
    <cellStyle name="Normal 32 2 4 4 2" xfId="11186"/>
    <cellStyle name="Normal 32 2 4 5" xfId="11181"/>
    <cellStyle name="Normal 32 2 5" xfId="5018"/>
    <cellStyle name="Normal 32 2 5 2" xfId="5019"/>
    <cellStyle name="Normal 32 2 5 2 2" xfId="11188"/>
    <cellStyle name="Normal 32 2 5 3" xfId="11187"/>
    <cellStyle name="Normal 32 2 6" xfId="5020"/>
    <cellStyle name="Normal 32 2 6 2" xfId="5021"/>
    <cellStyle name="Normal 32 2 6 2 2" xfId="11190"/>
    <cellStyle name="Normal 32 2 6 3" xfId="11189"/>
    <cellStyle name="Normal 32 2 7" xfId="5022"/>
    <cellStyle name="Normal 32 2 7 2" xfId="11191"/>
    <cellStyle name="Normal 32 2 8" xfId="11144"/>
    <cellStyle name="Normal 32 3" xfId="5023"/>
    <cellStyle name="Normal 32 3 2" xfId="5024"/>
    <cellStyle name="Normal 32 3 2 2" xfId="5025"/>
    <cellStyle name="Normal 32 3 2 2 2" xfId="5026"/>
    <cellStyle name="Normal 32 3 2 2 2 2" xfId="5027"/>
    <cellStyle name="Normal 32 3 2 2 2 2 2" xfId="11196"/>
    <cellStyle name="Normal 32 3 2 2 2 3" xfId="11195"/>
    <cellStyle name="Normal 32 3 2 2 3" xfId="5028"/>
    <cellStyle name="Normal 32 3 2 2 3 2" xfId="5029"/>
    <cellStyle name="Normal 32 3 2 2 3 2 2" xfId="11198"/>
    <cellStyle name="Normal 32 3 2 2 3 3" xfId="11197"/>
    <cellStyle name="Normal 32 3 2 2 4" xfId="5030"/>
    <cellStyle name="Normal 32 3 2 2 4 2" xfId="11199"/>
    <cellStyle name="Normal 32 3 2 2 5" xfId="11194"/>
    <cellStyle name="Normal 32 3 2 3" xfId="5031"/>
    <cellStyle name="Normal 32 3 2 3 2" xfId="5032"/>
    <cellStyle name="Normal 32 3 2 3 2 2" xfId="11201"/>
    <cellStyle name="Normal 32 3 2 3 3" xfId="11200"/>
    <cellStyle name="Normal 32 3 2 4" xfId="5033"/>
    <cellStyle name="Normal 32 3 2 4 2" xfId="5034"/>
    <cellStyle name="Normal 32 3 2 4 2 2" xfId="11203"/>
    <cellStyle name="Normal 32 3 2 4 3" xfId="11202"/>
    <cellStyle name="Normal 32 3 2 5" xfId="5035"/>
    <cellStyle name="Normal 32 3 2 5 2" xfId="11204"/>
    <cellStyle name="Normal 32 3 2 6" xfId="11193"/>
    <cellStyle name="Normal 32 3 3" xfId="5036"/>
    <cellStyle name="Normal 32 3 3 2" xfId="5037"/>
    <cellStyle name="Normal 32 3 3 2 2" xfId="5038"/>
    <cellStyle name="Normal 32 3 3 2 2 2" xfId="11207"/>
    <cellStyle name="Normal 32 3 3 2 3" xfId="11206"/>
    <cellStyle name="Normal 32 3 3 3" xfId="5039"/>
    <cellStyle name="Normal 32 3 3 3 2" xfId="5040"/>
    <cellStyle name="Normal 32 3 3 3 2 2" xfId="11209"/>
    <cellStyle name="Normal 32 3 3 3 3" xfId="11208"/>
    <cellStyle name="Normal 32 3 3 4" xfId="5041"/>
    <cellStyle name="Normal 32 3 3 4 2" xfId="11210"/>
    <cellStyle name="Normal 32 3 3 5" xfId="11205"/>
    <cellStyle name="Normal 32 3 4" xfId="5042"/>
    <cellStyle name="Normal 32 3 4 2" xfId="5043"/>
    <cellStyle name="Normal 32 3 4 2 2" xfId="11212"/>
    <cellStyle name="Normal 32 3 4 3" xfId="11211"/>
    <cellStyle name="Normal 32 3 5" xfId="5044"/>
    <cellStyle name="Normal 32 3 5 2" xfId="5045"/>
    <cellStyle name="Normal 32 3 5 2 2" xfId="11214"/>
    <cellStyle name="Normal 32 3 5 3" xfId="11213"/>
    <cellStyle name="Normal 32 3 6" xfId="5046"/>
    <cellStyle name="Normal 32 3 6 2" xfId="11215"/>
    <cellStyle name="Normal 32 3 7" xfId="11192"/>
    <cellStyle name="Normal 32 4" xfId="5047"/>
    <cellStyle name="Normal 32 4 2" xfId="5048"/>
    <cellStyle name="Normal 32 4 2 2" xfId="5049"/>
    <cellStyle name="Normal 32 4 2 2 2" xfId="5050"/>
    <cellStyle name="Normal 32 4 2 2 2 2" xfId="11219"/>
    <cellStyle name="Normal 32 4 2 2 3" xfId="11218"/>
    <cellStyle name="Normal 32 4 2 3" xfId="5051"/>
    <cellStyle name="Normal 32 4 2 3 2" xfId="5052"/>
    <cellStyle name="Normal 32 4 2 3 2 2" xfId="11221"/>
    <cellStyle name="Normal 32 4 2 3 3" xfId="11220"/>
    <cellStyle name="Normal 32 4 2 4" xfId="5053"/>
    <cellStyle name="Normal 32 4 2 4 2" xfId="11222"/>
    <cellStyle name="Normal 32 4 2 5" xfId="11217"/>
    <cellStyle name="Normal 32 4 3" xfId="5054"/>
    <cellStyle name="Normal 32 4 3 2" xfId="5055"/>
    <cellStyle name="Normal 32 4 3 2 2" xfId="11224"/>
    <cellStyle name="Normal 32 4 3 3" xfId="11223"/>
    <cellStyle name="Normal 32 4 4" xfId="5056"/>
    <cellStyle name="Normal 32 4 4 2" xfId="5057"/>
    <cellStyle name="Normal 32 4 4 2 2" xfId="11226"/>
    <cellStyle name="Normal 32 4 4 3" xfId="11225"/>
    <cellStyle name="Normal 32 4 5" xfId="5058"/>
    <cellStyle name="Normal 32 4 5 2" xfId="11227"/>
    <cellStyle name="Normal 32 4 6" xfId="11216"/>
    <cellStyle name="Normal 32 5" xfId="5059"/>
    <cellStyle name="Normal 32 5 2" xfId="5060"/>
    <cellStyle name="Normal 32 5 2 2" xfId="5061"/>
    <cellStyle name="Normal 32 5 2 2 2" xfId="11230"/>
    <cellStyle name="Normal 32 5 2 3" xfId="11229"/>
    <cellStyle name="Normal 32 5 3" xfId="5062"/>
    <cellStyle name="Normal 32 5 3 2" xfId="5063"/>
    <cellStyle name="Normal 32 5 3 2 2" xfId="11232"/>
    <cellStyle name="Normal 32 5 3 3" xfId="11231"/>
    <cellStyle name="Normal 32 5 4" xfId="5064"/>
    <cellStyle name="Normal 32 5 4 2" xfId="11233"/>
    <cellStyle name="Normal 32 5 5" xfId="11228"/>
    <cellStyle name="Normal 32 6" xfId="5065"/>
    <cellStyle name="Normal 32 6 2" xfId="5066"/>
    <cellStyle name="Normal 32 6 2 2" xfId="11235"/>
    <cellStyle name="Normal 32 6 3" xfId="11234"/>
    <cellStyle name="Normal 32 7" xfId="5067"/>
    <cellStyle name="Normal 32 7 2" xfId="5068"/>
    <cellStyle name="Normal 32 7 2 2" xfId="11237"/>
    <cellStyle name="Normal 32 7 3" xfId="11236"/>
    <cellStyle name="Normal 32 8" xfId="5069"/>
    <cellStyle name="Normal 32 8 2" xfId="11238"/>
    <cellStyle name="Normal 32 9" xfId="5070"/>
    <cellStyle name="Normal 33" xfId="5071"/>
    <cellStyle name="Normal 33 2" xfId="5072"/>
    <cellStyle name="Normal 33 2 2" xfId="11240"/>
    <cellStyle name="Normal 33 3" xfId="5073"/>
    <cellStyle name="Normal 33 3 2" xfId="11241"/>
    <cellStyle name="Normal 33 4" xfId="5074"/>
    <cellStyle name="Normal 33 5" xfId="11239"/>
    <cellStyle name="Normal 34" xfId="5075"/>
    <cellStyle name="Normal 34 2" xfId="5076"/>
    <cellStyle name="Normal 34 2 2" xfId="11243"/>
    <cellStyle name="Normal 34 3" xfId="5077"/>
    <cellStyle name="Normal 34 3 2" xfId="11244"/>
    <cellStyle name="Normal 34 4" xfId="5078"/>
    <cellStyle name="Normal 34 5" xfId="11242"/>
    <cellStyle name="Normal 35" xfId="5079"/>
    <cellStyle name="Normal 35 2" xfId="5080"/>
    <cellStyle name="Normal 35 2 2" xfId="5081"/>
    <cellStyle name="Normal 35 2 2 2" xfId="5082"/>
    <cellStyle name="Normal 35 2 2 2 2" xfId="5083"/>
    <cellStyle name="Normal 35 2 2 2 2 2" xfId="5084"/>
    <cellStyle name="Normal 35 2 2 2 2 2 2" xfId="11250"/>
    <cellStyle name="Normal 35 2 2 2 2 3" xfId="11249"/>
    <cellStyle name="Normal 35 2 2 2 3" xfId="5085"/>
    <cellStyle name="Normal 35 2 2 2 3 2" xfId="5086"/>
    <cellStyle name="Normal 35 2 2 2 3 2 2" xfId="11252"/>
    <cellStyle name="Normal 35 2 2 2 3 3" xfId="11251"/>
    <cellStyle name="Normal 35 2 2 2 4" xfId="5087"/>
    <cellStyle name="Normal 35 2 2 2 4 2" xfId="11253"/>
    <cellStyle name="Normal 35 2 2 2 5" xfId="11248"/>
    <cellStyle name="Normal 35 2 2 3" xfId="5088"/>
    <cellStyle name="Normal 35 2 2 3 2" xfId="5089"/>
    <cellStyle name="Normal 35 2 2 3 2 2" xfId="11255"/>
    <cellStyle name="Normal 35 2 2 3 3" xfId="11254"/>
    <cellStyle name="Normal 35 2 2 4" xfId="5090"/>
    <cellStyle name="Normal 35 2 2 4 2" xfId="5091"/>
    <cellStyle name="Normal 35 2 2 4 2 2" xfId="11257"/>
    <cellStyle name="Normal 35 2 2 4 3" xfId="11256"/>
    <cellStyle name="Normal 35 2 2 5" xfId="5092"/>
    <cellStyle name="Normal 35 2 2 5 2" xfId="11258"/>
    <cellStyle name="Normal 35 2 2 6" xfId="11247"/>
    <cellStyle name="Normal 35 2 3" xfId="5093"/>
    <cellStyle name="Normal 35 2 3 2" xfId="5094"/>
    <cellStyle name="Normal 35 2 3 2 2" xfId="5095"/>
    <cellStyle name="Normal 35 2 3 2 2 2" xfId="11261"/>
    <cellStyle name="Normal 35 2 3 2 3" xfId="11260"/>
    <cellStyle name="Normal 35 2 3 3" xfId="5096"/>
    <cellStyle name="Normal 35 2 3 3 2" xfId="5097"/>
    <cellStyle name="Normal 35 2 3 3 2 2" xfId="11263"/>
    <cellStyle name="Normal 35 2 3 3 3" xfId="11262"/>
    <cellStyle name="Normal 35 2 3 4" xfId="5098"/>
    <cellStyle name="Normal 35 2 3 4 2" xfId="11264"/>
    <cellStyle name="Normal 35 2 3 5" xfId="11259"/>
    <cellStyle name="Normal 35 2 4" xfId="5099"/>
    <cellStyle name="Normal 35 2 4 2" xfId="5100"/>
    <cellStyle name="Normal 35 2 4 2 2" xfId="11266"/>
    <cellStyle name="Normal 35 2 4 3" xfId="11265"/>
    <cellStyle name="Normal 35 2 5" xfId="5101"/>
    <cellStyle name="Normal 35 2 5 2" xfId="5102"/>
    <cellStyle name="Normal 35 2 5 2 2" xfId="11268"/>
    <cellStyle name="Normal 35 2 5 3" xfId="11267"/>
    <cellStyle name="Normal 35 2 6" xfId="5103"/>
    <cellStyle name="Normal 35 2 6 2" xfId="11269"/>
    <cellStyle name="Normal 35 2 7" xfId="11246"/>
    <cellStyle name="Normal 35 3" xfId="5104"/>
    <cellStyle name="Normal 35 3 2" xfId="5105"/>
    <cellStyle name="Normal 35 3 2 2" xfId="5106"/>
    <cellStyle name="Normal 35 3 2 2 2" xfId="5107"/>
    <cellStyle name="Normal 35 3 2 2 2 2" xfId="11273"/>
    <cellStyle name="Normal 35 3 2 2 3" xfId="11272"/>
    <cellStyle name="Normal 35 3 2 3" xfId="5108"/>
    <cellStyle name="Normal 35 3 2 3 2" xfId="5109"/>
    <cellStyle name="Normal 35 3 2 3 2 2" xfId="11275"/>
    <cellStyle name="Normal 35 3 2 3 3" xfId="11274"/>
    <cellStyle name="Normal 35 3 2 4" xfId="5110"/>
    <cellStyle name="Normal 35 3 2 4 2" xfId="11276"/>
    <cellStyle name="Normal 35 3 2 5" xfId="11271"/>
    <cellStyle name="Normal 35 3 3" xfId="5111"/>
    <cellStyle name="Normal 35 3 3 2" xfId="5112"/>
    <cellStyle name="Normal 35 3 3 2 2" xfId="11278"/>
    <cellStyle name="Normal 35 3 3 3" xfId="11277"/>
    <cellStyle name="Normal 35 3 4" xfId="5113"/>
    <cellStyle name="Normal 35 3 4 2" xfId="5114"/>
    <cellStyle name="Normal 35 3 4 2 2" xfId="11280"/>
    <cellStyle name="Normal 35 3 4 3" xfId="11279"/>
    <cellStyle name="Normal 35 3 5" xfId="5115"/>
    <cellStyle name="Normal 35 3 5 2" xfId="11281"/>
    <cellStyle name="Normal 35 3 6" xfId="11270"/>
    <cellStyle name="Normal 35 4" xfId="5116"/>
    <cellStyle name="Normal 35 4 2" xfId="5117"/>
    <cellStyle name="Normal 35 4 2 2" xfId="5118"/>
    <cellStyle name="Normal 35 4 2 2 2" xfId="11284"/>
    <cellStyle name="Normal 35 4 2 3" xfId="11283"/>
    <cellStyle name="Normal 35 4 3" xfId="5119"/>
    <cellStyle name="Normal 35 4 3 2" xfId="5120"/>
    <cellStyle name="Normal 35 4 3 2 2" xfId="11286"/>
    <cellStyle name="Normal 35 4 3 3" xfId="11285"/>
    <cellStyle name="Normal 35 4 4" xfId="5121"/>
    <cellStyle name="Normal 35 4 4 2" xfId="11287"/>
    <cellStyle name="Normal 35 4 5" xfId="11282"/>
    <cellStyle name="Normal 35 5" xfId="5122"/>
    <cellStyle name="Normal 35 5 2" xfId="5123"/>
    <cellStyle name="Normal 35 5 2 2" xfId="11289"/>
    <cellStyle name="Normal 35 5 3" xfId="11288"/>
    <cellStyle name="Normal 35 6" xfId="5124"/>
    <cellStyle name="Normal 35 6 2" xfId="5125"/>
    <cellStyle name="Normal 35 6 2 2" xfId="11291"/>
    <cellStyle name="Normal 35 6 3" xfId="11290"/>
    <cellStyle name="Normal 35 7" xfId="5126"/>
    <cellStyle name="Normal 35 7 2" xfId="11292"/>
    <cellStyle name="Normal 35 8" xfId="5127"/>
    <cellStyle name="Normal 35 9" xfId="11245"/>
    <cellStyle name="Normal 36" xfId="5128"/>
    <cellStyle name="Normal 36 2" xfId="5129"/>
    <cellStyle name="Normal 36 2 2" xfId="5130"/>
    <cellStyle name="Normal 36 2 2 2" xfId="5131"/>
    <cellStyle name="Normal 36 2 2 2 2" xfId="5132"/>
    <cellStyle name="Normal 36 2 2 2 2 2" xfId="5133"/>
    <cellStyle name="Normal 36 2 2 2 2 2 2" xfId="11298"/>
    <cellStyle name="Normal 36 2 2 2 2 3" xfId="11297"/>
    <cellStyle name="Normal 36 2 2 2 3" xfId="5134"/>
    <cellStyle name="Normal 36 2 2 2 3 2" xfId="5135"/>
    <cellStyle name="Normal 36 2 2 2 3 2 2" xfId="11300"/>
    <cellStyle name="Normal 36 2 2 2 3 3" xfId="11299"/>
    <cellStyle name="Normal 36 2 2 2 4" xfId="5136"/>
    <cellStyle name="Normal 36 2 2 2 4 2" xfId="11301"/>
    <cellStyle name="Normal 36 2 2 2 5" xfId="11296"/>
    <cellStyle name="Normal 36 2 2 3" xfId="5137"/>
    <cellStyle name="Normal 36 2 2 3 2" xfId="5138"/>
    <cellStyle name="Normal 36 2 2 3 2 2" xfId="11303"/>
    <cellStyle name="Normal 36 2 2 3 3" xfId="11302"/>
    <cellStyle name="Normal 36 2 2 4" xfId="5139"/>
    <cellStyle name="Normal 36 2 2 4 2" xfId="5140"/>
    <cellStyle name="Normal 36 2 2 4 2 2" xfId="11305"/>
    <cellStyle name="Normal 36 2 2 4 3" xfId="11304"/>
    <cellStyle name="Normal 36 2 2 5" xfId="5141"/>
    <cellStyle name="Normal 36 2 2 5 2" xfId="11306"/>
    <cellStyle name="Normal 36 2 2 6" xfId="11295"/>
    <cellStyle name="Normal 36 2 3" xfId="5142"/>
    <cellStyle name="Normal 36 2 3 2" xfId="5143"/>
    <cellStyle name="Normal 36 2 3 2 2" xfId="5144"/>
    <cellStyle name="Normal 36 2 3 2 2 2" xfId="11309"/>
    <cellStyle name="Normal 36 2 3 2 3" xfId="11308"/>
    <cellStyle name="Normal 36 2 3 3" xfId="5145"/>
    <cellStyle name="Normal 36 2 3 3 2" xfId="5146"/>
    <cellStyle name="Normal 36 2 3 3 2 2" xfId="11311"/>
    <cellStyle name="Normal 36 2 3 3 3" xfId="11310"/>
    <cellStyle name="Normal 36 2 3 4" xfId="5147"/>
    <cellStyle name="Normal 36 2 3 4 2" xfId="11312"/>
    <cellStyle name="Normal 36 2 3 5" xfId="11307"/>
    <cellStyle name="Normal 36 2 4" xfId="5148"/>
    <cellStyle name="Normal 36 2 4 2" xfId="5149"/>
    <cellStyle name="Normal 36 2 4 2 2" xfId="11314"/>
    <cellStyle name="Normal 36 2 4 3" xfId="11313"/>
    <cellStyle name="Normal 36 2 5" xfId="5150"/>
    <cellStyle name="Normal 36 2 5 2" xfId="5151"/>
    <cellStyle name="Normal 36 2 5 2 2" xfId="11316"/>
    <cellStyle name="Normal 36 2 5 3" xfId="11315"/>
    <cellStyle name="Normal 36 2 6" xfId="5152"/>
    <cellStyle name="Normal 36 2 6 2" xfId="11317"/>
    <cellStyle name="Normal 36 2 7" xfId="11294"/>
    <cellStyle name="Normal 36 3" xfId="5153"/>
    <cellStyle name="Normal 36 3 2" xfId="5154"/>
    <cellStyle name="Normal 36 3 2 2" xfId="5155"/>
    <cellStyle name="Normal 36 3 2 2 2" xfId="5156"/>
    <cellStyle name="Normal 36 3 2 2 2 2" xfId="11321"/>
    <cellStyle name="Normal 36 3 2 2 3" xfId="11320"/>
    <cellStyle name="Normal 36 3 2 3" xfId="5157"/>
    <cellStyle name="Normal 36 3 2 3 2" xfId="5158"/>
    <cellStyle name="Normal 36 3 2 3 2 2" xfId="11323"/>
    <cellStyle name="Normal 36 3 2 3 3" xfId="11322"/>
    <cellStyle name="Normal 36 3 2 4" xfId="5159"/>
    <cellStyle name="Normal 36 3 2 4 2" xfId="11324"/>
    <cellStyle name="Normal 36 3 2 5" xfId="11319"/>
    <cellStyle name="Normal 36 3 3" xfId="5160"/>
    <cellStyle name="Normal 36 3 3 2" xfId="5161"/>
    <cellStyle name="Normal 36 3 3 2 2" xfId="11326"/>
    <cellStyle name="Normal 36 3 3 3" xfId="11325"/>
    <cellStyle name="Normal 36 3 4" xfId="5162"/>
    <cellStyle name="Normal 36 3 4 2" xfId="5163"/>
    <cellStyle name="Normal 36 3 4 2 2" xfId="11328"/>
    <cellStyle name="Normal 36 3 4 3" xfId="11327"/>
    <cellStyle name="Normal 36 3 5" xfId="5164"/>
    <cellStyle name="Normal 36 3 5 2" xfId="11329"/>
    <cellStyle name="Normal 36 3 6" xfId="11318"/>
    <cellStyle name="Normal 36 4" xfId="5165"/>
    <cellStyle name="Normal 36 4 2" xfId="5166"/>
    <cellStyle name="Normal 36 4 2 2" xfId="5167"/>
    <cellStyle name="Normal 36 4 2 2 2" xfId="11332"/>
    <cellStyle name="Normal 36 4 2 3" xfId="11331"/>
    <cellStyle name="Normal 36 4 3" xfId="5168"/>
    <cellStyle name="Normal 36 4 3 2" xfId="5169"/>
    <cellStyle name="Normal 36 4 3 2 2" xfId="11334"/>
    <cellStyle name="Normal 36 4 3 3" xfId="11333"/>
    <cellStyle name="Normal 36 4 4" xfId="5170"/>
    <cellStyle name="Normal 36 4 4 2" xfId="11335"/>
    <cellStyle name="Normal 36 4 5" xfId="11330"/>
    <cellStyle name="Normal 36 5" xfId="5171"/>
    <cellStyle name="Normal 36 5 2" xfId="5172"/>
    <cellStyle name="Normal 36 5 2 2" xfId="11337"/>
    <cellStyle name="Normal 36 5 3" xfId="11336"/>
    <cellStyle name="Normal 36 6" xfId="5173"/>
    <cellStyle name="Normal 36 6 2" xfId="5174"/>
    <cellStyle name="Normal 36 6 2 2" xfId="11339"/>
    <cellStyle name="Normal 36 6 3" xfId="11338"/>
    <cellStyle name="Normal 36 7" xfId="5175"/>
    <cellStyle name="Normal 36 7 2" xfId="11340"/>
    <cellStyle name="Normal 36 8" xfId="5176"/>
    <cellStyle name="Normal 36 9" xfId="11293"/>
    <cellStyle name="Normal 37" xfId="5177"/>
    <cellStyle name="Normal 37 2" xfId="5178"/>
    <cellStyle name="Normal 37 2 2" xfId="5179"/>
    <cellStyle name="Normal 37 2 2 2" xfId="5180"/>
    <cellStyle name="Normal 37 2 2 2 2" xfId="5181"/>
    <cellStyle name="Normal 37 2 2 2 2 2" xfId="5182"/>
    <cellStyle name="Normal 37 2 2 2 2 2 2" xfId="11346"/>
    <cellStyle name="Normal 37 2 2 2 2 3" xfId="11345"/>
    <cellStyle name="Normal 37 2 2 2 3" xfId="5183"/>
    <cellStyle name="Normal 37 2 2 2 3 2" xfId="5184"/>
    <cellStyle name="Normal 37 2 2 2 3 2 2" xfId="11348"/>
    <cellStyle name="Normal 37 2 2 2 3 3" xfId="11347"/>
    <cellStyle name="Normal 37 2 2 2 4" xfId="5185"/>
    <cellStyle name="Normal 37 2 2 2 4 2" xfId="11349"/>
    <cellStyle name="Normal 37 2 2 2 5" xfId="11344"/>
    <cellStyle name="Normal 37 2 2 3" xfId="5186"/>
    <cellStyle name="Normal 37 2 2 3 2" xfId="5187"/>
    <cellStyle name="Normal 37 2 2 3 2 2" xfId="11351"/>
    <cellStyle name="Normal 37 2 2 3 3" xfId="11350"/>
    <cellStyle name="Normal 37 2 2 4" xfId="5188"/>
    <cellStyle name="Normal 37 2 2 4 2" xfId="5189"/>
    <cellStyle name="Normal 37 2 2 4 2 2" xfId="11353"/>
    <cellStyle name="Normal 37 2 2 4 3" xfId="11352"/>
    <cellStyle name="Normal 37 2 2 5" xfId="5190"/>
    <cellStyle name="Normal 37 2 2 5 2" xfId="11354"/>
    <cellStyle name="Normal 37 2 2 6" xfId="11343"/>
    <cellStyle name="Normal 37 2 3" xfId="5191"/>
    <cellStyle name="Normal 37 2 3 2" xfId="5192"/>
    <cellStyle name="Normal 37 2 3 2 2" xfId="5193"/>
    <cellStyle name="Normal 37 2 3 2 2 2" xfId="11357"/>
    <cellStyle name="Normal 37 2 3 2 3" xfId="11356"/>
    <cellStyle name="Normal 37 2 3 3" xfId="5194"/>
    <cellStyle name="Normal 37 2 3 3 2" xfId="5195"/>
    <cellStyle name="Normal 37 2 3 3 2 2" xfId="11359"/>
    <cellStyle name="Normal 37 2 3 3 3" xfId="11358"/>
    <cellStyle name="Normal 37 2 3 4" xfId="5196"/>
    <cellStyle name="Normal 37 2 3 4 2" xfId="11360"/>
    <cellStyle name="Normal 37 2 3 5" xfId="11355"/>
    <cellStyle name="Normal 37 2 4" xfId="5197"/>
    <cellStyle name="Normal 37 2 4 2" xfId="5198"/>
    <cellStyle name="Normal 37 2 4 2 2" xfId="11362"/>
    <cellStyle name="Normal 37 2 4 3" xfId="11361"/>
    <cellStyle name="Normal 37 2 5" xfId="5199"/>
    <cellStyle name="Normal 37 2 5 2" xfId="5200"/>
    <cellStyle name="Normal 37 2 5 2 2" xfId="11364"/>
    <cellStyle name="Normal 37 2 5 3" xfId="11363"/>
    <cellStyle name="Normal 37 2 6" xfId="5201"/>
    <cellStyle name="Normal 37 2 6 2" xfId="11365"/>
    <cellStyle name="Normal 37 2 7" xfId="11342"/>
    <cellStyle name="Normal 37 3" xfId="5202"/>
    <cellStyle name="Normal 37 3 2" xfId="5203"/>
    <cellStyle name="Normal 37 3 2 2" xfId="5204"/>
    <cellStyle name="Normal 37 3 2 2 2" xfId="5205"/>
    <cellStyle name="Normal 37 3 2 2 2 2" xfId="11369"/>
    <cellStyle name="Normal 37 3 2 2 3" xfId="11368"/>
    <cellStyle name="Normal 37 3 2 3" xfId="5206"/>
    <cellStyle name="Normal 37 3 2 3 2" xfId="5207"/>
    <cellStyle name="Normal 37 3 2 3 2 2" xfId="11371"/>
    <cellStyle name="Normal 37 3 2 3 3" xfId="11370"/>
    <cellStyle name="Normal 37 3 2 4" xfId="5208"/>
    <cellStyle name="Normal 37 3 2 4 2" xfId="11372"/>
    <cellStyle name="Normal 37 3 2 5" xfId="11367"/>
    <cellStyle name="Normal 37 3 3" xfId="5209"/>
    <cellStyle name="Normal 37 3 3 2" xfId="5210"/>
    <cellStyle name="Normal 37 3 3 2 2" xfId="11374"/>
    <cellStyle name="Normal 37 3 3 3" xfId="11373"/>
    <cellStyle name="Normal 37 3 4" xfId="5211"/>
    <cellStyle name="Normal 37 3 4 2" xfId="5212"/>
    <cellStyle name="Normal 37 3 4 2 2" xfId="11376"/>
    <cellStyle name="Normal 37 3 4 3" xfId="11375"/>
    <cellStyle name="Normal 37 3 5" xfId="5213"/>
    <cellStyle name="Normal 37 3 5 2" xfId="11377"/>
    <cellStyle name="Normal 37 3 6" xfId="11366"/>
    <cellStyle name="Normal 37 4" xfId="5214"/>
    <cellStyle name="Normal 37 4 2" xfId="5215"/>
    <cellStyle name="Normal 37 4 2 2" xfId="5216"/>
    <cellStyle name="Normal 37 4 2 2 2" xfId="11380"/>
    <cellStyle name="Normal 37 4 2 3" xfId="11379"/>
    <cellStyle name="Normal 37 4 3" xfId="5217"/>
    <cellStyle name="Normal 37 4 3 2" xfId="5218"/>
    <cellStyle name="Normal 37 4 3 2 2" xfId="11382"/>
    <cellStyle name="Normal 37 4 3 3" xfId="11381"/>
    <cellStyle name="Normal 37 4 4" xfId="5219"/>
    <cellStyle name="Normal 37 4 4 2" xfId="11383"/>
    <cellStyle name="Normal 37 4 5" xfId="11378"/>
    <cellStyle name="Normal 37 5" xfId="5220"/>
    <cellStyle name="Normal 37 5 2" xfId="5221"/>
    <cellStyle name="Normal 37 5 2 2" xfId="11385"/>
    <cellStyle name="Normal 37 5 3" xfId="11384"/>
    <cellStyle name="Normal 37 6" xfId="5222"/>
    <cellStyle name="Normal 37 6 2" xfId="5223"/>
    <cellStyle name="Normal 37 6 2 2" xfId="11387"/>
    <cellStyle name="Normal 37 6 3" xfId="11386"/>
    <cellStyle name="Normal 37 7" xfId="5224"/>
    <cellStyle name="Normal 37 7 2" xfId="11388"/>
    <cellStyle name="Normal 37 8" xfId="5225"/>
    <cellStyle name="Normal 37 9" xfId="11341"/>
    <cellStyle name="Normal 38" xfId="5226"/>
    <cellStyle name="Normal 38 2" xfId="5227"/>
    <cellStyle name="Normal 38 2 2" xfId="5228"/>
    <cellStyle name="Normal 38 2 2 2" xfId="5229"/>
    <cellStyle name="Normal 38 2 2 2 2" xfId="5230"/>
    <cellStyle name="Normal 38 2 2 2 2 2" xfId="5231"/>
    <cellStyle name="Normal 38 2 2 2 2 2 2" xfId="11394"/>
    <cellStyle name="Normal 38 2 2 2 2 3" xfId="11393"/>
    <cellStyle name="Normal 38 2 2 2 3" xfId="5232"/>
    <cellStyle name="Normal 38 2 2 2 3 2" xfId="5233"/>
    <cellStyle name="Normal 38 2 2 2 3 2 2" xfId="11396"/>
    <cellStyle name="Normal 38 2 2 2 3 3" xfId="11395"/>
    <cellStyle name="Normal 38 2 2 2 4" xfId="5234"/>
    <cellStyle name="Normal 38 2 2 2 4 2" xfId="11397"/>
    <cellStyle name="Normal 38 2 2 2 5" xfId="11392"/>
    <cellStyle name="Normal 38 2 2 3" xfId="5235"/>
    <cellStyle name="Normal 38 2 2 3 2" xfId="5236"/>
    <cellStyle name="Normal 38 2 2 3 2 2" xfId="11399"/>
    <cellStyle name="Normal 38 2 2 3 3" xfId="11398"/>
    <cellStyle name="Normal 38 2 2 4" xfId="5237"/>
    <cellStyle name="Normal 38 2 2 4 2" xfId="5238"/>
    <cellStyle name="Normal 38 2 2 4 2 2" xfId="11401"/>
    <cellStyle name="Normal 38 2 2 4 3" xfId="11400"/>
    <cellStyle name="Normal 38 2 2 5" xfId="5239"/>
    <cellStyle name="Normal 38 2 2 5 2" xfId="11402"/>
    <cellStyle name="Normal 38 2 2 6" xfId="11391"/>
    <cellStyle name="Normal 38 2 3" xfId="5240"/>
    <cellStyle name="Normal 38 2 3 2" xfId="5241"/>
    <cellStyle name="Normal 38 2 3 2 2" xfId="5242"/>
    <cellStyle name="Normal 38 2 3 2 2 2" xfId="11405"/>
    <cellStyle name="Normal 38 2 3 2 3" xfId="11404"/>
    <cellStyle name="Normal 38 2 3 3" xfId="5243"/>
    <cellStyle name="Normal 38 2 3 3 2" xfId="5244"/>
    <cellStyle name="Normal 38 2 3 3 2 2" xfId="11407"/>
    <cellStyle name="Normal 38 2 3 3 3" xfId="11406"/>
    <cellStyle name="Normal 38 2 3 4" xfId="5245"/>
    <cellStyle name="Normal 38 2 3 4 2" xfId="11408"/>
    <cellStyle name="Normal 38 2 3 5" xfId="11403"/>
    <cellStyle name="Normal 38 2 4" xfId="5246"/>
    <cellStyle name="Normal 38 2 4 2" xfId="5247"/>
    <cellStyle name="Normal 38 2 4 2 2" xfId="11410"/>
    <cellStyle name="Normal 38 2 4 3" xfId="11409"/>
    <cellStyle name="Normal 38 2 5" xfId="5248"/>
    <cellStyle name="Normal 38 2 5 2" xfId="5249"/>
    <cellStyle name="Normal 38 2 5 2 2" xfId="11412"/>
    <cellStyle name="Normal 38 2 5 3" xfId="11411"/>
    <cellStyle name="Normal 38 2 6" xfId="5250"/>
    <cellStyle name="Normal 38 2 6 2" xfId="11413"/>
    <cellStyle name="Normal 38 2 7" xfId="11390"/>
    <cellStyle name="Normal 38 3" xfId="5251"/>
    <cellStyle name="Normal 38 3 2" xfId="5252"/>
    <cellStyle name="Normal 38 3 2 2" xfId="5253"/>
    <cellStyle name="Normal 38 3 2 2 2" xfId="5254"/>
    <cellStyle name="Normal 38 3 2 2 2 2" xfId="11417"/>
    <cellStyle name="Normal 38 3 2 2 3" xfId="11416"/>
    <cellStyle name="Normal 38 3 2 3" xfId="5255"/>
    <cellStyle name="Normal 38 3 2 3 2" xfId="5256"/>
    <cellStyle name="Normal 38 3 2 3 2 2" xfId="11419"/>
    <cellStyle name="Normal 38 3 2 3 3" xfId="11418"/>
    <cellStyle name="Normal 38 3 2 4" xfId="5257"/>
    <cellStyle name="Normal 38 3 2 4 2" xfId="11420"/>
    <cellStyle name="Normal 38 3 2 5" xfId="11415"/>
    <cellStyle name="Normal 38 3 3" xfId="5258"/>
    <cellStyle name="Normal 38 3 3 2" xfId="5259"/>
    <cellStyle name="Normal 38 3 3 2 2" xfId="11422"/>
    <cellStyle name="Normal 38 3 3 3" xfId="11421"/>
    <cellStyle name="Normal 38 3 4" xfId="5260"/>
    <cellStyle name="Normal 38 3 4 2" xfId="5261"/>
    <cellStyle name="Normal 38 3 4 2 2" xfId="11424"/>
    <cellStyle name="Normal 38 3 4 3" xfId="11423"/>
    <cellStyle name="Normal 38 3 5" xfId="5262"/>
    <cellStyle name="Normal 38 3 5 2" xfId="11425"/>
    <cellStyle name="Normal 38 3 6" xfId="11414"/>
    <cellStyle name="Normal 38 4" xfId="5263"/>
    <cellStyle name="Normal 38 4 2" xfId="5264"/>
    <cellStyle name="Normal 38 4 2 2" xfId="5265"/>
    <cellStyle name="Normal 38 4 2 2 2" xfId="11428"/>
    <cellStyle name="Normal 38 4 2 3" xfId="11427"/>
    <cellStyle name="Normal 38 4 3" xfId="5266"/>
    <cellStyle name="Normal 38 4 3 2" xfId="5267"/>
    <cellStyle name="Normal 38 4 3 2 2" xfId="11430"/>
    <cellStyle name="Normal 38 4 3 3" xfId="11429"/>
    <cellStyle name="Normal 38 4 4" xfId="5268"/>
    <cellStyle name="Normal 38 4 4 2" xfId="11431"/>
    <cellStyle name="Normal 38 4 5" xfId="11426"/>
    <cellStyle name="Normal 38 5" xfId="5269"/>
    <cellStyle name="Normal 38 5 2" xfId="5270"/>
    <cellStyle name="Normal 38 5 2 2" xfId="11433"/>
    <cellStyle name="Normal 38 5 3" xfId="11432"/>
    <cellStyle name="Normal 38 6" xfId="5271"/>
    <cellStyle name="Normal 38 6 2" xfId="5272"/>
    <cellStyle name="Normal 38 6 2 2" xfId="11435"/>
    <cellStyle name="Normal 38 6 3" xfId="11434"/>
    <cellStyle name="Normal 38 7" xfId="5273"/>
    <cellStyle name="Normal 38 7 2" xfId="11436"/>
    <cellStyle name="Normal 38 8" xfId="5274"/>
    <cellStyle name="Normal 38 9" xfId="11389"/>
    <cellStyle name="Normal 39" xfId="5275"/>
    <cellStyle name="Normal 39 2" xfId="5276"/>
    <cellStyle name="Normal 39 2 2" xfId="5277"/>
    <cellStyle name="Normal 39 2 2 2" xfId="5278"/>
    <cellStyle name="Normal 39 2 2 2 2" xfId="5279"/>
    <cellStyle name="Normal 39 2 2 2 2 2" xfId="5280"/>
    <cellStyle name="Normal 39 2 2 2 2 2 2" xfId="11442"/>
    <cellStyle name="Normal 39 2 2 2 2 3" xfId="11441"/>
    <cellStyle name="Normal 39 2 2 2 3" xfId="5281"/>
    <cellStyle name="Normal 39 2 2 2 3 2" xfId="5282"/>
    <cellStyle name="Normal 39 2 2 2 3 2 2" xfId="11444"/>
    <cellStyle name="Normal 39 2 2 2 3 3" xfId="11443"/>
    <cellStyle name="Normal 39 2 2 2 4" xfId="5283"/>
    <cellStyle name="Normal 39 2 2 2 4 2" xfId="11445"/>
    <cellStyle name="Normal 39 2 2 2 5" xfId="11440"/>
    <cellStyle name="Normal 39 2 2 3" xfId="5284"/>
    <cellStyle name="Normal 39 2 2 3 2" xfId="5285"/>
    <cellStyle name="Normal 39 2 2 3 2 2" xfId="11447"/>
    <cellStyle name="Normal 39 2 2 3 3" xfId="11446"/>
    <cellStyle name="Normal 39 2 2 4" xfId="5286"/>
    <cellStyle name="Normal 39 2 2 4 2" xfId="5287"/>
    <cellStyle name="Normal 39 2 2 4 2 2" xfId="11449"/>
    <cellStyle name="Normal 39 2 2 4 3" xfId="11448"/>
    <cellStyle name="Normal 39 2 2 5" xfId="5288"/>
    <cellStyle name="Normal 39 2 2 5 2" xfId="11450"/>
    <cellStyle name="Normal 39 2 2 6" xfId="11439"/>
    <cellStyle name="Normal 39 2 3" xfId="5289"/>
    <cellStyle name="Normal 39 2 3 2" xfId="5290"/>
    <cellStyle name="Normal 39 2 3 2 2" xfId="5291"/>
    <cellStyle name="Normal 39 2 3 2 2 2" xfId="11453"/>
    <cellStyle name="Normal 39 2 3 2 3" xfId="11452"/>
    <cellStyle name="Normal 39 2 3 3" xfId="5292"/>
    <cellStyle name="Normal 39 2 3 3 2" xfId="5293"/>
    <cellStyle name="Normal 39 2 3 3 2 2" xfId="11455"/>
    <cellStyle name="Normal 39 2 3 3 3" xfId="11454"/>
    <cellStyle name="Normal 39 2 3 4" xfId="5294"/>
    <cellStyle name="Normal 39 2 3 4 2" xfId="11456"/>
    <cellStyle name="Normal 39 2 3 5" xfId="11451"/>
    <cellStyle name="Normal 39 2 4" xfId="5295"/>
    <cellStyle name="Normal 39 2 4 2" xfId="5296"/>
    <cellStyle name="Normal 39 2 4 2 2" xfId="11458"/>
    <cellStyle name="Normal 39 2 4 3" xfId="11457"/>
    <cellStyle name="Normal 39 2 5" xfId="5297"/>
    <cellStyle name="Normal 39 2 5 2" xfId="5298"/>
    <cellStyle name="Normal 39 2 5 2 2" xfId="11460"/>
    <cellStyle name="Normal 39 2 5 3" xfId="11459"/>
    <cellStyle name="Normal 39 2 6" xfId="5299"/>
    <cellStyle name="Normal 39 2 6 2" xfId="11461"/>
    <cellStyle name="Normal 39 2 7" xfId="11438"/>
    <cellStyle name="Normal 39 3" xfId="5300"/>
    <cellStyle name="Normal 39 3 2" xfId="5301"/>
    <cellStyle name="Normal 39 3 2 2" xfId="5302"/>
    <cellStyle name="Normal 39 3 2 2 2" xfId="5303"/>
    <cellStyle name="Normal 39 3 2 2 2 2" xfId="11465"/>
    <cellStyle name="Normal 39 3 2 2 3" xfId="11464"/>
    <cellStyle name="Normal 39 3 2 3" xfId="5304"/>
    <cellStyle name="Normal 39 3 2 3 2" xfId="5305"/>
    <cellStyle name="Normal 39 3 2 3 2 2" xfId="11467"/>
    <cellStyle name="Normal 39 3 2 3 3" xfId="11466"/>
    <cellStyle name="Normal 39 3 2 4" xfId="5306"/>
    <cellStyle name="Normal 39 3 2 4 2" xfId="11468"/>
    <cellStyle name="Normal 39 3 2 5" xfId="11463"/>
    <cellStyle name="Normal 39 3 3" xfId="5307"/>
    <cellStyle name="Normal 39 3 3 2" xfId="5308"/>
    <cellStyle name="Normal 39 3 3 2 2" xfId="11470"/>
    <cellStyle name="Normal 39 3 3 3" xfId="11469"/>
    <cellStyle name="Normal 39 3 4" xfId="5309"/>
    <cellStyle name="Normal 39 3 4 2" xfId="5310"/>
    <cellStyle name="Normal 39 3 4 2 2" xfId="11472"/>
    <cellStyle name="Normal 39 3 4 3" xfId="11471"/>
    <cellStyle name="Normal 39 3 5" xfId="5311"/>
    <cellStyle name="Normal 39 3 5 2" xfId="11473"/>
    <cellStyle name="Normal 39 3 6" xfId="11462"/>
    <cellStyle name="Normal 39 4" xfId="5312"/>
    <cellStyle name="Normal 39 4 2" xfId="5313"/>
    <cellStyle name="Normal 39 4 2 2" xfId="5314"/>
    <cellStyle name="Normal 39 4 2 2 2" xfId="11476"/>
    <cellStyle name="Normal 39 4 2 3" xfId="11475"/>
    <cellStyle name="Normal 39 4 3" xfId="5315"/>
    <cellStyle name="Normal 39 4 3 2" xfId="5316"/>
    <cellStyle name="Normal 39 4 3 2 2" xfId="11478"/>
    <cellStyle name="Normal 39 4 3 3" xfId="11477"/>
    <cellStyle name="Normal 39 4 4" xfId="5317"/>
    <cellStyle name="Normal 39 4 4 2" xfId="11479"/>
    <cellStyle name="Normal 39 4 5" xfId="11474"/>
    <cellStyle name="Normal 39 5" xfId="5318"/>
    <cellStyle name="Normal 39 5 2" xfId="5319"/>
    <cellStyle name="Normal 39 5 2 2" xfId="11481"/>
    <cellStyle name="Normal 39 5 3" xfId="11480"/>
    <cellStyle name="Normal 39 6" xfId="5320"/>
    <cellStyle name="Normal 39 6 2" xfId="5321"/>
    <cellStyle name="Normal 39 6 2 2" xfId="11483"/>
    <cellStyle name="Normal 39 6 3" xfId="11482"/>
    <cellStyle name="Normal 39 7" xfId="5322"/>
    <cellStyle name="Normal 39 7 2" xfId="11484"/>
    <cellStyle name="Normal 39 8" xfId="5323"/>
    <cellStyle name="Normal 39 9" xfId="11437"/>
    <cellStyle name="Normal 4" xfId="5324"/>
    <cellStyle name="Normal 4 2" xfId="5325"/>
    <cellStyle name="Normal 4 2 2" xfId="5326"/>
    <cellStyle name="Normal 4 2 2 2" xfId="5327"/>
    <cellStyle name="Normal 4 2 2 2 2" xfId="5328"/>
    <cellStyle name="Normal 4 2 2 2 2 2" xfId="5329"/>
    <cellStyle name="Normal 4 2 2 2 2 2 2" xfId="11490"/>
    <cellStyle name="Normal 4 2 2 2 2 3" xfId="11489"/>
    <cellStyle name="Normal 4 2 2 2 3" xfId="5330"/>
    <cellStyle name="Normal 4 2 2 2 3 2" xfId="5331"/>
    <cellStyle name="Normal 4 2 2 2 3 2 2" xfId="11492"/>
    <cellStyle name="Normal 4 2 2 2 3 3" xfId="11491"/>
    <cellStyle name="Normal 4 2 2 2 4" xfId="5332"/>
    <cellStyle name="Normal 4 2 2 2 4 2" xfId="11493"/>
    <cellStyle name="Normal 4 2 2 2 5" xfId="11488"/>
    <cellStyle name="Normal 4 2 2 3" xfId="5333"/>
    <cellStyle name="Normal 4 2 2 3 2" xfId="5334"/>
    <cellStyle name="Normal 4 2 2 3 2 2" xfId="11495"/>
    <cellStyle name="Normal 4 2 2 3 3" xfId="11494"/>
    <cellStyle name="Normal 4 2 2 4" xfId="5335"/>
    <cellStyle name="Normal 4 2 2 4 2" xfId="5336"/>
    <cellStyle name="Normal 4 2 2 4 2 2" xfId="11497"/>
    <cellStyle name="Normal 4 2 2 4 3" xfId="11496"/>
    <cellStyle name="Normal 4 2 2 5" xfId="5337"/>
    <cellStyle name="Normal 4 2 2 5 2" xfId="11498"/>
    <cellStyle name="Normal 4 2 2 6" xfId="5338"/>
    <cellStyle name="Normal 4 2 2 7" xfId="11487"/>
    <cellStyle name="Normal 4 2 3" xfId="5339"/>
    <cellStyle name="Normal 4 2 3 2" xfId="5340"/>
    <cellStyle name="Normal 4 2 3 2 2" xfId="5341"/>
    <cellStyle name="Normal 4 2 3 2 2 2" xfId="11501"/>
    <cellStyle name="Normal 4 2 3 2 3" xfId="11500"/>
    <cellStyle name="Normal 4 2 3 3" xfId="5342"/>
    <cellStyle name="Normal 4 2 3 3 2" xfId="5343"/>
    <cellStyle name="Normal 4 2 3 3 2 2" xfId="11503"/>
    <cellStyle name="Normal 4 2 3 3 3" xfId="11502"/>
    <cellStyle name="Normal 4 2 3 4" xfId="5344"/>
    <cellStyle name="Normal 4 2 3 4 2" xfId="11504"/>
    <cellStyle name="Normal 4 2 3 5" xfId="11499"/>
    <cellStyle name="Normal 4 2 4" xfId="5345"/>
    <cellStyle name="Normal 4 2 4 2" xfId="5346"/>
    <cellStyle name="Normal 4 2 4 2 2" xfId="11506"/>
    <cellStyle name="Normal 4 2 4 3" xfId="11505"/>
    <cellStyle name="Normal 4 2 5" xfId="5347"/>
    <cellStyle name="Normal 4 2 5 2" xfId="5348"/>
    <cellStyle name="Normal 4 2 5 2 2" xfId="11508"/>
    <cellStyle name="Normal 4 2 5 3" xfId="11507"/>
    <cellStyle name="Normal 4 2 6" xfId="5349"/>
    <cellStyle name="Normal 4 2 6 2" xfId="11509"/>
    <cellStyle name="Normal 4 2 7" xfId="5350"/>
    <cellStyle name="Normal 4 2 8" xfId="11486"/>
    <cellStyle name="Normal 4 3" xfId="5351"/>
    <cellStyle name="Normal 4 3 2" xfId="5352"/>
    <cellStyle name="Normal 4 3 2 2" xfId="5353"/>
    <cellStyle name="Normal 4 3 2 2 2" xfId="11512"/>
    <cellStyle name="Normal 4 3 2 3" xfId="5354"/>
    <cellStyle name="Normal 4 3 2 3 2" xfId="11513"/>
    <cellStyle name="Normal 4 3 2 4" xfId="5355"/>
    <cellStyle name="Normal 4 3 2 5" xfId="11511"/>
    <cellStyle name="Normal 4 3 3" xfId="5356"/>
    <cellStyle name="Normal 4 3 3 2" xfId="11514"/>
    <cellStyle name="Normal 4 3 4" xfId="5357"/>
    <cellStyle name="Normal 4 3 4 2" xfId="11515"/>
    <cellStyle name="Normal 4 3 5" xfId="5358"/>
    <cellStyle name="Normal 4 3 5 2" xfId="11516"/>
    <cellStyle name="Normal 4 3 6" xfId="5359"/>
    <cellStyle name="Normal 4 3 7" xfId="11510"/>
    <cellStyle name="Normal 4 4" xfId="5360"/>
    <cellStyle name="Normal 4 4 2" xfId="5361"/>
    <cellStyle name="Normal 4 4 2 2" xfId="11518"/>
    <cellStyle name="Normal 4 4 3" xfId="5362"/>
    <cellStyle name="Normal 4 4 4" xfId="11517"/>
    <cellStyle name="Normal 4 5" xfId="5363"/>
    <cellStyle name="Normal 4 5 2" xfId="11519"/>
    <cellStyle name="Normal 4 6" xfId="5364"/>
    <cellStyle name="Normal 4 7" xfId="11485"/>
    <cellStyle name="Normal 4_2180" xfId="5365"/>
    <cellStyle name="Normal 40" xfId="5366"/>
    <cellStyle name="Normal 40 2" xfId="5367"/>
    <cellStyle name="Normal 40 2 2" xfId="5368"/>
    <cellStyle name="Normal 40 2 2 2" xfId="5369"/>
    <cellStyle name="Normal 40 2 2 2 2" xfId="5370"/>
    <cellStyle name="Normal 40 2 2 2 2 2" xfId="5371"/>
    <cellStyle name="Normal 40 2 2 2 2 2 2" xfId="11525"/>
    <cellStyle name="Normal 40 2 2 2 2 3" xfId="11524"/>
    <cellStyle name="Normal 40 2 2 2 3" xfId="5372"/>
    <cellStyle name="Normal 40 2 2 2 3 2" xfId="5373"/>
    <cellStyle name="Normal 40 2 2 2 3 2 2" xfId="11527"/>
    <cellStyle name="Normal 40 2 2 2 3 3" xfId="11526"/>
    <cellStyle name="Normal 40 2 2 2 4" xfId="5374"/>
    <cellStyle name="Normal 40 2 2 2 4 2" xfId="11528"/>
    <cellStyle name="Normal 40 2 2 2 5" xfId="11523"/>
    <cellStyle name="Normal 40 2 2 3" xfId="5375"/>
    <cellStyle name="Normal 40 2 2 3 2" xfId="5376"/>
    <cellStyle name="Normal 40 2 2 3 2 2" xfId="11530"/>
    <cellStyle name="Normal 40 2 2 3 3" xfId="11529"/>
    <cellStyle name="Normal 40 2 2 4" xfId="5377"/>
    <cellStyle name="Normal 40 2 2 4 2" xfId="5378"/>
    <cellStyle name="Normal 40 2 2 4 2 2" xfId="11532"/>
    <cellStyle name="Normal 40 2 2 4 3" xfId="11531"/>
    <cellStyle name="Normal 40 2 2 5" xfId="5379"/>
    <cellStyle name="Normal 40 2 2 5 2" xfId="11533"/>
    <cellStyle name="Normal 40 2 2 6" xfId="11522"/>
    <cellStyle name="Normal 40 2 3" xfId="5380"/>
    <cellStyle name="Normal 40 2 3 2" xfId="5381"/>
    <cellStyle name="Normal 40 2 3 2 2" xfId="5382"/>
    <cellStyle name="Normal 40 2 3 2 2 2" xfId="11536"/>
    <cellStyle name="Normal 40 2 3 2 3" xfId="11535"/>
    <cellStyle name="Normal 40 2 3 3" xfId="5383"/>
    <cellStyle name="Normal 40 2 3 3 2" xfId="5384"/>
    <cellStyle name="Normal 40 2 3 3 2 2" xfId="11538"/>
    <cellStyle name="Normal 40 2 3 3 3" xfId="11537"/>
    <cellStyle name="Normal 40 2 3 4" xfId="5385"/>
    <cellStyle name="Normal 40 2 3 4 2" xfId="11539"/>
    <cellStyle name="Normal 40 2 3 5" xfId="11534"/>
    <cellStyle name="Normal 40 2 4" xfId="5386"/>
    <cellStyle name="Normal 40 2 4 2" xfId="5387"/>
    <cellStyle name="Normal 40 2 4 2 2" xfId="11541"/>
    <cellStyle name="Normal 40 2 4 3" xfId="11540"/>
    <cellStyle name="Normal 40 2 5" xfId="5388"/>
    <cellStyle name="Normal 40 2 5 2" xfId="5389"/>
    <cellStyle name="Normal 40 2 5 2 2" xfId="11543"/>
    <cellStyle name="Normal 40 2 5 3" xfId="11542"/>
    <cellStyle name="Normal 40 2 6" xfId="5390"/>
    <cellStyle name="Normal 40 2 6 2" xfId="11544"/>
    <cellStyle name="Normal 40 2 7" xfId="11521"/>
    <cellStyle name="Normal 40 3" xfId="5391"/>
    <cellStyle name="Normal 40 3 2" xfId="5392"/>
    <cellStyle name="Normal 40 3 2 2" xfId="5393"/>
    <cellStyle name="Normal 40 3 2 2 2" xfId="5394"/>
    <cellStyle name="Normal 40 3 2 2 2 2" xfId="11548"/>
    <cellStyle name="Normal 40 3 2 2 3" xfId="11547"/>
    <cellStyle name="Normal 40 3 2 3" xfId="5395"/>
    <cellStyle name="Normal 40 3 2 3 2" xfId="5396"/>
    <cellStyle name="Normal 40 3 2 3 2 2" xfId="11550"/>
    <cellStyle name="Normal 40 3 2 3 3" xfId="11549"/>
    <cellStyle name="Normal 40 3 2 4" xfId="5397"/>
    <cellStyle name="Normal 40 3 2 4 2" xfId="11551"/>
    <cellStyle name="Normal 40 3 2 5" xfId="11546"/>
    <cellStyle name="Normal 40 3 3" xfId="5398"/>
    <cellStyle name="Normal 40 3 3 2" xfId="5399"/>
    <cellStyle name="Normal 40 3 3 2 2" xfId="11553"/>
    <cellStyle name="Normal 40 3 3 3" xfId="11552"/>
    <cellStyle name="Normal 40 3 4" xfId="5400"/>
    <cellStyle name="Normal 40 3 4 2" xfId="5401"/>
    <cellStyle name="Normal 40 3 4 2 2" xfId="11555"/>
    <cellStyle name="Normal 40 3 4 3" xfId="11554"/>
    <cellStyle name="Normal 40 3 5" xfId="5402"/>
    <cellStyle name="Normal 40 3 5 2" xfId="11556"/>
    <cellStyle name="Normal 40 3 6" xfId="11545"/>
    <cellStyle name="Normal 40 4" xfId="5403"/>
    <cellStyle name="Normal 40 4 2" xfId="5404"/>
    <cellStyle name="Normal 40 4 2 2" xfId="5405"/>
    <cellStyle name="Normal 40 4 2 2 2" xfId="11559"/>
    <cellStyle name="Normal 40 4 2 3" xfId="11558"/>
    <cellStyle name="Normal 40 4 3" xfId="5406"/>
    <cellStyle name="Normal 40 4 3 2" xfId="5407"/>
    <cellStyle name="Normal 40 4 3 2 2" xfId="11561"/>
    <cellStyle name="Normal 40 4 3 3" xfId="11560"/>
    <cellStyle name="Normal 40 4 4" xfId="5408"/>
    <cellStyle name="Normal 40 4 4 2" xfId="11562"/>
    <cellStyle name="Normal 40 4 5" xfId="11557"/>
    <cellStyle name="Normal 40 5" xfId="5409"/>
    <cellStyle name="Normal 40 5 2" xfId="5410"/>
    <cellStyle name="Normal 40 5 2 2" xfId="11564"/>
    <cellStyle name="Normal 40 5 3" xfId="11563"/>
    <cellStyle name="Normal 40 6" xfId="5411"/>
    <cellStyle name="Normal 40 6 2" xfId="5412"/>
    <cellStyle name="Normal 40 6 2 2" xfId="11566"/>
    <cellStyle name="Normal 40 6 3" xfId="11565"/>
    <cellStyle name="Normal 40 7" xfId="5413"/>
    <cellStyle name="Normal 40 7 2" xfId="11567"/>
    <cellStyle name="Normal 40 8" xfId="5414"/>
    <cellStyle name="Normal 40 9" xfId="11520"/>
    <cellStyle name="Normal 41" xfId="5415"/>
    <cellStyle name="Normal 41 2" xfId="5416"/>
    <cellStyle name="Normal 41 2 2" xfId="5417"/>
    <cellStyle name="Normal 41 2 2 2" xfId="5418"/>
    <cellStyle name="Normal 41 2 2 2 2" xfId="5419"/>
    <cellStyle name="Normal 41 2 2 2 2 2" xfId="5420"/>
    <cellStyle name="Normal 41 2 2 2 2 2 2" xfId="11573"/>
    <cellStyle name="Normal 41 2 2 2 2 3" xfId="11572"/>
    <cellStyle name="Normal 41 2 2 2 3" xfId="5421"/>
    <cellStyle name="Normal 41 2 2 2 3 2" xfId="5422"/>
    <cellStyle name="Normal 41 2 2 2 3 2 2" xfId="11575"/>
    <cellStyle name="Normal 41 2 2 2 3 3" xfId="11574"/>
    <cellStyle name="Normal 41 2 2 2 4" xfId="5423"/>
    <cellStyle name="Normal 41 2 2 2 4 2" xfId="11576"/>
    <cellStyle name="Normal 41 2 2 2 5" xfId="11571"/>
    <cellStyle name="Normal 41 2 2 3" xfId="5424"/>
    <cellStyle name="Normal 41 2 2 3 2" xfId="5425"/>
    <cellStyle name="Normal 41 2 2 3 2 2" xfId="11578"/>
    <cellStyle name="Normal 41 2 2 3 3" xfId="11577"/>
    <cellStyle name="Normal 41 2 2 4" xfId="5426"/>
    <cellStyle name="Normal 41 2 2 4 2" xfId="5427"/>
    <cellStyle name="Normal 41 2 2 4 2 2" xfId="11580"/>
    <cellStyle name="Normal 41 2 2 4 3" xfId="11579"/>
    <cellStyle name="Normal 41 2 2 5" xfId="5428"/>
    <cellStyle name="Normal 41 2 2 5 2" xfId="11581"/>
    <cellStyle name="Normal 41 2 2 6" xfId="11570"/>
    <cellStyle name="Normal 41 2 3" xfId="5429"/>
    <cellStyle name="Normal 41 2 3 2" xfId="5430"/>
    <cellStyle name="Normal 41 2 3 2 2" xfId="5431"/>
    <cellStyle name="Normal 41 2 3 2 2 2" xfId="11584"/>
    <cellStyle name="Normal 41 2 3 2 3" xfId="11583"/>
    <cellStyle name="Normal 41 2 3 3" xfId="5432"/>
    <cellStyle name="Normal 41 2 3 3 2" xfId="5433"/>
    <cellStyle name="Normal 41 2 3 3 2 2" xfId="11586"/>
    <cellStyle name="Normal 41 2 3 3 3" xfId="11585"/>
    <cellStyle name="Normal 41 2 3 4" xfId="5434"/>
    <cellStyle name="Normal 41 2 3 4 2" xfId="11587"/>
    <cellStyle name="Normal 41 2 3 5" xfId="11582"/>
    <cellStyle name="Normal 41 2 4" xfId="5435"/>
    <cellStyle name="Normal 41 2 4 2" xfId="5436"/>
    <cellStyle name="Normal 41 2 4 2 2" xfId="11589"/>
    <cellStyle name="Normal 41 2 4 3" xfId="11588"/>
    <cellStyle name="Normal 41 2 5" xfId="5437"/>
    <cellStyle name="Normal 41 2 5 2" xfId="5438"/>
    <cellStyle name="Normal 41 2 5 2 2" xfId="11591"/>
    <cellStyle name="Normal 41 2 5 3" xfId="11590"/>
    <cellStyle name="Normal 41 2 6" xfId="5439"/>
    <cellStyle name="Normal 41 2 6 2" xfId="11592"/>
    <cellStyle name="Normal 41 2 7" xfId="11569"/>
    <cellStyle name="Normal 41 3" xfId="5440"/>
    <cellStyle name="Normal 41 3 2" xfId="5441"/>
    <cellStyle name="Normal 41 3 2 2" xfId="5442"/>
    <cellStyle name="Normal 41 3 2 2 2" xfId="5443"/>
    <cellStyle name="Normal 41 3 2 2 2 2" xfId="11596"/>
    <cellStyle name="Normal 41 3 2 2 3" xfId="11595"/>
    <cellStyle name="Normal 41 3 2 3" xfId="5444"/>
    <cellStyle name="Normal 41 3 2 3 2" xfId="5445"/>
    <cellStyle name="Normal 41 3 2 3 2 2" xfId="11598"/>
    <cellStyle name="Normal 41 3 2 3 3" xfId="11597"/>
    <cellStyle name="Normal 41 3 2 4" xfId="5446"/>
    <cellStyle name="Normal 41 3 2 4 2" xfId="11599"/>
    <cellStyle name="Normal 41 3 2 5" xfId="11594"/>
    <cellStyle name="Normal 41 3 3" xfId="5447"/>
    <cellStyle name="Normal 41 3 3 2" xfId="5448"/>
    <cellStyle name="Normal 41 3 3 2 2" xfId="11601"/>
    <cellStyle name="Normal 41 3 3 3" xfId="11600"/>
    <cellStyle name="Normal 41 3 4" xfId="5449"/>
    <cellStyle name="Normal 41 3 4 2" xfId="5450"/>
    <cellStyle name="Normal 41 3 4 2 2" xfId="11603"/>
    <cellStyle name="Normal 41 3 4 3" xfId="11602"/>
    <cellStyle name="Normal 41 3 5" xfId="5451"/>
    <cellStyle name="Normal 41 3 5 2" xfId="11604"/>
    <cellStyle name="Normal 41 3 6" xfId="11593"/>
    <cellStyle name="Normal 41 4" xfId="5452"/>
    <cellStyle name="Normal 41 4 2" xfId="5453"/>
    <cellStyle name="Normal 41 4 2 2" xfId="5454"/>
    <cellStyle name="Normal 41 4 2 2 2" xfId="11607"/>
    <cellStyle name="Normal 41 4 2 3" xfId="11606"/>
    <cellStyle name="Normal 41 4 3" xfId="5455"/>
    <cellStyle name="Normal 41 4 3 2" xfId="5456"/>
    <cellStyle name="Normal 41 4 3 2 2" xfId="11609"/>
    <cellStyle name="Normal 41 4 3 3" xfId="11608"/>
    <cellStyle name="Normal 41 4 4" xfId="5457"/>
    <cellStyle name="Normal 41 4 4 2" xfId="11610"/>
    <cellStyle name="Normal 41 4 5" xfId="11605"/>
    <cellStyle name="Normal 41 5" xfId="5458"/>
    <cellStyle name="Normal 41 5 2" xfId="5459"/>
    <cellStyle name="Normal 41 5 2 2" xfId="11612"/>
    <cellStyle name="Normal 41 5 3" xfId="11611"/>
    <cellStyle name="Normal 41 6" xfId="5460"/>
    <cellStyle name="Normal 41 6 2" xfId="5461"/>
    <cellStyle name="Normal 41 6 2 2" xfId="11614"/>
    <cellStyle name="Normal 41 6 3" xfId="11613"/>
    <cellStyle name="Normal 41 7" xfId="5462"/>
    <cellStyle name="Normal 41 7 2" xfId="11615"/>
    <cellStyle name="Normal 41 8" xfId="5463"/>
    <cellStyle name="Normal 41 9" xfId="11568"/>
    <cellStyle name="Normal 42" xfId="5464"/>
    <cellStyle name="Normal 42 2" xfId="5465"/>
    <cellStyle name="Normal 42 2 2" xfId="11617"/>
    <cellStyle name="Normal 42 3" xfId="5466"/>
    <cellStyle name="Normal 42 3 2" xfId="11618"/>
    <cellStyle name="Normal 42 4" xfId="5467"/>
    <cellStyle name="Normal 42 5" xfId="11616"/>
    <cellStyle name="Normal 43" xfId="5468"/>
    <cellStyle name="Normal 43 2" xfId="5469"/>
    <cellStyle name="Normal 43 2 2" xfId="5470"/>
    <cellStyle name="Normal 43 2 2 2" xfId="5471"/>
    <cellStyle name="Normal 43 2 2 2 2" xfId="5472"/>
    <cellStyle name="Normal 43 2 2 2 2 2" xfId="5473"/>
    <cellStyle name="Normal 43 2 2 2 2 2 2" xfId="11624"/>
    <cellStyle name="Normal 43 2 2 2 2 3" xfId="11623"/>
    <cellStyle name="Normal 43 2 2 2 3" xfId="5474"/>
    <cellStyle name="Normal 43 2 2 2 3 2" xfId="5475"/>
    <cellStyle name="Normal 43 2 2 2 3 2 2" xfId="11626"/>
    <cellStyle name="Normal 43 2 2 2 3 3" xfId="11625"/>
    <cellStyle name="Normal 43 2 2 2 4" xfId="5476"/>
    <cellStyle name="Normal 43 2 2 2 4 2" xfId="11627"/>
    <cellStyle name="Normal 43 2 2 2 5" xfId="11622"/>
    <cellStyle name="Normal 43 2 2 3" xfId="5477"/>
    <cellStyle name="Normal 43 2 2 3 2" xfId="5478"/>
    <cellStyle name="Normal 43 2 2 3 2 2" xfId="11629"/>
    <cellStyle name="Normal 43 2 2 3 3" xfId="11628"/>
    <cellStyle name="Normal 43 2 2 4" xfId="5479"/>
    <cellStyle name="Normal 43 2 2 4 2" xfId="5480"/>
    <cellStyle name="Normal 43 2 2 4 2 2" xfId="11631"/>
    <cellStyle name="Normal 43 2 2 4 3" xfId="11630"/>
    <cellStyle name="Normal 43 2 2 5" xfId="5481"/>
    <cellStyle name="Normal 43 2 2 5 2" xfId="11632"/>
    <cellStyle name="Normal 43 2 2 6" xfId="11621"/>
    <cellStyle name="Normal 43 2 3" xfId="5482"/>
    <cellStyle name="Normal 43 2 3 2" xfId="5483"/>
    <cellStyle name="Normal 43 2 3 2 2" xfId="5484"/>
    <cellStyle name="Normal 43 2 3 2 2 2" xfId="11635"/>
    <cellStyle name="Normal 43 2 3 2 3" xfId="11634"/>
    <cellStyle name="Normal 43 2 3 3" xfId="5485"/>
    <cellStyle name="Normal 43 2 3 3 2" xfId="5486"/>
    <cellStyle name="Normal 43 2 3 3 2 2" xfId="11637"/>
    <cellStyle name="Normal 43 2 3 3 3" xfId="11636"/>
    <cellStyle name="Normal 43 2 3 4" xfId="5487"/>
    <cellStyle name="Normal 43 2 3 4 2" xfId="11638"/>
    <cellStyle name="Normal 43 2 3 5" xfId="11633"/>
    <cellStyle name="Normal 43 2 4" xfId="5488"/>
    <cellStyle name="Normal 43 2 4 2" xfId="5489"/>
    <cellStyle name="Normal 43 2 4 2 2" xfId="11640"/>
    <cellStyle name="Normal 43 2 4 3" xfId="11639"/>
    <cellStyle name="Normal 43 2 5" xfId="5490"/>
    <cellStyle name="Normal 43 2 5 2" xfId="5491"/>
    <cellStyle name="Normal 43 2 5 2 2" xfId="11642"/>
    <cellStyle name="Normal 43 2 5 3" xfId="11641"/>
    <cellStyle name="Normal 43 2 6" xfId="5492"/>
    <cellStyle name="Normal 43 2 6 2" xfId="11643"/>
    <cellStyle name="Normal 43 2 7" xfId="11620"/>
    <cellStyle name="Normal 43 3" xfId="5493"/>
    <cellStyle name="Normal 43 3 2" xfId="11644"/>
    <cellStyle name="Normal 43 4" xfId="5494"/>
    <cellStyle name="Normal 43 5" xfId="11619"/>
    <cellStyle name="Normal 44" xfId="5495"/>
    <cellStyle name="Normal 44 2" xfId="5496"/>
    <cellStyle name="Normal 44 2 2" xfId="5497"/>
    <cellStyle name="Normal 44 2 2 2" xfId="5498"/>
    <cellStyle name="Normal 44 2 2 2 2" xfId="5499"/>
    <cellStyle name="Normal 44 2 2 2 2 2" xfId="5500"/>
    <cellStyle name="Normal 44 2 2 2 2 2 2" xfId="11650"/>
    <cellStyle name="Normal 44 2 2 2 2 3" xfId="11649"/>
    <cellStyle name="Normal 44 2 2 2 3" xfId="5501"/>
    <cellStyle name="Normal 44 2 2 2 3 2" xfId="5502"/>
    <cellStyle name="Normal 44 2 2 2 3 2 2" xfId="11652"/>
    <cellStyle name="Normal 44 2 2 2 3 3" xfId="11651"/>
    <cellStyle name="Normal 44 2 2 2 4" xfId="5503"/>
    <cellStyle name="Normal 44 2 2 2 4 2" xfId="11653"/>
    <cellStyle name="Normal 44 2 2 2 5" xfId="11648"/>
    <cellStyle name="Normal 44 2 2 3" xfId="5504"/>
    <cellStyle name="Normal 44 2 2 3 2" xfId="5505"/>
    <cellStyle name="Normal 44 2 2 3 2 2" xfId="11655"/>
    <cellStyle name="Normal 44 2 2 3 3" xfId="11654"/>
    <cellStyle name="Normal 44 2 2 4" xfId="5506"/>
    <cellStyle name="Normal 44 2 2 4 2" xfId="5507"/>
    <cellStyle name="Normal 44 2 2 4 2 2" xfId="11657"/>
    <cellStyle name="Normal 44 2 2 4 3" xfId="11656"/>
    <cellStyle name="Normal 44 2 2 5" xfId="5508"/>
    <cellStyle name="Normal 44 2 2 5 2" xfId="11658"/>
    <cellStyle name="Normal 44 2 2 6" xfId="11647"/>
    <cellStyle name="Normal 44 2 3" xfId="5509"/>
    <cellStyle name="Normal 44 2 3 2" xfId="5510"/>
    <cellStyle name="Normal 44 2 3 2 2" xfId="5511"/>
    <cellStyle name="Normal 44 2 3 2 2 2" xfId="11661"/>
    <cellStyle name="Normal 44 2 3 2 3" xfId="11660"/>
    <cellStyle name="Normal 44 2 3 3" xfId="5512"/>
    <cellStyle name="Normal 44 2 3 3 2" xfId="5513"/>
    <cellStyle name="Normal 44 2 3 3 2 2" xfId="11663"/>
    <cellStyle name="Normal 44 2 3 3 3" xfId="11662"/>
    <cellStyle name="Normal 44 2 3 4" xfId="5514"/>
    <cellStyle name="Normal 44 2 3 4 2" xfId="11664"/>
    <cellStyle name="Normal 44 2 3 5" xfId="11659"/>
    <cellStyle name="Normal 44 2 4" xfId="5515"/>
    <cellStyle name="Normal 44 2 4 2" xfId="5516"/>
    <cellStyle name="Normal 44 2 4 2 2" xfId="11666"/>
    <cellStyle name="Normal 44 2 4 3" xfId="11665"/>
    <cellStyle name="Normal 44 2 5" xfId="5517"/>
    <cellStyle name="Normal 44 2 5 2" xfId="5518"/>
    <cellStyle name="Normal 44 2 5 2 2" xfId="11668"/>
    <cellStyle name="Normal 44 2 5 3" xfId="11667"/>
    <cellStyle name="Normal 44 2 6" xfId="5519"/>
    <cellStyle name="Normal 44 2 6 2" xfId="11669"/>
    <cellStyle name="Normal 44 2 7" xfId="11646"/>
    <cellStyle name="Normal 44 3" xfId="5520"/>
    <cellStyle name="Normal 44 3 2" xfId="5521"/>
    <cellStyle name="Normal 44 3 2 2" xfId="5522"/>
    <cellStyle name="Normal 44 3 2 2 2" xfId="5523"/>
    <cellStyle name="Normal 44 3 2 2 2 2" xfId="11673"/>
    <cellStyle name="Normal 44 3 2 2 3" xfId="11672"/>
    <cellStyle name="Normal 44 3 2 3" xfId="5524"/>
    <cellStyle name="Normal 44 3 2 3 2" xfId="5525"/>
    <cellStyle name="Normal 44 3 2 3 2 2" xfId="11675"/>
    <cellStyle name="Normal 44 3 2 3 3" xfId="11674"/>
    <cellStyle name="Normal 44 3 2 4" xfId="5526"/>
    <cellStyle name="Normal 44 3 2 4 2" xfId="11676"/>
    <cellStyle name="Normal 44 3 2 5" xfId="11671"/>
    <cellStyle name="Normal 44 3 3" xfId="5527"/>
    <cellStyle name="Normal 44 3 3 2" xfId="5528"/>
    <cellStyle name="Normal 44 3 3 2 2" xfId="11678"/>
    <cellStyle name="Normal 44 3 3 3" xfId="11677"/>
    <cellStyle name="Normal 44 3 4" xfId="5529"/>
    <cellStyle name="Normal 44 3 4 2" xfId="5530"/>
    <cellStyle name="Normal 44 3 4 2 2" xfId="11680"/>
    <cellStyle name="Normal 44 3 4 3" xfId="11679"/>
    <cellStyle name="Normal 44 3 5" xfId="5531"/>
    <cellStyle name="Normal 44 3 5 2" xfId="11681"/>
    <cellStyle name="Normal 44 3 6" xfId="11670"/>
    <cellStyle name="Normal 44 4" xfId="5532"/>
    <cellStyle name="Normal 44 4 2" xfId="5533"/>
    <cellStyle name="Normal 44 4 2 2" xfId="5534"/>
    <cellStyle name="Normal 44 4 2 2 2" xfId="11684"/>
    <cellStyle name="Normal 44 4 2 3" xfId="11683"/>
    <cellStyle name="Normal 44 4 3" xfId="5535"/>
    <cellStyle name="Normal 44 4 3 2" xfId="5536"/>
    <cellStyle name="Normal 44 4 3 2 2" xfId="11686"/>
    <cellStyle name="Normal 44 4 3 3" xfId="11685"/>
    <cellStyle name="Normal 44 4 4" xfId="5537"/>
    <cellStyle name="Normal 44 4 4 2" xfId="11687"/>
    <cellStyle name="Normal 44 4 5" xfId="11682"/>
    <cellStyle name="Normal 44 5" xfId="5538"/>
    <cellStyle name="Normal 44 5 2" xfId="5539"/>
    <cellStyle name="Normal 44 5 2 2" xfId="11689"/>
    <cellStyle name="Normal 44 5 3" xfId="11688"/>
    <cellStyle name="Normal 44 6" xfId="5540"/>
    <cellStyle name="Normal 44 6 2" xfId="5541"/>
    <cellStyle name="Normal 44 6 2 2" xfId="11691"/>
    <cellStyle name="Normal 44 6 3" xfId="11690"/>
    <cellStyle name="Normal 44 7" xfId="5542"/>
    <cellStyle name="Normal 44 7 2" xfId="11692"/>
    <cellStyle name="Normal 44 8" xfId="5543"/>
    <cellStyle name="Normal 44 9" xfId="11645"/>
    <cellStyle name="Normal 45" xfId="5544"/>
    <cellStyle name="Normal 45 2" xfId="5545"/>
    <cellStyle name="Normal 45 2 2" xfId="5546"/>
    <cellStyle name="Normal 45 2 2 2" xfId="5547"/>
    <cellStyle name="Normal 45 2 2 2 2" xfId="5548"/>
    <cellStyle name="Normal 45 2 2 2 2 2" xfId="5549"/>
    <cellStyle name="Normal 45 2 2 2 2 2 2" xfId="11698"/>
    <cellStyle name="Normal 45 2 2 2 2 3" xfId="11697"/>
    <cellStyle name="Normal 45 2 2 2 3" xfId="5550"/>
    <cellStyle name="Normal 45 2 2 2 3 2" xfId="5551"/>
    <cellStyle name="Normal 45 2 2 2 3 2 2" xfId="11700"/>
    <cellStyle name="Normal 45 2 2 2 3 3" xfId="11699"/>
    <cellStyle name="Normal 45 2 2 2 4" xfId="5552"/>
    <cellStyle name="Normal 45 2 2 2 4 2" xfId="11701"/>
    <cellStyle name="Normal 45 2 2 2 5" xfId="11696"/>
    <cellStyle name="Normal 45 2 2 3" xfId="5553"/>
    <cellStyle name="Normal 45 2 2 3 2" xfId="5554"/>
    <cellStyle name="Normal 45 2 2 3 2 2" xfId="11703"/>
    <cellStyle name="Normal 45 2 2 3 3" xfId="11702"/>
    <cellStyle name="Normal 45 2 2 4" xfId="5555"/>
    <cellStyle name="Normal 45 2 2 4 2" xfId="5556"/>
    <cellStyle name="Normal 45 2 2 4 2 2" xfId="11705"/>
    <cellStyle name="Normal 45 2 2 4 3" xfId="11704"/>
    <cellStyle name="Normal 45 2 2 5" xfId="5557"/>
    <cellStyle name="Normal 45 2 2 5 2" xfId="11706"/>
    <cellStyle name="Normal 45 2 2 6" xfId="11695"/>
    <cellStyle name="Normal 45 2 3" xfId="5558"/>
    <cellStyle name="Normal 45 2 3 2" xfId="5559"/>
    <cellStyle name="Normal 45 2 3 2 2" xfId="5560"/>
    <cellStyle name="Normal 45 2 3 2 2 2" xfId="11709"/>
    <cellStyle name="Normal 45 2 3 2 3" xfId="11708"/>
    <cellStyle name="Normal 45 2 3 3" xfId="5561"/>
    <cellStyle name="Normal 45 2 3 3 2" xfId="5562"/>
    <cellStyle name="Normal 45 2 3 3 2 2" xfId="11711"/>
    <cellStyle name="Normal 45 2 3 3 3" xfId="11710"/>
    <cellStyle name="Normal 45 2 3 4" xfId="5563"/>
    <cellStyle name="Normal 45 2 3 4 2" xfId="11712"/>
    <cellStyle name="Normal 45 2 3 5" xfId="11707"/>
    <cellStyle name="Normal 45 2 4" xfId="5564"/>
    <cellStyle name="Normal 45 2 4 2" xfId="5565"/>
    <cellStyle name="Normal 45 2 4 2 2" xfId="11714"/>
    <cellStyle name="Normal 45 2 4 3" xfId="11713"/>
    <cellStyle name="Normal 45 2 5" xfId="5566"/>
    <cellStyle name="Normal 45 2 5 2" xfId="5567"/>
    <cellStyle name="Normal 45 2 5 2 2" xfId="11716"/>
    <cellStyle name="Normal 45 2 5 3" xfId="11715"/>
    <cellStyle name="Normal 45 2 6" xfId="5568"/>
    <cellStyle name="Normal 45 2 6 2" xfId="11717"/>
    <cellStyle name="Normal 45 2 7" xfId="11694"/>
    <cellStyle name="Normal 45 3" xfId="5569"/>
    <cellStyle name="Normal 45 3 2" xfId="11718"/>
    <cellStyle name="Normal 45 4" xfId="5570"/>
    <cellStyle name="Normal 45 5" xfId="11693"/>
    <cellStyle name="Normal 46" xfId="5571"/>
    <cellStyle name="Normal 46 2" xfId="5572"/>
    <cellStyle name="Normal 46 2 2" xfId="5573"/>
    <cellStyle name="Normal 46 2 2 2" xfId="5574"/>
    <cellStyle name="Normal 46 2 2 2 2" xfId="5575"/>
    <cellStyle name="Normal 46 2 2 2 2 2" xfId="5576"/>
    <cellStyle name="Normal 46 2 2 2 2 2 2" xfId="11724"/>
    <cellStyle name="Normal 46 2 2 2 2 3" xfId="11723"/>
    <cellStyle name="Normal 46 2 2 2 3" xfId="5577"/>
    <cellStyle name="Normal 46 2 2 2 3 2" xfId="5578"/>
    <cellStyle name="Normal 46 2 2 2 3 2 2" xfId="11726"/>
    <cellStyle name="Normal 46 2 2 2 3 3" xfId="11725"/>
    <cellStyle name="Normal 46 2 2 2 4" xfId="5579"/>
    <cellStyle name="Normal 46 2 2 2 4 2" xfId="11727"/>
    <cellStyle name="Normal 46 2 2 2 5" xfId="11722"/>
    <cellStyle name="Normal 46 2 2 3" xfId="5580"/>
    <cellStyle name="Normal 46 2 2 3 2" xfId="5581"/>
    <cellStyle name="Normal 46 2 2 3 2 2" xfId="11729"/>
    <cellStyle name="Normal 46 2 2 3 3" xfId="11728"/>
    <cellStyle name="Normal 46 2 2 4" xfId="5582"/>
    <cellStyle name="Normal 46 2 2 4 2" xfId="5583"/>
    <cellStyle name="Normal 46 2 2 4 2 2" xfId="11731"/>
    <cellStyle name="Normal 46 2 2 4 3" xfId="11730"/>
    <cellStyle name="Normal 46 2 2 5" xfId="5584"/>
    <cellStyle name="Normal 46 2 2 5 2" xfId="11732"/>
    <cellStyle name="Normal 46 2 2 6" xfId="11721"/>
    <cellStyle name="Normal 46 2 3" xfId="5585"/>
    <cellStyle name="Normal 46 2 3 2" xfId="5586"/>
    <cellStyle name="Normal 46 2 3 2 2" xfId="5587"/>
    <cellStyle name="Normal 46 2 3 2 2 2" xfId="11735"/>
    <cellStyle name="Normal 46 2 3 2 3" xfId="11734"/>
    <cellStyle name="Normal 46 2 3 3" xfId="5588"/>
    <cellStyle name="Normal 46 2 3 3 2" xfId="5589"/>
    <cellStyle name="Normal 46 2 3 3 2 2" xfId="11737"/>
    <cellStyle name="Normal 46 2 3 3 3" xfId="11736"/>
    <cellStyle name="Normal 46 2 3 4" xfId="5590"/>
    <cellStyle name="Normal 46 2 3 4 2" xfId="11738"/>
    <cellStyle name="Normal 46 2 3 5" xfId="11733"/>
    <cellStyle name="Normal 46 2 4" xfId="5591"/>
    <cellStyle name="Normal 46 2 4 2" xfId="5592"/>
    <cellStyle name="Normal 46 2 4 2 2" xfId="11740"/>
    <cellStyle name="Normal 46 2 4 3" xfId="11739"/>
    <cellStyle name="Normal 46 2 5" xfId="5593"/>
    <cellStyle name="Normal 46 2 5 2" xfId="5594"/>
    <cellStyle name="Normal 46 2 5 2 2" xfId="11742"/>
    <cellStyle name="Normal 46 2 5 3" xfId="11741"/>
    <cellStyle name="Normal 46 2 6" xfId="5595"/>
    <cellStyle name="Normal 46 2 6 2" xfId="11743"/>
    <cellStyle name="Normal 46 2 7" xfId="11720"/>
    <cellStyle name="Normal 46 3" xfId="5596"/>
    <cellStyle name="Normal 46 3 2" xfId="11744"/>
    <cellStyle name="Normal 46 4" xfId="5597"/>
    <cellStyle name="Normal 46 5" xfId="11719"/>
    <cellStyle name="Normal 47" xfId="5598"/>
    <cellStyle name="Normal 47 2" xfId="5599"/>
    <cellStyle name="Normal 47 2 2" xfId="5600"/>
    <cellStyle name="Normal 47 2 2 2" xfId="5601"/>
    <cellStyle name="Normal 47 2 2 2 2" xfId="5602"/>
    <cellStyle name="Normal 47 2 2 2 2 2" xfId="5603"/>
    <cellStyle name="Normal 47 2 2 2 2 2 2" xfId="11750"/>
    <cellStyle name="Normal 47 2 2 2 2 3" xfId="11749"/>
    <cellStyle name="Normal 47 2 2 2 3" xfId="5604"/>
    <cellStyle name="Normal 47 2 2 2 3 2" xfId="5605"/>
    <cellStyle name="Normal 47 2 2 2 3 2 2" xfId="11752"/>
    <cellStyle name="Normal 47 2 2 2 3 3" xfId="11751"/>
    <cellStyle name="Normal 47 2 2 2 4" xfId="5606"/>
    <cellStyle name="Normal 47 2 2 2 4 2" xfId="11753"/>
    <cellStyle name="Normal 47 2 2 2 5" xfId="11748"/>
    <cellStyle name="Normal 47 2 2 3" xfId="5607"/>
    <cellStyle name="Normal 47 2 2 3 2" xfId="5608"/>
    <cellStyle name="Normal 47 2 2 3 2 2" xfId="11755"/>
    <cellStyle name="Normal 47 2 2 3 3" xfId="11754"/>
    <cellStyle name="Normal 47 2 2 4" xfId="5609"/>
    <cellStyle name="Normal 47 2 2 4 2" xfId="5610"/>
    <cellStyle name="Normal 47 2 2 4 2 2" xfId="11757"/>
    <cellStyle name="Normal 47 2 2 4 3" xfId="11756"/>
    <cellStyle name="Normal 47 2 2 5" xfId="5611"/>
    <cellStyle name="Normal 47 2 2 5 2" xfId="11758"/>
    <cellStyle name="Normal 47 2 2 6" xfId="11747"/>
    <cellStyle name="Normal 47 2 3" xfId="5612"/>
    <cellStyle name="Normal 47 2 3 2" xfId="5613"/>
    <cellStyle name="Normal 47 2 3 2 2" xfId="5614"/>
    <cellStyle name="Normal 47 2 3 2 2 2" xfId="11761"/>
    <cellStyle name="Normal 47 2 3 2 3" xfId="11760"/>
    <cellStyle name="Normal 47 2 3 3" xfId="5615"/>
    <cellStyle name="Normal 47 2 3 3 2" xfId="5616"/>
    <cellStyle name="Normal 47 2 3 3 2 2" xfId="11763"/>
    <cellStyle name="Normal 47 2 3 3 3" xfId="11762"/>
    <cellStyle name="Normal 47 2 3 4" xfId="5617"/>
    <cellStyle name="Normal 47 2 3 4 2" xfId="11764"/>
    <cellStyle name="Normal 47 2 3 5" xfId="11759"/>
    <cellStyle name="Normal 47 2 4" xfId="5618"/>
    <cellStyle name="Normal 47 2 4 2" xfId="5619"/>
    <cellStyle name="Normal 47 2 4 2 2" xfId="11766"/>
    <cellStyle name="Normal 47 2 4 3" xfId="11765"/>
    <cellStyle name="Normal 47 2 5" xfId="5620"/>
    <cellStyle name="Normal 47 2 5 2" xfId="5621"/>
    <cellStyle name="Normal 47 2 5 2 2" xfId="11768"/>
    <cellStyle name="Normal 47 2 5 3" xfId="11767"/>
    <cellStyle name="Normal 47 2 6" xfId="5622"/>
    <cellStyle name="Normal 47 2 6 2" xfId="11769"/>
    <cellStyle name="Normal 47 2 7" xfId="11746"/>
    <cellStyle name="Normal 47 3" xfId="5623"/>
    <cellStyle name="Normal 47 3 2" xfId="11770"/>
    <cellStyle name="Normal 47 4" xfId="5624"/>
    <cellStyle name="Normal 47 5" xfId="11745"/>
    <cellStyle name="Normal 48" xfId="5625"/>
    <cellStyle name="Normal 48 2" xfId="5626"/>
    <cellStyle name="Normal 48 2 2" xfId="5627"/>
    <cellStyle name="Normal 48 2 2 2" xfId="5628"/>
    <cellStyle name="Normal 48 2 2 2 2" xfId="5629"/>
    <cellStyle name="Normal 48 2 2 2 2 2" xfId="5630"/>
    <cellStyle name="Normal 48 2 2 2 2 2 2" xfId="11776"/>
    <cellStyle name="Normal 48 2 2 2 2 3" xfId="11775"/>
    <cellStyle name="Normal 48 2 2 2 3" xfId="5631"/>
    <cellStyle name="Normal 48 2 2 2 3 2" xfId="5632"/>
    <cellStyle name="Normal 48 2 2 2 3 2 2" xfId="11778"/>
    <cellStyle name="Normal 48 2 2 2 3 3" xfId="11777"/>
    <cellStyle name="Normal 48 2 2 2 4" xfId="5633"/>
    <cellStyle name="Normal 48 2 2 2 4 2" xfId="11779"/>
    <cellStyle name="Normal 48 2 2 2 5" xfId="11774"/>
    <cellStyle name="Normal 48 2 2 3" xfId="5634"/>
    <cellStyle name="Normal 48 2 2 3 2" xfId="5635"/>
    <cellStyle name="Normal 48 2 2 3 2 2" xfId="11781"/>
    <cellStyle name="Normal 48 2 2 3 3" xfId="11780"/>
    <cellStyle name="Normal 48 2 2 4" xfId="5636"/>
    <cellStyle name="Normal 48 2 2 4 2" xfId="5637"/>
    <cellStyle name="Normal 48 2 2 4 2 2" xfId="11783"/>
    <cellStyle name="Normal 48 2 2 4 3" xfId="11782"/>
    <cellStyle name="Normal 48 2 2 5" xfId="5638"/>
    <cellStyle name="Normal 48 2 2 5 2" xfId="11784"/>
    <cellStyle name="Normal 48 2 2 6" xfId="11773"/>
    <cellStyle name="Normal 48 2 3" xfId="5639"/>
    <cellStyle name="Normal 48 2 3 2" xfId="5640"/>
    <cellStyle name="Normal 48 2 3 2 2" xfId="5641"/>
    <cellStyle name="Normal 48 2 3 2 2 2" xfId="11787"/>
    <cellStyle name="Normal 48 2 3 2 3" xfId="11786"/>
    <cellStyle name="Normal 48 2 3 3" xfId="5642"/>
    <cellStyle name="Normal 48 2 3 3 2" xfId="5643"/>
    <cellStyle name="Normal 48 2 3 3 2 2" xfId="11789"/>
    <cellStyle name="Normal 48 2 3 3 3" xfId="11788"/>
    <cellStyle name="Normal 48 2 3 4" xfId="5644"/>
    <cellStyle name="Normal 48 2 3 4 2" xfId="11790"/>
    <cellStyle name="Normal 48 2 3 5" xfId="11785"/>
    <cellStyle name="Normal 48 2 4" xfId="5645"/>
    <cellStyle name="Normal 48 2 4 2" xfId="5646"/>
    <cellStyle name="Normal 48 2 4 2 2" xfId="11792"/>
    <cellStyle name="Normal 48 2 4 3" xfId="11791"/>
    <cellStyle name="Normal 48 2 5" xfId="5647"/>
    <cellStyle name="Normal 48 2 5 2" xfId="5648"/>
    <cellStyle name="Normal 48 2 5 2 2" xfId="11794"/>
    <cellStyle name="Normal 48 2 5 3" xfId="11793"/>
    <cellStyle name="Normal 48 2 6" xfId="5649"/>
    <cellStyle name="Normal 48 2 6 2" xfId="11795"/>
    <cellStyle name="Normal 48 2 7" xfId="11772"/>
    <cellStyle name="Normal 48 3" xfId="5650"/>
    <cellStyle name="Normal 48 3 2" xfId="5651"/>
    <cellStyle name="Normal 48 3 2 2" xfId="5652"/>
    <cellStyle name="Normal 48 3 2 2 2" xfId="5653"/>
    <cellStyle name="Normal 48 3 2 2 2 2" xfId="11799"/>
    <cellStyle name="Normal 48 3 2 2 3" xfId="11798"/>
    <cellStyle name="Normal 48 3 2 3" xfId="5654"/>
    <cellStyle name="Normal 48 3 2 3 2" xfId="5655"/>
    <cellStyle name="Normal 48 3 2 3 2 2" xfId="11801"/>
    <cellStyle name="Normal 48 3 2 3 3" xfId="11800"/>
    <cellStyle name="Normal 48 3 2 4" xfId="5656"/>
    <cellStyle name="Normal 48 3 2 4 2" xfId="11802"/>
    <cellStyle name="Normal 48 3 2 5" xfId="11797"/>
    <cellStyle name="Normal 48 3 3" xfId="5657"/>
    <cellStyle name="Normal 48 3 3 2" xfId="5658"/>
    <cellStyle name="Normal 48 3 3 2 2" xfId="11804"/>
    <cellStyle name="Normal 48 3 3 3" xfId="11803"/>
    <cellStyle name="Normal 48 3 4" xfId="5659"/>
    <cellStyle name="Normal 48 3 4 2" xfId="5660"/>
    <cellStyle name="Normal 48 3 4 2 2" xfId="11806"/>
    <cellStyle name="Normal 48 3 4 3" xfId="11805"/>
    <cellStyle name="Normal 48 3 5" xfId="5661"/>
    <cellStyle name="Normal 48 3 5 2" xfId="11807"/>
    <cellStyle name="Normal 48 3 6" xfId="11796"/>
    <cellStyle name="Normal 48 4" xfId="5662"/>
    <cellStyle name="Normal 48 4 2" xfId="5663"/>
    <cellStyle name="Normal 48 4 2 2" xfId="5664"/>
    <cellStyle name="Normal 48 4 2 2 2" xfId="11810"/>
    <cellStyle name="Normal 48 4 2 3" xfId="11809"/>
    <cellStyle name="Normal 48 4 3" xfId="5665"/>
    <cellStyle name="Normal 48 4 3 2" xfId="5666"/>
    <cellStyle name="Normal 48 4 3 2 2" xfId="11812"/>
    <cellStyle name="Normal 48 4 3 3" xfId="11811"/>
    <cellStyle name="Normal 48 4 4" xfId="5667"/>
    <cellStyle name="Normal 48 4 4 2" xfId="11813"/>
    <cellStyle name="Normal 48 4 5" xfId="11808"/>
    <cellStyle name="Normal 48 5" xfId="5668"/>
    <cellStyle name="Normal 48 5 2" xfId="5669"/>
    <cellStyle name="Normal 48 5 2 2" xfId="11815"/>
    <cellStyle name="Normal 48 5 3" xfId="11814"/>
    <cellStyle name="Normal 48 6" xfId="5670"/>
    <cellStyle name="Normal 48 6 2" xfId="5671"/>
    <cellStyle name="Normal 48 6 2 2" xfId="11817"/>
    <cellStyle name="Normal 48 6 3" xfId="11816"/>
    <cellStyle name="Normal 48 7" xfId="5672"/>
    <cellStyle name="Normal 48 7 2" xfId="11818"/>
    <cellStyle name="Normal 48 8" xfId="5673"/>
    <cellStyle name="Normal 48 9" xfId="11771"/>
    <cellStyle name="Normal 49" xfId="5674"/>
    <cellStyle name="Normal 49 2" xfId="5675"/>
    <cellStyle name="Normal 49 2 2" xfId="5676"/>
    <cellStyle name="Normal 49 2 2 2" xfId="5677"/>
    <cellStyle name="Normal 49 2 2 2 2" xfId="5678"/>
    <cellStyle name="Normal 49 2 2 2 2 2" xfId="5679"/>
    <cellStyle name="Normal 49 2 2 2 2 2 2" xfId="11824"/>
    <cellStyle name="Normal 49 2 2 2 2 3" xfId="11823"/>
    <cellStyle name="Normal 49 2 2 2 3" xfId="5680"/>
    <cellStyle name="Normal 49 2 2 2 3 2" xfId="5681"/>
    <cellStyle name="Normal 49 2 2 2 3 2 2" xfId="11826"/>
    <cellStyle name="Normal 49 2 2 2 3 3" xfId="11825"/>
    <cellStyle name="Normal 49 2 2 2 4" xfId="5682"/>
    <cellStyle name="Normal 49 2 2 2 4 2" xfId="11827"/>
    <cellStyle name="Normal 49 2 2 2 5" xfId="11822"/>
    <cellStyle name="Normal 49 2 2 3" xfId="5683"/>
    <cellStyle name="Normal 49 2 2 3 2" xfId="5684"/>
    <cellStyle name="Normal 49 2 2 3 2 2" xfId="11829"/>
    <cellStyle name="Normal 49 2 2 3 3" xfId="11828"/>
    <cellStyle name="Normal 49 2 2 4" xfId="5685"/>
    <cellStyle name="Normal 49 2 2 4 2" xfId="5686"/>
    <cellStyle name="Normal 49 2 2 4 2 2" xfId="11831"/>
    <cellStyle name="Normal 49 2 2 4 3" xfId="11830"/>
    <cellStyle name="Normal 49 2 2 5" xfId="5687"/>
    <cellStyle name="Normal 49 2 2 5 2" xfId="11832"/>
    <cellStyle name="Normal 49 2 2 6" xfId="11821"/>
    <cellStyle name="Normal 49 2 3" xfId="5688"/>
    <cellStyle name="Normal 49 2 3 2" xfId="5689"/>
    <cellStyle name="Normal 49 2 3 2 2" xfId="5690"/>
    <cellStyle name="Normal 49 2 3 2 2 2" xfId="11835"/>
    <cellStyle name="Normal 49 2 3 2 3" xfId="11834"/>
    <cellStyle name="Normal 49 2 3 3" xfId="5691"/>
    <cellStyle name="Normal 49 2 3 3 2" xfId="5692"/>
    <cellStyle name="Normal 49 2 3 3 2 2" xfId="11837"/>
    <cellStyle name="Normal 49 2 3 3 3" xfId="11836"/>
    <cellStyle name="Normal 49 2 3 4" xfId="5693"/>
    <cellStyle name="Normal 49 2 3 4 2" xfId="11838"/>
    <cellStyle name="Normal 49 2 3 5" xfId="11833"/>
    <cellStyle name="Normal 49 2 4" xfId="5694"/>
    <cellStyle name="Normal 49 2 4 2" xfId="5695"/>
    <cellStyle name="Normal 49 2 4 2 2" xfId="11840"/>
    <cellStyle name="Normal 49 2 4 3" xfId="11839"/>
    <cellStyle name="Normal 49 2 5" xfId="5696"/>
    <cellStyle name="Normal 49 2 5 2" xfId="5697"/>
    <cellStyle name="Normal 49 2 5 2 2" xfId="11842"/>
    <cellStyle name="Normal 49 2 5 3" xfId="11841"/>
    <cellStyle name="Normal 49 2 6" xfId="5698"/>
    <cellStyle name="Normal 49 2 6 2" xfId="11843"/>
    <cellStyle name="Normal 49 2 7" xfId="11820"/>
    <cellStyle name="Normal 49 3" xfId="5699"/>
    <cellStyle name="Normal 49 3 2" xfId="5700"/>
    <cellStyle name="Normal 49 3 2 2" xfId="5701"/>
    <cellStyle name="Normal 49 3 2 2 2" xfId="5702"/>
    <cellStyle name="Normal 49 3 2 2 2 2" xfId="11847"/>
    <cellStyle name="Normal 49 3 2 2 3" xfId="11846"/>
    <cellStyle name="Normal 49 3 2 3" xfId="5703"/>
    <cellStyle name="Normal 49 3 2 3 2" xfId="5704"/>
    <cellStyle name="Normal 49 3 2 3 2 2" xfId="11849"/>
    <cellStyle name="Normal 49 3 2 3 3" xfId="11848"/>
    <cellStyle name="Normal 49 3 2 4" xfId="5705"/>
    <cellStyle name="Normal 49 3 2 4 2" xfId="11850"/>
    <cellStyle name="Normal 49 3 2 5" xfId="11845"/>
    <cellStyle name="Normal 49 3 3" xfId="5706"/>
    <cellStyle name="Normal 49 3 3 2" xfId="5707"/>
    <cellStyle name="Normal 49 3 3 2 2" xfId="11852"/>
    <cellStyle name="Normal 49 3 3 3" xfId="11851"/>
    <cellStyle name="Normal 49 3 4" xfId="5708"/>
    <cellStyle name="Normal 49 3 4 2" xfId="5709"/>
    <cellStyle name="Normal 49 3 4 2 2" xfId="11854"/>
    <cellStyle name="Normal 49 3 4 3" xfId="11853"/>
    <cellStyle name="Normal 49 3 5" xfId="5710"/>
    <cellStyle name="Normal 49 3 5 2" xfId="11855"/>
    <cellStyle name="Normal 49 3 6" xfId="11844"/>
    <cellStyle name="Normal 49 4" xfId="5711"/>
    <cellStyle name="Normal 49 4 2" xfId="5712"/>
    <cellStyle name="Normal 49 4 2 2" xfId="5713"/>
    <cellStyle name="Normal 49 4 2 2 2" xfId="11858"/>
    <cellStyle name="Normal 49 4 2 3" xfId="11857"/>
    <cellStyle name="Normal 49 4 3" xfId="5714"/>
    <cellStyle name="Normal 49 4 3 2" xfId="5715"/>
    <cellStyle name="Normal 49 4 3 2 2" xfId="11860"/>
    <cellStyle name="Normal 49 4 3 3" xfId="11859"/>
    <cellStyle name="Normal 49 4 4" xfId="5716"/>
    <cellStyle name="Normal 49 4 4 2" xfId="11861"/>
    <cellStyle name="Normal 49 4 5" xfId="11856"/>
    <cellStyle name="Normal 49 5" xfId="5717"/>
    <cellStyle name="Normal 49 5 2" xfId="5718"/>
    <cellStyle name="Normal 49 5 2 2" xfId="11863"/>
    <cellStyle name="Normal 49 5 3" xfId="11862"/>
    <cellStyle name="Normal 49 6" xfId="5719"/>
    <cellStyle name="Normal 49 6 2" xfId="5720"/>
    <cellStyle name="Normal 49 6 2 2" xfId="11865"/>
    <cellStyle name="Normal 49 6 3" xfId="11864"/>
    <cellStyle name="Normal 49 7" xfId="5721"/>
    <cellStyle name="Normal 49 7 2" xfId="11866"/>
    <cellStyle name="Normal 49 8" xfId="5722"/>
    <cellStyle name="Normal 49 9" xfId="11819"/>
    <cellStyle name="Normal 5" xfId="5723"/>
    <cellStyle name="Normal 5 10" xfId="5724"/>
    <cellStyle name="Normal 5 10 2" xfId="11868"/>
    <cellStyle name="Normal 5 11" xfId="5725"/>
    <cellStyle name="Normal 5 12" xfId="11867"/>
    <cellStyle name="Normal 5 2" xfId="5726"/>
    <cellStyle name="Normal 5 2 10" xfId="5727"/>
    <cellStyle name="Normal 5 2 10 2" xfId="11870"/>
    <cellStyle name="Normal 5 2 11" xfId="5728"/>
    <cellStyle name="Normal 5 2 11 2" xfId="11871"/>
    <cellStyle name="Normal 5 2 12" xfId="5729"/>
    <cellStyle name="Normal 5 2 13" xfId="11869"/>
    <cellStyle name="Normal 5 2 2" xfId="5730"/>
    <cellStyle name="Normal 5 2 2 2" xfId="5731"/>
    <cellStyle name="Normal 5 2 2 2 2" xfId="5732"/>
    <cellStyle name="Normal 5 2 2 2 2 2" xfId="5733"/>
    <cellStyle name="Normal 5 2 2 2 2 2 2" xfId="5734"/>
    <cellStyle name="Normal 5 2 2 2 2 2 2 2" xfId="5735"/>
    <cellStyle name="Normal 5 2 2 2 2 2 2 2 2" xfId="11877"/>
    <cellStyle name="Normal 5 2 2 2 2 2 2 3" xfId="11876"/>
    <cellStyle name="Normal 5 2 2 2 2 2 3" xfId="5736"/>
    <cellStyle name="Normal 5 2 2 2 2 2 3 2" xfId="5737"/>
    <cellStyle name="Normal 5 2 2 2 2 2 3 2 2" xfId="11879"/>
    <cellStyle name="Normal 5 2 2 2 2 2 3 3" xfId="11878"/>
    <cellStyle name="Normal 5 2 2 2 2 2 4" xfId="5738"/>
    <cellStyle name="Normal 5 2 2 2 2 2 4 2" xfId="11880"/>
    <cellStyle name="Normal 5 2 2 2 2 2 5" xfId="11875"/>
    <cellStyle name="Normal 5 2 2 2 2 3" xfId="5739"/>
    <cellStyle name="Normal 5 2 2 2 2 3 2" xfId="5740"/>
    <cellStyle name="Normal 5 2 2 2 2 3 2 2" xfId="11882"/>
    <cellStyle name="Normal 5 2 2 2 2 3 3" xfId="11881"/>
    <cellStyle name="Normal 5 2 2 2 2 4" xfId="5741"/>
    <cellStyle name="Normal 5 2 2 2 2 4 2" xfId="5742"/>
    <cellStyle name="Normal 5 2 2 2 2 4 2 2" xfId="11884"/>
    <cellStyle name="Normal 5 2 2 2 2 4 3" xfId="11883"/>
    <cellStyle name="Normal 5 2 2 2 2 5" xfId="5743"/>
    <cellStyle name="Normal 5 2 2 2 2 5 2" xfId="11885"/>
    <cellStyle name="Normal 5 2 2 2 2 6" xfId="11874"/>
    <cellStyle name="Normal 5 2 2 2 3" xfId="5744"/>
    <cellStyle name="Normal 5 2 2 2 3 2" xfId="5745"/>
    <cellStyle name="Normal 5 2 2 2 3 2 2" xfId="5746"/>
    <cellStyle name="Normal 5 2 2 2 3 2 2 2" xfId="11888"/>
    <cellStyle name="Normal 5 2 2 2 3 2 3" xfId="11887"/>
    <cellStyle name="Normal 5 2 2 2 3 3" xfId="5747"/>
    <cellStyle name="Normal 5 2 2 2 3 3 2" xfId="5748"/>
    <cellStyle name="Normal 5 2 2 2 3 3 2 2" xfId="11890"/>
    <cellStyle name="Normal 5 2 2 2 3 3 3" xfId="11889"/>
    <cellStyle name="Normal 5 2 2 2 3 4" xfId="5749"/>
    <cellStyle name="Normal 5 2 2 2 3 4 2" xfId="11891"/>
    <cellStyle name="Normal 5 2 2 2 3 5" xfId="11886"/>
    <cellStyle name="Normal 5 2 2 2 4" xfId="5750"/>
    <cellStyle name="Normal 5 2 2 2 4 2" xfId="5751"/>
    <cellStyle name="Normal 5 2 2 2 4 2 2" xfId="11893"/>
    <cellStyle name="Normal 5 2 2 2 4 3" xfId="11892"/>
    <cellStyle name="Normal 5 2 2 2 5" xfId="5752"/>
    <cellStyle name="Normal 5 2 2 2 5 2" xfId="5753"/>
    <cellStyle name="Normal 5 2 2 2 5 2 2" xfId="11895"/>
    <cellStyle name="Normal 5 2 2 2 5 3" xfId="11894"/>
    <cellStyle name="Normal 5 2 2 2 6" xfId="5754"/>
    <cellStyle name="Normal 5 2 2 2 6 2" xfId="11896"/>
    <cellStyle name="Normal 5 2 2 2 7" xfId="11873"/>
    <cellStyle name="Normal 5 2 2 3" xfId="5755"/>
    <cellStyle name="Normal 5 2 2 3 2" xfId="5756"/>
    <cellStyle name="Normal 5 2 2 3 2 2" xfId="5757"/>
    <cellStyle name="Normal 5 2 2 3 2 2 2" xfId="5758"/>
    <cellStyle name="Normal 5 2 2 3 2 2 2 2" xfId="11900"/>
    <cellStyle name="Normal 5 2 2 3 2 2 3" xfId="11899"/>
    <cellStyle name="Normal 5 2 2 3 2 3" xfId="5759"/>
    <cellStyle name="Normal 5 2 2 3 2 3 2" xfId="5760"/>
    <cellStyle name="Normal 5 2 2 3 2 3 2 2" xfId="11902"/>
    <cellStyle name="Normal 5 2 2 3 2 3 3" xfId="11901"/>
    <cellStyle name="Normal 5 2 2 3 2 4" xfId="5761"/>
    <cellStyle name="Normal 5 2 2 3 2 4 2" xfId="11903"/>
    <cellStyle name="Normal 5 2 2 3 2 5" xfId="11898"/>
    <cellStyle name="Normal 5 2 2 3 3" xfId="5762"/>
    <cellStyle name="Normal 5 2 2 3 3 2" xfId="5763"/>
    <cellStyle name="Normal 5 2 2 3 3 2 2" xfId="11905"/>
    <cellStyle name="Normal 5 2 2 3 3 3" xfId="11904"/>
    <cellStyle name="Normal 5 2 2 3 4" xfId="5764"/>
    <cellStyle name="Normal 5 2 2 3 4 2" xfId="5765"/>
    <cellStyle name="Normal 5 2 2 3 4 2 2" xfId="11907"/>
    <cellStyle name="Normal 5 2 2 3 4 3" xfId="11906"/>
    <cellStyle name="Normal 5 2 2 3 5" xfId="5766"/>
    <cellStyle name="Normal 5 2 2 3 5 2" xfId="11908"/>
    <cellStyle name="Normal 5 2 2 3 6" xfId="11897"/>
    <cellStyle name="Normal 5 2 2 4" xfId="5767"/>
    <cellStyle name="Normal 5 2 2 4 2" xfId="5768"/>
    <cellStyle name="Normal 5 2 2 4 2 2" xfId="5769"/>
    <cellStyle name="Normal 5 2 2 4 2 2 2" xfId="11911"/>
    <cellStyle name="Normal 5 2 2 4 2 3" xfId="11910"/>
    <cellStyle name="Normal 5 2 2 4 3" xfId="5770"/>
    <cellStyle name="Normal 5 2 2 4 3 2" xfId="5771"/>
    <cellStyle name="Normal 5 2 2 4 3 2 2" xfId="11913"/>
    <cellStyle name="Normal 5 2 2 4 3 3" xfId="11912"/>
    <cellStyle name="Normal 5 2 2 4 4" xfId="5772"/>
    <cellStyle name="Normal 5 2 2 4 4 2" xfId="11914"/>
    <cellStyle name="Normal 5 2 2 4 5" xfId="11909"/>
    <cellStyle name="Normal 5 2 2 5" xfId="5773"/>
    <cellStyle name="Normal 5 2 2 5 2" xfId="5774"/>
    <cellStyle name="Normal 5 2 2 5 2 2" xfId="11916"/>
    <cellStyle name="Normal 5 2 2 5 3" xfId="11915"/>
    <cellStyle name="Normal 5 2 2 6" xfId="5775"/>
    <cellStyle name="Normal 5 2 2 6 2" xfId="5776"/>
    <cellStyle name="Normal 5 2 2 6 2 2" xfId="11918"/>
    <cellStyle name="Normal 5 2 2 6 3" xfId="11917"/>
    <cellStyle name="Normal 5 2 2 7" xfId="5777"/>
    <cellStyle name="Normal 5 2 2 7 2" xfId="11919"/>
    <cellStyle name="Normal 5 2 2 8" xfId="11872"/>
    <cellStyle name="Normal 5 2 3" xfId="5778"/>
    <cellStyle name="Normal 5 2 3 2" xfId="5779"/>
    <cellStyle name="Normal 5 2 3 2 2" xfId="5780"/>
    <cellStyle name="Normal 5 2 3 2 2 2" xfId="5781"/>
    <cellStyle name="Normal 5 2 3 2 2 2 2" xfId="5782"/>
    <cellStyle name="Normal 5 2 3 2 2 2 2 2" xfId="11924"/>
    <cellStyle name="Normal 5 2 3 2 2 2 3" xfId="11923"/>
    <cellStyle name="Normal 5 2 3 2 2 3" xfId="5783"/>
    <cellStyle name="Normal 5 2 3 2 2 3 2" xfId="5784"/>
    <cellStyle name="Normal 5 2 3 2 2 3 2 2" xfId="11926"/>
    <cellStyle name="Normal 5 2 3 2 2 3 3" xfId="11925"/>
    <cellStyle name="Normal 5 2 3 2 2 4" xfId="5785"/>
    <cellStyle name="Normal 5 2 3 2 2 4 2" xfId="11927"/>
    <cellStyle name="Normal 5 2 3 2 2 5" xfId="11922"/>
    <cellStyle name="Normal 5 2 3 2 3" xfId="5786"/>
    <cellStyle name="Normal 5 2 3 2 3 2" xfId="5787"/>
    <cellStyle name="Normal 5 2 3 2 3 2 2" xfId="11929"/>
    <cellStyle name="Normal 5 2 3 2 3 3" xfId="11928"/>
    <cellStyle name="Normal 5 2 3 2 4" xfId="5788"/>
    <cellStyle name="Normal 5 2 3 2 4 2" xfId="5789"/>
    <cellStyle name="Normal 5 2 3 2 4 2 2" xfId="11931"/>
    <cellStyle name="Normal 5 2 3 2 4 3" xfId="11930"/>
    <cellStyle name="Normal 5 2 3 2 5" xfId="5790"/>
    <cellStyle name="Normal 5 2 3 2 5 2" xfId="11932"/>
    <cellStyle name="Normal 5 2 3 2 6" xfId="11921"/>
    <cellStyle name="Normal 5 2 3 3" xfId="5791"/>
    <cellStyle name="Normal 5 2 3 3 2" xfId="5792"/>
    <cellStyle name="Normal 5 2 3 3 2 2" xfId="5793"/>
    <cellStyle name="Normal 5 2 3 3 2 2 2" xfId="11935"/>
    <cellStyle name="Normal 5 2 3 3 2 3" xfId="11934"/>
    <cellStyle name="Normal 5 2 3 3 3" xfId="5794"/>
    <cellStyle name="Normal 5 2 3 3 3 2" xfId="5795"/>
    <cellStyle name="Normal 5 2 3 3 3 2 2" xfId="11937"/>
    <cellStyle name="Normal 5 2 3 3 3 3" xfId="11936"/>
    <cellStyle name="Normal 5 2 3 3 4" xfId="5796"/>
    <cellStyle name="Normal 5 2 3 3 4 2" xfId="11938"/>
    <cellStyle name="Normal 5 2 3 3 5" xfId="11933"/>
    <cellStyle name="Normal 5 2 3 4" xfId="5797"/>
    <cellStyle name="Normal 5 2 3 4 2" xfId="5798"/>
    <cellStyle name="Normal 5 2 3 4 2 2" xfId="11940"/>
    <cellStyle name="Normal 5 2 3 4 3" xfId="5799"/>
    <cellStyle name="Normal 5 2 3 4 3 2" xfId="11941"/>
    <cellStyle name="Normal 5 2 3 4 4" xfId="11939"/>
    <cellStyle name="Normal 5 2 3 5" xfId="5800"/>
    <cellStyle name="Normal 5 2 3 5 2" xfId="5801"/>
    <cellStyle name="Normal 5 2 3 5 2 2" xfId="11943"/>
    <cellStyle name="Normal 5 2 3 5 3" xfId="11942"/>
    <cellStyle name="Normal 5 2 3 6" xfId="5802"/>
    <cellStyle name="Normal 5 2 3 6 2" xfId="11944"/>
    <cellStyle name="Normal 5 2 3 7" xfId="11920"/>
    <cellStyle name="Normal 5 2 4" xfId="5803"/>
    <cellStyle name="Normal 5 2 4 2" xfId="5804"/>
    <cellStyle name="Normal 5 2 4 2 2" xfId="5805"/>
    <cellStyle name="Normal 5 2 4 2 2 2" xfId="5806"/>
    <cellStyle name="Normal 5 2 4 2 2 2 2" xfId="11948"/>
    <cellStyle name="Normal 5 2 4 2 2 3" xfId="11947"/>
    <cellStyle name="Normal 5 2 4 2 3" xfId="5807"/>
    <cellStyle name="Normal 5 2 4 2 3 2" xfId="5808"/>
    <cellStyle name="Normal 5 2 4 2 3 2 2" xfId="11950"/>
    <cellStyle name="Normal 5 2 4 2 3 3" xfId="11949"/>
    <cellStyle name="Normal 5 2 4 2 4" xfId="5809"/>
    <cellStyle name="Normal 5 2 4 2 4 2" xfId="11951"/>
    <cellStyle name="Normal 5 2 4 2 5" xfId="5810"/>
    <cellStyle name="Normal 5 2 4 2 5 2" xfId="11952"/>
    <cellStyle name="Normal 5 2 4 2 6" xfId="11946"/>
    <cellStyle name="Normal 5 2 4 3" xfId="5811"/>
    <cellStyle name="Normal 5 2 4 3 2" xfId="5812"/>
    <cellStyle name="Normal 5 2 4 3 2 2" xfId="11954"/>
    <cellStyle name="Normal 5 2 4 3 3" xfId="5813"/>
    <cellStyle name="Normal 5 2 4 3 3 2" xfId="11955"/>
    <cellStyle name="Normal 5 2 4 3 4" xfId="11953"/>
    <cellStyle name="Normal 5 2 4 4" xfId="5814"/>
    <cellStyle name="Normal 5 2 4 4 2" xfId="5815"/>
    <cellStyle name="Normal 5 2 4 4 2 2" xfId="11957"/>
    <cellStyle name="Normal 5 2 4 4 3" xfId="5816"/>
    <cellStyle name="Normal 5 2 4 4 3 2" xfId="11958"/>
    <cellStyle name="Normal 5 2 4 4 4" xfId="11956"/>
    <cellStyle name="Normal 5 2 4 5" xfId="5817"/>
    <cellStyle name="Normal 5 2 4 5 2" xfId="11959"/>
    <cellStyle name="Normal 5 2 4 6" xfId="5818"/>
    <cellStyle name="Normal 5 2 4 6 2" xfId="11960"/>
    <cellStyle name="Normal 5 2 4 7" xfId="11945"/>
    <cellStyle name="Normal 5 2 5" xfId="5819"/>
    <cellStyle name="Normal 5 2 5 10" xfId="5820"/>
    <cellStyle name="Normal 5 2 5 10 2" xfId="5821"/>
    <cellStyle name="Normal 5 2 5 10 2 2" xfId="11963"/>
    <cellStyle name="Normal 5 2 5 10 3" xfId="5822"/>
    <cellStyle name="Normal 5 2 5 10 3 2" xfId="11964"/>
    <cellStyle name="Normal 5 2 5 10 4" xfId="11962"/>
    <cellStyle name="Normal 5 2 5 11" xfId="5823"/>
    <cellStyle name="Normal 5 2 5 11 2" xfId="5824"/>
    <cellStyle name="Normal 5 2 5 11 2 2" xfId="11966"/>
    <cellStyle name="Normal 5 2 5 11 3" xfId="11965"/>
    <cellStyle name="Normal 5 2 5 12" xfId="5825"/>
    <cellStyle name="Normal 5 2 5 12 2" xfId="5826"/>
    <cellStyle name="Normal 5 2 5 12 2 2" xfId="11968"/>
    <cellStyle name="Normal 5 2 5 12 3" xfId="11967"/>
    <cellStyle name="Normal 5 2 5 13" xfId="5827"/>
    <cellStyle name="Normal 5 2 5 13 2" xfId="11969"/>
    <cellStyle name="Normal 5 2 5 14" xfId="5828"/>
    <cellStyle name="Normal 5 2 5 14 2" xfId="11970"/>
    <cellStyle name="Normal 5 2 5 15" xfId="5829"/>
    <cellStyle name="Normal 5 2 5 15 2" xfId="11971"/>
    <cellStyle name="Normal 5 2 5 16" xfId="5830"/>
    <cellStyle name="Normal 5 2 5 16 2" xfId="11972"/>
    <cellStyle name="Normal 5 2 5 17" xfId="5831"/>
    <cellStyle name="Normal 5 2 5 17 2" xfId="11973"/>
    <cellStyle name="Normal 5 2 5 18" xfId="5832"/>
    <cellStyle name="Normal 5 2 5 18 2" xfId="11974"/>
    <cellStyle name="Normal 5 2 5 19" xfId="5833"/>
    <cellStyle name="Normal 5 2 5 19 2" xfId="5834"/>
    <cellStyle name="Normal 5 2 5 19 2 2" xfId="11976"/>
    <cellStyle name="Normal 5 2 5 19 3" xfId="5835"/>
    <cellStyle name="Normal 5 2 5 19 3 2" xfId="11977"/>
    <cellStyle name="Normal 5 2 5 19 4" xfId="5836"/>
    <cellStyle name="Normal 5 2 5 19 4 2" xfId="11978"/>
    <cellStyle name="Normal 5 2 5 19 5" xfId="5837"/>
    <cellStyle name="Normal 5 2 5 19 5 2" xfId="11979"/>
    <cellStyle name="Normal 5 2 5 19 6" xfId="5838"/>
    <cellStyle name="Normal 5 2 5 19 6 2" xfId="11980"/>
    <cellStyle name="Normal 5 2 5 19 7" xfId="5839"/>
    <cellStyle name="Normal 5 2 5 19 7 2" xfId="11981"/>
    <cellStyle name="Normal 5 2 5 19 8" xfId="11975"/>
    <cellStyle name="Normal 5 2 5 2" xfId="5840"/>
    <cellStyle name="Normal 5 2 5 2 2" xfId="5841"/>
    <cellStyle name="Normal 5 2 5 2 2 2" xfId="5842"/>
    <cellStyle name="Normal 5 2 5 2 2 2 2" xfId="11984"/>
    <cellStyle name="Normal 5 2 5 2 2 3" xfId="5843"/>
    <cellStyle name="Normal 5 2 5 2 2 3 2" xfId="11985"/>
    <cellStyle name="Normal 5 2 5 2 2 4" xfId="5844"/>
    <cellStyle name="Normal 5 2 5 2 2 4 2" xfId="11986"/>
    <cellStyle name="Normal 5 2 5 2 2 5" xfId="5845"/>
    <cellStyle name="Normal 5 2 5 2 2 5 2" xfId="11987"/>
    <cellStyle name="Normal 5 2 5 2 2 6" xfId="11983"/>
    <cellStyle name="Normal 5 2 5 2 3" xfId="5846"/>
    <cellStyle name="Normal 5 2 5 2 3 2" xfId="5847"/>
    <cellStyle name="Normal 5 2 5 2 3 2 2" xfId="11989"/>
    <cellStyle name="Normal 5 2 5 2 3 3" xfId="5848"/>
    <cellStyle name="Normal 5 2 5 2 3 3 2" xfId="11990"/>
    <cellStyle name="Normal 5 2 5 2 3 4" xfId="11988"/>
    <cellStyle name="Normal 5 2 5 2 4" xfId="5849"/>
    <cellStyle name="Normal 5 2 5 2 4 2" xfId="5850"/>
    <cellStyle name="Normal 5 2 5 2 4 2 2" xfId="11992"/>
    <cellStyle name="Normal 5 2 5 2 4 3" xfId="5851"/>
    <cellStyle name="Normal 5 2 5 2 4 3 2" xfId="11993"/>
    <cellStyle name="Normal 5 2 5 2 4 4" xfId="11991"/>
    <cellStyle name="Normal 5 2 5 2 5" xfId="5852"/>
    <cellStyle name="Normal 5 2 5 2 5 2" xfId="11994"/>
    <cellStyle name="Normal 5 2 5 2 6" xfId="5853"/>
    <cellStyle name="Normal 5 2 5 2 6 2" xfId="11995"/>
    <cellStyle name="Normal 5 2 5 2 7" xfId="11982"/>
    <cellStyle name="Normal 5 2 5 20" xfId="5854"/>
    <cellStyle name="Normal 5 2 5 20 2" xfId="11996"/>
    <cellStyle name="Normal 5 2 5 21" xfId="5855"/>
    <cellStyle name="Normal 5 2 5 21 2" xfId="11997"/>
    <cellStyle name="Normal 5 2 5 22" xfId="5856"/>
    <cellStyle name="Normal 5 2 5 22 2" xfId="11998"/>
    <cellStyle name="Normal 5 2 5 23" xfId="5857"/>
    <cellStyle name="Normal 5 2 5 23 2" xfId="11999"/>
    <cellStyle name="Normal 5 2 5 24" xfId="5858"/>
    <cellStyle name="Normal 5 2 5 24 2" xfId="12000"/>
    <cellStyle name="Normal 5 2 5 25" xfId="5859"/>
    <cellStyle name="Normal 5 2 5 25 2" xfId="12001"/>
    <cellStyle name="Normal 5 2 5 26" xfId="5860"/>
    <cellStyle name="Normal 5 2 5 26 2" xfId="12002"/>
    <cellStyle name="Normal 5 2 5 27" xfId="5861"/>
    <cellStyle name="Normal 5 2 5 27 2" xfId="12003"/>
    <cellStyle name="Normal 5 2 5 28" xfId="11961"/>
    <cellStyle name="Normal 5 2 5 3" xfId="5862"/>
    <cellStyle name="Normal 5 2 5 3 10" xfId="5863"/>
    <cellStyle name="Normal 5 2 5 3 10 2" xfId="12005"/>
    <cellStyle name="Normal 5 2 5 3 11" xfId="5864"/>
    <cellStyle name="Normal 5 2 5 3 11 2" xfId="12006"/>
    <cellStyle name="Normal 5 2 5 3 12" xfId="5865"/>
    <cellStyle name="Normal 5 2 5 3 12 2" xfId="12007"/>
    <cellStyle name="Normal 5 2 5 3 13" xfId="5866"/>
    <cellStyle name="Normal 5 2 5 3 13 2" xfId="12008"/>
    <cellStyle name="Normal 5 2 5 3 14" xfId="5867"/>
    <cellStyle name="Normal 5 2 5 3 14 2" xfId="12009"/>
    <cellStyle name="Normal 5 2 5 3 15" xfId="5868"/>
    <cellStyle name="Normal 5 2 5 3 15 2" xfId="12010"/>
    <cellStyle name="Normal 5 2 5 3 16" xfId="5869"/>
    <cellStyle name="Normal 5 2 5 3 16 2" xfId="12011"/>
    <cellStyle name="Normal 5 2 5 3 17" xfId="5870"/>
    <cellStyle name="Normal 5 2 5 3 17 2" xfId="12012"/>
    <cellStyle name="Normal 5 2 5 3 18" xfId="5871"/>
    <cellStyle name="Normal 5 2 5 3 18 2" xfId="12013"/>
    <cellStyle name="Normal 5 2 5 3 19" xfId="5872"/>
    <cellStyle name="Normal 5 2 5 3 19 2" xfId="12014"/>
    <cellStyle name="Normal 5 2 5 3 2" xfId="5873"/>
    <cellStyle name="Normal 5 2 5 3 2 2" xfId="5874"/>
    <cellStyle name="Normal 5 2 5 3 2 2 2" xfId="5875"/>
    <cellStyle name="Normal 5 2 5 3 2 2 2 2" xfId="12017"/>
    <cellStyle name="Normal 5 2 5 3 2 2 3" xfId="5876"/>
    <cellStyle name="Normal 5 2 5 3 2 2 3 2" xfId="12018"/>
    <cellStyle name="Normal 5 2 5 3 2 2 4" xfId="12016"/>
    <cellStyle name="Normal 5 2 5 3 2 3" xfId="5877"/>
    <cellStyle name="Normal 5 2 5 3 2 3 2" xfId="5878"/>
    <cellStyle name="Normal 5 2 5 3 2 3 2 2" xfId="12020"/>
    <cellStyle name="Normal 5 2 5 3 2 3 3" xfId="5879"/>
    <cellStyle name="Normal 5 2 5 3 2 3 3 2" xfId="12021"/>
    <cellStyle name="Normal 5 2 5 3 2 3 4" xfId="12019"/>
    <cellStyle name="Normal 5 2 5 3 2 4" xfId="5880"/>
    <cellStyle name="Normal 5 2 5 3 2 4 2" xfId="12022"/>
    <cellStyle name="Normal 5 2 5 3 2 5" xfId="5881"/>
    <cellStyle name="Normal 5 2 5 3 2 5 2" xfId="12023"/>
    <cellStyle name="Normal 5 2 5 3 2 6" xfId="12015"/>
    <cellStyle name="Normal 5 2 5 3 20" xfId="12004"/>
    <cellStyle name="Normal 5 2 5 3 3" xfId="5882"/>
    <cellStyle name="Normal 5 2 5 3 3 2" xfId="5883"/>
    <cellStyle name="Normal 5 2 5 3 3 2 2" xfId="12025"/>
    <cellStyle name="Normal 5 2 5 3 3 3" xfId="5884"/>
    <cellStyle name="Normal 5 2 5 3 3 3 2" xfId="12026"/>
    <cellStyle name="Normal 5 2 5 3 3 4" xfId="5885"/>
    <cellStyle name="Normal 5 2 5 3 3 4 2" xfId="12027"/>
    <cellStyle name="Normal 5 2 5 3 3 5" xfId="5886"/>
    <cellStyle name="Normal 5 2 5 3 3 5 2" xfId="12028"/>
    <cellStyle name="Normal 5 2 5 3 3 6" xfId="12024"/>
    <cellStyle name="Normal 5 2 5 3 4" xfId="5887"/>
    <cellStyle name="Normal 5 2 5 3 4 2" xfId="5888"/>
    <cellStyle name="Normal 5 2 5 3 4 2 2" xfId="12030"/>
    <cellStyle name="Normal 5 2 5 3 4 3" xfId="5889"/>
    <cellStyle name="Normal 5 2 5 3 4 3 2" xfId="12031"/>
    <cellStyle name="Normal 5 2 5 3 4 4" xfId="12029"/>
    <cellStyle name="Normal 5 2 5 3 5" xfId="5890"/>
    <cellStyle name="Normal 5 2 5 3 5 2" xfId="5891"/>
    <cellStyle name="Normal 5 2 5 3 5 2 2" xfId="12033"/>
    <cellStyle name="Normal 5 2 5 3 5 3" xfId="5892"/>
    <cellStyle name="Normal 5 2 5 3 5 3 2" xfId="12034"/>
    <cellStyle name="Normal 5 2 5 3 5 4" xfId="12032"/>
    <cellStyle name="Normal 5 2 5 3 6" xfId="5893"/>
    <cellStyle name="Normal 5 2 5 3 6 2" xfId="12035"/>
    <cellStyle name="Normal 5 2 5 3 7" xfId="5894"/>
    <cellStyle name="Normal 5 2 5 3 7 2" xfId="12036"/>
    <cellStyle name="Normal 5 2 5 3 8" xfId="5895"/>
    <cellStyle name="Normal 5 2 5 3 8 2" xfId="12037"/>
    <cellStyle name="Normal 5 2 5 3 9" xfId="5896"/>
    <cellStyle name="Normal 5 2 5 3 9 2" xfId="12038"/>
    <cellStyle name="Normal 5 2 5 4" xfId="5897"/>
    <cellStyle name="Normal 5 2 5 4 2" xfId="5898"/>
    <cellStyle name="Normal 5 2 5 4 2 2" xfId="5899"/>
    <cellStyle name="Normal 5 2 5 4 2 2 2" xfId="12041"/>
    <cellStyle name="Normal 5 2 5 4 2 3" xfId="5900"/>
    <cellStyle name="Normal 5 2 5 4 2 3 2" xfId="12042"/>
    <cellStyle name="Normal 5 2 5 4 2 4" xfId="5901"/>
    <cellStyle name="Normal 5 2 5 4 2 4 2" xfId="12043"/>
    <cellStyle name="Normal 5 2 5 4 2 5" xfId="5902"/>
    <cellStyle name="Normal 5 2 5 4 2 5 2" xfId="12044"/>
    <cellStyle name="Normal 5 2 5 4 2 6" xfId="12040"/>
    <cellStyle name="Normal 5 2 5 4 3" xfId="5903"/>
    <cellStyle name="Normal 5 2 5 4 3 2" xfId="5904"/>
    <cellStyle name="Normal 5 2 5 4 3 2 2" xfId="12046"/>
    <cellStyle name="Normal 5 2 5 4 3 3" xfId="5905"/>
    <cellStyle name="Normal 5 2 5 4 3 3 2" xfId="12047"/>
    <cellStyle name="Normal 5 2 5 4 3 4" xfId="12045"/>
    <cellStyle name="Normal 5 2 5 4 4" xfId="5906"/>
    <cellStyle name="Normal 5 2 5 4 4 2" xfId="5907"/>
    <cellStyle name="Normal 5 2 5 4 4 2 2" xfId="12049"/>
    <cellStyle name="Normal 5 2 5 4 4 3" xfId="5908"/>
    <cellStyle name="Normal 5 2 5 4 4 3 2" xfId="12050"/>
    <cellStyle name="Normal 5 2 5 4 4 4" xfId="12048"/>
    <cellStyle name="Normal 5 2 5 4 5" xfId="5909"/>
    <cellStyle name="Normal 5 2 5 4 5 2" xfId="12051"/>
    <cellStyle name="Normal 5 2 5 4 6" xfId="5910"/>
    <cellStyle name="Normal 5 2 5 4 6 2" xfId="12052"/>
    <cellStyle name="Normal 5 2 5 4 7" xfId="12039"/>
    <cellStyle name="Normal 5 2 5 5" xfId="5911"/>
    <cellStyle name="Normal 5 2 5 5 2" xfId="5912"/>
    <cellStyle name="Normal 5 2 5 5 2 2" xfId="5913"/>
    <cellStyle name="Normal 5 2 5 5 2 2 2" xfId="12055"/>
    <cellStyle name="Normal 5 2 5 5 2 3" xfId="5914"/>
    <cellStyle name="Normal 5 2 5 5 2 3 2" xfId="12056"/>
    <cellStyle name="Normal 5 2 5 5 2 4" xfId="5915"/>
    <cellStyle name="Normal 5 2 5 5 2 4 2" xfId="12057"/>
    <cellStyle name="Normal 5 2 5 5 2 5" xfId="5916"/>
    <cellStyle name="Normal 5 2 5 5 2 5 2" xfId="12058"/>
    <cellStyle name="Normal 5 2 5 5 2 6" xfId="12054"/>
    <cellStyle name="Normal 5 2 5 5 3" xfId="5917"/>
    <cellStyle name="Normal 5 2 5 5 3 2" xfId="5918"/>
    <cellStyle name="Normal 5 2 5 5 3 2 2" xfId="12060"/>
    <cellStyle name="Normal 5 2 5 5 3 3" xfId="5919"/>
    <cellStyle name="Normal 5 2 5 5 3 3 2" xfId="12061"/>
    <cellStyle name="Normal 5 2 5 5 3 4" xfId="12059"/>
    <cellStyle name="Normal 5 2 5 5 4" xfId="5920"/>
    <cellStyle name="Normal 5 2 5 5 4 2" xfId="5921"/>
    <cellStyle name="Normal 5 2 5 5 4 2 2" xfId="12063"/>
    <cellStyle name="Normal 5 2 5 5 4 3" xfId="5922"/>
    <cellStyle name="Normal 5 2 5 5 4 3 2" xfId="12064"/>
    <cellStyle name="Normal 5 2 5 5 4 4" xfId="12062"/>
    <cellStyle name="Normal 5 2 5 5 5" xfId="5923"/>
    <cellStyle name="Normal 5 2 5 5 5 2" xfId="12065"/>
    <cellStyle name="Normal 5 2 5 5 6" xfId="5924"/>
    <cellStyle name="Normal 5 2 5 5 6 2" xfId="12066"/>
    <cellStyle name="Normal 5 2 5 5 7" xfId="12053"/>
    <cellStyle name="Normal 5 2 5 6" xfId="5925"/>
    <cellStyle name="Normal 5 2 5 6 2" xfId="5926"/>
    <cellStyle name="Normal 5 2 5 6 2 2" xfId="5927"/>
    <cellStyle name="Normal 5 2 5 6 2 2 2" xfId="12069"/>
    <cellStyle name="Normal 5 2 5 6 2 3" xfId="5928"/>
    <cellStyle name="Normal 5 2 5 6 2 3 2" xfId="12070"/>
    <cellStyle name="Normal 5 2 5 6 2 4" xfId="5929"/>
    <cellStyle name="Normal 5 2 5 6 2 4 2" xfId="12071"/>
    <cellStyle name="Normal 5 2 5 6 2 5" xfId="5930"/>
    <cellStyle name="Normal 5 2 5 6 2 5 2" xfId="12072"/>
    <cellStyle name="Normal 5 2 5 6 2 6" xfId="12068"/>
    <cellStyle name="Normal 5 2 5 6 3" xfId="5931"/>
    <cellStyle name="Normal 5 2 5 6 3 2" xfId="5932"/>
    <cellStyle name="Normal 5 2 5 6 3 2 2" xfId="12074"/>
    <cellStyle name="Normal 5 2 5 6 3 3" xfId="5933"/>
    <cellStyle name="Normal 5 2 5 6 3 3 2" xfId="12075"/>
    <cellStyle name="Normal 5 2 5 6 3 4" xfId="12073"/>
    <cellStyle name="Normal 5 2 5 6 4" xfId="5934"/>
    <cellStyle name="Normal 5 2 5 6 4 2" xfId="5935"/>
    <cellStyle name="Normal 5 2 5 6 4 2 2" xfId="12077"/>
    <cellStyle name="Normal 5 2 5 6 4 3" xfId="5936"/>
    <cellStyle name="Normal 5 2 5 6 4 3 2" xfId="12078"/>
    <cellStyle name="Normal 5 2 5 6 4 4" xfId="12076"/>
    <cellStyle name="Normal 5 2 5 6 5" xfId="5937"/>
    <cellStyle name="Normal 5 2 5 6 5 2" xfId="12079"/>
    <cellStyle name="Normal 5 2 5 6 6" xfId="5938"/>
    <cellStyle name="Normal 5 2 5 6 6 2" xfId="12080"/>
    <cellStyle name="Normal 5 2 5 6 7" xfId="12067"/>
    <cellStyle name="Normal 5 2 5 7" xfId="5939"/>
    <cellStyle name="Normal 5 2 5 7 2" xfId="5940"/>
    <cellStyle name="Normal 5 2 5 7 2 2" xfId="5941"/>
    <cellStyle name="Normal 5 2 5 7 2 2 2" xfId="12083"/>
    <cellStyle name="Normal 5 2 5 7 2 3" xfId="5942"/>
    <cellStyle name="Normal 5 2 5 7 2 3 2" xfId="12084"/>
    <cellStyle name="Normal 5 2 5 7 2 4" xfId="12082"/>
    <cellStyle name="Normal 5 2 5 7 3" xfId="5943"/>
    <cellStyle name="Normal 5 2 5 7 3 2" xfId="5944"/>
    <cellStyle name="Normal 5 2 5 7 3 2 2" xfId="12086"/>
    <cellStyle name="Normal 5 2 5 7 3 3" xfId="5945"/>
    <cellStyle name="Normal 5 2 5 7 3 3 2" xfId="12087"/>
    <cellStyle name="Normal 5 2 5 7 3 4" xfId="12085"/>
    <cellStyle name="Normal 5 2 5 7 4" xfId="5946"/>
    <cellStyle name="Normal 5 2 5 7 4 2" xfId="5947"/>
    <cellStyle name="Normal 5 2 5 7 4 2 2" xfId="12089"/>
    <cellStyle name="Normal 5 2 5 7 4 3" xfId="12088"/>
    <cellStyle name="Normal 5 2 5 7 5" xfId="5948"/>
    <cellStyle name="Normal 5 2 5 7 5 2" xfId="12090"/>
    <cellStyle name="Normal 5 2 5 7 6" xfId="5949"/>
    <cellStyle name="Normal 5 2 5 7 6 2" xfId="12091"/>
    <cellStyle name="Normal 5 2 5 7 7" xfId="12081"/>
    <cellStyle name="Normal 5 2 5 8" xfId="5950"/>
    <cellStyle name="Normal 5 2 5 8 2" xfId="5951"/>
    <cellStyle name="Normal 5 2 5 8 2 2" xfId="12093"/>
    <cellStyle name="Normal 5 2 5 8 3" xfId="5952"/>
    <cellStyle name="Normal 5 2 5 8 3 2" xfId="12094"/>
    <cellStyle name="Normal 5 2 5 8 4" xfId="5953"/>
    <cellStyle name="Normal 5 2 5 8 4 2" xfId="12095"/>
    <cellStyle name="Normal 5 2 5 8 5" xfId="5954"/>
    <cellStyle name="Normal 5 2 5 8 5 2" xfId="12096"/>
    <cellStyle name="Normal 5 2 5 8 6" xfId="12092"/>
    <cellStyle name="Normal 5 2 5 9" xfId="5955"/>
    <cellStyle name="Normal 5 2 5 9 2" xfId="5956"/>
    <cellStyle name="Normal 5 2 5 9 2 2" xfId="12098"/>
    <cellStyle name="Normal 5 2 5 9 3" xfId="5957"/>
    <cellStyle name="Normal 5 2 5 9 3 2" xfId="12099"/>
    <cellStyle name="Normal 5 2 5 9 4" xfId="12097"/>
    <cellStyle name="Normal 5 2 5_10070" xfId="5958"/>
    <cellStyle name="Normal 5 2 6" xfId="5959"/>
    <cellStyle name="Normal 5 2 6 2" xfId="5960"/>
    <cellStyle name="Normal 5 2 6 2 2" xfId="5961"/>
    <cellStyle name="Normal 5 2 6 2 2 2" xfId="12102"/>
    <cellStyle name="Normal 5 2 6 2 3" xfId="5962"/>
    <cellStyle name="Normal 5 2 6 2 3 2" xfId="12103"/>
    <cellStyle name="Normal 5 2 6 2 4" xfId="12101"/>
    <cellStyle name="Normal 5 2 6 3" xfId="5963"/>
    <cellStyle name="Normal 5 2 6 3 2" xfId="5964"/>
    <cellStyle name="Normal 5 2 6 3 2 2" xfId="12105"/>
    <cellStyle name="Normal 5 2 6 3 3" xfId="5965"/>
    <cellStyle name="Normal 5 2 6 3 3 2" xfId="12106"/>
    <cellStyle name="Normal 5 2 6 3 4" xfId="12104"/>
    <cellStyle name="Normal 5 2 6 4" xfId="5966"/>
    <cellStyle name="Normal 5 2 6 4 2" xfId="12107"/>
    <cellStyle name="Normal 5 2 6 5" xfId="5967"/>
    <cellStyle name="Normal 5 2 6 5 2" xfId="12108"/>
    <cellStyle name="Normal 5 2 6 6" xfId="12100"/>
    <cellStyle name="Normal 5 2 7" xfId="5968"/>
    <cellStyle name="Normal 5 2 7 2" xfId="5969"/>
    <cellStyle name="Normal 5 2 7 2 2" xfId="12110"/>
    <cellStyle name="Normal 5 2 7 3" xfId="5970"/>
    <cellStyle name="Normal 5 2 7 3 2" xfId="12111"/>
    <cellStyle name="Normal 5 2 7 4" xfId="5971"/>
    <cellStyle name="Normal 5 2 7 4 2" xfId="12112"/>
    <cellStyle name="Normal 5 2 7 5" xfId="5972"/>
    <cellStyle name="Normal 5 2 7 5 2" xfId="12113"/>
    <cellStyle name="Normal 5 2 7 6" xfId="12109"/>
    <cellStyle name="Normal 5 2 8" xfId="5973"/>
    <cellStyle name="Normal 5 2 8 2" xfId="12114"/>
    <cellStyle name="Normal 5 2 9" xfId="5974"/>
    <cellStyle name="Normal 5 2 9 2" xfId="12115"/>
    <cellStyle name="Normal 5 3" xfId="5975"/>
    <cellStyle name="Normal 5 3 2" xfId="5976"/>
    <cellStyle name="Normal 5 3 2 2" xfId="5977"/>
    <cellStyle name="Normal 5 3 2 2 2" xfId="5978"/>
    <cellStyle name="Normal 5 3 2 2 2 2" xfId="5979"/>
    <cellStyle name="Normal 5 3 2 2 2 2 2" xfId="5980"/>
    <cellStyle name="Normal 5 3 2 2 2 2 2 2" xfId="12121"/>
    <cellStyle name="Normal 5 3 2 2 2 2 3" xfId="12120"/>
    <cellStyle name="Normal 5 3 2 2 2 3" xfId="5981"/>
    <cellStyle name="Normal 5 3 2 2 2 3 2" xfId="5982"/>
    <cellStyle name="Normal 5 3 2 2 2 3 2 2" xfId="12123"/>
    <cellStyle name="Normal 5 3 2 2 2 3 3" xfId="12122"/>
    <cellStyle name="Normal 5 3 2 2 2 4" xfId="5983"/>
    <cellStyle name="Normal 5 3 2 2 2 4 2" xfId="12124"/>
    <cellStyle name="Normal 5 3 2 2 2 5" xfId="12119"/>
    <cellStyle name="Normal 5 3 2 2 3" xfId="5984"/>
    <cellStyle name="Normal 5 3 2 2 3 2" xfId="5985"/>
    <cellStyle name="Normal 5 3 2 2 3 2 2" xfId="12126"/>
    <cellStyle name="Normal 5 3 2 2 3 3" xfId="12125"/>
    <cellStyle name="Normal 5 3 2 2 4" xfId="5986"/>
    <cellStyle name="Normal 5 3 2 2 4 2" xfId="5987"/>
    <cellStyle name="Normal 5 3 2 2 4 2 2" xfId="12128"/>
    <cellStyle name="Normal 5 3 2 2 4 3" xfId="12127"/>
    <cellStyle name="Normal 5 3 2 2 5" xfId="5988"/>
    <cellStyle name="Normal 5 3 2 2 5 2" xfId="12129"/>
    <cellStyle name="Normal 5 3 2 2 6" xfId="12118"/>
    <cellStyle name="Normal 5 3 2 3" xfId="5989"/>
    <cellStyle name="Normal 5 3 2 3 2" xfId="5990"/>
    <cellStyle name="Normal 5 3 2 3 2 2" xfId="5991"/>
    <cellStyle name="Normal 5 3 2 3 2 2 2" xfId="12132"/>
    <cellStyle name="Normal 5 3 2 3 2 3" xfId="12131"/>
    <cellStyle name="Normal 5 3 2 3 3" xfId="5992"/>
    <cellStyle name="Normal 5 3 2 3 3 2" xfId="5993"/>
    <cellStyle name="Normal 5 3 2 3 3 2 2" xfId="12134"/>
    <cellStyle name="Normal 5 3 2 3 3 3" xfId="12133"/>
    <cellStyle name="Normal 5 3 2 3 4" xfId="5994"/>
    <cellStyle name="Normal 5 3 2 3 4 2" xfId="12135"/>
    <cellStyle name="Normal 5 3 2 3 5" xfId="12130"/>
    <cellStyle name="Normal 5 3 2 4" xfId="5995"/>
    <cellStyle name="Normal 5 3 2 4 2" xfId="5996"/>
    <cellStyle name="Normal 5 3 2 4 2 2" xfId="12137"/>
    <cellStyle name="Normal 5 3 2 4 3" xfId="12136"/>
    <cellStyle name="Normal 5 3 2 5" xfId="5997"/>
    <cellStyle name="Normal 5 3 2 5 2" xfId="5998"/>
    <cellStyle name="Normal 5 3 2 5 2 2" xfId="12139"/>
    <cellStyle name="Normal 5 3 2 5 3" xfId="12138"/>
    <cellStyle name="Normal 5 3 2 6" xfId="5999"/>
    <cellStyle name="Normal 5 3 2 6 2" xfId="12140"/>
    <cellStyle name="Normal 5 3 2 7" xfId="12117"/>
    <cellStyle name="Normal 5 3 3" xfId="6000"/>
    <cellStyle name="Normal 5 3 3 2" xfId="6001"/>
    <cellStyle name="Normal 5 3 3 2 2" xfId="6002"/>
    <cellStyle name="Normal 5 3 3 2 2 2" xfId="6003"/>
    <cellStyle name="Normal 5 3 3 2 2 2 2" xfId="12144"/>
    <cellStyle name="Normal 5 3 3 2 2 3" xfId="12143"/>
    <cellStyle name="Normal 5 3 3 2 3" xfId="6004"/>
    <cellStyle name="Normal 5 3 3 2 3 2" xfId="6005"/>
    <cellStyle name="Normal 5 3 3 2 3 2 2" xfId="12146"/>
    <cellStyle name="Normal 5 3 3 2 3 3" xfId="12145"/>
    <cellStyle name="Normal 5 3 3 2 4" xfId="6006"/>
    <cellStyle name="Normal 5 3 3 2 4 2" xfId="12147"/>
    <cellStyle name="Normal 5 3 3 2 5" xfId="12142"/>
    <cellStyle name="Normal 5 3 3 3" xfId="6007"/>
    <cellStyle name="Normal 5 3 3 3 2" xfId="6008"/>
    <cellStyle name="Normal 5 3 3 3 2 2" xfId="12149"/>
    <cellStyle name="Normal 5 3 3 3 3" xfId="12148"/>
    <cellStyle name="Normal 5 3 3 4" xfId="6009"/>
    <cellStyle name="Normal 5 3 3 4 2" xfId="6010"/>
    <cellStyle name="Normal 5 3 3 4 2 2" xfId="12151"/>
    <cellStyle name="Normal 5 3 3 4 3" xfId="12150"/>
    <cellStyle name="Normal 5 3 3 5" xfId="6011"/>
    <cellStyle name="Normal 5 3 3 5 2" xfId="12152"/>
    <cellStyle name="Normal 5 3 3 6" xfId="12141"/>
    <cellStyle name="Normal 5 3 4" xfId="6012"/>
    <cellStyle name="Normal 5 3 4 2" xfId="6013"/>
    <cellStyle name="Normal 5 3 4 2 2" xfId="6014"/>
    <cellStyle name="Normal 5 3 4 2 2 2" xfId="12155"/>
    <cellStyle name="Normal 5 3 4 2 3" xfId="12154"/>
    <cellStyle name="Normal 5 3 4 3" xfId="6015"/>
    <cellStyle name="Normal 5 3 4 3 2" xfId="6016"/>
    <cellStyle name="Normal 5 3 4 3 2 2" xfId="12157"/>
    <cellStyle name="Normal 5 3 4 3 3" xfId="12156"/>
    <cellStyle name="Normal 5 3 4 4" xfId="6017"/>
    <cellStyle name="Normal 5 3 4 4 2" xfId="12158"/>
    <cellStyle name="Normal 5 3 4 5" xfId="12153"/>
    <cellStyle name="Normal 5 3 5" xfId="6018"/>
    <cellStyle name="Normal 5 3 5 2" xfId="6019"/>
    <cellStyle name="Normal 5 3 5 2 2" xfId="12160"/>
    <cellStyle name="Normal 5 3 5 3" xfId="12159"/>
    <cellStyle name="Normal 5 3 6" xfId="6020"/>
    <cellStyle name="Normal 5 3 6 2" xfId="6021"/>
    <cellStyle name="Normal 5 3 6 2 2" xfId="12162"/>
    <cellStyle name="Normal 5 3 6 3" xfId="12161"/>
    <cellStyle name="Normal 5 3 7" xfId="6022"/>
    <cellStyle name="Normal 5 3 7 2" xfId="12163"/>
    <cellStyle name="Normal 5 3 8" xfId="6023"/>
    <cellStyle name="Normal 5 3 9" xfId="12116"/>
    <cellStyle name="Normal 5 4" xfId="6024"/>
    <cellStyle name="Normal 5 4 2" xfId="6025"/>
    <cellStyle name="Normal 5 4 2 2" xfId="6026"/>
    <cellStyle name="Normal 5 4 2 2 2" xfId="6027"/>
    <cellStyle name="Normal 5 4 2 2 2 2" xfId="6028"/>
    <cellStyle name="Normal 5 4 2 2 2 2 2" xfId="6029"/>
    <cellStyle name="Normal 5 4 2 2 2 2 2 2" xfId="12169"/>
    <cellStyle name="Normal 5 4 2 2 2 2 3" xfId="12168"/>
    <cellStyle name="Normal 5 4 2 2 2 3" xfId="6030"/>
    <cellStyle name="Normal 5 4 2 2 2 3 2" xfId="6031"/>
    <cellStyle name="Normal 5 4 2 2 2 3 2 2" xfId="12171"/>
    <cellStyle name="Normal 5 4 2 2 2 3 3" xfId="12170"/>
    <cellStyle name="Normal 5 4 2 2 2 4" xfId="6032"/>
    <cellStyle name="Normal 5 4 2 2 2 4 2" xfId="12172"/>
    <cellStyle name="Normal 5 4 2 2 2 5" xfId="12167"/>
    <cellStyle name="Normal 5 4 2 2 3" xfId="6033"/>
    <cellStyle name="Normal 5 4 2 2 3 2" xfId="6034"/>
    <cellStyle name="Normal 5 4 2 2 3 2 2" xfId="12174"/>
    <cellStyle name="Normal 5 4 2 2 3 3" xfId="12173"/>
    <cellStyle name="Normal 5 4 2 2 4" xfId="6035"/>
    <cellStyle name="Normal 5 4 2 2 4 2" xfId="6036"/>
    <cellStyle name="Normal 5 4 2 2 4 2 2" xfId="12176"/>
    <cellStyle name="Normal 5 4 2 2 4 3" xfId="12175"/>
    <cellStyle name="Normal 5 4 2 2 5" xfId="6037"/>
    <cellStyle name="Normal 5 4 2 2 5 2" xfId="12177"/>
    <cellStyle name="Normal 5 4 2 2 6" xfId="12166"/>
    <cellStyle name="Normal 5 4 2 3" xfId="6038"/>
    <cellStyle name="Normal 5 4 2 3 2" xfId="6039"/>
    <cellStyle name="Normal 5 4 2 3 2 2" xfId="6040"/>
    <cellStyle name="Normal 5 4 2 3 2 2 2" xfId="12180"/>
    <cellStyle name="Normal 5 4 2 3 2 3" xfId="12179"/>
    <cellStyle name="Normal 5 4 2 3 3" xfId="6041"/>
    <cellStyle name="Normal 5 4 2 3 3 2" xfId="6042"/>
    <cellStyle name="Normal 5 4 2 3 3 2 2" xfId="12182"/>
    <cellStyle name="Normal 5 4 2 3 3 3" xfId="12181"/>
    <cellStyle name="Normal 5 4 2 3 4" xfId="6043"/>
    <cellStyle name="Normal 5 4 2 3 4 2" xfId="12183"/>
    <cellStyle name="Normal 5 4 2 3 5" xfId="12178"/>
    <cellStyle name="Normal 5 4 2 4" xfId="6044"/>
    <cellStyle name="Normal 5 4 2 4 2" xfId="6045"/>
    <cellStyle name="Normal 5 4 2 4 2 2" xfId="12185"/>
    <cellStyle name="Normal 5 4 2 4 3" xfId="12184"/>
    <cellStyle name="Normal 5 4 2 5" xfId="6046"/>
    <cellStyle name="Normal 5 4 2 5 2" xfId="6047"/>
    <cellStyle name="Normal 5 4 2 5 2 2" xfId="12187"/>
    <cellStyle name="Normal 5 4 2 5 3" xfId="12186"/>
    <cellStyle name="Normal 5 4 2 6" xfId="6048"/>
    <cellStyle name="Normal 5 4 2 6 2" xfId="12188"/>
    <cellStyle name="Normal 5 4 2 7" xfId="12165"/>
    <cellStyle name="Normal 5 4 3" xfId="6049"/>
    <cellStyle name="Normal 5 4 3 2" xfId="6050"/>
    <cellStyle name="Normal 5 4 3 2 2" xfId="6051"/>
    <cellStyle name="Normal 5 4 3 2 2 2" xfId="6052"/>
    <cellStyle name="Normal 5 4 3 2 2 2 2" xfId="12192"/>
    <cellStyle name="Normal 5 4 3 2 2 3" xfId="12191"/>
    <cellStyle name="Normal 5 4 3 2 3" xfId="6053"/>
    <cellStyle name="Normal 5 4 3 2 3 2" xfId="6054"/>
    <cellStyle name="Normal 5 4 3 2 3 2 2" xfId="12194"/>
    <cellStyle name="Normal 5 4 3 2 3 3" xfId="12193"/>
    <cellStyle name="Normal 5 4 3 2 4" xfId="6055"/>
    <cellStyle name="Normal 5 4 3 2 4 2" xfId="12195"/>
    <cellStyle name="Normal 5 4 3 2 5" xfId="12190"/>
    <cellStyle name="Normal 5 4 3 3" xfId="6056"/>
    <cellStyle name="Normal 5 4 3 3 2" xfId="6057"/>
    <cellStyle name="Normal 5 4 3 3 2 2" xfId="12197"/>
    <cellStyle name="Normal 5 4 3 3 3" xfId="12196"/>
    <cellStyle name="Normal 5 4 3 4" xfId="6058"/>
    <cellStyle name="Normal 5 4 3 4 2" xfId="6059"/>
    <cellStyle name="Normal 5 4 3 4 2 2" xfId="12199"/>
    <cellStyle name="Normal 5 4 3 4 3" xfId="12198"/>
    <cellStyle name="Normal 5 4 3 5" xfId="6060"/>
    <cellStyle name="Normal 5 4 3 5 2" xfId="12200"/>
    <cellStyle name="Normal 5 4 3 6" xfId="12189"/>
    <cellStyle name="Normal 5 4 4" xfId="6061"/>
    <cellStyle name="Normal 5 4 4 2" xfId="6062"/>
    <cellStyle name="Normal 5 4 4 2 2" xfId="6063"/>
    <cellStyle name="Normal 5 4 4 2 2 2" xfId="12203"/>
    <cellStyle name="Normal 5 4 4 2 3" xfId="12202"/>
    <cellStyle name="Normal 5 4 4 3" xfId="6064"/>
    <cellStyle name="Normal 5 4 4 3 2" xfId="6065"/>
    <cellStyle name="Normal 5 4 4 3 2 2" xfId="12205"/>
    <cellStyle name="Normal 5 4 4 3 3" xfId="12204"/>
    <cellStyle name="Normal 5 4 4 4" xfId="6066"/>
    <cellStyle name="Normal 5 4 4 4 2" xfId="12206"/>
    <cellStyle name="Normal 5 4 4 5" xfId="12201"/>
    <cellStyle name="Normal 5 4 5" xfId="6067"/>
    <cellStyle name="Normal 5 4 5 2" xfId="6068"/>
    <cellStyle name="Normal 5 4 5 2 2" xfId="12208"/>
    <cellStyle name="Normal 5 4 5 3" xfId="12207"/>
    <cellStyle name="Normal 5 4 6" xfId="6069"/>
    <cellStyle name="Normal 5 4 6 2" xfId="6070"/>
    <cellStyle name="Normal 5 4 6 2 2" xfId="12210"/>
    <cellStyle name="Normal 5 4 6 3" xfId="12209"/>
    <cellStyle name="Normal 5 4 7" xfId="6071"/>
    <cellStyle name="Normal 5 4 7 2" xfId="12211"/>
    <cellStyle name="Normal 5 4 8" xfId="6072"/>
    <cellStyle name="Normal 5 4 9" xfId="12164"/>
    <cellStyle name="Normal 5 5" xfId="6073"/>
    <cellStyle name="Normal 5 5 2" xfId="6074"/>
    <cellStyle name="Normal 5 5 2 2" xfId="6075"/>
    <cellStyle name="Normal 5 5 2 2 2" xfId="6076"/>
    <cellStyle name="Normal 5 5 2 2 2 2" xfId="6077"/>
    <cellStyle name="Normal 5 5 2 2 2 2 2" xfId="12216"/>
    <cellStyle name="Normal 5 5 2 2 2 3" xfId="12215"/>
    <cellStyle name="Normal 5 5 2 2 3" xfId="6078"/>
    <cellStyle name="Normal 5 5 2 2 3 2" xfId="6079"/>
    <cellStyle name="Normal 5 5 2 2 3 2 2" xfId="12218"/>
    <cellStyle name="Normal 5 5 2 2 3 3" xfId="12217"/>
    <cellStyle name="Normal 5 5 2 2 4" xfId="6080"/>
    <cellStyle name="Normal 5 5 2 2 4 2" xfId="12219"/>
    <cellStyle name="Normal 5 5 2 2 5" xfId="12214"/>
    <cellStyle name="Normal 5 5 2 3" xfId="6081"/>
    <cellStyle name="Normal 5 5 2 3 2" xfId="6082"/>
    <cellStyle name="Normal 5 5 2 3 2 2" xfId="12221"/>
    <cellStyle name="Normal 5 5 2 3 3" xfId="12220"/>
    <cellStyle name="Normal 5 5 2 4" xfId="6083"/>
    <cellStyle name="Normal 5 5 2 4 2" xfId="6084"/>
    <cellStyle name="Normal 5 5 2 4 2 2" xfId="12223"/>
    <cellStyle name="Normal 5 5 2 4 3" xfId="12222"/>
    <cellStyle name="Normal 5 5 2 5" xfId="6085"/>
    <cellStyle name="Normal 5 5 2 5 2" xfId="12224"/>
    <cellStyle name="Normal 5 5 2 6" xfId="12213"/>
    <cellStyle name="Normal 5 5 3" xfId="6086"/>
    <cellStyle name="Normal 5 5 3 2" xfId="6087"/>
    <cellStyle name="Normal 5 5 3 2 2" xfId="6088"/>
    <cellStyle name="Normal 5 5 3 2 2 2" xfId="12227"/>
    <cellStyle name="Normal 5 5 3 2 3" xfId="12226"/>
    <cellStyle name="Normal 5 5 3 3" xfId="6089"/>
    <cellStyle name="Normal 5 5 3 3 2" xfId="6090"/>
    <cellStyle name="Normal 5 5 3 3 2 2" xfId="12229"/>
    <cellStyle name="Normal 5 5 3 3 3" xfId="12228"/>
    <cellStyle name="Normal 5 5 3 4" xfId="6091"/>
    <cellStyle name="Normal 5 5 3 4 2" xfId="12230"/>
    <cellStyle name="Normal 5 5 3 5" xfId="12225"/>
    <cellStyle name="Normal 5 5 4" xfId="6092"/>
    <cellStyle name="Normal 5 5 4 2" xfId="6093"/>
    <cellStyle name="Normal 5 5 4 2 2" xfId="12232"/>
    <cellStyle name="Normal 5 5 4 3" xfId="12231"/>
    <cellStyle name="Normal 5 5 5" xfId="6094"/>
    <cellStyle name="Normal 5 5 5 2" xfId="6095"/>
    <cellStyle name="Normal 5 5 5 2 2" xfId="12234"/>
    <cellStyle name="Normal 5 5 5 3" xfId="12233"/>
    <cellStyle name="Normal 5 5 6" xfId="6096"/>
    <cellStyle name="Normal 5 5 6 2" xfId="12235"/>
    <cellStyle name="Normal 5 5 7" xfId="12212"/>
    <cellStyle name="Normal 5 6" xfId="6097"/>
    <cellStyle name="Normal 5 6 2" xfId="6098"/>
    <cellStyle name="Normal 5 6 2 2" xfId="6099"/>
    <cellStyle name="Normal 5 6 2 2 2" xfId="6100"/>
    <cellStyle name="Normal 5 6 2 2 2 2" xfId="12239"/>
    <cellStyle name="Normal 5 6 2 2 3" xfId="12238"/>
    <cellStyle name="Normal 5 6 2 3" xfId="6101"/>
    <cellStyle name="Normal 5 6 2 3 2" xfId="6102"/>
    <cellStyle name="Normal 5 6 2 3 2 2" xfId="12241"/>
    <cellStyle name="Normal 5 6 2 3 3" xfId="12240"/>
    <cellStyle name="Normal 5 6 2 4" xfId="6103"/>
    <cellStyle name="Normal 5 6 2 4 2" xfId="12242"/>
    <cellStyle name="Normal 5 6 2 5" xfId="12237"/>
    <cellStyle name="Normal 5 6 3" xfId="6104"/>
    <cellStyle name="Normal 5 6 3 2" xfId="6105"/>
    <cellStyle name="Normal 5 6 3 2 2" xfId="12244"/>
    <cellStyle name="Normal 5 6 3 3" xfId="12243"/>
    <cellStyle name="Normal 5 6 4" xfId="6106"/>
    <cellStyle name="Normal 5 6 4 2" xfId="6107"/>
    <cellStyle name="Normal 5 6 4 2 2" xfId="12246"/>
    <cellStyle name="Normal 5 6 4 3" xfId="12245"/>
    <cellStyle name="Normal 5 6 5" xfId="6108"/>
    <cellStyle name="Normal 5 6 5 2" xfId="12247"/>
    <cellStyle name="Normal 5 6 6" xfId="12236"/>
    <cellStyle name="Normal 5 7" xfId="6109"/>
    <cellStyle name="Normal 5 7 2" xfId="6110"/>
    <cellStyle name="Normal 5 7 2 2" xfId="6111"/>
    <cellStyle name="Normal 5 7 2 2 2" xfId="12250"/>
    <cellStyle name="Normal 5 7 2 3" xfId="12249"/>
    <cellStyle name="Normal 5 7 3" xfId="6112"/>
    <cellStyle name="Normal 5 7 3 2" xfId="6113"/>
    <cellStyle name="Normal 5 7 3 2 2" xfId="12252"/>
    <cellStyle name="Normal 5 7 3 3" xfId="12251"/>
    <cellStyle name="Normal 5 7 4" xfId="6114"/>
    <cellStyle name="Normal 5 7 4 2" xfId="12253"/>
    <cellStyle name="Normal 5 7 5" xfId="12248"/>
    <cellStyle name="Normal 5 8" xfId="6115"/>
    <cellStyle name="Normal 5 8 2" xfId="6116"/>
    <cellStyle name="Normal 5 8 2 2" xfId="12255"/>
    <cellStyle name="Normal 5 8 3" xfId="12254"/>
    <cellStyle name="Normal 5 9" xfId="6117"/>
    <cellStyle name="Normal 5 9 2" xfId="6118"/>
    <cellStyle name="Normal 5 9 2 2" xfId="12257"/>
    <cellStyle name="Normal 5 9 3" xfId="12256"/>
    <cellStyle name="Normal 5_10051" xfId="6119"/>
    <cellStyle name="Normal 50" xfId="6120"/>
    <cellStyle name="Normal 50 2" xfId="6121"/>
    <cellStyle name="Normal 50 2 2" xfId="6122"/>
    <cellStyle name="Normal 50 2 2 2" xfId="6123"/>
    <cellStyle name="Normal 50 2 2 2 2" xfId="6124"/>
    <cellStyle name="Normal 50 2 2 2 2 2" xfId="6125"/>
    <cellStyle name="Normal 50 2 2 2 2 2 2" xfId="12263"/>
    <cellStyle name="Normal 50 2 2 2 2 3" xfId="12262"/>
    <cellStyle name="Normal 50 2 2 2 3" xfId="6126"/>
    <cellStyle name="Normal 50 2 2 2 3 2" xfId="6127"/>
    <cellStyle name="Normal 50 2 2 2 3 2 2" xfId="12265"/>
    <cellStyle name="Normal 50 2 2 2 3 3" xfId="12264"/>
    <cellStyle name="Normal 50 2 2 2 4" xfId="6128"/>
    <cellStyle name="Normal 50 2 2 2 4 2" xfId="12266"/>
    <cellStyle name="Normal 50 2 2 2 5" xfId="12261"/>
    <cellStyle name="Normal 50 2 2 3" xfId="6129"/>
    <cellStyle name="Normal 50 2 2 3 2" xfId="6130"/>
    <cellStyle name="Normal 50 2 2 3 2 2" xfId="12268"/>
    <cellStyle name="Normal 50 2 2 3 3" xfId="12267"/>
    <cellStyle name="Normal 50 2 2 4" xfId="6131"/>
    <cellStyle name="Normal 50 2 2 4 2" xfId="6132"/>
    <cellStyle name="Normal 50 2 2 4 2 2" xfId="12270"/>
    <cellStyle name="Normal 50 2 2 4 3" xfId="12269"/>
    <cellStyle name="Normal 50 2 2 5" xfId="6133"/>
    <cellStyle name="Normal 50 2 2 5 2" xfId="12271"/>
    <cellStyle name="Normal 50 2 2 6" xfId="12260"/>
    <cellStyle name="Normal 50 2 3" xfId="6134"/>
    <cellStyle name="Normal 50 2 3 2" xfId="6135"/>
    <cellStyle name="Normal 50 2 3 2 2" xfId="6136"/>
    <cellStyle name="Normal 50 2 3 2 2 2" xfId="12274"/>
    <cellStyle name="Normal 50 2 3 2 3" xfId="12273"/>
    <cellStyle name="Normal 50 2 3 3" xfId="6137"/>
    <cellStyle name="Normal 50 2 3 3 2" xfId="6138"/>
    <cellStyle name="Normal 50 2 3 3 2 2" xfId="12276"/>
    <cellStyle name="Normal 50 2 3 3 3" xfId="12275"/>
    <cellStyle name="Normal 50 2 3 4" xfId="6139"/>
    <cellStyle name="Normal 50 2 3 4 2" xfId="12277"/>
    <cellStyle name="Normal 50 2 3 5" xfId="12272"/>
    <cellStyle name="Normal 50 2 4" xfId="6140"/>
    <cellStyle name="Normal 50 2 4 2" xfId="6141"/>
    <cellStyle name="Normal 50 2 4 2 2" xfId="12279"/>
    <cellStyle name="Normal 50 2 4 3" xfId="12278"/>
    <cellStyle name="Normal 50 2 5" xfId="6142"/>
    <cellStyle name="Normal 50 2 5 2" xfId="6143"/>
    <cellStyle name="Normal 50 2 5 2 2" xfId="12281"/>
    <cellStyle name="Normal 50 2 5 3" xfId="12280"/>
    <cellStyle name="Normal 50 2 6" xfId="6144"/>
    <cellStyle name="Normal 50 2 6 2" xfId="12282"/>
    <cellStyle name="Normal 50 2 7" xfId="12259"/>
    <cellStyle name="Normal 50 3" xfId="6145"/>
    <cellStyle name="Normal 50 3 2" xfId="6146"/>
    <cellStyle name="Normal 50 3 2 2" xfId="6147"/>
    <cellStyle name="Normal 50 3 2 2 2" xfId="6148"/>
    <cellStyle name="Normal 50 3 2 2 2 2" xfId="12286"/>
    <cellStyle name="Normal 50 3 2 2 3" xfId="12285"/>
    <cellStyle name="Normal 50 3 2 3" xfId="6149"/>
    <cellStyle name="Normal 50 3 2 3 2" xfId="6150"/>
    <cellStyle name="Normal 50 3 2 3 2 2" xfId="12288"/>
    <cellStyle name="Normal 50 3 2 3 3" xfId="12287"/>
    <cellStyle name="Normal 50 3 2 4" xfId="6151"/>
    <cellStyle name="Normal 50 3 2 4 2" xfId="12289"/>
    <cellStyle name="Normal 50 3 2 5" xfId="12284"/>
    <cellStyle name="Normal 50 3 3" xfId="6152"/>
    <cellStyle name="Normal 50 3 3 2" xfId="6153"/>
    <cellStyle name="Normal 50 3 3 2 2" xfId="12291"/>
    <cellStyle name="Normal 50 3 3 3" xfId="12290"/>
    <cellStyle name="Normal 50 3 4" xfId="6154"/>
    <cellStyle name="Normal 50 3 4 2" xfId="6155"/>
    <cellStyle name="Normal 50 3 4 2 2" xfId="12293"/>
    <cellStyle name="Normal 50 3 4 3" xfId="12292"/>
    <cellStyle name="Normal 50 3 5" xfId="6156"/>
    <cellStyle name="Normal 50 3 5 2" xfId="12294"/>
    <cellStyle name="Normal 50 3 6" xfId="12283"/>
    <cellStyle name="Normal 50 4" xfId="6157"/>
    <cellStyle name="Normal 50 4 2" xfId="6158"/>
    <cellStyle name="Normal 50 4 2 2" xfId="6159"/>
    <cellStyle name="Normal 50 4 2 2 2" xfId="12297"/>
    <cellStyle name="Normal 50 4 2 3" xfId="12296"/>
    <cellStyle name="Normal 50 4 3" xfId="6160"/>
    <cellStyle name="Normal 50 4 3 2" xfId="6161"/>
    <cellStyle name="Normal 50 4 3 2 2" xfId="12299"/>
    <cellStyle name="Normal 50 4 3 3" xfId="12298"/>
    <cellStyle name="Normal 50 4 4" xfId="6162"/>
    <cellStyle name="Normal 50 4 4 2" xfId="12300"/>
    <cellStyle name="Normal 50 4 5" xfId="12295"/>
    <cellStyle name="Normal 50 5" xfId="6163"/>
    <cellStyle name="Normal 50 5 2" xfId="6164"/>
    <cellStyle name="Normal 50 5 2 2" xfId="12302"/>
    <cellStyle name="Normal 50 5 3" xfId="12301"/>
    <cellStyle name="Normal 50 6" xfId="6165"/>
    <cellStyle name="Normal 50 6 2" xfId="6166"/>
    <cellStyle name="Normal 50 6 2 2" xfId="12304"/>
    <cellStyle name="Normal 50 6 3" xfId="12303"/>
    <cellStyle name="Normal 50 7" xfId="6167"/>
    <cellStyle name="Normal 50 7 2" xfId="12305"/>
    <cellStyle name="Normal 50 8" xfId="6168"/>
    <cellStyle name="Normal 50 9" xfId="12258"/>
    <cellStyle name="Normal 51" xfId="6169"/>
    <cellStyle name="Normal 51 2" xfId="6170"/>
    <cellStyle name="Normal 51 2 2" xfId="6171"/>
    <cellStyle name="Normal 51 2 2 2" xfId="6172"/>
    <cellStyle name="Normal 51 2 2 2 2" xfId="6173"/>
    <cellStyle name="Normal 51 2 2 2 2 2" xfId="6174"/>
    <cellStyle name="Normal 51 2 2 2 2 2 2" xfId="12311"/>
    <cellStyle name="Normal 51 2 2 2 2 3" xfId="12310"/>
    <cellStyle name="Normal 51 2 2 2 3" xfId="6175"/>
    <cellStyle name="Normal 51 2 2 2 3 2" xfId="6176"/>
    <cellStyle name="Normal 51 2 2 2 3 2 2" xfId="12313"/>
    <cellStyle name="Normal 51 2 2 2 3 3" xfId="12312"/>
    <cellStyle name="Normal 51 2 2 2 4" xfId="6177"/>
    <cellStyle name="Normal 51 2 2 2 4 2" xfId="12314"/>
    <cellStyle name="Normal 51 2 2 2 5" xfId="12309"/>
    <cellStyle name="Normal 51 2 2 3" xfId="6178"/>
    <cellStyle name="Normal 51 2 2 3 2" xfId="6179"/>
    <cellStyle name="Normal 51 2 2 3 2 2" xfId="12316"/>
    <cellStyle name="Normal 51 2 2 3 3" xfId="12315"/>
    <cellStyle name="Normal 51 2 2 4" xfId="6180"/>
    <cellStyle name="Normal 51 2 2 4 2" xfId="6181"/>
    <cellStyle name="Normal 51 2 2 4 2 2" xfId="12318"/>
    <cellStyle name="Normal 51 2 2 4 3" xfId="12317"/>
    <cellStyle name="Normal 51 2 2 5" xfId="6182"/>
    <cellStyle name="Normal 51 2 2 5 2" xfId="12319"/>
    <cellStyle name="Normal 51 2 2 6" xfId="12308"/>
    <cellStyle name="Normal 51 2 3" xfId="6183"/>
    <cellStyle name="Normal 51 2 3 2" xfId="6184"/>
    <cellStyle name="Normal 51 2 3 2 2" xfId="6185"/>
    <cellStyle name="Normal 51 2 3 2 2 2" xfId="12322"/>
    <cellStyle name="Normal 51 2 3 2 3" xfId="12321"/>
    <cellStyle name="Normal 51 2 3 3" xfId="6186"/>
    <cellStyle name="Normal 51 2 3 3 2" xfId="6187"/>
    <cellStyle name="Normal 51 2 3 3 2 2" xfId="12324"/>
    <cellStyle name="Normal 51 2 3 3 3" xfId="12323"/>
    <cellStyle name="Normal 51 2 3 4" xfId="6188"/>
    <cellStyle name="Normal 51 2 3 4 2" xfId="12325"/>
    <cellStyle name="Normal 51 2 3 5" xfId="12320"/>
    <cellStyle name="Normal 51 2 4" xfId="6189"/>
    <cellStyle name="Normal 51 2 4 2" xfId="6190"/>
    <cellStyle name="Normal 51 2 4 2 2" xfId="12327"/>
    <cellStyle name="Normal 51 2 4 3" xfId="12326"/>
    <cellStyle name="Normal 51 2 5" xfId="6191"/>
    <cellStyle name="Normal 51 2 5 2" xfId="6192"/>
    <cellStyle name="Normal 51 2 5 2 2" xfId="12329"/>
    <cellStyle name="Normal 51 2 5 3" xfId="12328"/>
    <cellStyle name="Normal 51 2 6" xfId="6193"/>
    <cellStyle name="Normal 51 2 6 2" xfId="12330"/>
    <cellStyle name="Normal 51 2 7" xfId="12307"/>
    <cellStyle name="Normal 51 3" xfId="6194"/>
    <cellStyle name="Normal 51 3 2" xfId="6195"/>
    <cellStyle name="Normal 51 3 2 2" xfId="6196"/>
    <cellStyle name="Normal 51 3 2 2 2" xfId="6197"/>
    <cellStyle name="Normal 51 3 2 2 2 2" xfId="12334"/>
    <cellStyle name="Normal 51 3 2 2 3" xfId="12333"/>
    <cellStyle name="Normal 51 3 2 3" xfId="6198"/>
    <cellStyle name="Normal 51 3 2 3 2" xfId="6199"/>
    <cellStyle name="Normal 51 3 2 3 2 2" xfId="12336"/>
    <cellStyle name="Normal 51 3 2 3 3" xfId="12335"/>
    <cellStyle name="Normal 51 3 2 4" xfId="6200"/>
    <cellStyle name="Normal 51 3 2 4 2" xfId="12337"/>
    <cellStyle name="Normal 51 3 2 5" xfId="12332"/>
    <cellStyle name="Normal 51 3 3" xfId="6201"/>
    <cellStyle name="Normal 51 3 3 2" xfId="6202"/>
    <cellStyle name="Normal 51 3 3 2 2" xfId="12339"/>
    <cellStyle name="Normal 51 3 3 3" xfId="12338"/>
    <cellStyle name="Normal 51 3 4" xfId="6203"/>
    <cellStyle name="Normal 51 3 4 2" xfId="6204"/>
    <cellStyle name="Normal 51 3 4 2 2" xfId="12341"/>
    <cellStyle name="Normal 51 3 4 3" xfId="12340"/>
    <cellStyle name="Normal 51 3 5" xfId="6205"/>
    <cellStyle name="Normal 51 3 5 2" xfId="12342"/>
    <cellStyle name="Normal 51 3 6" xfId="12331"/>
    <cellStyle name="Normal 51 4" xfId="6206"/>
    <cellStyle name="Normal 51 4 2" xfId="6207"/>
    <cellStyle name="Normal 51 4 2 2" xfId="6208"/>
    <cellStyle name="Normal 51 4 2 2 2" xfId="12345"/>
    <cellStyle name="Normal 51 4 2 3" xfId="12344"/>
    <cellStyle name="Normal 51 4 3" xfId="6209"/>
    <cellStyle name="Normal 51 4 3 2" xfId="6210"/>
    <cellStyle name="Normal 51 4 3 2 2" xfId="12347"/>
    <cellStyle name="Normal 51 4 3 3" xfId="12346"/>
    <cellStyle name="Normal 51 4 4" xfId="6211"/>
    <cellStyle name="Normal 51 4 4 2" xfId="12348"/>
    <cellStyle name="Normal 51 4 5" xfId="12343"/>
    <cellStyle name="Normal 51 5" xfId="6212"/>
    <cellStyle name="Normal 51 5 2" xfId="6213"/>
    <cellStyle name="Normal 51 5 2 2" xfId="12350"/>
    <cellStyle name="Normal 51 5 3" xfId="12349"/>
    <cellStyle name="Normal 51 6" xfId="6214"/>
    <cellStyle name="Normal 51 6 2" xfId="6215"/>
    <cellStyle name="Normal 51 6 2 2" xfId="12352"/>
    <cellStyle name="Normal 51 6 3" xfId="12351"/>
    <cellStyle name="Normal 51 7" xfId="6216"/>
    <cellStyle name="Normal 51 7 2" xfId="12353"/>
    <cellStyle name="Normal 51 8" xfId="6217"/>
    <cellStyle name="Normal 51 9" xfId="12306"/>
    <cellStyle name="Normal 52" xfId="6218"/>
    <cellStyle name="Normal 52 2" xfId="6219"/>
    <cellStyle name="Normal 52 2 2" xfId="6220"/>
    <cellStyle name="Normal 52 2 2 2" xfId="6221"/>
    <cellStyle name="Normal 52 2 2 2 2" xfId="6222"/>
    <cellStyle name="Normal 52 2 2 2 2 2" xfId="6223"/>
    <cellStyle name="Normal 52 2 2 2 2 2 2" xfId="12359"/>
    <cellStyle name="Normal 52 2 2 2 2 3" xfId="12358"/>
    <cellStyle name="Normal 52 2 2 2 3" xfId="6224"/>
    <cellStyle name="Normal 52 2 2 2 3 2" xfId="6225"/>
    <cellStyle name="Normal 52 2 2 2 3 2 2" xfId="12361"/>
    <cellStyle name="Normal 52 2 2 2 3 3" xfId="12360"/>
    <cellStyle name="Normal 52 2 2 2 4" xfId="6226"/>
    <cellStyle name="Normal 52 2 2 2 4 2" xfId="12362"/>
    <cellStyle name="Normal 52 2 2 2 5" xfId="12357"/>
    <cellStyle name="Normal 52 2 2 3" xfId="6227"/>
    <cellStyle name="Normal 52 2 2 3 2" xfId="6228"/>
    <cellStyle name="Normal 52 2 2 3 2 2" xfId="12364"/>
    <cellStyle name="Normal 52 2 2 3 3" xfId="12363"/>
    <cellStyle name="Normal 52 2 2 4" xfId="6229"/>
    <cellStyle name="Normal 52 2 2 4 2" xfId="6230"/>
    <cellStyle name="Normal 52 2 2 4 2 2" xfId="12366"/>
    <cellStyle name="Normal 52 2 2 4 3" xfId="12365"/>
    <cellStyle name="Normal 52 2 2 5" xfId="6231"/>
    <cellStyle name="Normal 52 2 2 5 2" xfId="12367"/>
    <cellStyle name="Normal 52 2 2 6" xfId="12356"/>
    <cellStyle name="Normal 52 2 3" xfId="6232"/>
    <cellStyle name="Normal 52 2 3 2" xfId="6233"/>
    <cellStyle name="Normal 52 2 3 2 2" xfId="6234"/>
    <cellStyle name="Normal 52 2 3 2 2 2" xfId="12370"/>
    <cellStyle name="Normal 52 2 3 2 3" xfId="12369"/>
    <cellStyle name="Normal 52 2 3 3" xfId="6235"/>
    <cellStyle name="Normal 52 2 3 3 2" xfId="6236"/>
    <cellStyle name="Normal 52 2 3 3 2 2" xfId="12372"/>
    <cellStyle name="Normal 52 2 3 3 3" xfId="12371"/>
    <cellStyle name="Normal 52 2 3 4" xfId="6237"/>
    <cellStyle name="Normal 52 2 3 4 2" xfId="12373"/>
    <cellStyle name="Normal 52 2 3 5" xfId="12368"/>
    <cellStyle name="Normal 52 2 4" xfId="6238"/>
    <cellStyle name="Normal 52 2 4 2" xfId="6239"/>
    <cellStyle name="Normal 52 2 4 2 2" xfId="12375"/>
    <cellStyle name="Normal 52 2 4 3" xfId="12374"/>
    <cellStyle name="Normal 52 2 5" xfId="6240"/>
    <cellStyle name="Normal 52 2 5 2" xfId="6241"/>
    <cellStyle name="Normal 52 2 5 2 2" xfId="12377"/>
    <cellStyle name="Normal 52 2 5 3" xfId="12376"/>
    <cellStyle name="Normal 52 2 6" xfId="6242"/>
    <cellStyle name="Normal 52 2 6 2" xfId="12378"/>
    <cellStyle name="Normal 52 2 7" xfId="12355"/>
    <cellStyle name="Normal 52 3" xfId="6243"/>
    <cellStyle name="Normal 52 3 2" xfId="6244"/>
    <cellStyle name="Normal 52 3 2 2" xfId="6245"/>
    <cellStyle name="Normal 52 3 2 2 2" xfId="6246"/>
    <cellStyle name="Normal 52 3 2 2 2 2" xfId="12382"/>
    <cellStyle name="Normal 52 3 2 2 3" xfId="12381"/>
    <cellStyle name="Normal 52 3 2 3" xfId="6247"/>
    <cellStyle name="Normal 52 3 2 3 2" xfId="6248"/>
    <cellStyle name="Normal 52 3 2 3 2 2" xfId="12384"/>
    <cellStyle name="Normal 52 3 2 3 3" xfId="12383"/>
    <cellStyle name="Normal 52 3 2 4" xfId="6249"/>
    <cellStyle name="Normal 52 3 2 4 2" xfId="12385"/>
    <cellStyle name="Normal 52 3 2 5" xfId="12380"/>
    <cellStyle name="Normal 52 3 3" xfId="6250"/>
    <cellStyle name="Normal 52 3 3 2" xfId="6251"/>
    <cellStyle name="Normal 52 3 3 2 2" xfId="12387"/>
    <cellStyle name="Normal 52 3 3 3" xfId="12386"/>
    <cellStyle name="Normal 52 3 4" xfId="6252"/>
    <cellStyle name="Normal 52 3 4 2" xfId="6253"/>
    <cellStyle name="Normal 52 3 4 2 2" xfId="12389"/>
    <cellStyle name="Normal 52 3 4 3" xfId="12388"/>
    <cellStyle name="Normal 52 3 5" xfId="6254"/>
    <cellStyle name="Normal 52 3 5 2" xfId="12390"/>
    <cellStyle name="Normal 52 3 6" xfId="12379"/>
    <cellStyle name="Normal 52 4" xfId="6255"/>
    <cellStyle name="Normal 52 4 2" xfId="6256"/>
    <cellStyle name="Normal 52 4 2 2" xfId="6257"/>
    <cellStyle name="Normal 52 4 2 2 2" xfId="12393"/>
    <cellStyle name="Normal 52 4 2 3" xfId="12392"/>
    <cellStyle name="Normal 52 4 3" xfId="6258"/>
    <cellStyle name="Normal 52 4 3 2" xfId="6259"/>
    <cellStyle name="Normal 52 4 3 2 2" xfId="12395"/>
    <cellStyle name="Normal 52 4 3 3" xfId="12394"/>
    <cellStyle name="Normal 52 4 4" xfId="6260"/>
    <cellStyle name="Normal 52 4 4 2" xfId="12396"/>
    <cellStyle name="Normal 52 4 5" xfId="12391"/>
    <cellStyle name="Normal 52 5" xfId="6261"/>
    <cellStyle name="Normal 52 5 2" xfId="6262"/>
    <cellStyle name="Normal 52 5 2 2" xfId="12398"/>
    <cellStyle name="Normal 52 5 3" xfId="12397"/>
    <cellStyle name="Normal 52 6" xfId="6263"/>
    <cellStyle name="Normal 52 6 2" xfId="6264"/>
    <cellStyle name="Normal 52 6 2 2" xfId="12400"/>
    <cellStyle name="Normal 52 6 3" xfId="12399"/>
    <cellStyle name="Normal 52 7" xfId="6265"/>
    <cellStyle name="Normal 52 7 2" xfId="12401"/>
    <cellStyle name="Normal 52 8" xfId="6266"/>
    <cellStyle name="Normal 52 9" xfId="12354"/>
    <cellStyle name="Normal 53" xfId="6267"/>
    <cellStyle name="Normal 53 2" xfId="6268"/>
    <cellStyle name="Normal 53 2 2" xfId="6269"/>
    <cellStyle name="Normal 53 2 2 2" xfId="6270"/>
    <cellStyle name="Normal 53 2 2 2 2" xfId="6271"/>
    <cellStyle name="Normal 53 2 2 2 2 2" xfId="6272"/>
    <cellStyle name="Normal 53 2 2 2 2 2 2" xfId="12407"/>
    <cellStyle name="Normal 53 2 2 2 2 3" xfId="12406"/>
    <cellStyle name="Normal 53 2 2 2 3" xfId="6273"/>
    <cellStyle name="Normal 53 2 2 2 3 2" xfId="6274"/>
    <cellStyle name="Normal 53 2 2 2 3 2 2" xfId="12409"/>
    <cellStyle name="Normal 53 2 2 2 3 3" xfId="12408"/>
    <cellStyle name="Normal 53 2 2 2 4" xfId="6275"/>
    <cellStyle name="Normal 53 2 2 2 4 2" xfId="12410"/>
    <cellStyle name="Normal 53 2 2 2 5" xfId="12405"/>
    <cellStyle name="Normal 53 2 2 3" xfId="6276"/>
    <cellStyle name="Normal 53 2 2 3 2" xfId="6277"/>
    <cellStyle name="Normal 53 2 2 3 2 2" xfId="12412"/>
    <cellStyle name="Normal 53 2 2 3 3" xfId="12411"/>
    <cellStyle name="Normal 53 2 2 4" xfId="6278"/>
    <cellStyle name="Normal 53 2 2 4 2" xfId="6279"/>
    <cellStyle name="Normal 53 2 2 4 2 2" xfId="12414"/>
    <cellStyle name="Normal 53 2 2 4 3" xfId="12413"/>
    <cellStyle name="Normal 53 2 2 5" xfId="6280"/>
    <cellStyle name="Normal 53 2 2 5 2" xfId="12415"/>
    <cellStyle name="Normal 53 2 2 6" xfId="12404"/>
    <cellStyle name="Normal 53 2 3" xfId="6281"/>
    <cellStyle name="Normal 53 2 3 2" xfId="6282"/>
    <cellStyle name="Normal 53 2 3 2 2" xfId="6283"/>
    <cellStyle name="Normal 53 2 3 2 2 2" xfId="12418"/>
    <cellStyle name="Normal 53 2 3 2 3" xfId="12417"/>
    <cellStyle name="Normal 53 2 3 3" xfId="6284"/>
    <cellStyle name="Normal 53 2 3 3 2" xfId="6285"/>
    <cellStyle name="Normal 53 2 3 3 2 2" xfId="12420"/>
    <cellStyle name="Normal 53 2 3 3 3" xfId="12419"/>
    <cellStyle name="Normal 53 2 3 4" xfId="6286"/>
    <cellStyle name="Normal 53 2 3 4 2" xfId="12421"/>
    <cellStyle name="Normal 53 2 3 5" xfId="12416"/>
    <cellStyle name="Normal 53 2 4" xfId="6287"/>
    <cellStyle name="Normal 53 2 4 2" xfId="6288"/>
    <cellStyle name="Normal 53 2 4 2 2" xfId="12423"/>
    <cellStyle name="Normal 53 2 4 3" xfId="12422"/>
    <cellStyle name="Normal 53 2 5" xfId="6289"/>
    <cellStyle name="Normal 53 2 5 2" xfId="6290"/>
    <cellStyle name="Normal 53 2 5 2 2" xfId="12425"/>
    <cellStyle name="Normal 53 2 5 3" xfId="12424"/>
    <cellStyle name="Normal 53 2 6" xfId="6291"/>
    <cellStyle name="Normal 53 2 6 2" xfId="12426"/>
    <cellStyle name="Normal 53 2 7" xfId="12403"/>
    <cellStyle name="Normal 53 3" xfId="6292"/>
    <cellStyle name="Normal 53 3 2" xfId="6293"/>
    <cellStyle name="Normal 53 3 2 2" xfId="6294"/>
    <cellStyle name="Normal 53 3 2 2 2" xfId="6295"/>
    <cellStyle name="Normal 53 3 2 2 2 2" xfId="12430"/>
    <cellStyle name="Normal 53 3 2 2 3" xfId="12429"/>
    <cellStyle name="Normal 53 3 2 3" xfId="6296"/>
    <cellStyle name="Normal 53 3 2 3 2" xfId="6297"/>
    <cellStyle name="Normal 53 3 2 3 2 2" xfId="12432"/>
    <cellStyle name="Normal 53 3 2 3 3" xfId="12431"/>
    <cellStyle name="Normal 53 3 2 4" xfId="6298"/>
    <cellStyle name="Normal 53 3 2 4 2" xfId="12433"/>
    <cellStyle name="Normal 53 3 2 5" xfId="12428"/>
    <cellStyle name="Normal 53 3 3" xfId="6299"/>
    <cellStyle name="Normal 53 3 3 2" xfId="6300"/>
    <cellStyle name="Normal 53 3 3 2 2" xfId="12435"/>
    <cellStyle name="Normal 53 3 3 3" xfId="12434"/>
    <cellStyle name="Normal 53 3 4" xfId="6301"/>
    <cellStyle name="Normal 53 3 4 2" xfId="6302"/>
    <cellStyle name="Normal 53 3 4 2 2" xfId="12437"/>
    <cellStyle name="Normal 53 3 4 3" xfId="12436"/>
    <cellStyle name="Normal 53 3 5" xfId="6303"/>
    <cellStyle name="Normal 53 3 5 2" xfId="12438"/>
    <cellStyle name="Normal 53 3 6" xfId="12427"/>
    <cellStyle name="Normal 53 4" xfId="6304"/>
    <cellStyle name="Normal 53 4 2" xfId="6305"/>
    <cellStyle name="Normal 53 4 2 2" xfId="6306"/>
    <cellStyle name="Normal 53 4 2 2 2" xfId="12441"/>
    <cellStyle name="Normal 53 4 2 3" xfId="12440"/>
    <cellStyle name="Normal 53 4 3" xfId="6307"/>
    <cellStyle name="Normal 53 4 3 2" xfId="6308"/>
    <cellStyle name="Normal 53 4 3 2 2" xfId="12443"/>
    <cellStyle name="Normal 53 4 3 3" xfId="12442"/>
    <cellStyle name="Normal 53 4 4" xfId="6309"/>
    <cellStyle name="Normal 53 4 4 2" xfId="12444"/>
    <cellStyle name="Normal 53 4 5" xfId="12439"/>
    <cellStyle name="Normal 53 5" xfId="6310"/>
    <cellStyle name="Normal 53 5 2" xfId="6311"/>
    <cellStyle name="Normal 53 5 2 2" xfId="12446"/>
    <cellStyle name="Normal 53 5 3" xfId="12445"/>
    <cellStyle name="Normal 53 6" xfId="6312"/>
    <cellStyle name="Normal 53 6 2" xfId="6313"/>
    <cellStyle name="Normal 53 6 2 2" xfId="12448"/>
    <cellStyle name="Normal 53 6 3" xfId="12447"/>
    <cellStyle name="Normal 53 7" xfId="6314"/>
    <cellStyle name="Normal 53 7 2" xfId="12449"/>
    <cellStyle name="Normal 53 8" xfId="6315"/>
    <cellStyle name="Normal 53 9" xfId="12402"/>
    <cellStyle name="Normal 54" xfId="6316"/>
    <cellStyle name="Normal 54 2" xfId="6317"/>
    <cellStyle name="Normal 54 2 2" xfId="6318"/>
    <cellStyle name="Normal 54 2 2 2" xfId="6319"/>
    <cellStyle name="Normal 54 2 2 2 2" xfId="6320"/>
    <cellStyle name="Normal 54 2 2 2 2 2" xfId="6321"/>
    <cellStyle name="Normal 54 2 2 2 2 2 2" xfId="12455"/>
    <cellStyle name="Normal 54 2 2 2 2 3" xfId="12454"/>
    <cellStyle name="Normal 54 2 2 2 3" xfId="6322"/>
    <cellStyle name="Normal 54 2 2 2 3 2" xfId="6323"/>
    <cellStyle name="Normal 54 2 2 2 3 2 2" xfId="12457"/>
    <cellStyle name="Normal 54 2 2 2 3 3" xfId="12456"/>
    <cellStyle name="Normal 54 2 2 2 4" xfId="6324"/>
    <cellStyle name="Normal 54 2 2 2 4 2" xfId="12458"/>
    <cellStyle name="Normal 54 2 2 2 5" xfId="12453"/>
    <cellStyle name="Normal 54 2 2 3" xfId="6325"/>
    <cellStyle name="Normal 54 2 2 3 2" xfId="6326"/>
    <cellStyle name="Normal 54 2 2 3 2 2" xfId="12460"/>
    <cellStyle name="Normal 54 2 2 3 3" xfId="12459"/>
    <cellStyle name="Normal 54 2 2 4" xfId="6327"/>
    <cellStyle name="Normal 54 2 2 4 2" xfId="6328"/>
    <cellStyle name="Normal 54 2 2 4 2 2" xfId="12462"/>
    <cellStyle name="Normal 54 2 2 4 3" xfId="12461"/>
    <cellStyle name="Normal 54 2 2 5" xfId="6329"/>
    <cellStyle name="Normal 54 2 2 5 2" xfId="12463"/>
    <cellStyle name="Normal 54 2 2 6" xfId="12452"/>
    <cellStyle name="Normal 54 2 3" xfId="6330"/>
    <cellStyle name="Normal 54 2 3 2" xfId="6331"/>
    <cellStyle name="Normal 54 2 3 2 2" xfId="6332"/>
    <cellStyle name="Normal 54 2 3 2 2 2" xfId="12466"/>
    <cellStyle name="Normal 54 2 3 2 3" xfId="12465"/>
    <cellStyle name="Normal 54 2 3 3" xfId="6333"/>
    <cellStyle name="Normal 54 2 3 3 2" xfId="6334"/>
    <cellStyle name="Normal 54 2 3 3 2 2" xfId="12468"/>
    <cellStyle name="Normal 54 2 3 3 3" xfId="12467"/>
    <cellStyle name="Normal 54 2 3 4" xfId="6335"/>
    <cellStyle name="Normal 54 2 3 4 2" xfId="12469"/>
    <cellStyle name="Normal 54 2 3 5" xfId="12464"/>
    <cellStyle name="Normal 54 2 4" xfId="6336"/>
    <cellStyle name="Normal 54 2 4 2" xfId="6337"/>
    <cellStyle name="Normal 54 2 4 2 2" xfId="12471"/>
    <cellStyle name="Normal 54 2 4 3" xfId="12470"/>
    <cellStyle name="Normal 54 2 5" xfId="6338"/>
    <cellStyle name="Normal 54 2 5 2" xfId="6339"/>
    <cellStyle name="Normal 54 2 5 2 2" xfId="12473"/>
    <cellStyle name="Normal 54 2 5 3" xfId="12472"/>
    <cellStyle name="Normal 54 2 6" xfId="6340"/>
    <cellStyle name="Normal 54 2 6 2" xfId="12474"/>
    <cellStyle name="Normal 54 2 7" xfId="12451"/>
    <cellStyle name="Normal 54 3" xfId="6341"/>
    <cellStyle name="Normal 54 3 2" xfId="6342"/>
    <cellStyle name="Normal 54 3 2 2" xfId="6343"/>
    <cellStyle name="Normal 54 3 2 2 2" xfId="6344"/>
    <cellStyle name="Normal 54 3 2 2 2 2" xfId="12478"/>
    <cellStyle name="Normal 54 3 2 2 3" xfId="12477"/>
    <cellStyle name="Normal 54 3 2 3" xfId="6345"/>
    <cellStyle name="Normal 54 3 2 3 2" xfId="6346"/>
    <cellStyle name="Normal 54 3 2 3 2 2" xfId="12480"/>
    <cellStyle name="Normal 54 3 2 3 3" xfId="12479"/>
    <cellStyle name="Normal 54 3 2 4" xfId="6347"/>
    <cellStyle name="Normal 54 3 2 4 2" xfId="12481"/>
    <cellStyle name="Normal 54 3 2 5" xfId="12476"/>
    <cellStyle name="Normal 54 3 3" xfId="6348"/>
    <cellStyle name="Normal 54 3 3 2" xfId="6349"/>
    <cellStyle name="Normal 54 3 3 2 2" xfId="12483"/>
    <cellStyle name="Normal 54 3 3 3" xfId="12482"/>
    <cellStyle name="Normal 54 3 4" xfId="6350"/>
    <cellStyle name="Normal 54 3 4 2" xfId="6351"/>
    <cellStyle name="Normal 54 3 4 2 2" xfId="12485"/>
    <cellStyle name="Normal 54 3 4 3" xfId="12484"/>
    <cellStyle name="Normal 54 3 5" xfId="6352"/>
    <cellStyle name="Normal 54 3 5 2" xfId="12486"/>
    <cellStyle name="Normal 54 3 6" xfId="12475"/>
    <cellStyle name="Normal 54 4" xfId="6353"/>
    <cellStyle name="Normal 54 4 2" xfId="6354"/>
    <cellStyle name="Normal 54 4 2 2" xfId="6355"/>
    <cellStyle name="Normal 54 4 2 2 2" xfId="12489"/>
    <cellStyle name="Normal 54 4 2 3" xfId="12488"/>
    <cellStyle name="Normal 54 4 3" xfId="6356"/>
    <cellStyle name="Normal 54 4 3 2" xfId="6357"/>
    <cellStyle name="Normal 54 4 3 2 2" xfId="12491"/>
    <cellStyle name="Normal 54 4 3 3" xfId="12490"/>
    <cellStyle name="Normal 54 4 4" xfId="6358"/>
    <cellStyle name="Normal 54 4 4 2" xfId="12492"/>
    <cellStyle name="Normal 54 4 5" xfId="12487"/>
    <cellStyle name="Normal 54 5" xfId="6359"/>
    <cellStyle name="Normal 54 5 2" xfId="6360"/>
    <cellStyle name="Normal 54 5 2 2" xfId="12494"/>
    <cellStyle name="Normal 54 5 3" xfId="12493"/>
    <cellStyle name="Normal 54 6" xfId="6361"/>
    <cellStyle name="Normal 54 6 2" xfId="6362"/>
    <cellStyle name="Normal 54 6 2 2" xfId="12496"/>
    <cellStyle name="Normal 54 6 3" xfId="12495"/>
    <cellStyle name="Normal 54 7" xfId="6363"/>
    <cellStyle name="Normal 54 7 2" xfId="12497"/>
    <cellStyle name="Normal 54 8" xfId="6364"/>
    <cellStyle name="Normal 54 9" xfId="12450"/>
    <cellStyle name="Normal 55" xfId="6365"/>
    <cellStyle name="Normal 55 2" xfId="6366"/>
    <cellStyle name="Normal 55 2 2" xfId="6367"/>
    <cellStyle name="Normal 55 2 2 2" xfId="6368"/>
    <cellStyle name="Normal 55 2 2 2 2" xfId="6369"/>
    <cellStyle name="Normal 55 2 2 2 2 2" xfId="6370"/>
    <cellStyle name="Normal 55 2 2 2 2 2 2" xfId="12503"/>
    <cellStyle name="Normal 55 2 2 2 2 3" xfId="12502"/>
    <cellStyle name="Normal 55 2 2 2 3" xfId="6371"/>
    <cellStyle name="Normal 55 2 2 2 3 2" xfId="6372"/>
    <cellStyle name="Normal 55 2 2 2 3 2 2" xfId="12505"/>
    <cellStyle name="Normal 55 2 2 2 3 3" xfId="12504"/>
    <cellStyle name="Normal 55 2 2 2 4" xfId="6373"/>
    <cellStyle name="Normal 55 2 2 2 4 2" xfId="12506"/>
    <cellStyle name="Normal 55 2 2 2 5" xfId="12501"/>
    <cellStyle name="Normal 55 2 2 3" xfId="6374"/>
    <cellStyle name="Normal 55 2 2 3 2" xfId="6375"/>
    <cellStyle name="Normal 55 2 2 3 2 2" xfId="12508"/>
    <cellStyle name="Normal 55 2 2 3 3" xfId="12507"/>
    <cellStyle name="Normal 55 2 2 4" xfId="6376"/>
    <cellStyle name="Normal 55 2 2 4 2" xfId="6377"/>
    <cellStyle name="Normal 55 2 2 4 2 2" xfId="12510"/>
    <cellStyle name="Normal 55 2 2 4 3" xfId="12509"/>
    <cellStyle name="Normal 55 2 2 5" xfId="6378"/>
    <cellStyle name="Normal 55 2 2 5 2" xfId="12511"/>
    <cellStyle name="Normal 55 2 2 6" xfId="12500"/>
    <cellStyle name="Normal 55 2 3" xfId="6379"/>
    <cellStyle name="Normal 55 2 3 2" xfId="6380"/>
    <cellStyle name="Normal 55 2 3 2 2" xfId="6381"/>
    <cellStyle name="Normal 55 2 3 2 2 2" xfId="12514"/>
    <cellStyle name="Normal 55 2 3 2 3" xfId="12513"/>
    <cellStyle name="Normal 55 2 3 3" xfId="6382"/>
    <cellStyle name="Normal 55 2 3 3 2" xfId="6383"/>
    <cellStyle name="Normal 55 2 3 3 2 2" xfId="12516"/>
    <cellStyle name="Normal 55 2 3 3 3" xfId="12515"/>
    <cellStyle name="Normal 55 2 3 4" xfId="6384"/>
    <cellStyle name="Normal 55 2 3 4 2" xfId="12517"/>
    <cellStyle name="Normal 55 2 3 5" xfId="12512"/>
    <cellStyle name="Normal 55 2 4" xfId="6385"/>
    <cellStyle name="Normal 55 2 4 2" xfId="6386"/>
    <cellStyle name="Normal 55 2 4 2 2" xfId="12519"/>
    <cellStyle name="Normal 55 2 4 3" xfId="12518"/>
    <cellStyle name="Normal 55 2 5" xfId="6387"/>
    <cellStyle name="Normal 55 2 5 2" xfId="6388"/>
    <cellStyle name="Normal 55 2 5 2 2" xfId="12521"/>
    <cellStyle name="Normal 55 2 5 3" xfId="12520"/>
    <cellStyle name="Normal 55 2 6" xfId="6389"/>
    <cellStyle name="Normal 55 2 6 2" xfId="12522"/>
    <cellStyle name="Normal 55 2 7" xfId="12499"/>
    <cellStyle name="Normal 55 3" xfId="6390"/>
    <cellStyle name="Normal 55 3 2" xfId="6391"/>
    <cellStyle name="Normal 55 3 2 2" xfId="6392"/>
    <cellStyle name="Normal 55 3 2 2 2" xfId="6393"/>
    <cellStyle name="Normal 55 3 2 2 2 2" xfId="12526"/>
    <cellStyle name="Normal 55 3 2 2 3" xfId="12525"/>
    <cellStyle name="Normal 55 3 2 3" xfId="6394"/>
    <cellStyle name="Normal 55 3 2 3 2" xfId="6395"/>
    <cellStyle name="Normal 55 3 2 3 2 2" xfId="12528"/>
    <cellStyle name="Normal 55 3 2 3 3" xfId="12527"/>
    <cellStyle name="Normal 55 3 2 4" xfId="6396"/>
    <cellStyle name="Normal 55 3 2 4 2" xfId="12529"/>
    <cellStyle name="Normal 55 3 2 5" xfId="12524"/>
    <cellStyle name="Normal 55 3 3" xfId="6397"/>
    <cellStyle name="Normal 55 3 3 2" xfId="6398"/>
    <cellStyle name="Normal 55 3 3 2 2" xfId="12531"/>
    <cellStyle name="Normal 55 3 3 3" xfId="12530"/>
    <cellStyle name="Normal 55 3 4" xfId="6399"/>
    <cellStyle name="Normal 55 3 4 2" xfId="6400"/>
    <cellStyle name="Normal 55 3 4 2 2" xfId="12533"/>
    <cellStyle name="Normal 55 3 4 3" xfId="12532"/>
    <cellStyle name="Normal 55 3 5" xfId="6401"/>
    <cellStyle name="Normal 55 3 5 2" xfId="12534"/>
    <cellStyle name="Normal 55 3 6" xfId="12523"/>
    <cellStyle name="Normal 55 4" xfId="6402"/>
    <cellStyle name="Normal 55 4 2" xfId="6403"/>
    <cellStyle name="Normal 55 4 2 2" xfId="6404"/>
    <cellStyle name="Normal 55 4 2 2 2" xfId="12537"/>
    <cellStyle name="Normal 55 4 2 3" xfId="12536"/>
    <cellStyle name="Normal 55 4 3" xfId="6405"/>
    <cellStyle name="Normal 55 4 3 2" xfId="6406"/>
    <cellStyle name="Normal 55 4 3 2 2" xfId="12539"/>
    <cellStyle name="Normal 55 4 3 3" xfId="12538"/>
    <cellStyle name="Normal 55 4 4" xfId="6407"/>
    <cellStyle name="Normal 55 4 4 2" xfId="12540"/>
    <cellStyle name="Normal 55 4 5" xfId="12535"/>
    <cellStyle name="Normal 55 5" xfId="6408"/>
    <cellStyle name="Normal 55 5 2" xfId="6409"/>
    <cellStyle name="Normal 55 5 2 2" xfId="12542"/>
    <cellStyle name="Normal 55 5 3" xfId="12541"/>
    <cellStyle name="Normal 55 6" xfId="6410"/>
    <cellStyle name="Normal 55 6 2" xfId="6411"/>
    <cellStyle name="Normal 55 6 2 2" xfId="12544"/>
    <cellStyle name="Normal 55 6 3" xfId="12543"/>
    <cellStyle name="Normal 55 7" xfId="6412"/>
    <cellStyle name="Normal 55 7 2" xfId="12545"/>
    <cellStyle name="Normal 55 8" xfId="6413"/>
    <cellStyle name="Normal 55 9" xfId="12498"/>
    <cellStyle name="Normal 56" xfId="6414"/>
    <cellStyle name="Normal 56 2" xfId="6415"/>
    <cellStyle name="Normal 56 2 2" xfId="6416"/>
    <cellStyle name="Normal 56 2 2 2" xfId="6417"/>
    <cellStyle name="Normal 56 2 2 2 2" xfId="6418"/>
    <cellStyle name="Normal 56 2 2 2 2 2" xfId="6419"/>
    <cellStyle name="Normal 56 2 2 2 2 2 2" xfId="12551"/>
    <cellStyle name="Normal 56 2 2 2 2 3" xfId="12550"/>
    <cellStyle name="Normal 56 2 2 2 3" xfId="6420"/>
    <cellStyle name="Normal 56 2 2 2 3 2" xfId="6421"/>
    <cellStyle name="Normal 56 2 2 2 3 2 2" xfId="12553"/>
    <cellStyle name="Normal 56 2 2 2 3 3" xfId="12552"/>
    <cellStyle name="Normal 56 2 2 2 4" xfId="6422"/>
    <cellStyle name="Normal 56 2 2 2 4 2" xfId="12554"/>
    <cellStyle name="Normal 56 2 2 2 5" xfId="12549"/>
    <cellStyle name="Normal 56 2 2 3" xfId="6423"/>
    <cellStyle name="Normal 56 2 2 3 2" xfId="6424"/>
    <cellStyle name="Normal 56 2 2 3 2 2" xfId="12556"/>
    <cellStyle name="Normal 56 2 2 3 3" xfId="12555"/>
    <cellStyle name="Normal 56 2 2 4" xfId="6425"/>
    <cellStyle name="Normal 56 2 2 4 2" xfId="6426"/>
    <cellStyle name="Normal 56 2 2 4 2 2" xfId="12558"/>
    <cellStyle name="Normal 56 2 2 4 3" xfId="12557"/>
    <cellStyle name="Normal 56 2 2 5" xfId="6427"/>
    <cellStyle name="Normal 56 2 2 5 2" xfId="12559"/>
    <cellStyle name="Normal 56 2 2 6" xfId="12548"/>
    <cellStyle name="Normal 56 2 3" xfId="6428"/>
    <cellStyle name="Normal 56 2 3 2" xfId="6429"/>
    <cellStyle name="Normal 56 2 3 2 2" xfId="6430"/>
    <cellStyle name="Normal 56 2 3 2 2 2" xfId="12562"/>
    <cellStyle name="Normal 56 2 3 2 3" xfId="12561"/>
    <cellStyle name="Normal 56 2 3 3" xfId="6431"/>
    <cellStyle name="Normal 56 2 3 3 2" xfId="6432"/>
    <cellStyle name="Normal 56 2 3 3 2 2" xfId="12564"/>
    <cellStyle name="Normal 56 2 3 3 3" xfId="12563"/>
    <cellStyle name="Normal 56 2 3 4" xfId="6433"/>
    <cellStyle name="Normal 56 2 3 4 2" xfId="12565"/>
    <cellStyle name="Normal 56 2 3 5" xfId="12560"/>
    <cellStyle name="Normal 56 2 4" xfId="6434"/>
    <cellStyle name="Normal 56 2 4 2" xfId="6435"/>
    <cellStyle name="Normal 56 2 4 2 2" xfId="12567"/>
    <cellStyle name="Normal 56 2 4 3" xfId="12566"/>
    <cellStyle name="Normal 56 2 5" xfId="6436"/>
    <cellStyle name="Normal 56 2 5 2" xfId="6437"/>
    <cellStyle name="Normal 56 2 5 2 2" xfId="12569"/>
    <cellStyle name="Normal 56 2 5 3" xfId="12568"/>
    <cellStyle name="Normal 56 2 6" xfId="6438"/>
    <cellStyle name="Normal 56 2 6 2" xfId="12570"/>
    <cellStyle name="Normal 56 2 7" xfId="12547"/>
    <cellStyle name="Normal 56 3" xfId="6439"/>
    <cellStyle name="Normal 56 3 2" xfId="6440"/>
    <cellStyle name="Normal 56 3 2 2" xfId="6441"/>
    <cellStyle name="Normal 56 3 2 2 2" xfId="6442"/>
    <cellStyle name="Normal 56 3 2 2 2 2" xfId="12574"/>
    <cellStyle name="Normal 56 3 2 2 3" xfId="12573"/>
    <cellStyle name="Normal 56 3 2 3" xfId="6443"/>
    <cellStyle name="Normal 56 3 2 3 2" xfId="6444"/>
    <cellStyle name="Normal 56 3 2 3 2 2" xfId="12576"/>
    <cellStyle name="Normal 56 3 2 3 3" xfId="12575"/>
    <cellStyle name="Normal 56 3 2 4" xfId="6445"/>
    <cellStyle name="Normal 56 3 2 4 2" xfId="12577"/>
    <cellStyle name="Normal 56 3 2 5" xfId="12572"/>
    <cellStyle name="Normal 56 3 3" xfId="6446"/>
    <cellStyle name="Normal 56 3 3 2" xfId="6447"/>
    <cellStyle name="Normal 56 3 3 2 2" xfId="12579"/>
    <cellStyle name="Normal 56 3 3 3" xfId="12578"/>
    <cellStyle name="Normal 56 3 4" xfId="6448"/>
    <cellStyle name="Normal 56 3 4 2" xfId="6449"/>
    <cellStyle name="Normal 56 3 4 2 2" xfId="12581"/>
    <cellStyle name="Normal 56 3 4 3" xfId="12580"/>
    <cellStyle name="Normal 56 3 5" xfId="6450"/>
    <cellStyle name="Normal 56 3 5 2" xfId="12582"/>
    <cellStyle name="Normal 56 3 6" xfId="12571"/>
    <cellStyle name="Normal 56 4" xfId="6451"/>
    <cellStyle name="Normal 56 4 2" xfId="6452"/>
    <cellStyle name="Normal 56 4 2 2" xfId="6453"/>
    <cellStyle name="Normal 56 4 2 2 2" xfId="12585"/>
    <cellStyle name="Normal 56 4 2 3" xfId="12584"/>
    <cellStyle name="Normal 56 4 3" xfId="6454"/>
    <cellStyle name="Normal 56 4 3 2" xfId="6455"/>
    <cellStyle name="Normal 56 4 3 2 2" xfId="12587"/>
    <cellStyle name="Normal 56 4 3 3" xfId="12586"/>
    <cellStyle name="Normal 56 4 4" xfId="6456"/>
    <cellStyle name="Normal 56 4 4 2" xfId="12588"/>
    <cellStyle name="Normal 56 4 5" xfId="12583"/>
    <cellStyle name="Normal 56 5" xfId="6457"/>
    <cellStyle name="Normal 56 5 2" xfId="6458"/>
    <cellStyle name="Normal 56 5 2 2" xfId="12590"/>
    <cellStyle name="Normal 56 5 3" xfId="12589"/>
    <cellStyle name="Normal 56 6" xfId="6459"/>
    <cellStyle name="Normal 56 6 2" xfId="6460"/>
    <cellStyle name="Normal 56 6 2 2" xfId="12592"/>
    <cellStyle name="Normal 56 6 3" xfId="12591"/>
    <cellStyle name="Normal 56 7" xfId="6461"/>
    <cellStyle name="Normal 56 7 2" xfId="12593"/>
    <cellStyle name="Normal 56 8" xfId="6462"/>
    <cellStyle name="Normal 56 9" xfId="12546"/>
    <cellStyle name="Normal 57" xfId="6463"/>
    <cellStyle name="Normal 57 2" xfId="6464"/>
    <cellStyle name="Normal 57 2 2" xfId="6465"/>
    <cellStyle name="Normal 57 2 2 2" xfId="6466"/>
    <cellStyle name="Normal 57 2 2 2 2" xfId="6467"/>
    <cellStyle name="Normal 57 2 2 2 2 2" xfId="6468"/>
    <cellStyle name="Normal 57 2 2 2 2 2 2" xfId="12599"/>
    <cellStyle name="Normal 57 2 2 2 2 3" xfId="12598"/>
    <cellStyle name="Normal 57 2 2 2 3" xfId="6469"/>
    <cellStyle name="Normal 57 2 2 2 3 2" xfId="6470"/>
    <cellStyle name="Normal 57 2 2 2 3 2 2" xfId="12601"/>
    <cellStyle name="Normal 57 2 2 2 3 3" xfId="12600"/>
    <cellStyle name="Normal 57 2 2 2 4" xfId="6471"/>
    <cellStyle name="Normal 57 2 2 2 4 2" xfId="12602"/>
    <cellStyle name="Normal 57 2 2 2 5" xfId="12597"/>
    <cellStyle name="Normal 57 2 2 3" xfId="6472"/>
    <cellStyle name="Normal 57 2 2 3 2" xfId="6473"/>
    <cellStyle name="Normal 57 2 2 3 2 2" xfId="12604"/>
    <cellStyle name="Normal 57 2 2 3 3" xfId="12603"/>
    <cellStyle name="Normal 57 2 2 4" xfId="6474"/>
    <cellStyle name="Normal 57 2 2 4 2" xfId="6475"/>
    <cellStyle name="Normal 57 2 2 4 2 2" xfId="12606"/>
    <cellStyle name="Normal 57 2 2 4 3" xfId="12605"/>
    <cellStyle name="Normal 57 2 2 5" xfId="6476"/>
    <cellStyle name="Normal 57 2 2 5 2" xfId="12607"/>
    <cellStyle name="Normal 57 2 2 6" xfId="12596"/>
    <cellStyle name="Normal 57 2 3" xfId="6477"/>
    <cellStyle name="Normal 57 2 3 2" xfId="6478"/>
    <cellStyle name="Normal 57 2 3 2 2" xfId="6479"/>
    <cellStyle name="Normal 57 2 3 2 2 2" xfId="12610"/>
    <cellStyle name="Normal 57 2 3 2 3" xfId="12609"/>
    <cellStyle name="Normal 57 2 3 3" xfId="6480"/>
    <cellStyle name="Normal 57 2 3 3 2" xfId="6481"/>
    <cellStyle name="Normal 57 2 3 3 2 2" xfId="12612"/>
    <cellStyle name="Normal 57 2 3 3 3" xfId="12611"/>
    <cellStyle name="Normal 57 2 3 4" xfId="6482"/>
    <cellStyle name="Normal 57 2 3 4 2" xfId="12613"/>
    <cellStyle name="Normal 57 2 3 5" xfId="12608"/>
    <cellStyle name="Normal 57 2 4" xfId="6483"/>
    <cellStyle name="Normal 57 2 4 2" xfId="6484"/>
    <cellStyle name="Normal 57 2 4 2 2" xfId="12615"/>
    <cellStyle name="Normal 57 2 4 3" xfId="12614"/>
    <cellStyle name="Normal 57 2 5" xfId="6485"/>
    <cellStyle name="Normal 57 2 5 2" xfId="6486"/>
    <cellStyle name="Normal 57 2 5 2 2" xfId="12617"/>
    <cellStyle name="Normal 57 2 5 3" xfId="12616"/>
    <cellStyle name="Normal 57 2 6" xfId="6487"/>
    <cellStyle name="Normal 57 2 6 2" xfId="12618"/>
    <cellStyle name="Normal 57 2 7" xfId="12595"/>
    <cellStyle name="Normal 57 3" xfId="6488"/>
    <cellStyle name="Normal 57 3 2" xfId="6489"/>
    <cellStyle name="Normal 57 3 2 2" xfId="6490"/>
    <cellStyle name="Normal 57 3 2 2 2" xfId="6491"/>
    <cellStyle name="Normal 57 3 2 2 2 2" xfId="12622"/>
    <cellStyle name="Normal 57 3 2 2 3" xfId="12621"/>
    <cellStyle name="Normal 57 3 2 3" xfId="6492"/>
    <cellStyle name="Normal 57 3 2 3 2" xfId="6493"/>
    <cellStyle name="Normal 57 3 2 3 2 2" xfId="12624"/>
    <cellStyle name="Normal 57 3 2 3 3" xfId="12623"/>
    <cellStyle name="Normal 57 3 2 4" xfId="6494"/>
    <cellStyle name="Normal 57 3 2 4 2" xfId="12625"/>
    <cellStyle name="Normal 57 3 2 5" xfId="12620"/>
    <cellStyle name="Normal 57 3 3" xfId="6495"/>
    <cellStyle name="Normal 57 3 3 2" xfId="6496"/>
    <cellStyle name="Normal 57 3 3 2 2" xfId="12627"/>
    <cellStyle name="Normal 57 3 3 3" xfId="12626"/>
    <cellStyle name="Normal 57 3 4" xfId="6497"/>
    <cellStyle name="Normal 57 3 4 2" xfId="6498"/>
    <cellStyle name="Normal 57 3 4 2 2" xfId="12629"/>
    <cellStyle name="Normal 57 3 4 3" xfId="12628"/>
    <cellStyle name="Normal 57 3 5" xfId="6499"/>
    <cellStyle name="Normal 57 3 5 2" xfId="12630"/>
    <cellStyle name="Normal 57 3 6" xfId="12619"/>
    <cellStyle name="Normal 57 4" xfId="6500"/>
    <cellStyle name="Normal 57 4 2" xfId="6501"/>
    <cellStyle name="Normal 57 4 2 2" xfId="6502"/>
    <cellStyle name="Normal 57 4 2 2 2" xfId="12633"/>
    <cellStyle name="Normal 57 4 2 3" xfId="12632"/>
    <cellStyle name="Normal 57 4 3" xfId="6503"/>
    <cellStyle name="Normal 57 4 3 2" xfId="6504"/>
    <cellStyle name="Normal 57 4 3 2 2" xfId="12635"/>
    <cellStyle name="Normal 57 4 3 3" xfId="12634"/>
    <cellStyle name="Normal 57 4 4" xfId="6505"/>
    <cellStyle name="Normal 57 4 4 2" xfId="12636"/>
    <cellStyle name="Normal 57 4 5" xfId="12631"/>
    <cellStyle name="Normal 57 5" xfId="6506"/>
    <cellStyle name="Normal 57 5 2" xfId="6507"/>
    <cellStyle name="Normal 57 5 2 2" xfId="12638"/>
    <cellStyle name="Normal 57 5 3" xfId="12637"/>
    <cellStyle name="Normal 57 6" xfId="6508"/>
    <cellStyle name="Normal 57 6 2" xfId="6509"/>
    <cellStyle name="Normal 57 6 2 2" xfId="12640"/>
    <cellStyle name="Normal 57 6 3" xfId="12639"/>
    <cellStyle name="Normal 57 7" xfId="6510"/>
    <cellStyle name="Normal 57 7 2" xfId="12641"/>
    <cellStyle name="Normal 57 8" xfId="6511"/>
    <cellStyle name="Normal 57 9" xfId="12594"/>
    <cellStyle name="Normal 58" xfId="6512"/>
    <cellStyle name="Normal 58 2" xfId="6513"/>
    <cellStyle name="Normal 58 2 2" xfId="6514"/>
    <cellStyle name="Normal 58 2 2 2" xfId="6515"/>
    <cellStyle name="Normal 58 2 2 2 2" xfId="6516"/>
    <cellStyle name="Normal 58 2 2 2 2 2" xfId="6517"/>
    <cellStyle name="Normal 58 2 2 2 2 2 2" xfId="12647"/>
    <cellStyle name="Normal 58 2 2 2 2 3" xfId="12646"/>
    <cellStyle name="Normal 58 2 2 2 3" xfId="6518"/>
    <cellStyle name="Normal 58 2 2 2 3 2" xfId="6519"/>
    <cellStyle name="Normal 58 2 2 2 3 2 2" xfId="12649"/>
    <cellStyle name="Normal 58 2 2 2 3 3" xfId="12648"/>
    <cellStyle name="Normal 58 2 2 2 4" xfId="6520"/>
    <cellStyle name="Normal 58 2 2 2 4 2" xfId="12650"/>
    <cellStyle name="Normal 58 2 2 2 5" xfId="12645"/>
    <cellStyle name="Normal 58 2 2 3" xfId="6521"/>
    <cellStyle name="Normal 58 2 2 3 2" xfId="6522"/>
    <cellStyle name="Normal 58 2 2 3 2 2" xfId="12652"/>
    <cellStyle name="Normal 58 2 2 3 3" xfId="12651"/>
    <cellStyle name="Normal 58 2 2 4" xfId="6523"/>
    <cellStyle name="Normal 58 2 2 4 2" xfId="6524"/>
    <cellStyle name="Normal 58 2 2 4 2 2" xfId="12654"/>
    <cellStyle name="Normal 58 2 2 4 3" xfId="12653"/>
    <cellStyle name="Normal 58 2 2 5" xfId="6525"/>
    <cellStyle name="Normal 58 2 2 5 2" xfId="12655"/>
    <cellStyle name="Normal 58 2 2 6" xfId="12644"/>
    <cellStyle name="Normal 58 2 3" xfId="6526"/>
    <cellStyle name="Normal 58 2 3 2" xfId="6527"/>
    <cellStyle name="Normal 58 2 3 2 2" xfId="6528"/>
    <cellStyle name="Normal 58 2 3 2 2 2" xfId="12658"/>
    <cellStyle name="Normal 58 2 3 2 3" xfId="12657"/>
    <cellStyle name="Normal 58 2 3 3" xfId="6529"/>
    <cellStyle name="Normal 58 2 3 3 2" xfId="6530"/>
    <cellStyle name="Normal 58 2 3 3 2 2" xfId="12660"/>
    <cellStyle name="Normal 58 2 3 3 3" xfId="12659"/>
    <cellStyle name="Normal 58 2 3 4" xfId="6531"/>
    <cellStyle name="Normal 58 2 3 4 2" xfId="12661"/>
    <cellStyle name="Normal 58 2 3 5" xfId="12656"/>
    <cellStyle name="Normal 58 2 4" xfId="6532"/>
    <cellStyle name="Normal 58 2 4 2" xfId="6533"/>
    <cellStyle name="Normal 58 2 4 2 2" xfId="12663"/>
    <cellStyle name="Normal 58 2 4 3" xfId="12662"/>
    <cellStyle name="Normal 58 2 5" xfId="6534"/>
    <cellStyle name="Normal 58 2 5 2" xfId="6535"/>
    <cellStyle name="Normal 58 2 5 2 2" xfId="12665"/>
    <cellStyle name="Normal 58 2 5 3" xfId="12664"/>
    <cellStyle name="Normal 58 2 6" xfId="6536"/>
    <cellStyle name="Normal 58 2 6 2" xfId="12666"/>
    <cellStyle name="Normal 58 2 7" xfId="12643"/>
    <cellStyle name="Normal 58 3" xfId="6537"/>
    <cellStyle name="Normal 58 3 2" xfId="6538"/>
    <cellStyle name="Normal 58 3 2 2" xfId="6539"/>
    <cellStyle name="Normal 58 3 2 2 2" xfId="6540"/>
    <cellStyle name="Normal 58 3 2 2 2 2" xfId="12670"/>
    <cellStyle name="Normal 58 3 2 2 3" xfId="12669"/>
    <cellStyle name="Normal 58 3 2 3" xfId="6541"/>
    <cellStyle name="Normal 58 3 2 3 2" xfId="6542"/>
    <cellStyle name="Normal 58 3 2 3 2 2" xfId="12672"/>
    <cellStyle name="Normal 58 3 2 3 3" xfId="12671"/>
    <cellStyle name="Normal 58 3 2 4" xfId="6543"/>
    <cellStyle name="Normal 58 3 2 4 2" xfId="12673"/>
    <cellStyle name="Normal 58 3 2 5" xfId="12668"/>
    <cellStyle name="Normal 58 3 3" xfId="6544"/>
    <cellStyle name="Normal 58 3 3 2" xfId="6545"/>
    <cellStyle name="Normal 58 3 3 2 2" xfId="12675"/>
    <cellStyle name="Normal 58 3 3 3" xfId="12674"/>
    <cellStyle name="Normal 58 3 4" xfId="6546"/>
    <cellStyle name="Normal 58 3 4 2" xfId="6547"/>
    <cellStyle name="Normal 58 3 4 2 2" xfId="12677"/>
    <cellStyle name="Normal 58 3 4 3" xfId="12676"/>
    <cellStyle name="Normal 58 3 5" xfId="6548"/>
    <cellStyle name="Normal 58 3 5 2" xfId="12678"/>
    <cellStyle name="Normal 58 3 6" xfId="12667"/>
    <cellStyle name="Normal 58 4" xfId="6549"/>
    <cellStyle name="Normal 58 4 2" xfId="6550"/>
    <cellStyle name="Normal 58 4 2 2" xfId="6551"/>
    <cellStyle name="Normal 58 4 2 2 2" xfId="12681"/>
    <cellStyle name="Normal 58 4 2 3" xfId="12680"/>
    <cellStyle name="Normal 58 4 3" xfId="6552"/>
    <cellStyle name="Normal 58 4 3 2" xfId="6553"/>
    <cellStyle name="Normal 58 4 3 2 2" xfId="12683"/>
    <cellStyle name="Normal 58 4 3 3" xfId="12682"/>
    <cellStyle name="Normal 58 4 4" xfId="6554"/>
    <cellStyle name="Normal 58 4 4 2" xfId="12684"/>
    <cellStyle name="Normal 58 4 5" xfId="12679"/>
    <cellStyle name="Normal 58 5" xfId="6555"/>
    <cellStyle name="Normal 58 5 2" xfId="6556"/>
    <cellStyle name="Normal 58 5 2 2" xfId="12686"/>
    <cellStyle name="Normal 58 5 3" xfId="12685"/>
    <cellStyle name="Normal 58 6" xfId="6557"/>
    <cellStyle name="Normal 58 6 2" xfId="6558"/>
    <cellStyle name="Normal 58 6 2 2" xfId="12688"/>
    <cellStyle name="Normal 58 6 3" xfId="12687"/>
    <cellStyle name="Normal 58 7" xfId="6559"/>
    <cellStyle name="Normal 58 7 2" xfId="12689"/>
    <cellStyle name="Normal 58 8" xfId="6560"/>
    <cellStyle name="Normal 58 9" xfId="12642"/>
    <cellStyle name="Normal 59" xfId="6561"/>
    <cellStyle name="Normal 59 2" xfId="6562"/>
    <cellStyle name="Normal 59 2 2" xfId="6563"/>
    <cellStyle name="Normal 59 2 2 2" xfId="6564"/>
    <cellStyle name="Normal 59 2 2 2 2" xfId="6565"/>
    <cellStyle name="Normal 59 2 2 2 2 2" xfId="6566"/>
    <cellStyle name="Normal 59 2 2 2 2 2 2" xfId="12695"/>
    <cellStyle name="Normal 59 2 2 2 2 3" xfId="12694"/>
    <cellStyle name="Normal 59 2 2 2 3" xfId="6567"/>
    <cellStyle name="Normal 59 2 2 2 3 2" xfId="6568"/>
    <cellStyle name="Normal 59 2 2 2 3 2 2" xfId="12697"/>
    <cellStyle name="Normal 59 2 2 2 3 3" xfId="12696"/>
    <cellStyle name="Normal 59 2 2 2 4" xfId="6569"/>
    <cellStyle name="Normal 59 2 2 2 4 2" xfId="12698"/>
    <cellStyle name="Normal 59 2 2 2 5" xfId="12693"/>
    <cellStyle name="Normal 59 2 2 3" xfId="6570"/>
    <cellStyle name="Normal 59 2 2 3 2" xfId="6571"/>
    <cellStyle name="Normal 59 2 2 3 2 2" xfId="12700"/>
    <cellStyle name="Normal 59 2 2 3 3" xfId="12699"/>
    <cellStyle name="Normal 59 2 2 4" xfId="6572"/>
    <cellStyle name="Normal 59 2 2 4 2" xfId="6573"/>
    <cellStyle name="Normal 59 2 2 4 2 2" xfId="12702"/>
    <cellStyle name="Normal 59 2 2 4 3" xfId="12701"/>
    <cellStyle name="Normal 59 2 2 5" xfId="6574"/>
    <cellStyle name="Normal 59 2 2 5 2" xfId="12703"/>
    <cellStyle name="Normal 59 2 2 6" xfId="12692"/>
    <cellStyle name="Normal 59 2 3" xfId="6575"/>
    <cellStyle name="Normal 59 2 3 2" xfId="6576"/>
    <cellStyle name="Normal 59 2 3 2 2" xfId="6577"/>
    <cellStyle name="Normal 59 2 3 2 2 2" xfId="12706"/>
    <cellStyle name="Normal 59 2 3 2 3" xfId="12705"/>
    <cellStyle name="Normal 59 2 3 3" xfId="6578"/>
    <cellStyle name="Normal 59 2 3 3 2" xfId="6579"/>
    <cellStyle name="Normal 59 2 3 3 2 2" xfId="12708"/>
    <cellStyle name="Normal 59 2 3 3 3" xfId="12707"/>
    <cellStyle name="Normal 59 2 3 4" xfId="6580"/>
    <cellStyle name="Normal 59 2 3 4 2" xfId="12709"/>
    <cellStyle name="Normal 59 2 3 5" xfId="12704"/>
    <cellStyle name="Normal 59 2 4" xfId="6581"/>
    <cellStyle name="Normal 59 2 4 2" xfId="6582"/>
    <cellStyle name="Normal 59 2 4 2 2" xfId="12711"/>
    <cellStyle name="Normal 59 2 4 3" xfId="12710"/>
    <cellStyle name="Normal 59 2 5" xfId="6583"/>
    <cellStyle name="Normal 59 2 5 2" xfId="6584"/>
    <cellStyle name="Normal 59 2 5 2 2" xfId="12713"/>
    <cellStyle name="Normal 59 2 5 3" xfId="12712"/>
    <cellStyle name="Normal 59 2 6" xfId="6585"/>
    <cellStyle name="Normal 59 2 6 2" xfId="12714"/>
    <cellStyle name="Normal 59 2 7" xfId="12691"/>
    <cellStyle name="Normal 59 3" xfId="6586"/>
    <cellStyle name="Normal 59 3 2" xfId="6587"/>
    <cellStyle name="Normal 59 3 2 2" xfId="6588"/>
    <cellStyle name="Normal 59 3 2 2 2" xfId="6589"/>
    <cellStyle name="Normal 59 3 2 2 2 2" xfId="12718"/>
    <cellStyle name="Normal 59 3 2 2 3" xfId="12717"/>
    <cellStyle name="Normal 59 3 2 3" xfId="6590"/>
    <cellStyle name="Normal 59 3 2 3 2" xfId="6591"/>
    <cellStyle name="Normal 59 3 2 3 2 2" xfId="12720"/>
    <cellStyle name="Normal 59 3 2 3 3" xfId="12719"/>
    <cellStyle name="Normal 59 3 2 4" xfId="6592"/>
    <cellStyle name="Normal 59 3 2 4 2" xfId="12721"/>
    <cellStyle name="Normal 59 3 2 5" xfId="12716"/>
    <cellStyle name="Normal 59 3 3" xfId="6593"/>
    <cellStyle name="Normal 59 3 3 2" xfId="6594"/>
    <cellStyle name="Normal 59 3 3 2 2" xfId="12723"/>
    <cellStyle name="Normal 59 3 3 3" xfId="12722"/>
    <cellStyle name="Normal 59 3 4" xfId="6595"/>
    <cellStyle name="Normal 59 3 4 2" xfId="6596"/>
    <cellStyle name="Normal 59 3 4 2 2" xfId="12725"/>
    <cellStyle name="Normal 59 3 4 3" xfId="12724"/>
    <cellStyle name="Normal 59 3 5" xfId="6597"/>
    <cellStyle name="Normal 59 3 5 2" xfId="12726"/>
    <cellStyle name="Normal 59 3 6" xfId="12715"/>
    <cellStyle name="Normal 59 4" xfId="6598"/>
    <cellStyle name="Normal 59 4 2" xfId="6599"/>
    <cellStyle name="Normal 59 4 2 2" xfId="6600"/>
    <cellStyle name="Normal 59 4 2 2 2" xfId="12729"/>
    <cellStyle name="Normal 59 4 2 3" xfId="12728"/>
    <cellStyle name="Normal 59 4 3" xfId="6601"/>
    <cellStyle name="Normal 59 4 3 2" xfId="6602"/>
    <cellStyle name="Normal 59 4 3 2 2" xfId="12731"/>
    <cellStyle name="Normal 59 4 3 3" xfId="12730"/>
    <cellStyle name="Normal 59 4 4" xfId="6603"/>
    <cellStyle name="Normal 59 4 4 2" xfId="12732"/>
    <cellStyle name="Normal 59 4 5" xfId="12727"/>
    <cellStyle name="Normal 59 5" xfId="6604"/>
    <cellStyle name="Normal 59 5 2" xfId="6605"/>
    <cellStyle name="Normal 59 5 2 2" xfId="12734"/>
    <cellStyle name="Normal 59 5 3" xfId="12733"/>
    <cellStyle name="Normal 59 6" xfId="6606"/>
    <cellStyle name="Normal 59 6 2" xfId="6607"/>
    <cellStyle name="Normal 59 6 2 2" xfId="12736"/>
    <cellStyle name="Normal 59 6 3" xfId="12735"/>
    <cellStyle name="Normal 59 7" xfId="6608"/>
    <cellStyle name="Normal 59 7 2" xfId="12737"/>
    <cellStyle name="Normal 59 8" xfId="6609"/>
    <cellStyle name="Normal 59 9" xfId="12690"/>
    <cellStyle name="Normal 6" xfId="12738"/>
    <cellStyle name="Normal 6 10" xfId="6610"/>
    <cellStyle name="Normal 6 10 2" xfId="12739"/>
    <cellStyle name="Normal 6 11" xfId="6611"/>
    <cellStyle name="Normal 6 2" xfId="6612"/>
    <cellStyle name="Normal 6 2 10" xfId="12740"/>
    <cellStyle name="Normal 6 2 2" xfId="6613"/>
    <cellStyle name="Normal 6 2 2 2" xfId="6614"/>
    <cellStyle name="Normal 6 2 2 2 2" xfId="6615"/>
    <cellStyle name="Normal 6 2 2 2 2 2" xfId="6616"/>
    <cellStyle name="Normal 6 2 2 2 2 2 2" xfId="6617"/>
    <cellStyle name="Normal 6 2 2 2 2 2 2 2" xfId="6618"/>
    <cellStyle name="Normal 6 2 2 2 2 2 2 2 2" xfId="12746"/>
    <cellStyle name="Normal 6 2 2 2 2 2 2 3" xfId="12745"/>
    <cellStyle name="Normal 6 2 2 2 2 2 3" xfId="6619"/>
    <cellStyle name="Normal 6 2 2 2 2 2 3 2" xfId="6620"/>
    <cellStyle name="Normal 6 2 2 2 2 2 3 2 2" xfId="12748"/>
    <cellStyle name="Normal 6 2 2 2 2 2 3 3" xfId="12747"/>
    <cellStyle name="Normal 6 2 2 2 2 2 4" xfId="6621"/>
    <cellStyle name="Normal 6 2 2 2 2 2 4 2" xfId="12749"/>
    <cellStyle name="Normal 6 2 2 2 2 2 5" xfId="12744"/>
    <cellStyle name="Normal 6 2 2 2 2 3" xfId="6622"/>
    <cellStyle name="Normal 6 2 2 2 2 3 2" xfId="6623"/>
    <cellStyle name="Normal 6 2 2 2 2 3 2 2" xfId="12751"/>
    <cellStyle name="Normal 6 2 2 2 2 3 3" xfId="12750"/>
    <cellStyle name="Normal 6 2 2 2 2 4" xfId="6624"/>
    <cellStyle name="Normal 6 2 2 2 2 4 2" xfId="6625"/>
    <cellStyle name="Normal 6 2 2 2 2 4 2 2" xfId="12753"/>
    <cellStyle name="Normal 6 2 2 2 2 4 3" xfId="12752"/>
    <cellStyle name="Normal 6 2 2 2 2 5" xfId="6626"/>
    <cellStyle name="Normal 6 2 2 2 2 5 2" xfId="12754"/>
    <cellStyle name="Normal 6 2 2 2 2 6" xfId="12743"/>
    <cellStyle name="Normal 6 2 2 2 3" xfId="6627"/>
    <cellStyle name="Normal 6 2 2 2 3 2" xfId="6628"/>
    <cellStyle name="Normal 6 2 2 2 3 2 2" xfId="6629"/>
    <cellStyle name="Normal 6 2 2 2 3 2 2 2" xfId="12757"/>
    <cellStyle name="Normal 6 2 2 2 3 2 3" xfId="12756"/>
    <cellStyle name="Normal 6 2 2 2 3 3" xfId="6630"/>
    <cellStyle name="Normal 6 2 2 2 3 3 2" xfId="6631"/>
    <cellStyle name="Normal 6 2 2 2 3 3 2 2" xfId="12759"/>
    <cellStyle name="Normal 6 2 2 2 3 3 3" xfId="12758"/>
    <cellStyle name="Normal 6 2 2 2 3 4" xfId="6632"/>
    <cellStyle name="Normal 6 2 2 2 3 4 2" xfId="12760"/>
    <cellStyle name="Normal 6 2 2 2 3 5" xfId="12755"/>
    <cellStyle name="Normal 6 2 2 2 4" xfId="6633"/>
    <cellStyle name="Normal 6 2 2 2 4 2" xfId="6634"/>
    <cellStyle name="Normal 6 2 2 2 4 2 2" xfId="12762"/>
    <cellStyle name="Normal 6 2 2 2 4 3" xfId="12761"/>
    <cellStyle name="Normal 6 2 2 2 5" xfId="6635"/>
    <cellStyle name="Normal 6 2 2 2 5 2" xfId="6636"/>
    <cellStyle name="Normal 6 2 2 2 5 2 2" xfId="12764"/>
    <cellStyle name="Normal 6 2 2 2 5 3" xfId="12763"/>
    <cellStyle name="Normal 6 2 2 2 6" xfId="6637"/>
    <cellStyle name="Normal 6 2 2 2 6 2" xfId="12765"/>
    <cellStyle name="Normal 6 2 2 2 7" xfId="12742"/>
    <cellStyle name="Normal 6 2 2 3" xfId="6638"/>
    <cellStyle name="Normal 6 2 2 3 2" xfId="6639"/>
    <cellStyle name="Normal 6 2 2 3 2 2" xfId="6640"/>
    <cellStyle name="Normal 6 2 2 3 2 2 2" xfId="6641"/>
    <cellStyle name="Normal 6 2 2 3 2 2 2 2" xfId="12769"/>
    <cellStyle name="Normal 6 2 2 3 2 2 3" xfId="12768"/>
    <cellStyle name="Normal 6 2 2 3 2 3" xfId="6642"/>
    <cellStyle name="Normal 6 2 2 3 2 3 2" xfId="6643"/>
    <cellStyle name="Normal 6 2 2 3 2 3 2 2" xfId="12771"/>
    <cellStyle name="Normal 6 2 2 3 2 3 3" xfId="12770"/>
    <cellStyle name="Normal 6 2 2 3 2 4" xfId="6644"/>
    <cellStyle name="Normal 6 2 2 3 2 4 2" xfId="12772"/>
    <cellStyle name="Normal 6 2 2 3 2 5" xfId="12767"/>
    <cellStyle name="Normal 6 2 2 3 3" xfId="6645"/>
    <cellStyle name="Normal 6 2 2 3 3 2" xfId="6646"/>
    <cellStyle name="Normal 6 2 2 3 3 2 2" xfId="12774"/>
    <cellStyle name="Normal 6 2 2 3 3 3" xfId="12773"/>
    <cellStyle name="Normal 6 2 2 3 4" xfId="6647"/>
    <cellStyle name="Normal 6 2 2 3 4 2" xfId="6648"/>
    <cellStyle name="Normal 6 2 2 3 4 2 2" xfId="12776"/>
    <cellStyle name="Normal 6 2 2 3 4 3" xfId="12775"/>
    <cellStyle name="Normal 6 2 2 3 5" xfId="6649"/>
    <cellStyle name="Normal 6 2 2 3 5 2" xfId="12777"/>
    <cellStyle name="Normal 6 2 2 3 6" xfId="12766"/>
    <cellStyle name="Normal 6 2 2 4" xfId="6650"/>
    <cellStyle name="Normal 6 2 2 4 2" xfId="6651"/>
    <cellStyle name="Normal 6 2 2 4 2 2" xfId="6652"/>
    <cellStyle name="Normal 6 2 2 4 2 2 2" xfId="12780"/>
    <cellStyle name="Normal 6 2 2 4 2 3" xfId="12779"/>
    <cellStyle name="Normal 6 2 2 4 3" xfId="6653"/>
    <cellStyle name="Normal 6 2 2 4 3 2" xfId="6654"/>
    <cellStyle name="Normal 6 2 2 4 3 2 2" xfId="12782"/>
    <cellStyle name="Normal 6 2 2 4 3 3" xfId="12781"/>
    <cellStyle name="Normal 6 2 2 4 4" xfId="6655"/>
    <cellStyle name="Normal 6 2 2 4 4 2" xfId="12783"/>
    <cellStyle name="Normal 6 2 2 4 5" xfId="12778"/>
    <cellStyle name="Normal 6 2 2 5" xfId="6656"/>
    <cellStyle name="Normal 6 2 2 5 2" xfId="6657"/>
    <cellStyle name="Normal 6 2 2 5 2 2" xfId="12785"/>
    <cellStyle name="Normal 6 2 2 5 3" xfId="12784"/>
    <cellStyle name="Normal 6 2 2 6" xfId="6658"/>
    <cellStyle name="Normal 6 2 2 6 2" xfId="6659"/>
    <cellStyle name="Normal 6 2 2 6 2 2" xfId="12787"/>
    <cellStyle name="Normal 6 2 2 6 3" xfId="12786"/>
    <cellStyle name="Normal 6 2 2 7" xfId="6660"/>
    <cellStyle name="Normal 6 2 2 7 2" xfId="12788"/>
    <cellStyle name="Normal 6 2 2 8" xfId="6661"/>
    <cellStyle name="Normal 6 2 2 9" xfId="12741"/>
    <cellStyle name="Normal 6 2 3" xfId="6662"/>
    <cellStyle name="Normal 6 2 3 2" xfId="6663"/>
    <cellStyle name="Normal 6 2 3 2 2" xfId="6664"/>
    <cellStyle name="Normal 6 2 3 2 2 2" xfId="6665"/>
    <cellStyle name="Normal 6 2 3 2 2 2 2" xfId="6666"/>
    <cellStyle name="Normal 6 2 3 2 2 2 2 2" xfId="12793"/>
    <cellStyle name="Normal 6 2 3 2 2 2 3" xfId="12792"/>
    <cellStyle name="Normal 6 2 3 2 2 3" xfId="6667"/>
    <cellStyle name="Normal 6 2 3 2 2 3 2" xfId="6668"/>
    <cellStyle name="Normal 6 2 3 2 2 3 2 2" xfId="12795"/>
    <cellStyle name="Normal 6 2 3 2 2 3 3" xfId="12794"/>
    <cellStyle name="Normal 6 2 3 2 2 4" xfId="6669"/>
    <cellStyle name="Normal 6 2 3 2 2 4 2" xfId="12796"/>
    <cellStyle name="Normal 6 2 3 2 2 5" xfId="12791"/>
    <cellStyle name="Normal 6 2 3 2 3" xfId="6670"/>
    <cellStyle name="Normal 6 2 3 2 3 2" xfId="6671"/>
    <cellStyle name="Normal 6 2 3 2 3 2 2" xfId="12798"/>
    <cellStyle name="Normal 6 2 3 2 3 3" xfId="12797"/>
    <cellStyle name="Normal 6 2 3 2 4" xfId="6672"/>
    <cellStyle name="Normal 6 2 3 2 4 2" xfId="6673"/>
    <cellStyle name="Normal 6 2 3 2 4 2 2" xfId="12800"/>
    <cellStyle name="Normal 6 2 3 2 4 3" xfId="12799"/>
    <cellStyle name="Normal 6 2 3 2 5" xfId="6674"/>
    <cellStyle name="Normal 6 2 3 2 5 2" xfId="12801"/>
    <cellStyle name="Normal 6 2 3 2 6" xfId="12790"/>
    <cellStyle name="Normal 6 2 3 3" xfId="6675"/>
    <cellStyle name="Normal 6 2 3 3 2" xfId="6676"/>
    <cellStyle name="Normal 6 2 3 3 2 2" xfId="6677"/>
    <cellStyle name="Normal 6 2 3 3 2 2 2" xfId="12804"/>
    <cellStyle name="Normal 6 2 3 3 2 3" xfId="12803"/>
    <cellStyle name="Normal 6 2 3 3 3" xfId="6678"/>
    <cellStyle name="Normal 6 2 3 3 3 2" xfId="6679"/>
    <cellStyle name="Normal 6 2 3 3 3 2 2" xfId="12806"/>
    <cellStyle name="Normal 6 2 3 3 3 3" xfId="12805"/>
    <cellStyle name="Normal 6 2 3 3 4" xfId="6680"/>
    <cellStyle name="Normal 6 2 3 3 4 2" xfId="12807"/>
    <cellStyle name="Normal 6 2 3 3 5" xfId="12802"/>
    <cellStyle name="Normal 6 2 3 4" xfId="6681"/>
    <cellStyle name="Normal 6 2 3 4 2" xfId="6682"/>
    <cellStyle name="Normal 6 2 3 4 2 2" xfId="12809"/>
    <cellStyle name="Normal 6 2 3 4 3" xfId="12808"/>
    <cellStyle name="Normal 6 2 3 5" xfId="6683"/>
    <cellStyle name="Normal 6 2 3 5 2" xfId="6684"/>
    <cellStyle name="Normal 6 2 3 5 2 2" xfId="12811"/>
    <cellStyle name="Normal 6 2 3 5 3" xfId="12810"/>
    <cellStyle name="Normal 6 2 3 6" xfId="6685"/>
    <cellStyle name="Normal 6 2 3 6 2" xfId="12812"/>
    <cellStyle name="Normal 6 2 3 7" xfId="12789"/>
    <cellStyle name="Normal 6 2 4" xfId="6686"/>
    <cellStyle name="Normal 6 2 4 2" xfId="6687"/>
    <cellStyle name="Normal 6 2 4 2 2" xfId="6688"/>
    <cellStyle name="Normal 6 2 4 2 2 2" xfId="6689"/>
    <cellStyle name="Normal 6 2 4 2 2 2 2" xfId="12816"/>
    <cellStyle name="Normal 6 2 4 2 2 3" xfId="12815"/>
    <cellStyle name="Normal 6 2 4 2 3" xfId="6690"/>
    <cellStyle name="Normal 6 2 4 2 3 2" xfId="6691"/>
    <cellStyle name="Normal 6 2 4 2 3 2 2" xfId="12818"/>
    <cellStyle name="Normal 6 2 4 2 3 3" xfId="12817"/>
    <cellStyle name="Normal 6 2 4 2 4" xfId="6692"/>
    <cellStyle name="Normal 6 2 4 2 4 2" xfId="12819"/>
    <cellStyle name="Normal 6 2 4 2 5" xfId="12814"/>
    <cellStyle name="Normal 6 2 4 3" xfId="6693"/>
    <cellStyle name="Normal 6 2 4 3 2" xfId="6694"/>
    <cellStyle name="Normal 6 2 4 3 2 2" xfId="12821"/>
    <cellStyle name="Normal 6 2 4 3 3" xfId="12820"/>
    <cellStyle name="Normal 6 2 4 4" xfId="6695"/>
    <cellStyle name="Normal 6 2 4 4 2" xfId="6696"/>
    <cellStyle name="Normal 6 2 4 4 2 2" xfId="12823"/>
    <cellStyle name="Normal 6 2 4 4 3" xfId="12822"/>
    <cellStyle name="Normal 6 2 4 5" xfId="6697"/>
    <cellStyle name="Normal 6 2 4 5 2" xfId="12824"/>
    <cellStyle name="Normal 6 2 4 6" xfId="12813"/>
    <cellStyle name="Normal 6 2 5" xfId="6698"/>
    <cellStyle name="Normal 6 2 5 2" xfId="6699"/>
    <cellStyle name="Normal 6 2 5 2 2" xfId="6700"/>
    <cellStyle name="Normal 6 2 5 2 2 2" xfId="12827"/>
    <cellStyle name="Normal 6 2 5 2 3" xfId="12826"/>
    <cellStyle name="Normal 6 2 5 3" xfId="6701"/>
    <cellStyle name="Normal 6 2 5 3 2" xfId="6702"/>
    <cellStyle name="Normal 6 2 5 3 2 2" xfId="12829"/>
    <cellStyle name="Normal 6 2 5 3 3" xfId="12828"/>
    <cellStyle name="Normal 6 2 5 4" xfId="6703"/>
    <cellStyle name="Normal 6 2 5 4 2" xfId="12830"/>
    <cellStyle name="Normal 6 2 5 5" xfId="12825"/>
    <cellStyle name="Normal 6 2 6" xfId="6704"/>
    <cellStyle name="Normal 6 2 6 2" xfId="6705"/>
    <cellStyle name="Normal 6 2 6 2 2" xfId="12832"/>
    <cellStyle name="Normal 6 2 6 3" xfId="12831"/>
    <cellStyle name="Normal 6 2 7" xfId="6706"/>
    <cellStyle name="Normal 6 2 7 2" xfId="6707"/>
    <cellStyle name="Normal 6 2 7 2 2" xfId="12834"/>
    <cellStyle name="Normal 6 2 7 3" xfId="12833"/>
    <cellStyle name="Normal 6 2 8" xfId="6708"/>
    <cellStyle name="Normal 6 2 8 2" xfId="12835"/>
    <cellStyle name="Normal 6 2 9" xfId="6709"/>
    <cellStyle name="Normal 6 3" xfId="6710"/>
    <cellStyle name="Normal 6 3 10" xfId="12836"/>
    <cellStyle name="Normal 6 3 2" xfId="6711"/>
    <cellStyle name="Normal 6 3 2 2" xfId="6712"/>
    <cellStyle name="Normal 6 3 2 2 2" xfId="6713"/>
    <cellStyle name="Normal 6 3 2 2 2 2" xfId="6714"/>
    <cellStyle name="Normal 6 3 2 2 2 2 2" xfId="6715"/>
    <cellStyle name="Normal 6 3 2 2 2 2 2 2" xfId="12841"/>
    <cellStyle name="Normal 6 3 2 2 2 2 3" xfId="12840"/>
    <cellStyle name="Normal 6 3 2 2 2 3" xfId="6716"/>
    <cellStyle name="Normal 6 3 2 2 2 3 2" xfId="6717"/>
    <cellStyle name="Normal 6 3 2 2 2 3 2 2" xfId="12843"/>
    <cellStyle name="Normal 6 3 2 2 2 3 3" xfId="12842"/>
    <cellStyle name="Normal 6 3 2 2 2 4" xfId="6718"/>
    <cellStyle name="Normal 6 3 2 2 2 4 2" xfId="12844"/>
    <cellStyle name="Normal 6 3 2 2 2 5" xfId="12839"/>
    <cellStyle name="Normal 6 3 2 2 3" xfId="6719"/>
    <cellStyle name="Normal 6 3 2 2 3 2" xfId="6720"/>
    <cellStyle name="Normal 6 3 2 2 3 2 2" xfId="12846"/>
    <cellStyle name="Normal 6 3 2 2 3 3" xfId="12845"/>
    <cellStyle name="Normal 6 3 2 2 4" xfId="6721"/>
    <cellStyle name="Normal 6 3 2 2 4 2" xfId="6722"/>
    <cellStyle name="Normal 6 3 2 2 4 2 2" xfId="12848"/>
    <cellStyle name="Normal 6 3 2 2 4 3" xfId="12847"/>
    <cellStyle name="Normal 6 3 2 2 5" xfId="6723"/>
    <cellStyle name="Normal 6 3 2 2 5 2" xfId="12849"/>
    <cellStyle name="Normal 6 3 2 2 6" xfId="12838"/>
    <cellStyle name="Normal 6 3 2 3" xfId="6724"/>
    <cellStyle name="Normal 6 3 2 3 2" xfId="6725"/>
    <cellStyle name="Normal 6 3 2 3 2 2" xfId="6726"/>
    <cellStyle name="Normal 6 3 2 3 2 2 2" xfId="12852"/>
    <cellStyle name="Normal 6 3 2 3 2 3" xfId="12851"/>
    <cellStyle name="Normal 6 3 2 3 3" xfId="6727"/>
    <cellStyle name="Normal 6 3 2 3 3 2" xfId="6728"/>
    <cellStyle name="Normal 6 3 2 3 3 2 2" xfId="12854"/>
    <cellStyle name="Normal 6 3 2 3 3 3" xfId="12853"/>
    <cellStyle name="Normal 6 3 2 3 4" xfId="6729"/>
    <cellStyle name="Normal 6 3 2 3 4 2" xfId="12855"/>
    <cellStyle name="Normal 6 3 2 3 5" xfId="12850"/>
    <cellStyle name="Normal 6 3 2 4" xfId="6730"/>
    <cellStyle name="Normal 6 3 2 4 2" xfId="6731"/>
    <cellStyle name="Normal 6 3 2 4 2 2" xfId="12857"/>
    <cellStyle name="Normal 6 3 2 4 3" xfId="12856"/>
    <cellStyle name="Normal 6 3 2 5" xfId="6732"/>
    <cellStyle name="Normal 6 3 2 5 2" xfId="6733"/>
    <cellStyle name="Normal 6 3 2 5 2 2" xfId="12859"/>
    <cellStyle name="Normal 6 3 2 5 3" xfId="12858"/>
    <cellStyle name="Normal 6 3 2 6" xfId="6734"/>
    <cellStyle name="Normal 6 3 2 6 2" xfId="12860"/>
    <cellStyle name="Normal 6 3 2 7" xfId="6735"/>
    <cellStyle name="Normal 6 3 2 8" xfId="12837"/>
    <cellStyle name="Normal 6 3 3" xfId="6736"/>
    <cellStyle name="Normal 6 3 3 2" xfId="6737"/>
    <cellStyle name="Normal 6 3 3 2 2" xfId="6738"/>
    <cellStyle name="Normal 6 3 3 2 2 2" xfId="6739"/>
    <cellStyle name="Normal 6 3 3 2 2 2 2" xfId="12864"/>
    <cellStyle name="Normal 6 3 3 2 2 3" xfId="12863"/>
    <cellStyle name="Normal 6 3 3 2 3" xfId="6740"/>
    <cellStyle name="Normal 6 3 3 2 3 2" xfId="6741"/>
    <cellStyle name="Normal 6 3 3 2 3 2 2" xfId="12866"/>
    <cellStyle name="Normal 6 3 3 2 3 3" xfId="12865"/>
    <cellStyle name="Normal 6 3 3 2 4" xfId="6742"/>
    <cellStyle name="Normal 6 3 3 2 4 2" xfId="12867"/>
    <cellStyle name="Normal 6 3 3 2 5" xfId="12862"/>
    <cellStyle name="Normal 6 3 3 3" xfId="6743"/>
    <cellStyle name="Normal 6 3 3 3 2" xfId="6744"/>
    <cellStyle name="Normal 6 3 3 3 2 2" xfId="12869"/>
    <cellStyle name="Normal 6 3 3 3 3" xfId="12868"/>
    <cellStyle name="Normal 6 3 3 4" xfId="6745"/>
    <cellStyle name="Normal 6 3 3 4 2" xfId="6746"/>
    <cellStyle name="Normal 6 3 3 4 2 2" xfId="12871"/>
    <cellStyle name="Normal 6 3 3 4 3" xfId="12870"/>
    <cellStyle name="Normal 6 3 3 5" xfId="6747"/>
    <cellStyle name="Normal 6 3 3 5 2" xfId="12872"/>
    <cellStyle name="Normal 6 3 3 6" xfId="12861"/>
    <cellStyle name="Normal 6 3 4" xfId="6748"/>
    <cellStyle name="Normal 6 3 4 2" xfId="6749"/>
    <cellStyle name="Normal 6 3 4 2 2" xfId="6750"/>
    <cellStyle name="Normal 6 3 4 2 2 2" xfId="12875"/>
    <cellStyle name="Normal 6 3 4 2 3" xfId="12874"/>
    <cellStyle name="Normal 6 3 4 3" xfId="6751"/>
    <cellStyle name="Normal 6 3 4 3 2" xfId="6752"/>
    <cellStyle name="Normal 6 3 4 3 2 2" xfId="12877"/>
    <cellStyle name="Normal 6 3 4 3 3" xfId="12876"/>
    <cellStyle name="Normal 6 3 4 4" xfId="6753"/>
    <cellStyle name="Normal 6 3 4 4 2" xfId="12878"/>
    <cellStyle name="Normal 6 3 4 5" xfId="12873"/>
    <cellStyle name="Normal 6 3 5" xfId="6754"/>
    <cellStyle name="Normal 6 3 5 2" xfId="6755"/>
    <cellStyle name="Normal 6 3 5 2 2" xfId="12880"/>
    <cellStyle name="Normal 6 3 5 3" xfId="12879"/>
    <cellStyle name="Normal 6 3 6" xfId="6756"/>
    <cellStyle name="Normal 6 3 6 2" xfId="6757"/>
    <cellStyle name="Normal 6 3 6 2 2" xfId="12882"/>
    <cellStyle name="Normal 6 3 6 3" xfId="12881"/>
    <cellStyle name="Normal 6 3 7" xfId="6758"/>
    <cellStyle name="Normal 6 3 7 2" xfId="12883"/>
    <cellStyle name="Normal 6 3 8" xfId="6759"/>
    <cellStyle name="Normal 6 3 8 2" xfId="12884"/>
    <cellStyle name="Normal 6 3 9" xfId="6760"/>
    <cellStyle name="Normal 6 4" xfId="6761"/>
    <cellStyle name="Normal 6 4 2" xfId="6762"/>
    <cellStyle name="Normal 6 4 2 2" xfId="6763"/>
    <cellStyle name="Normal 6 4 2 2 2" xfId="6764"/>
    <cellStyle name="Normal 6 4 2 2 2 2" xfId="6765"/>
    <cellStyle name="Normal 6 4 2 2 2 2 2" xfId="6766"/>
    <cellStyle name="Normal 6 4 2 2 2 2 2 2" xfId="12890"/>
    <cellStyle name="Normal 6 4 2 2 2 2 3" xfId="12889"/>
    <cellStyle name="Normal 6 4 2 2 2 3" xfId="6767"/>
    <cellStyle name="Normal 6 4 2 2 2 3 2" xfId="6768"/>
    <cellStyle name="Normal 6 4 2 2 2 3 2 2" xfId="12892"/>
    <cellStyle name="Normal 6 4 2 2 2 3 3" xfId="12891"/>
    <cellStyle name="Normal 6 4 2 2 2 4" xfId="6769"/>
    <cellStyle name="Normal 6 4 2 2 2 4 2" xfId="12893"/>
    <cellStyle name="Normal 6 4 2 2 2 5" xfId="12888"/>
    <cellStyle name="Normal 6 4 2 2 3" xfId="6770"/>
    <cellStyle name="Normal 6 4 2 2 3 2" xfId="6771"/>
    <cellStyle name="Normal 6 4 2 2 3 2 2" xfId="12895"/>
    <cellStyle name="Normal 6 4 2 2 3 3" xfId="12894"/>
    <cellStyle name="Normal 6 4 2 2 4" xfId="6772"/>
    <cellStyle name="Normal 6 4 2 2 4 2" xfId="6773"/>
    <cellStyle name="Normal 6 4 2 2 4 2 2" xfId="12897"/>
    <cellStyle name="Normal 6 4 2 2 4 3" xfId="12896"/>
    <cellStyle name="Normal 6 4 2 2 5" xfId="6774"/>
    <cellStyle name="Normal 6 4 2 2 5 2" xfId="12898"/>
    <cellStyle name="Normal 6 4 2 2 6" xfId="12887"/>
    <cellStyle name="Normal 6 4 2 3" xfId="6775"/>
    <cellStyle name="Normal 6 4 2 3 2" xfId="6776"/>
    <cellStyle name="Normal 6 4 2 3 2 2" xfId="6777"/>
    <cellStyle name="Normal 6 4 2 3 2 2 2" xfId="12901"/>
    <cellStyle name="Normal 6 4 2 3 2 3" xfId="12900"/>
    <cellStyle name="Normal 6 4 2 3 3" xfId="6778"/>
    <cellStyle name="Normal 6 4 2 3 3 2" xfId="6779"/>
    <cellStyle name="Normal 6 4 2 3 3 2 2" xfId="12903"/>
    <cellStyle name="Normal 6 4 2 3 3 3" xfId="12902"/>
    <cellStyle name="Normal 6 4 2 3 4" xfId="6780"/>
    <cellStyle name="Normal 6 4 2 3 4 2" xfId="12904"/>
    <cellStyle name="Normal 6 4 2 3 5" xfId="12899"/>
    <cellStyle name="Normal 6 4 2 4" xfId="6781"/>
    <cellStyle name="Normal 6 4 2 4 2" xfId="6782"/>
    <cellStyle name="Normal 6 4 2 4 2 2" xfId="12906"/>
    <cellStyle name="Normal 6 4 2 4 3" xfId="12905"/>
    <cellStyle name="Normal 6 4 2 5" xfId="6783"/>
    <cellStyle name="Normal 6 4 2 5 2" xfId="6784"/>
    <cellStyle name="Normal 6 4 2 5 2 2" xfId="12908"/>
    <cellStyle name="Normal 6 4 2 5 3" xfId="12907"/>
    <cellStyle name="Normal 6 4 2 6" xfId="6785"/>
    <cellStyle name="Normal 6 4 2 6 2" xfId="12909"/>
    <cellStyle name="Normal 6 4 2 7" xfId="12886"/>
    <cellStyle name="Normal 6 4 3" xfId="6786"/>
    <cellStyle name="Normal 6 4 3 2" xfId="6787"/>
    <cellStyle name="Normal 6 4 3 2 2" xfId="6788"/>
    <cellStyle name="Normal 6 4 3 2 2 2" xfId="6789"/>
    <cellStyle name="Normal 6 4 3 2 2 2 2" xfId="12913"/>
    <cellStyle name="Normal 6 4 3 2 2 3" xfId="12912"/>
    <cellStyle name="Normal 6 4 3 2 3" xfId="6790"/>
    <cellStyle name="Normal 6 4 3 2 3 2" xfId="6791"/>
    <cellStyle name="Normal 6 4 3 2 3 2 2" xfId="12915"/>
    <cellStyle name="Normal 6 4 3 2 3 3" xfId="12914"/>
    <cellStyle name="Normal 6 4 3 2 4" xfId="6792"/>
    <cellStyle name="Normal 6 4 3 2 4 2" xfId="12916"/>
    <cellStyle name="Normal 6 4 3 2 5" xfId="12911"/>
    <cellStyle name="Normal 6 4 3 3" xfId="6793"/>
    <cellStyle name="Normal 6 4 3 3 2" xfId="6794"/>
    <cellStyle name="Normal 6 4 3 3 2 2" xfId="12918"/>
    <cellStyle name="Normal 6 4 3 3 3" xfId="12917"/>
    <cellStyle name="Normal 6 4 3 4" xfId="6795"/>
    <cellStyle name="Normal 6 4 3 4 2" xfId="6796"/>
    <cellStyle name="Normal 6 4 3 4 2 2" xfId="12920"/>
    <cellStyle name="Normal 6 4 3 4 3" xfId="12919"/>
    <cellStyle name="Normal 6 4 3 5" xfId="6797"/>
    <cellStyle name="Normal 6 4 3 5 2" xfId="12921"/>
    <cellStyle name="Normal 6 4 3 6" xfId="12910"/>
    <cellStyle name="Normal 6 4 4" xfId="6798"/>
    <cellStyle name="Normal 6 4 4 2" xfId="6799"/>
    <cellStyle name="Normal 6 4 4 2 2" xfId="6800"/>
    <cellStyle name="Normal 6 4 4 2 2 2" xfId="12924"/>
    <cellStyle name="Normal 6 4 4 2 3" xfId="12923"/>
    <cellStyle name="Normal 6 4 4 3" xfId="6801"/>
    <cellStyle name="Normal 6 4 4 3 2" xfId="6802"/>
    <cellStyle name="Normal 6 4 4 3 2 2" xfId="12926"/>
    <cellStyle name="Normal 6 4 4 3 3" xfId="12925"/>
    <cellStyle name="Normal 6 4 4 4" xfId="6803"/>
    <cellStyle name="Normal 6 4 4 4 2" xfId="12927"/>
    <cellStyle name="Normal 6 4 4 5" xfId="12922"/>
    <cellStyle name="Normal 6 4 5" xfId="6804"/>
    <cellStyle name="Normal 6 4 5 2" xfId="6805"/>
    <cellStyle name="Normal 6 4 5 2 2" xfId="12929"/>
    <cellStyle name="Normal 6 4 5 3" xfId="12928"/>
    <cellStyle name="Normal 6 4 6" xfId="6806"/>
    <cellStyle name="Normal 6 4 6 2" xfId="6807"/>
    <cellStyle name="Normal 6 4 6 2 2" xfId="12931"/>
    <cellStyle name="Normal 6 4 6 3" xfId="12930"/>
    <cellStyle name="Normal 6 4 7" xfId="6808"/>
    <cellStyle name="Normal 6 4 7 2" xfId="12932"/>
    <cellStyle name="Normal 6 4 8" xfId="6809"/>
    <cellStyle name="Normal 6 4 9" xfId="12885"/>
    <cellStyle name="Normal 6 5" xfId="6810"/>
    <cellStyle name="Normal 6 5 2" xfId="6811"/>
    <cellStyle name="Normal 6 5 2 2" xfId="6812"/>
    <cellStyle name="Normal 6 5 2 2 2" xfId="6813"/>
    <cellStyle name="Normal 6 5 2 2 2 2" xfId="6814"/>
    <cellStyle name="Normal 6 5 2 2 2 2 2" xfId="12937"/>
    <cellStyle name="Normal 6 5 2 2 2 3" xfId="12936"/>
    <cellStyle name="Normal 6 5 2 2 3" xfId="6815"/>
    <cellStyle name="Normal 6 5 2 2 3 2" xfId="6816"/>
    <cellStyle name="Normal 6 5 2 2 3 2 2" xfId="12939"/>
    <cellStyle name="Normal 6 5 2 2 3 3" xfId="12938"/>
    <cellStyle name="Normal 6 5 2 2 4" xfId="6817"/>
    <cellStyle name="Normal 6 5 2 2 4 2" xfId="12940"/>
    <cellStyle name="Normal 6 5 2 2 5" xfId="12935"/>
    <cellStyle name="Normal 6 5 2 3" xfId="6818"/>
    <cellStyle name="Normal 6 5 2 3 2" xfId="6819"/>
    <cellStyle name="Normal 6 5 2 3 2 2" xfId="12942"/>
    <cellStyle name="Normal 6 5 2 3 3" xfId="12941"/>
    <cellStyle name="Normal 6 5 2 4" xfId="6820"/>
    <cellStyle name="Normal 6 5 2 4 2" xfId="6821"/>
    <cellStyle name="Normal 6 5 2 4 2 2" xfId="12944"/>
    <cellStyle name="Normal 6 5 2 4 3" xfId="12943"/>
    <cellStyle name="Normal 6 5 2 5" xfId="6822"/>
    <cellStyle name="Normal 6 5 2 5 2" xfId="12945"/>
    <cellStyle name="Normal 6 5 2 6" xfId="12934"/>
    <cellStyle name="Normal 6 5 3" xfId="6823"/>
    <cellStyle name="Normal 6 5 3 2" xfId="6824"/>
    <cellStyle name="Normal 6 5 3 2 2" xfId="6825"/>
    <cellStyle name="Normal 6 5 3 2 2 2" xfId="12948"/>
    <cellStyle name="Normal 6 5 3 2 3" xfId="12947"/>
    <cellStyle name="Normal 6 5 3 3" xfId="6826"/>
    <cellStyle name="Normal 6 5 3 3 2" xfId="6827"/>
    <cellStyle name="Normal 6 5 3 3 2 2" xfId="12950"/>
    <cellStyle name="Normal 6 5 3 3 3" xfId="12949"/>
    <cellStyle name="Normal 6 5 3 4" xfId="6828"/>
    <cellStyle name="Normal 6 5 3 4 2" xfId="12951"/>
    <cellStyle name="Normal 6 5 3 5" xfId="12946"/>
    <cellStyle name="Normal 6 5 4" xfId="6829"/>
    <cellStyle name="Normal 6 5 4 2" xfId="6830"/>
    <cellStyle name="Normal 6 5 4 2 2" xfId="12953"/>
    <cellStyle name="Normal 6 5 4 3" xfId="12952"/>
    <cellStyle name="Normal 6 5 5" xfId="6831"/>
    <cellStyle name="Normal 6 5 5 2" xfId="6832"/>
    <cellStyle name="Normal 6 5 5 2 2" xfId="12955"/>
    <cellStyle name="Normal 6 5 5 3" xfId="12954"/>
    <cellStyle name="Normal 6 5 6" xfId="6833"/>
    <cellStyle name="Normal 6 5 6 2" xfId="12956"/>
    <cellStyle name="Normal 6 5 7" xfId="12933"/>
    <cellStyle name="Normal 6 6" xfId="6834"/>
    <cellStyle name="Normal 6 6 2" xfId="6835"/>
    <cellStyle name="Normal 6 6 2 2" xfId="6836"/>
    <cellStyle name="Normal 6 6 2 2 2" xfId="6837"/>
    <cellStyle name="Normal 6 6 2 2 2 2" xfId="12960"/>
    <cellStyle name="Normal 6 6 2 2 3" xfId="12959"/>
    <cellStyle name="Normal 6 6 2 3" xfId="6838"/>
    <cellStyle name="Normal 6 6 2 3 2" xfId="6839"/>
    <cellStyle name="Normal 6 6 2 3 2 2" xfId="12962"/>
    <cellStyle name="Normal 6 6 2 3 3" xfId="12961"/>
    <cellStyle name="Normal 6 6 2 4" xfId="6840"/>
    <cellStyle name="Normal 6 6 2 4 2" xfId="12963"/>
    <cellStyle name="Normal 6 6 2 5" xfId="12958"/>
    <cellStyle name="Normal 6 6 3" xfId="6841"/>
    <cellStyle name="Normal 6 6 3 2" xfId="6842"/>
    <cellStyle name="Normal 6 6 3 2 2" xfId="12965"/>
    <cellStyle name="Normal 6 6 3 3" xfId="12964"/>
    <cellStyle name="Normal 6 6 4" xfId="6843"/>
    <cellStyle name="Normal 6 6 4 2" xfId="6844"/>
    <cellStyle name="Normal 6 6 4 2 2" xfId="12967"/>
    <cellStyle name="Normal 6 6 4 3" xfId="12966"/>
    <cellStyle name="Normal 6 6 5" xfId="6845"/>
    <cellStyle name="Normal 6 6 5 2" xfId="12968"/>
    <cellStyle name="Normal 6 6 6" xfId="12957"/>
    <cellStyle name="Normal 6 7" xfId="6846"/>
    <cellStyle name="Normal 6 7 2" xfId="6847"/>
    <cellStyle name="Normal 6 7 2 2" xfId="6848"/>
    <cellStyle name="Normal 6 7 2 2 2" xfId="12971"/>
    <cellStyle name="Normal 6 7 2 3" xfId="12970"/>
    <cellStyle name="Normal 6 7 3" xfId="6849"/>
    <cellStyle name="Normal 6 7 3 2" xfId="6850"/>
    <cellStyle name="Normal 6 7 3 2 2" xfId="12973"/>
    <cellStyle name="Normal 6 7 3 3" xfId="12972"/>
    <cellStyle name="Normal 6 7 4" xfId="6851"/>
    <cellStyle name="Normal 6 7 4 2" xfId="12974"/>
    <cellStyle name="Normal 6 7 5" xfId="12969"/>
    <cellStyle name="Normal 6 8" xfId="6852"/>
    <cellStyle name="Normal 6 8 2" xfId="6853"/>
    <cellStyle name="Normal 6 8 2 2" xfId="12976"/>
    <cellStyle name="Normal 6 8 3" xfId="12975"/>
    <cellStyle name="Normal 6 9" xfId="6854"/>
    <cellStyle name="Normal 6 9 2" xfId="6855"/>
    <cellStyle name="Normal 6 9 2 2" xfId="12978"/>
    <cellStyle name="Normal 6 9 3" xfId="12977"/>
    <cellStyle name="Normal 6_2180" xfId="12979"/>
    <cellStyle name="Normal 60" xfId="6856"/>
    <cellStyle name="Normal 60 2" xfId="6857"/>
    <cellStyle name="Normal 60 2 2" xfId="6858"/>
    <cellStyle name="Normal 60 2 2 2" xfId="6859"/>
    <cellStyle name="Normal 60 2 2 2 2" xfId="6860"/>
    <cellStyle name="Normal 60 2 2 2 2 2" xfId="6861"/>
    <cellStyle name="Normal 60 2 2 2 2 2 2" xfId="12985"/>
    <cellStyle name="Normal 60 2 2 2 2 3" xfId="12984"/>
    <cellStyle name="Normal 60 2 2 2 3" xfId="6862"/>
    <cellStyle name="Normal 60 2 2 2 3 2" xfId="6863"/>
    <cellStyle name="Normal 60 2 2 2 3 2 2" xfId="12987"/>
    <cellStyle name="Normal 60 2 2 2 3 3" xfId="12986"/>
    <cellStyle name="Normal 60 2 2 2 4" xfId="6864"/>
    <cellStyle name="Normal 60 2 2 2 4 2" xfId="12988"/>
    <cellStyle name="Normal 60 2 2 2 5" xfId="12983"/>
    <cellStyle name="Normal 60 2 2 3" xfId="6865"/>
    <cellStyle name="Normal 60 2 2 3 2" xfId="6866"/>
    <cellStyle name="Normal 60 2 2 3 2 2" xfId="12990"/>
    <cellStyle name="Normal 60 2 2 3 3" xfId="12989"/>
    <cellStyle name="Normal 60 2 2 4" xfId="6867"/>
    <cellStyle name="Normal 60 2 2 4 2" xfId="6868"/>
    <cellStyle name="Normal 60 2 2 4 2 2" xfId="12992"/>
    <cellStyle name="Normal 60 2 2 4 3" xfId="12991"/>
    <cellStyle name="Normal 60 2 2 5" xfId="6869"/>
    <cellStyle name="Normal 60 2 2 5 2" xfId="12993"/>
    <cellStyle name="Normal 60 2 2 6" xfId="12982"/>
    <cellStyle name="Normal 60 2 3" xfId="6870"/>
    <cellStyle name="Normal 60 2 3 2" xfId="6871"/>
    <cellStyle name="Normal 60 2 3 2 2" xfId="6872"/>
    <cellStyle name="Normal 60 2 3 2 2 2" xfId="12996"/>
    <cellStyle name="Normal 60 2 3 2 3" xfId="12995"/>
    <cellStyle name="Normal 60 2 3 3" xfId="6873"/>
    <cellStyle name="Normal 60 2 3 3 2" xfId="6874"/>
    <cellStyle name="Normal 60 2 3 3 2 2" xfId="12998"/>
    <cellStyle name="Normal 60 2 3 3 3" xfId="12997"/>
    <cellStyle name="Normal 60 2 3 4" xfId="6875"/>
    <cellStyle name="Normal 60 2 3 4 2" xfId="12999"/>
    <cellStyle name="Normal 60 2 3 5" xfId="12994"/>
    <cellStyle name="Normal 60 2 4" xfId="6876"/>
    <cellStyle name="Normal 60 2 4 2" xfId="6877"/>
    <cellStyle name="Normal 60 2 4 2 2" xfId="13001"/>
    <cellStyle name="Normal 60 2 4 3" xfId="13000"/>
    <cellStyle name="Normal 60 2 5" xfId="6878"/>
    <cellStyle name="Normal 60 2 5 2" xfId="6879"/>
    <cellStyle name="Normal 60 2 5 2 2" xfId="13003"/>
    <cellStyle name="Normal 60 2 5 3" xfId="13002"/>
    <cellStyle name="Normal 60 2 6" xfId="6880"/>
    <cellStyle name="Normal 60 2 6 2" xfId="13004"/>
    <cellStyle name="Normal 60 2 7" xfId="12981"/>
    <cellStyle name="Normal 60 3" xfId="6881"/>
    <cellStyle name="Normal 60 3 2" xfId="6882"/>
    <cellStyle name="Normal 60 3 2 2" xfId="6883"/>
    <cellStyle name="Normal 60 3 2 2 2" xfId="6884"/>
    <cellStyle name="Normal 60 3 2 2 2 2" xfId="13008"/>
    <cellStyle name="Normal 60 3 2 2 3" xfId="13007"/>
    <cellStyle name="Normal 60 3 2 3" xfId="6885"/>
    <cellStyle name="Normal 60 3 2 3 2" xfId="6886"/>
    <cellStyle name="Normal 60 3 2 3 2 2" xfId="13010"/>
    <cellStyle name="Normal 60 3 2 3 3" xfId="13009"/>
    <cellStyle name="Normal 60 3 2 4" xfId="6887"/>
    <cellStyle name="Normal 60 3 2 4 2" xfId="13011"/>
    <cellStyle name="Normal 60 3 2 5" xfId="13006"/>
    <cellStyle name="Normal 60 3 3" xfId="6888"/>
    <cellStyle name="Normal 60 3 3 2" xfId="6889"/>
    <cellStyle name="Normal 60 3 3 2 2" xfId="13013"/>
    <cellStyle name="Normal 60 3 3 3" xfId="13012"/>
    <cellStyle name="Normal 60 3 4" xfId="6890"/>
    <cellStyle name="Normal 60 3 4 2" xfId="6891"/>
    <cellStyle name="Normal 60 3 4 2 2" xfId="13015"/>
    <cellStyle name="Normal 60 3 4 3" xfId="13014"/>
    <cellStyle name="Normal 60 3 5" xfId="6892"/>
    <cellStyle name="Normal 60 3 5 2" xfId="13016"/>
    <cellStyle name="Normal 60 3 6" xfId="13005"/>
    <cellStyle name="Normal 60 4" xfId="6893"/>
    <cellStyle name="Normal 60 4 2" xfId="6894"/>
    <cellStyle name="Normal 60 4 2 2" xfId="6895"/>
    <cellStyle name="Normal 60 4 2 2 2" xfId="13019"/>
    <cellStyle name="Normal 60 4 2 3" xfId="13018"/>
    <cellStyle name="Normal 60 4 3" xfId="6896"/>
    <cellStyle name="Normal 60 4 3 2" xfId="6897"/>
    <cellStyle name="Normal 60 4 3 2 2" xfId="13021"/>
    <cellStyle name="Normal 60 4 3 3" xfId="13020"/>
    <cellStyle name="Normal 60 4 4" xfId="6898"/>
    <cellStyle name="Normal 60 4 4 2" xfId="13022"/>
    <cellStyle name="Normal 60 4 5" xfId="13017"/>
    <cellStyle name="Normal 60 5" xfId="6899"/>
    <cellStyle name="Normal 60 5 2" xfId="6900"/>
    <cellStyle name="Normal 60 5 2 2" xfId="13024"/>
    <cellStyle name="Normal 60 5 3" xfId="13023"/>
    <cellStyle name="Normal 60 6" xfId="6901"/>
    <cellStyle name="Normal 60 6 2" xfId="6902"/>
    <cellStyle name="Normal 60 6 2 2" xfId="13026"/>
    <cellStyle name="Normal 60 6 3" xfId="13025"/>
    <cellStyle name="Normal 60 7" xfId="6903"/>
    <cellStyle name="Normal 60 7 2" xfId="13027"/>
    <cellStyle name="Normal 60 8" xfId="6904"/>
    <cellStyle name="Normal 60 9" xfId="12980"/>
    <cellStyle name="Normal 61" xfId="6905"/>
    <cellStyle name="Normal 61 2" xfId="6906"/>
    <cellStyle name="Normal 61 2 2" xfId="6907"/>
    <cellStyle name="Normal 61 2 2 2" xfId="6908"/>
    <cellStyle name="Normal 61 2 2 2 2" xfId="6909"/>
    <cellStyle name="Normal 61 2 2 2 2 2" xfId="6910"/>
    <cellStyle name="Normal 61 2 2 2 2 2 2" xfId="13033"/>
    <cellStyle name="Normal 61 2 2 2 2 3" xfId="13032"/>
    <cellStyle name="Normal 61 2 2 2 3" xfId="6911"/>
    <cellStyle name="Normal 61 2 2 2 3 2" xfId="6912"/>
    <cellStyle name="Normal 61 2 2 2 3 2 2" xfId="13035"/>
    <cellStyle name="Normal 61 2 2 2 3 3" xfId="13034"/>
    <cellStyle name="Normal 61 2 2 2 4" xfId="6913"/>
    <cellStyle name="Normal 61 2 2 2 4 2" xfId="13036"/>
    <cellStyle name="Normal 61 2 2 2 5" xfId="13031"/>
    <cellStyle name="Normal 61 2 2 3" xfId="6914"/>
    <cellStyle name="Normal 61 2 2 3 2" xfId="6915"/>
    <cellStyle name="Normal 61 2 2 3 2 2" xfId="13038"/>
    <cellStyle name="Normal 61 2 2 3 3" xfId="13037"/>
    <cellStyle name="Normal 61 2 2 4" xfId="6916"/>
    <cellStyle name="Normal 61 2 2 4 2" xfId="6917"/>
    <cellStyle name="Normal 61 2 2 4 2 2" xfId="13040"/>
    <cellStyle name="Normal 61 2 2 4 3" xfId="13039"/>
    <cellStyle name="Normal 61 2 2 5" xfId="6918"/>
    <cellStyle name="Normal 61 2 2 5 2" xfId="13041"/>
    <cellStyle name="Normal 61 2 2 6" xfId="13030"/>
    <cellStyle name="Normal 61 2 3" xfId="6919"/>
    <cellStyle name="Normal 61 2 3 2" xfId="6920"/>
    <cellStyle name="Normal 61 2 3 2 2" xfId="6921"/>
    <cellStyle name="Normal 61 2 3 2 2 2" xfId="13044"/>
    <cellStyle name="Normal 61 2 3 2 3" xfId="13043"/>
    <cellStyle name="Normal 61 2 3 3" xfId="6922"/>
    <cellStyle name="Normal 61 2 3 3 2" xfId="6923"/>
    <cellStyle name="Normal 61 2 3 3 2 2" xfId="13046"/>
    <cellStyle name="Normal 61 2 3 3 3" xfId="13045"/>
    <cellStyle name="Normal 61 2 3 4" xfId="6924"/>
    <cellStyle name="Normal 61 2 3 4 2" xfId="13047"/>
    <cellStyle name="Normal 61 2 3 5" xfId="13042"/>
    <cellStyle name="Normal 61 2 4" xfId="6925"/>
    <cellStyle name="Normal 61 2 4 2" xfId="6926"/>
    <cellStyle name="Normal 61 2 4 2 2" xfId="13049"/>
    <cellStyle name="Normal 61 2 4 3" xfId="13048"/>
    <cellStyle name="Normal 61 2 5" xfId="6927"/>
    <cellStyle name="Normal 61 2 5 2" xfId="6928"/>
    <cellStyle name="Normal 61 2 5 2 2" xfId="13051"/>
    <cellStyle name="Normal 61 2 5 3" xfId="13050"/>
    <cellStyle name="Normal 61 2 6" xfId="6929"/>
    <cellStyle name="Normal 61 2 6 2" xfId="13052"/>
    <cellStyle name="Normal 61 2 7" xfId="13029"/>
    <cellStyle name="Normal 61 3" xfId="6930"/>
    <cellStyle name="Normal 61 3 2" xfId="6931"/>
    <cellStyle name="Normal 61 3 2 2" xfId="6932"/>
    <cellStyle name="Normal 61 3 2 2 2" xfId="6933"/>
    <cellStyle name="Normal 61 3 2 2 2 2" xfId="13056"/>
    <cellStyle name="Normal 61 3 2 2 3" xfId="13055"/>
    <cellStyle name="Normal 61 3 2 3" xfId="6934"/>
    <cellStyle name="Normal 61 3 2 3 2" xfId="6935"/>
    <cellStyle name="Normal 61 3 2 3 2 2" xfId="13058"/>
    <cellStyle name="Normal 61 3 2 3 3" xfId="13057"/>
    <cellStyle name="Normal 61 3 2 4" xfId="6936"/>
    <cellStyle name="Normal 61 3 2 4 2" xfId="13059"/>
    <cellStyle name="Normal 61 3 2 5" xfId="13054"/>
    <cellStyle name="Normal 61 3 3" xfId="6937"/>
    <cellStyle name="Normal 61 3 3 2" xfId="6938"/>
    <cellStyle name="Normal 61 3 3 2 2" xfId="13061"/>
    <cellStyle name="Normal 61 3 3 3" xfId="13060"/>
    <cellStyle name="Normal 61 3 4" xfId="6939"/>
    <cellStyle name="Normal 61 3 4 2" xfId="6940"/>
    <cellStyle name="Normal 61 3 4 2 2" xfId="13063"/>
    <cellStyle name="Normal 61 3 4 3" xfId="13062"/>
    <cellStyle name="Normal 61 3 5" xfId="6941"/>
    <cellStyle name="Normal 61 3 5 2" xfId="13064"/>
    <cellStyle name="Normal 61 3 6" xfId="13053"/>
    <cellStyle name="Normal 61 4" xfId="6942"/>
    <cellStyle name="Normal 61 4 2" xfId="6943"/>
    <cellStyle name="Normal 61 4 2 2" xfId="6944"/>
    <cellStyle name="Normal 61 4 2 2 2" xfId="13067"/>
    <cellStyle name="Normal 61 4 2 3" xfId="13066"/>
    <cellStyle name="Normal 61 4 3" xfId="6945"/>
    <cellStyle name="Normal 61 4 3 2" xfId="6946"/>
    <cellStyle name="Normal 61 4 3 2 2" xfId="13069"/>
    <cellStyle name="Normal 61 4 3 3" xfId="13068"/>
    <cellStyle name="Normal 61 4 4" xfId="6947"/>
    <cellStyle name="Normal 61 4 4 2" xfId="13070"/>
    <cellStyle name="Normal 61 4 5" xfId="13065"/>
    <cellStyle name="Normal 61 5" xfId="6948"/>
    <cellStyle name="Normal 61 5 2" xfId="6949"/>
    <cellStyle name="Normal 61 5 2 2" xfId="13072"/>
    <cellStyle name="Normal 61 5 3" xfId="13071"/>
    <cellStyle name="Normal 61 6" xfId="6950"/>
    <cellStyle name="Normal 61 6 2" xfId="6951"/>
    <cellStyle name="Normal 61 6 2 2" xfId="13074"/>
    <cellStyle name="Normal 61 6 3" xfId="13073"/>
    <cellStyle name="Normal 61 7" xfId="6952"/>
    <cellStyle name="Normal 61 7 2" xfId="13075"/>
    <cellStyle name="Normal 61 8" xfId="6953"/>
    <cellStyle name="Normal 61 9" xfId="13028"/>
    <cellStyle name="Normal 62" xfId="6954"/>
    <cellStyle name="Normal 62 2" xfId="6955"/>
    <cellStyle name="Normal 62 2 2" xfId="6956"/>
    <cellStyle name="Normal 62 2 2 2" xfId="6957"/>
    <cellStyle name="Normal 62 2 2 2 2" xfId="6958"/>
    <cellStyle name="Normal 62 2 2 2 2 2" xfId="6959"/>
    <cellStyle name="Normal 62 2 2 2 2 2 2" xfId="13081"/>
    <cellStyle name="Normal 62 2 2 2 2 3" xfId="13080"/>
    <cellStyle name="Normal 62 2 2 2 3" xfId="6960"/>
    <cellStyle name="Normal 62 2 2 2 3 2" xfId="6961"/>
    <cellStyle name="Normal 62 2 2 2 3 2 2" xfId="13083"/>
    <cellStyle name="Normal 62 2 2 2 3 3" xfId="13082"/>
    <cellStyle name="Normal 62 2 2 2 4" xfId="6962"/>
    <cellStyle name="Normal 62 2 2 2 4 2" xfId="13084"/>
    <cellStyle name="Normal 62 2 2 2 5" xfId="13079"/>
    <cellStyle name="Normal 62 2 2 3" xfId="6963"/>
    <cellStyle name="Normal 62 2 2 3 2" xfId="6964"/>
    <cellStyle name="Normal 62 2 2 3 2 2" xfId="13086"/>
    <cellStyle name="Normal 62 2 2 3 3" xfId="13085"/>
    <cellStyle name="Normal 62 2 2 4" xfId="6965"/>
    <cellStyle name="Normal 62 2 2 4 2" xfId="6966"/>
    <cellStyle name="Normal 62 2 2 4 2 2" xfId="13088"/>
    <cellStyle name="Normal 62 2 2 4 3" xfId="13087"/>
    <cellStyle name="Normal 62 2 2 5" xfId="6967"/>
    <cellStyle name="Normal 62 2 2 5 2" xfId="13089"/>
    <cellStyle name="Normal 62 2 2 6" xfId="13078"/>
    <cellStyle name="Normal 62 2 3" xfId="6968"/>
    <cellStyle name="Normal 62 2 3 2" xfId="6969"/>
    <cellStyle name="Normal 62 2 3 2 2" xfId="6970"/>
    <cellStyle name="Normal 62 2 3 2 2 2" xfId="13092"/>
    <cellStyle name="Normal 62 2 3 2 3" xfId="13091"/>
    <cellStyle name="Normal 62 2 3 3" xfId="6971"/>
    <cellStyle name="Normal 62 2 3 3 2" xfId="6972"/>
    <cellStyle name="Normal 62 2 3 3 2 2" xfId="13094"/>
    <cellStyle name="Normal 62 2 3 3 3" xfId="13093"/>
    <cellStyle name="Normal 62 2 3 4" xfId="6973"/>
    <cellStyle name="Normal 62 2 3 4 2" xfId="13095"/>
    <cellStyle name="Normal 62 2 3 5" xfId="13090"/>
    <cellStyle name="Normal 62 2 4" xfId="6974"/>
    <cellStyle name="Normal 62 2 4 2" xfId="6975"/>
    <cellStyle name="Normal 62 2 4 2 2" xfId="13097"/>
    <cellStyle name="Normal 62 2 4 3" xfId="13096"/>
    <cellStyle name="Normal 62 2 5" xfId="6976"/>
    <cellStyle name="Normal 62 2 5 2" xfId="6977"/>
    <cellStyle name="Normal 62 2 5 2 2" xfId="13099"/>
    <cellStyle name="Normal 62 2 5 3" xfId="13098"/>
    <cellStyle name="Normal 62 2 6" xfId="6978"/>
    <cellStyle name="Normal 62 2 6 2" xfId="13100"/>
    <cellStyle name="Normal 62 2 7" xfId="13077"/>
    <cellStyle name="Normal 62 3" xfId="6979"/>
    <cellStyle name="Normal 62 3 2" xfId="6980"/>
    <cellStyle name="Normal 62 3 2 2" xfId="6981"/>
    <cellStyle name="Normal 62 3 2 2 2" xfId="6982"/>
    <cellStyle name="Normal 62 3 2 2 2 2" xfId="13104"/>
    <cellStyle name="Normal 62 3 2 2 3" xfId="13103"/>
    <cellStyle name="Normal 62 3 2 3" xfId="6983"/>
    <cellStyle name="Normal 62 3 2 3 2" xfId="6984"/>
    <cellStyle name="Normal 62 3 2 3 2 2" xfId="13106"/>
    <cellStyle name="Normal 62 3 2 3 3" xfId="13105"/>
    <cellStyle name="Normal 62 3 2 4" xfId="6985"/>
    <cellStyle name="Normal 62 3 2 4 2" xfId="13107"/>
    <cellStyle name="Normal 62 3 2 5" xfId="13102"/>
    <cellStyle name="Normal 62 3 3" xfId="6986"/>
    <cellStyle name="Normal 62 3 3 2" xfId="6987"/>
    <cellStyle name="Normal 62 3 3 2 2" xfId="13109"/>
    <cellStyle name="Normal 62 3 3 3" xfId="13108"/>
    <cellStyle name="Normal 62 3 4" xfId="6988"/>
    <cellStyle name="Normal 62 3 4 2" xfId="6989"/>
    <cellStyle name="Normal 62 3 4 2 2" xfId="13111"/>
    <cellStyle name="Normal 62 3 4 3" xfId="13110"/>
    <cellStyle name="Normal 62 3 5" xfId="6990"/>
    <cellStyle name="Normal 62 3 5 2" xfId="13112"/>
    <cellStyle name="Normal 62 3 6" xfId="13101"/>
    <cellStyle name="Normal 62 4" xfId="6991"/>
    <cellStyle name="Normal 62 4 2" xfId="6992"/>
    <cellStyle name="Normal 62 4 2 2" xfId="6993"/>
    <cellStyle name="Normal 62 4 2 2 2" xfId="13115"/>
    <cellStyle name="Normal 62 4 2 3" xfId="13114"/>
    <cellStyle name="Normal 62 4 3" xfId="6994"/>
    <cellStyle name="Normal 62 4 3 2" xfId="6995"/>
    <cellStyle name="Normal 62 4 3 2 2" xfId="13117"/>
    <cellStyle name="Normal 62 4 3 3" xfId="13116"/>
    <cellStyle name="Normal 62 4 4" xfId="6996"/>
    <cellStyle name="Normal 62 4 4 2" xfId="13118"/>
    <cellStyle name="Normal 62 4 5" xfId="13113"/>
    <cellStyle name="Normal 62 5" xfId="6997"/>
    <cellStyle name="Normal 62 5 2" xfId="6998"/>
    <cellStyle name="Normal 62 5 2 2" xfId="13120"/>
    <cellStyle name="Normal 62 5 3" xfId="13119"/>
    <cellStyle name="Normal 62 6" xfId="6999"/>
    <cellStyle name="Normal 62 6 2" xfId="7000"/>
    <cellStyle name="Normal 62 6 2 2" xfId="13122"/>
    <cellStyle name="Normal 62 6 3" xfId="13121"/>
    <cellStyle name="Normal 62 7" xfId="7001"/>
    <cellStyle name="Normal 62 7 2" xfId="13123"/>
    <cellStyle name="Normal 62 8" xfId="7002"/>
    <cellStyle name="Normal 62 9" xfId="13076"/>
    <cellStyle name="Normal 63" xfId="7003"/>
    <cellStyle name="Normal 63 2" xfId="7004"/>
    <cellStyle name="Normal 63 2 2" xfId="7005"/>
    <cellStyle name="Normal 63 2 2 2" xfId="7006"/>
    <cellStyle name="Normal 63 2 2 2 2" xfId="7007"/>
    <cellStyle name="Normal 63 2 2 2 2 2" xfId="7008"/>
    <cellStyle name="Normal 63 2 2 2 2 2 2" xfId="13129"/>
    <cellStyle name="Normal 63 2 2 2 2 3" xfId="13128"/>
    <cellStyle name="Normal 63 2 2 2 3" xfId="7009"/>
    <cellStyle name="Normal 63 2 2 2 3 2" xfId="7010"/>
    <cellStyle name="Normal 63 2 2 2 3 2 2" xfId="13131"/>
    <cellStyle name="Normal 63 2 2 2 3 3" xfId="13130"/>
    <cellStyle name="Normal 63 2 2 2 4" xfId="7011"/>
    <cellStyle name="Normal 63 2 2 2 4 2" xfId="13132"/>
    <cellStyle name="Normal 63 2 2 2 5" xfId="13127"/>
    <cellStyle name="Normal 63 2 2 3" xfId="7012"/>
    <cellStyle name="Normal 63 2 2 3 2" xfId="7013"/>
    <cellStyle name="Normal 63 2 2 3 2 2" xfId="13134"/>
    <cellStyle name="Normal 63 2 2 3 3" xfId="13133"/>
    <cellStyle name="Normal 63 2 2 4" xfId="7014"/>
    <cellStyle name="Normal 63 2 2 4 2" xfId="7015"/>
    <cellStyle name="Normal 63 2 2 4 2 2" xfId="13136"/>
    <cellStyle name="Normal 63 2 2 4 3" xfId="13135"/>
    <cellStyle name="Normal 63 2 2 5" xfId="7016"/>
    <cellStyle name="Normal 63 2 2 5 2" xfId="13137"/>
    <cellStyle name="Normal 63 2 2 6" xfId="13126"/>
    <cellStyle name="Normal 63 2 3" xfId="7017"/>
    <cellStyle name="Normal 63 2 3 2" xfId="7018"/>
    <cellStyle name="Normal 63 2 3 2 2" xfId="7019"/>
    <cellStyle name="Normal 63 2 3 2 2 2" xfId="13140"/>
    <cellStyle name="Normal 63 2 3 2 3" xfId="13139"/>
    <cellStyle name="Normal 63 2 3 3" xfId="7020"/>
    <cellStyle name="Normal 63 2 3 3 2" xfId="7021"/>
    <cellStyle name="Normal 63 2 3 3 2 2" xfId="13142"/>
    <cellStyle name="Normal 63 2 3 3 3" xfId="13141"/>
    <cellStyle name="Normal 63 2 3 4" xfId="7022"/>
    <cellStyle name="Normal 63 2 3 4 2" xfId="13143"/>
    <cellStyle name="Normal 63 2 3 5" xfId="13138"/>
    <cellStyle name="Normal 63 2 4" xfId="7023"/>
    <cellStyle name="Normal 63 2 4 2" xfId="7024"/>
    <cellStyle name="Normal 63 2 4 2 2" xfId="13145"/>
    <cellStyle name="Normal 63 2 4 3" xfId="13144"/>
    <cellStyle name="Normal 63 2 5" xfId="7025"/>
    <cellStyle name="Normal 63 2 5 2" xfId="7026"/>
    <cellStyle name="Normal 63 2 5 2 2" xfId="13147"/>
    <cellStyle name="Normal 63 2 5 3" xfId="13146"/>
    <cellStyle name="Normal 63 2 6" xfId="7027"/>
    <cellStyle name="Normal 63 2 6 2" xfId="13148"/>
    <cellStyle name="Normal 63 2 7" xfId="13125"/>
    <cellStyle name="Normal 63 3" xfId="7028"/>
    <cellStyle name="Normal 63 3 2" xfId="7029"/>
    <cellStyle name="Normal 63 3 2 2" xfId="7030"/>
    <cellStyle name="Normal 63 3 2 2 2" xfId="7031"/>
    <cellStyle name="Normal 63 3 2 2 2 2" xfId="13152"/>
    <cellStyle name="Normal 63 3 2 2 3" xfId="13151"/>
    <cellStyle name="Normal 63 3 2 3" xfId="7032"/>
    <cellStyle name="Normal 63 3 2 3 2" xfId="7033"/>
    <cellStyle name="Normal 63 3 2 3 2 2" xfId="13154"/>
    <cellStyle name="Normal 63 3 2 3 3" xfId="13153"/>
    <cellStyle name="Normal 63 3 2 4" xfId="7034"/>
    <cellStyle name="Normal 63 3 2 4 2" xfId="13155"/>
    <cellStyle name="Normal 63 3 2 5" xfId="13150"/>
    <cellStyle name="Normal 63 3 3" xfId="7035"/>
    <cellStyle name="Normal 63 3 3 2" xfId="7036"/>
    <cellStyle name="Normal 63 3 3 2 2" xfId="13157"/>
    <cellStyle name="Normal 63 3 3 3" xfId="13156"/>
    <cellStyle name="Normal 63 3 4" xfId="7037"/>
    <cellStyle name="Normal 63 3 4 2" xfId="7038"/>
    <cellStyle name="Normal 63 3 4 2 2" xfId="13159"/>
    <cellStyle name="Normal 63 3 4 3" xfId="13158"/>
    <cellStyle name="Normal 63 3 5" xfId="7039"/>
    <cellStyle name="Normal 63 3 5 2" xfId="13160"/>
    <cellStyle name="Normal 63 3 6" xfId="13149"/>
    <cellStyle name="Normal 63 4" xfId="7040"/>
    <cellStyle name="Normal 63 4 2" xfId="7041"/>
    <cellStyle name="Normal 63 4 2 2" xfId="7042"/>
    <cellStyle name="Normal 63 4 2 2 2" xfId="13163"/>
    <cellStyle name="Normal 63 4 2 3" xfId="13162"/>
    <cellStyle name="Normal 63 4 3" xfId="7043"/>
    <cellStyle name="Normal 63 4 3 2" xfId="7044"/>
    <cellStyle name="Normal 63 4 3 2 2" xfId="13165"/>
    <cellStyle name="Normal 63 4 3 3" xfId="13164"/>
    <cellStyle name="Normal 63 4 4" xfId="7045"/>
    <cellStyle name="Normal 63 4 4 2" xfId="13166"/>
    <cellStyle name="Normal 63 4 5" xfId="13161"/>
    <cellStyle name="Normal 63 5" xfId="7046"/>
    <cellStyle name="Normal 63 5 2" xfId="7047"/>
    <cellStyle name="Normal 63 5 2 2" xfId="13168"/>
    <cellStyle name="Normal 63 5 3" xfId="13167"/>
    <cellStyle name="Normal 63 6" xfId="7048"/>
    <cellStyle name="Normal 63 6 2" xfId="7049"/>
    <cellStyle name="Normal 63 6 2 2" xfId="13170"/>
    <cellStyle name="Normal 63 6 3" xfId="13169"/>
    <cellStyle name="Normal 63 7" xfId="7050"/>
    <cellStyle name="Normal 63 7 2" xfId="13171"/>
    <cellStyle name="Normal 63 8" xfId="7051"/>
    <cellStyle name="Normal 63 9" xfId="13124"/>
    <cellStyle name="Normal 64" xfId="7052"/>
    <cellStyle name="Normal 64 2" xfId="7053"/>
    <cellStyle name="Normal 64 2 2" xfId="13173"/>
    <cellStyle name="Normal 64 3" xfId="7054"/>
    <cellStyle name="Normal 64 3 2" xfId="13174"/>
    <cellStyle name="Normal 64 4" xfId="7055"/>
    <cellStyle name="Normal 64 5" xfId="13172"/>
    <cellStyle name="Normal 65" xfId="7056"/>
    <cellStyle name="Normal 65 2" xfId="7057"/>
    <cellStyle name="Normal 65 2 2" xfId="7058"/>
    <cellStyle name="Normal 65 2 2 2" xfId="7059"/>
    <cellStyle name="Normal 65 2 2 2 2" xfId="7060"/>
    <cellStyle name="Normal 65 2 2 2 2 2" xfId="7061"/>
    <cellStyle name="Normal 65 2 2 2 2 2 2" xfId="13180"/>
    <cellStyle name="Normal 65 2 2 2 2 3" xfId="13179"/>
    <cellStyle name="Normal 65 2 2 2 3" xfId="7062"/>
    <cellStyle name="Normal 65 2 2 2 3 2" xfId="7063"/>
    <cellStyle name="Normal 65 2 2 2 3 2 2" xfId="13182"/>
    <cellStyle name="Normal 65 2 2 2 3 3" xfId="13181"/>
    <cellStyle name="Normal 65 2 2 2 4" xfId="7064"/>
    <cellStyle name="Normal 65 2 2 2 4 2" xfId="13183"/>
    <cellStyle name="Normal 65 2 2 2 5" xfId="13178"/>
    <cellStyle name="Normal 65 2 2 3" xfId="7065"/>
    <cellStyle name="Normal 65 2 2 3 2" xfId="7066"/>
    <cellStyle name="Normal 65 2 2 3 2 2" xfId="13185"/>
    <cellStyle name="Normal 65 2 2 3 3" xfId="13184"/>
    <cellStyle name="Normal 65 2 2 4" xfId="7067"/>
    <cellStyle name="Normal 65 2 2 4 2" xfId="7068"/>
    <cellStyle name="Normal 65 2 2 4 2 2" xfId="13187"/>
    <cellStyle name="Normal 65 2 2 4 3" xfId="13186"/>
    <cellStyle name="Normal 65 2 2 5" xfId="7069"/>
    <cellStyle name="Normal 65 2 2 5 2" xfId="13188"/>
    <cellStyle name="Normal 65 2 2 6" xfId="13177"/>
    <cellStyle name="Normal 65 2 3" xfId="7070"/>
    <cellStyle name="Normal 65 2 3 2" xfId="7071"/>
    <cellStyle name="Normal 65 2 3 2 2" xfId="7072"/>
    <cellStyle name="Normal 65 2 3 2 2 2" xfId="13191"/>
    <cellStyle name="Normal 65 2 3 2 3" xfId="13190"/>
    <cellStyle name="Normal 65 2 3 3" xfId="7073"/>
    <cellStyle name="Normal 65 2 3 3 2" xfId="7074"/>
    <cellStyle name="Normal 65 2 3 3 2 2" xfId="13193"/>
    <cellStyle name="Normal 65 2 3 3 3" xfId="13192"/>
    <cellStyle name="Normal 65 2 3 4" xfId="7075"/>
    <cellStyle name="Normal 65 2 3 4 2" xfId="13194"/>
    <cellStyle name="Normal 65 2 3 5" xfId="13189"/>
    <cellStyle name="Normal 65 2 4" xfId="7076"/>
    <cellStyle name="Normal 65 2 4 2" xfId="7077"/>
    <cellStyle name="Normal 65 2 4 2 2" xfId="13196"/>
    <cellStyle name="Normal 65 2 4 3" xfId="13195"/>
    <cellStyle name="Normal 65 2 5" xfId="7078"/>
    <cellStyle name="Normal 65 2 5 2" xfId="7079"/>
    <cellStyle name="Normal 65 2 5 2 2" xfId="13198"/>
    <cellStyle name="Normal 65 2 5 3" xfId="13197"/>
    <cellStyle name="Normal 65 2 6" xfId="7080"/>
    <cellStyle name="Normal 65 2 6 2" xfId="13199"/>
    <cellStyle name="Normal 65 2 7" xfId="13176"/>
    <cellStyle name="Normal 65 3" xfId="7081"/>
    <cellStyle name="Normal 65 3 2" xfId="7082"/>
    <cellStyle name="Normal 65 3 2 2" xfId="7083"/>
    <cellStyle name="Normal 65 3 2 2 2" xfId="7084"/>
    <cellStyle name="Normal 65 3 2 2 2 2" xfId="13203"/>
    <cellStyle name="Normal 65 3 2 2 3" xfId="13202"/>
    <cellStyle name="Normal 65 3 2 3" xfId="7085"/>
    <cellStyle name="Normal 65 3 2 3 2" xfId="7086"/>
    <cellStyle name="Normal 65 3 2 3 2 2" xfId="13205"/>
    <cellStyle name="Normal 65 3 2 3 3" xfId="13204"/>
    <cellStyle name="Normal 65 3 2 4" xfId="7087"/>
    <cellStyle name="Normal 65 3 2 4 2" xfId="13206"/>
    <cellStyle name="Normal 65 3 2 5" xfId="13201"/>
    <cellStyle name="Normal 65 3 3" xfId="7088"/>
    <cellStyle name="Normal 65 3 3 2" xfId="7089"/>
    <cellStyle name="Normal 65 3 3 2 2" xfId="13208"/>
    <cellStyle name="Normal 65 3 3 3" xfId="13207"/>
    <cellStyle name="Normal 65 3 4" xfId="7090"/>
    <cellStyle name="Normal 65 3 4 2" xfId="7091"/>
    <cellStyle name="Normal 65 3 4 2 2" xfId="13210"/>
    <cellStyle name="Normal 65 3 4 3" xfId="13209"/>
    <cellStyle name="Normal 65 3 5" xfId="7092"/>
    <cellStyle name="Normal 65 3 5 2" xfId="13211"/>
    <cellStyle name="Normal 65 3 6" xfId="13200"/>
    <cellStyle name="Normal 65 4" xfId="7093"/>
    <cellStyle name="Normal 65 4 2" xfId="7094"/>
    <cellStyle name="Normal 65 4 2 2" xfId="7095"/>
    <cellStyle name="Normal 65 4 2 2 2" xfId="13214"/>
    <cellStyle name="Normal 65 4 2 3" xfId="13213"/>
    <cellStyle name="Normal 65 4 3" xfId="7096"/>
    <cellStyle name="Normal 65 4 3 2" xfId="7097"/>
    <cellStyle name="Normal 65 4 3 2 2" xfId="13216"/>
    <cellStyle name="Normal 65 4 3 3" xfId="13215"/>
    <cellStyle name="Normal 65 4 4" xfId="7098"/>
    <cellStyle name="Normal 65 4 4 2" xfId="13217"/>
    <cellStyle name="Normal 65 4 5" xfId="13212"/>
    <cellStyle name="Normal 65 5" xfId="7099"/>
    <cellStyle name="Normal 65 5 2" xfId="7100"/>
    <cellStyle name="Normal 65 5 2 2" xfId="13219"/>
    <cellStyle name="Normal 65 5 3" xfId="13218"/>
    <cellStyle name="Normal 65 6" xfId="7101"/>
    <cellStyle name="Normal 65 6 2" xfId="7102"/>
    <cellStyle name="Normal 65 6 2 2" xfId="13221"/>
    <cellStyle name="Normal 65 6 3" xfId="13220"/>
    <cellStyle name="Normal 65 7" xfId="7103"/>
    <cellStyle name="Normal 65 7 2" xfId="13222"/>
    <cellStyle name="Normal 65 8" xfId="7104"/>
    <cellStyle name="Normal 65 9" xfId="13175"/>
    <cellStyle name="Normal 66" xfId="7105"/>
    <cellStyle name="Normal 66 2" xfId="7106"/>
    <cellStyle name="Normal 66 2 2" xfId="13224"/>
    <cellStyle name="Normal 66 3" xfId="7107"/>
    <cellStyle name="Normal 66 3 2" xfId="13225"/>
    <cellStyle name="Normal 66 4" xfId="7108"/>
    <cellStyle name="Normal 66 5" xfId="13223"/>
    <cellStyle name="Normal 67" xfId="7109"/>
    <cellStyle name="Normal 67 2" xfId="7110"/>
    <cellStyle name="Normal 67 2 2" xfId="13227"/>
    <cellStyle name="Normal 67 3" xfId="7111"/>
    <cellStyle name="Normal 67 3 2" xfId="13228"/>
    <cellStyle name="Normal 67 4" xfId="7112"/>
    <cellStyle name="Normal 67 5" xfId="13226"/>
    <cellStyle name="Normal 68" xfId="7113"/>
    <cellStyle name="Normal 68 2" xfId="7114"/>
    <cellStyle name="Normal 68 2 2" xfId="13230"/>
    <cellStyle name="Normal 68 3" xfId="7115"/>
    <cellStyle name="Normal 68 3 2" xfId="13231"/>
    <cellStyle name="Normal 68 4" xfId="7116"/>
    <cellStyle name="Normal 68 5" xfId="13229"/>
    <cellStyle name="Normal 69" xfId="7117"/>
    <cellStyle name="Normal 69 2" xfId="7118"/>
    <cellStyle name="Normal 69 2 2" xfId="13233"/>
    <cellStyle name="Normal 69 3" xfId="7119"/>
    <cellStyle name="Normal 69 3 2" xfId="13234"/>
    <cellStyle name="Normal 69 4" xfId="7120"/>
    <cellStyle name="Normal 69 5" xfId="13232"/>
    <cellStyle name="Normal 7" xfId="13235"/>
    <cellStyle name="Normal 7 10" xfId="7121"/>
    <cellStyle name="Normal 7 10 2" xfId="7122"/>
    <cellStyle name="Normal 7 10 2 2" xfId="13237"/>
    <cellStyle name="Normal 7 10 3" xfId="13236"/>
    <cellStyle name="Normal 7 11" xfId="7123"/>
    <cellStyle name="Normal 7 11 2" xfId="13238"/>
    <cellStyle name="Normal 7 12" xfId="7124"/>
    <cellStyle name="Normal 7 2" xfId="7125"/>
    <cellStyle name="Normal 7 2 10" xfId="7126"/>
    <cellStyle name="Normal 7 2 10 2" xfId="13240"/>
    <cellStyle name="Normal 7 2 11" xfId="7127"/>
    <cellStyle name="Normal 7 2 12" xfId="13239"/>
    <cellStyle name="Normal 7 2 2" xfId="7128"/>
    <cellStyle name="Normal 7 2 2 10" xfId="13241"/>
    <cellStyle name="Normal 7 2 2 2" xfId="7129"/>
    <cellStyle name="Normal 7 2 2 2 2" xfId="7130"/>
    <cellStyle name="Normal 7 2 2 2 2 2" xfId="7131"/>
    <cellStyle name="Normal 7 2 2 2 2 2 2" xfId="7132"/>
    <cellStyle name="Normal 7 2 2 2 2 2 2 2" xfId="7133"/>
    <cellStyle name="Normal 7 2 2 2 2 2 2 2 2" xfId="7134"/>
    <cellStyle name="Normal 7 2 2 2 2 2 2 2 2 2" xfId="13247"/>
    <cellStyle name="Normal 7 2 2 2 2 2 2 2 3" xfId="13246"/>
    <cellStyle name="Normal 7 2 2 2 2 2 2 3" xfId="7135"/>
    <cellStyle name="Normal 7 2 2 2 2 2 2 3 2" xfId="7136"/>
    <cellStyle name="Normal 7 2 2 2 2 2 2 3 2 2" xfId="13249"/>
    <cellStyle name="Normal 7 2 2 2 2 2 2 3 3" xfId="13248"/>
    <cellStyle name="Normal 7 2 2 2 2 2 2 4" xfId="7137"/>
    <cellStyle name="Normal 7 2 2 2 2 2 2 4 2" xfId="13250"/>
    <cellStyle name="Normal 7 2 2 2 2 2 2 5" xfId="13245"/>
    <cellStyle name="Normal 7 2 2 2 2 2 3" xfId="7138"/>
    <cellStyle name="Normal 7 2 2 2 2 2 3 2" xfId="7139"/>
    <cellStyle name="Normal 7 2 2 2 2 2 3 2 2" xfId="13252"/>
    <cellStyle name="Normal 7 2 2 2 2 2 3 3" xfId="13251"/>
    <cellStyle name="Normal 7 2 2 2 2 2 4" xfId="7140"/>
    <cellStyle name="Normal 7 2 2 2 2 2 4 2" xfId="7141"/>
    <cellStyle name="Normal 7 2 2 2 2 2 4 2 2" xfId="13254"/>
    <cellStyle name="Normal 7 2 2 2 2 2 4 3" xfId="13253"/>
    <cellStyle name="Normal 7 2 2 2 2 2 5" xfId="7142"/>
    <cellStyle name="Normal 7 2 2 2 2 2 5 2" xfId="13255"/>
    <cellStyle name="Normal 7 2 2 2 2 2 6" xfId="13244"/>
    <cellStyle name="Normal 7 2 2 2 2 3" xfId="7143"/>
    <cellStyle name="Normal 7 2 2 2 2 3 2" xfId="7144"/>
    <cellStyle name="Normal 7 2 2 2 2 3 2 2" xfId="7145"/>
    <cellStyle name="Normal 7 2 2 2 2 3 2 2 2" xfId="13258"/>
    <cellStyle name="Normal 7 2 2 2 2 3 2 3" xfId="13257"/>
    <cellStyle name="Normal 7 2 2 2 2 3 3" xfId="7146"/>
    <cellStyle name="Normal 7 2 2 2 2 3 3 2" xfId="7147"/>
    <cellStyle name="Normal 7 2 2 2 2 3 3 2 2" xfId="13260"/>
    <cellStyle name="Normal 7 2 2 2 2 3 3 3" xfId="13259"/>
    <cellStyle name="Normal 7 2 2 2 2 3 4" xfId="7148"/>
    <cellStyle name="Normal 7 2 2 2 2 3 4 2" xfId="13261"/>
    <cellStyle name="Normal 7 2 2 2 2 3 5" xfId="13256"/>
    <cellStyle name="Normal 7 2 2 2 2 4" xfId="7149"/>
    <cellStyle name="Normal 7 2 2 2 2 4 2" xfId="7150"/>
    <cellStyle name="Normal 7 2 2 2 2 4 2 2" xfId="13263"/>
    <cellStyle name="Normal 7 2 2 2 2 4 3" xfId="13262"/>
    <cellStyle name="Normal 7 2 2 2 2 5" xfId="7151"/>
    <cellStyle name="Normal 7 2 2 2 2 5 2" xfId="7152"/>
    <cellStyle name="Normal 7 2 2 2 2 5 2 2" xfId="13265"/>
    <cellStyle name="Normal 7 2 2 2 2 5 3" xfId="13264"/>
    <cellStyle name="Normal 7 2 2 2 2 6" xfId="7153"/>
    <cellStyle name="Normal 7 2 2 2 2 6 2" xfId="13266"/>
    <cellStyle name="Normal 7 2 2 2 2 7" xfId="13243"/>
    <cellStyle name="Normal 7 2 2 2 3" xfId="7154"/>
    <cellStyle name="Normal 7 2 2 2 3 2" xfId="7155"/>
    <cellStyle name="Normal 7 2 2 2 3 2 2" xfId="7156"/>
    <cellStyle name="Normal 7 2 2 2 3 2 2 2" xfId="7157"/>
    <cellStyle name="Normal 7 2 2 2 3 2 2 2 2" xfId="13270"/>
    <cellStyle name="Normal 7 2 2 2 3 2 2 3" xfId="13269"/>
    <cellStyle name="Normal 7 2 2 2 3 2 3" xfId="7158"/>
    <cellStyle name="Normal 7 2 2 2 3 2 3 2" xfId="7159"/>
    <cellStyle name="Normal 7 2 2 2 3 2 3 2 2" xfId="13272"/>
    <cellStyle name="Normal 7 2 2 2 3 2 3 3" xfId="13271"/>
    <cellStyle name="Normal 7 2 2 2 3 2 4" xfId="7160"/>
    <cellStyle name="Normal 7 2 2 2 3 2 4 2" xfId="13273"/>
    <cellStyle name="Normal 7 2 2 2 3 2 5" xfId="13268"/>
    <cellStyle name="Normal 7 2 2 2 3 3" xfId="7161"/>
    <cellStyle name="Normal 7 2 2 2 3 3 2" xfId="7162"/>
    <cellStyle name="Normal 7 2 2 2 3 3 2 2" xfId="13275"/>
    <cellStyle name="Normal 7 2 2 2 3 3 3" xfId="13274"/>
    <cellStyle name="Normal 7 2 2 2 3 4" xfId="7163"/>
    <cellStyle name="Normal 7 2 2 2 3 4 2" xfId="7164"/>
    <cellStyle name="Normal 7 2 2 2 3 4 2 2" xfId="13277"/>
    <cellStyle name="Normal 7 2 2 2 3 4 3" xfId="13276"/>
    <cellStyle name="Normal 7 2 2 2 3 5" xfId="7165"/>
    <cellStyle name="Normal 7 2 2 2 3 5 2" xfId="13278"/>
    <cellStyle name="Normal 7 2 2 2 3 6" xfId="13267"/>
    <cellStyle name="Normal 7 2 2 2 4" xfId="7166"/>
    <cellStyle name="Normal 7 2 2 2 4 2" xfId="7167"/>
    <cellStyle name="Normal 7 2 2 2 4 2 2" xfId="7168"/>
    <cellStyle name="Normal 7 2 2 2 4 2 2 2" xfId="13281"/>
    <cellStyle name="Normal 7 2 2 2 4 2 3" xfId="13280"/>
    <cellStyle name="Normal 7 2 2 2 4 3" xfId="7169"/>
    <cellStyle name="Normal 7 2 2 2 4 3 2" xfId="7170"/>
    <cellStyle name="Normal 7 2 2 2 4 3 2 2" xfId="13283"/>
    <cellStyle name="Normal 7 2 2 2 4 3 3" xfId="13282"/>
    <cellStyle name="Normal 7 2 2 2 4 4" xfId="7171"/>
    <cellStyle name="Normal 7 2 2 2 4 4 2" xfId="13284"/>
    <cellStyle name="Normal 7 2 2 2 4 5" xfId="13279"/>
    <cellStyle name="Normal 7 2 2 2 5" xfId="7172"/>
    <cellStyle name="Normal 7 2 2 2 5 2" xfId="7173"/>
    <cellStyle name="Normal 7 2 2 2 5 2 2" xfId="13286"/>
    <cellStyle name="Normal 7 2 2 2 5 3" xfId="13285"/>
    <cellStyle name="Normal 7 2 2 2 6" xfId="7174"/>
    <cellStyle name="Normal 7 2 2 2 6 2" xfId="7175"/>
    <cellStyle name="Normal 7 2 2 2 6 2 2" xfId="13288"/>
    <cellStyle name="Normal 7 2 2 2 6 3" xfId="13287"/>
    <cellStyle name="Normal 7 2 2 2 7" xfId="7176"/>
    <cellStyle name="Normal 7 2 2 2 7 2" xfId="13289"/>
    <cellStyle name="Normal 7 2 2 2 8" xfId="13242"/>
    <cellStyle name="Normal 7 2 2 3" xfId="7177"/>
    <cellStyle name="Normal 7 2 2 3 2" xfId="7178"/>
    <cellStyle name="Normal 7 2 2 3 2 2" xfId="7179"/>
    <cellStyle name="Normal 7 2 2 3 2 2 2" xfId="7180"/>
    <cellStyle name="Normal 7 2 2 3 2 2 2 2" xfId="7181"/>
    <cellStyle name="Normal 7 2 2 3 2 2 2 2 2" xfId="13294"/>
    <cellStyle name="Normal 7 2 2 3 2 2 2 3" xfId="13293"/>
    <cellStyle name="Normal 7 2 2 3 2 2 3" xfId="7182"/>
    <cellStyle name="Normal 7 2 2 3 2 2 3 2" xfId="7183"/>
    <cellStyle name="Normal 7 2 2 3 2 2 3 2 2" xfId="13296"/>
    <cellStyle name="Normal 7 2 2 3 2 2 3 3" xfId="13295"/>
    <cellStyle name="Normal 7 2 2 3 2 2 4" xfId="7184"/>
    <cellStyle name="Normal 7 2 2 3 2 2 4 2" xfId="13297"/>
    <cellStyle name="Normal 7 2 2 3 2 2 5" xfId="13292"/>
    <cellStyle name="Normal 7 2 2 3 2 3" xfId="7185"/>
    <cellStyle name="Normal 7 2 2 3 2 3 2" xfId="7186"/>
    <cellStyle name="Normal 7 2 2 3 2 3 2 2" xfId="13299"/>
    <cellStyle name="Normal 7 2 2 3 2 3 3" xfId="13298"/>
    <cellStyle name="Normal 7 2 2 3 2 4" xfId="7187"/>
    <cellStyle name="Normal 7 2 2 3 2 4 2" xfId="7188"/>
    <cellStyle name="Normal 7 2 2 3 2 4 2 2" xfId="13301"/>
    <cellStyle name="Normal 7 2 2 3 2 4 3" xfId="13300"/>
    <cellStyle name="Normal 7 2 2 3 2 5" xfId="7189"/>
    <cellStyle name="Normal 7 2 2 3 2 5 2" xfId="13302"/>
    <cellStyle name="Normal 7 2 2 3 2 6" xfId="13291"/>
    <cellStyle name="Normal 7 2 2 3 3" xfId="7190"/>
    <cellStyle name="Normal 7 2 2 3 3 2" xfId="7191"/>
    <cellStyle name="Normal 7 2 2 3 3 2 2" xfId="7192"/>
    <cellStyle name="Normal 7 2 2 3 3 2 2 2" xfId="13305"/>
    <cellStyle name="Normal 7 2 2 3 3 2 3" xfId="13304"/>
    <cellStyle name="Normal 7 2 2 3 3 3" xfId="7193"/>
    <cellStyle name="Normal 7 2 2 3 3 3 2" xfId="7194"/>
    <cellStyle name="Normal 7 2 2 3 3 3 2 2" xfId="13307"/>
    <cellStyle name="Normal 7 2 2 3 3 3 3" xfId="13306"/>
    <cellStyle name="Normal 7 2 2 3 3 4" xfId="7195"/>
    <cellStyle name="Normal 7 2 2 3 3 4 2" xfId="13308"/>
    <cellStyle name="Normal 7 2 2 3 3 5" xfId="13303"/>
    <cellStyle name="Normal 7 2 2 3 4" xfId="7196"/>
    <cellStyle name="Normal 7 2 2 3 4 2" xfId="7197"/>
    <cellStyle name="Normal 7 2 2 3 4 2 2" xfId="13310"/>
    <cellStyle name="Normal 7 2 2 3 4 3" xfId="13309"/>
    <cellStyle name="Normal 7 2 2 3 5" xfId="7198"/>
    <cellStyle name="Normal 7 2 2 3 5 2" xfId="7199"/>
    <cellStyle name="Normal 7 2 2 3 5 2 2" xfId="13312"/>
    <cellStyle name="Normal 7 2 2 3 5 3" xfId="13311"/>
    <cellStyle name="Normal 7 2 2 3 6" xfId="7200"/>
    <cellStyle name="Normal 7 2 2 3 6 2" xfId="13313"/>
    <cellStyle name="Normal 7 2 2 3 7" xfId="13290"/>
    <cellStyle name="Normal 7 2 2 4" xfId="7201"/>
    <cellStyle name="Normal 7 2 2 4 2" xfId="7202"/>
    <cellStyle name="Normal 7 2 2 4 2 2" xfId="7203"/>
    <cellStyle name="Normal 7 2 2 4 2 2 2" xfId="7204"/>
    <cellStyle name="Normal 7 2 2 4 2 2 2 2" xfId="13317"/>
    <cellStyle name="Normal 7 2 2 4 2 2 3" xfId="13316"/>
    <cellStyle name="Normal 7 2 2 4 2 3" xfId="7205"/>
    <cellStyle name="Normal 7 2 2 4 2 3 2" xfId="7206"/>
    <cellStyle name="Normal 7 2 2 4 2 3 2 2" xfId="13319"/>
    <cellStyle name="Normal 7 2 2 4 2 3 3" xfId="13318"/>
    <cellStyle name="Normal 7 2 2 4 2 4" xfId="7207"/>
    <cellStyle name="Normal 7 2 2 4 2 4 2" xfId="13320"/>
    <cellStyle name="Normal 7 2 2 4 2 5" xfId="13315"/>
    <cellStyle name="Normal 7 2 2 4 3" xfId="7208"/>
    <cellStyle name="Normal 7 2 2 4 3 2" xfId="7209"/>
    <cellStyle name="Normal 7 2 2 4 3 2 2" xfId="13322"/>
    <cellStyle name="Normal 7 2 2 4 3 3" xfId="13321"/>
    <cellStyle name="Normal 7 2 2 4 4" xfId="7210"/>
    <cellStyle name="Normal 7 2 2 4 4 2" xfId="7211"/>
    <cellStyle name="Normal 7 2 2 4 4 2 2" xfId="13324"/>
    <cellStyle name="Normal 7 2 2 4 4 3" xfId="13323"/>
    <cellStyle name="Normal 7 2 2 4 5" xfId="7212"/>
    <cellStyle name="Normal 7 2 2 4 5 2" xfId="13325"/>
    <cellStyle name="Normal 7 2 2 4 6" xfId="13314"/>
    <cellStyle name="Normal 7 2 2 5" xfId="7213"/>
    <cellStyle name="Normal 7 2 2 5 2" xfId="7214"/>
    <cellStyle name="Normal 7 2 2 5 2 2" xfId="7215"/>
    <cellStyle name="Normal 7 2 2 5 2 2 2" xfId="13328"/>
    <cellStyle name="Normal 7 2 2 5 2 3" xfId="13327"/>
    <cellStyle name="Normal 7 2 2 5 3" xfId="7216"/>
    <cellStyle name="Normal 7 2 2 5 3 2" xfId="7217"/>
    <cellStyle name="Normal 7 2 2 5 3 2 2" xfId="13330"/>
    <cellStyle name="Normal 7 2 2 5 3 3" xfId="13329"/>
    <cellStyle name="Normal 7 2 2 5 4" xfId="7218"/>
    <cellStyle name="Normal 7 2 2 5 4 2" xfId="13331"/>
    <cellStyle name="Normal 7 2 2 5 5" xfId="13326"/>
    <cellStyle name="Normal 7 2 2 6" xfId="7219"/>
    <cellStyle name="Normal 7 2 2 6 2" xfId="7220"/>
    <cellStyle name="Normal 7 2 2 6 2 2" xfId="13333"/>
    <cellStyle name="Normal 7 2 2 6 3" xfId="13332"/>
    <cellStyle name="Normal 7 2 2 7" xfId="7221"/>
    <cellStyle name="Normal 7 2 2 7 2" xfId="7222"/>
    <cellStyle name="Normal 7 2 2 7 2 2" xfId="13335"/>
    <cellStyle name="Normal 7 2 2 7 3" xfId="13334"/>
    <cellStyle name="Normal 7 2 2 8" xfId="7223"/>
    <cellStyle name="Normal 7 2 2 8 2" xfId="13336"/>
    <cellStyle name="Normal 7 2 2 9" xfId="7224"/>
    <cellStyle name="Normal 7 2 3" xfId="7225"/>
    <cellStyle name="Normal 7 2 3 2" xfId="7226"/>
    <cellStyle name="Normal 7 2 3 2 2" xfId="7227"/>
    <cellStyle name="Normal 7 2 3 2 2 2" xfId="7228"/>
    <cellStyle name="Normal 7 2 3 2 2 2 2" xfId="7229"/>
    <cellStyle name="Normal 7 2 3 2 2 2 2 2" xfId="7230"/>
    <cellStyle name="Normal 7 2 3 2 2 2 2 2 2" xfId="13342"/>
    <cellStyle name="Normal 7 2 3 2 2 2 2 3" xfId="13341"/>
    <cellStyle name="Normal 7 2 3 2 2 2 3" xfId="7231"/>
    <cellStyle name="Normal 7 2 3 2 2 2 3 2" xfId="7232"/>
    <cellStyle name="Normal 7 2 3 2 2 2 3 2 2" xfId="13344"/>
    <cellStyle name="Normal 7 2 3 2 2 2 3 3" xfId="13343"/>
    <cellStyle name="Normal 7 2 3 2 2 2 4" xfId="7233"/>
    <cellStyle name="Normal 7 2 3 2 2 2 4 2" xfId="13345"/>
    <cellStyle name="Normal 7 2 3 2 2 2 5" xfId="13340"/>
    <cellStyle name="Normal 7 2 3 2 2 3" xfId="7234"/>
    <cellStyle name="Normal 7 2 3 2 2 3 2" xfId="7235"/>
    <cellStyle name="Normal 7 2 3 2 2 3 2 2" xfId="13347"/>
    <cellStyle name="Normal 7 2 3 2 2 3 3" xfId="13346"/>
    <cellStyle name="Normal 7 2 3 2 2 4" xfId="7236"/>
    <cellStyle name="Normal 7 2 3 2 2 4 2" xfId="7237"/>
    <cellStyle name="Normal 7 2 3 2 2 4 2 2" xfId="13349"/>
    <cellStyle name="Normal 7 2 3 2 2 4 3" xfId="13348"/>
    <cellStyle name="Normal 7 2 3 2 2 5" xfId="7238"/>
    <cellStyle name="Normal 7 2 3 2 2 5 2" xfId="13350"/>
    <cellStyle name="Normal 7 2 3 2 2 6" xfId="13339"/>
    <cellStyle name="Normal 7 2 3 2 3" xfId="7239"/>
    <cellStyle name="Normal 7 2 3 2 3 2" xfId="7240"/>
    <cellStyle name="Normal 7 2 3 2 3 2 2" xfId="7241"/>
    <cellStyle name="Normal 7 2 3 2 3 2 2 2" xfId="13353"/>
    <cellStyle name="Normal 7 2 3 2 3 2 3" xfId="13352"/>
    <cellStyle name="Normal 7 2 3 2 3 3" xfId="7242"/>
    <cellStyle name="Normal 7 2 3 2 3 3 2" xfId="7243"/>
    <cellStyle name="Normal 7 2 3 2 3 3 2 2" xfId="13355"/>
    <cellStyle name="Normal 7 2 3 2 3 3 3" xfId="13354"/>
    <cellStyle name="Normal 7 2 3 2 3 4" xfId="7244"/>
    <cellStyle name="Normal 7 2 3 2 3 4 2" xfId="13356"/>
    <cellStyle name="Normal 7 2 3 2 3 5" xfId="13351"/>
    <cellStyle name="Normal 7 2 3 2 4" xfId="7245"/>
    <cellStyle name="Normal 7 2 3 2 4 2" xfId="7246"/>
    <cellStyle name="Normal 7 2 3 2 4 2 2" xfId="13358"/>
    <cellStyle name="Normal 7 2 3 2 4 3" xfId="13357"/>
    <cellStyle name="Normal 7 2 3 2 5" xfId="7247"/>
    <cellStyle name="Normal 7 2 3 2 5 2" xfId="7248"/>
    <cellStyle name="Normal 7 2 3 2 5 2 2" xfId="13360"/>
    <cellStyle name="Normal 7 2 3 2 5 3" xfId="13359"/>
    <cellStyle name="Normal 7 2 3 2 6" xfId="7249"/>
    <cellStyle name="Normal 7 2 3 2 6 2" xfId="13361"/>
    <cellStyle name="Normal 7 2 3 2 7" xfId="13338"/>
    <cellStyle name="Normal 7 2 3 3" xfId="7250"/>
    <cellStyle name="Normal 7 2 3 3 2" xfId="7251"/>
    <cellStyle name="Normal 7 2 3 3 2 2" xfId="7252"/>
    <cellStyle name="Normal 7 2 3 3 2 2 2" xfId="7253"/>
    <cellStyle name="Normal 7 2 3 3 2 2 2 2" xfId="13365"/>
    <cellStyle name="Normal 7 2 3 3 2 2 3" xfId="13364"/>
    <cellStyle name="Normal 7 2 3 3 2 3" xfId="7254"/>
    <cellStyle name="Normal 7 2 3 3 2 3 2" xfId="7255"/>
    <cellStyle name="Normal 7 2 3 3 2 3 2 2" xfId="13367"/>
    <cellStyle name="Normal 7 2 3 3 2 3 3" xfId="13366"/>
    <cellStyle name="Normal 7 2 3 3 2 4" xfId="7256"/>
    <cellStyle name="Normal 7 2 3 3 2 4 2" xfId="13368"/>
    <cellStyle name="Normal 7 2 3 3 2 5" xfId="13363"/>
    <cellStyle name="Normal 7 2 3 3 3" xfId="7257"/>
    <cellStyle name="Normal 7 2 3 3 3 2" xfId="7258"/>
    <cellStyle name="Normal 7 2 3 3 3 2 2" xfId="13370"/>
    <cellStyle name="Normal 7 2 3 3 3 3" xfId="13369"/>
    <cellStyle name="Normal 7 2 3 3 4" xfId="7259"/>
    <cellStyle name="Normal 7 2 3 3 4 2" xfId="7260"/>
    <cellStyle name="Normal 7 2 3 3 4 2 2" xfId="13372"/>
    <cellStyle name="Normal 7 2 3 3 4 3" xfId="13371"/>
    <cellStyle name="Normal 7 2 3 3 5" xfId="7261"/>
    <cellStyle name="Normal 7 2 3 3 5 2" xfId="13373"/>
    <cellStyle name="Normal 7 2 3 3 6" xfId="13362"/>
    <cellStyle name="Normal 7 2 3 4" xfId="7262"/>
    <cellStyle name="Normal 7 2 3 4 2" xfId="7263"/>
    <cellStyle name="Normal 7 2 3 4 2 2" xfId="7264"/>
    <cellStyle name="Normal 7 2 3 4 2 2 2" xfId="13376"/>
    <cellStyle name="Normal 7 2 3 4 2 3" xfId="13375"/>
    <cellStyle name="Normal 7 2 3 4 3" xfId="7265"/>
    <cellStyle name="Normal 7 2 3 4 3 2" xfId="7266"/>
    <cellStyle name="Normal 7 2 3 4 3 2 2" xfId="13378"/>
    <cellStyle name="Normal 7 2 3 4 3 3" xfId="13377"/>
    <cellStyle name="Normal 7 2 3 4 4" xfId="7267"/>
    <cellStyle name="Normal 7 2 3 4 4 2" xfId="13379"/>
    <cellStyle name="Normal 7 2 3 4 5" xfId="13374"/>
    <cellStyle name="Normal 7 2 3 5" xfId="7268"/>
    <cellStyle name="Normal 7 2 3 5 2" xfId="7269"/>
    <cellStyle name="Normal 7 2 3 5 2 2" xfId="13381"/>
    <cellStyle name="Normal 7 2 3 5 3" xfId="13380"/>
    <cellStyle name="Normal 7 2 3 6" xfId="7270"/>
    <cellStyle name="Normal 7 2 3 6 2" xfId="7271"/>
    <cellStyle name="Normal 7 2 3 6 2 2" xfId="13383"/>
    <cellStyle name="Normal 7 2 3 6 3" xfId="13382"/>
    <cellStyle name="Normal 7 2 3 7" xfId="7272"/>
    <cellStyle name="Normal 7 2 3 7 2" xfId="13384"/>
    <cellStyle name="Normal 7 2 3 8" xfId="13337"/>
    <cellStyle name="Normal 7 2 4" xfId="7273"/>
    <cellStyle name="Normal 7 2 4 2" xfId="7274"/>
    <cellStyle name="Normal 7 2 4 2 2" xfId="7275"/>
    <cellStyle name="Normal 7 2 4 2 2 2" xfId="7276"/>
    <cellStyle name="Normal 7 2 4 2 2 2 2" xfId="7277"/>
    <cellStyle name="Normal 7 2 4 2 2 2 2 2" xfId="7278"/>
    <cellStyle name="Normal 7 2 4 2 2 2 2 2 2" xfId="13390"/>
    <cellStyle name="Normal 7 2 4 2 2 2 2 3" xfId="13389"/>
    <cellStyle name="Normal 7 2 4 2 2 2 3" xfId="7279"/>
    <cellStyle name="Normal 7 2 4 2 2 2 3 2" xfId="7280"/>
    <cellStyle name="Normal 7 2 4 2 2 2 3 2 2" xfId="13392"/>
    <cellStyle name="Normal 7 2 4 2 2 2 3 3" xfId="13391"/>
    <cellStyle name="Normal 7 2 4 2 2 2 4" xfId="7281"/>
    <cellStyle name="Normal 7 2 4 2 2 2 4 2" xfId="13393"/>
    <cellStyle name="Normal 7 2 4 2 2 2 5" xfId="13388"/>
    <cellStyle name="Normal 7 2 4 2 2 3" xfId="7282"/>
    <cellStyle name="Normal 7 2 4 2 2 3 2" xfId="7283"/>
    <cellStyle name="Normal 7 2 4 2 2 3 2 2" xfId="13395"/>
    <cellStyle name="Normal 7 2 4 2 2 3 3" xfId="13394"/>
    <cellStyle name="Normal 7 2 4 2 2 4" xfId="7284"/>
    <cellStyle name="Normal 7 2 4 2 2 4 2" xfId="7285"/>
    <cellStyle name="Normal 7 2 4 2 2 4 2 2" xfId="13397"/>
    <cellStyle name="Normal 7 2 4 2 2 4 3" xfId="13396"/>
    <cellStyle name="Normal 7 2 4 2 2 5" xfId="7286"/>
    <cellStyle name="Normal 7 2 4 2 2 5 2" xfId="13398"/>
    <cellStyle name="Normal 7 2 4 2 2 6" xfId="13387"/>
    <cellStyle name="Normal 7 2 4 2 3" xfId="7287"/>
    <cellStyle name="Normal 7 2 4 2 3 2" xfId="7288"/>
    <cellStyle name="Normal 7 2 4 2 3 2 2" xfId="7289"/>
    <cellStyle name="Normal 7 2 4 2 3 2 2 2" xfId="13401"/>
    <cellStyle name="Normal 7 2 4 2 3 2 3" xfId="13400"/>
    <cellStyle name="Normal 7 2 4 2 3 3" xfId="7290"/>
    <cellStyle name="Normal 7 2 4 2 3 3 2" xfId="7291"/>
    <cellStyle name="Normal 7 2 4 2 3 3 2 2" xfId="13403"/>
    <cellStyle name="Normal 7 2 4 2 3 3 3" xfId="13402"/>
    <cellStyle name="Normal 7 2 4 2 3 4" xfId="7292"/>
    <cellStyle name="Normal 7 2 4 2 3 4 2" xfId="13404"/>
    <cellStyle name="Normal 7 2 4 2 3 5" xfId="13399"/>
    <cellStyle name="Normal 7 2 4 2 4" xfId="7293"/>
    <cellStyle name="Normal 7 2 4 2 4 2" xfId="7294"/>
    <cellStyle name="Normal 7 2 4 2 4 2 2" xfId="13406"/>
    <cellStyle name="Normal 7 2 4 2 4 3" xfId="13405"/>
    <cellStyle name="Normal 7 2 4 2 5" xfId="7295"/>
    <cellStyle name="Normal 7 2 4 2 5 2" xfId="7296"/>
    <cellStyle name="Normal 7 2 4 2 5 2 2" xfId="13408"/>
    <cellStyle name="Normal 7 2 4 2 5 3" xfId="13407"/>
    <cellStyle name="Normal 7 2 4 2 6" xfId="7297"/>
    <cellStyle name="Normal 7 2 4 2 6 2" xfId="13409"/>
    <cellStyle name="Normal 7 2 4 2 7" xfId="13386"/>
    <cellStyle name="Normal 7 2 4 3" xfId="7298"/>
    <cellStyle name="Normal 7 2 4 3 2" xfId="7299"/>
    <cellStyle name="Normal 7 2 4 3 2 2" xfId="7300"/>
    <cellStyle name="Normal 7 2 4 3 2 2 2" xfId="7301"/>
    <cellStyle name="Normal 7 2 4 3 2 2 2 2" xfId="13413"/>
    <cellStyle name="Normal 7 2 4 3 2 2 3" xfId="13412"/>
    <cellStyle name="Normal 7 2 4 3 2 3" xfId="7302"/>
    <cellStyle name="Normal 7 2 4 3 2 3 2" xfId="7303"/>
    <cellStyle name="Normal 7 2 4 3 2 3 2 2" xfId="13415"/>
    <cellStyle name="Normal 7 2 4 3 2 3 3" xfId="13414"/>
    <cellStyle name="Normal 7 2 4 3 2 4" xfId="7304"/>
    <cellStyle name="Normal 7 2 4 3 2 4 2" xfId="13416"/>
    <cellStyle name="Normal 7 2 4 3 2 5" xfId="13411"/>
    <cellStyle name="Normal 7 2 4 3 3" xfId="7305"/>
    <cellStyle name="Normal 7 2 4 3 3 2" xfId="7306"/>
    <cellStyle name="Normal 7 2 4 3 3 2 2" xfId="13418"/>
    <cellStyle name="Normal 7 2 4 3 3 3" xfId="13417"/>
    <cellStyle name="Normal 7 2 4 3 4" xfId="7307"/>
    <cellStyle name="Normal 7 2 4 3 4 2" xfId="7308"/>
    <cellStyle name="Normal 7 2 4 3 4 2 2" xfId="13420"/>
    <cellStyle name="Normal 7 2 4 3 4 3" xfId="13419"/>
    <cellStyle name="Normal 7 2 4 3 5" xfId="7309"/>
    <cellStyle name="Normal 7 2 4 3 5 2" xfId="13421"/>
    <cellStyle name="Normal 7 2 4 3 6" xfId="13410"/>
    <cellStyle name="Normal 7 2 4 4" xfId="7310"/>
    <cellStyle name="Normal 7 2 4 4 2" xfId="7311"/>
    <cellStyle name="Normal 7 2 4 4 2 2" xfId="7312"/>
    <cellStyle name="Normal 7 2 4 4 2 2 2" xfId="13424"/>
    <cellStyle name="Normal 7 2 4 4 2 3" xfId="13423"/>
    <cellStyle name="Normal 7 2 4 4 3" xfId="7313"/>
    <cellStyle name="Normal 7 2 4 4 3 2" xfId="7314"/>
    <cellStyle name="Normal 7 2 4 4 3 2 2" xfId="13426"/>
    <cellStyle name="Normal 7 2 4 4 3 3" xfId="13425"/>
    <cellStyle name="Normal 7 2 4 4 4" xfId="7315"/>
    <cellStyle name="Normal 7 2 4 4 4 2" xfId="13427"/>
    <cellStyle name="Normal 7 2 4 4 5" xfId="13422"/>
    <cellStyle name="Normal 7 2 4 5" xfId="7316"/>
    <cellStyle name="Normal 7 2 4 5 2" xfId="7317"/>
    <cellStyle name="Normal 7 2 4 5 2 2" xfId="13429"/>
    <cellStyle name="Normal 7 2 4 5 3" xfId="13428"/>
    <cellStyle name="Normal 7 2 4 6" xfId="7318"/>
    <cellStyle name="Normal 7 2 4 6 2" xfId="7319"/>
    <cellStyle name="Normal 7 2 4 6 2 2" xfId="13431"/>
    <cellStyle name="Normal 7 2 4 6 3" xfId="13430"/>
    <cellStyle name="Normal 7 2 4 7" xfId="7320"/>
    <cellStyle name="Normal 7 2 4 7 2" xfId="13432"/>
    <cellStyle name="Normal 7 2 4 8" xfId="13385"/>
    <cellStyle name="Normal 7 2 5" xfId="7321"/>
    <cellStyle name="Normal 7 2 5 2" xfId="7322"/>
    <cellStyle name="Normal 7 2 5 2 2" xfId="7323"/>
    <cellStyle name="Normal 7 2 5 2 2 2" xfId="7324"/>
    <cellStyle name="Normal 7 2 5 2 2 2 2" xfId="7325"/>
    <cellStyle name="Normal 7 2 5 2 2 2 2 2" xfId="13437"/>
    <cellStyle name="Normal 7 2 5 2 2 2 3" xfId="13436"/>
    <cellStyle name="Normal 7 2 5 2 2 3" xfId="7326"/>
    <cellStyle name="Normal 7 2 5 2 2 3 2" xfId="7327"/>
    <cellStyle name="Normal 7 2 5 2 2 3 2 2" xfId="13439"/>
    <cellStyle name="Normal 7 2 5 2 2 3 3" xfId="13438"/>
    <cellStyle name="Normal 7 2 5 2 2 4" xfId="7328"/>
    <cellStyle name="Normal 7 2 5 2 2 4 2" xfId="13440"/>
    <cellStyle name="Normal 7 2 5 2 2 5" xfId="13435"/>
    <cellStyle name="Normal 7 2 5 2 3" xfId="7329"/>
    <cellStyle name="Normal 7 2 5 2 3 2" xfId="7330"/>
    <cellStyle name="Normal 7 2 5 2 3 2 2" xfId="13442"/>
    <cellStyle name="Normal 7 2 5 2 3 3" xfId="13441"/>
    <cellStyle name="Normal 7 2 5 2 4" xfId="7331"/>
    <cellStyle name="Normal 7 2 5 2 4 2" xfId="7332"/>
    <cellStyle name="Normal 7 2 5 2 4 2 2" xfId="13444"/>
    <cellStyle name="Normal 7 2 5 2 4 3" xfId="13443"/>
    <cellStyle name="Normal 7 2 5 2 5" xfId="7333"/>
    <cellStyle name="Normal 7 2 5 2 5 2" xfId="13445"/>
    <cellStyle name="Normal 7 2 5 2 6" xfId="13434"/>
    <cellStyle name="Normal 7 2 5 3" xfId="7334"/>
    <cellStyle name="Normal 7 2 5 3 2" xfId="7335"/>
    <cellStyle name="Normal 7 2 5 3 2 2" xfId="7336"/>
    <cellStyle name="Normal 7 2 5 3 2 2 2" xfId="13448"/>
    <cellStyle name="Normal 7 2 5 3 2 3" xfId="13447"/>
    <cellStyle name="Normal 7 2 5 3 3" xfId="7337"/>
    <cellStyle name="Normal 7 2 5 3 3 2" xfId="7338"/>
    <cellStyle name="Normal 7 2 5 3 3 2 2" xfId="13450"/>
    <cellStyle name="Normal 7 2 5 3 3 3" xfId="13449"/>
    <cellStyle name="Normal 7 2 5 3 4" xfId="7339"/>
    <cellStyle name="Normal 7 2 5 3 4 2" xfId="13451"/>
    <cellStyle name="Normal 7 2 5 3 5" xfId="13446"/>
    <cellStyle name="Normal 7 2 5 4" xfId="7340"/>
    <cellStyle name="Normal 7 2 5 4 2" xfId="7341"/>
    <cellStyle name="Normal 7 2 5 4 2 2" xfId="13453"/>
    <cellStyle name="Normal 7 2 5 4 3" xfId="13452"/>
    <cellStyle name="Normal 7 2 5 5" xfId="7342"/>
    <cellStyle name="Normal 7 2 5 5 2" xfId="7343"/>
    <cellStyle name="Normal 7 2 5 5 2 2" xfId="13455"/>
    <cellStyle name="Normal 7 2 5 5 3" xfId="13454"/>
    <cellStyle name="Normal 7 2 5 6" xfId="7344"/>
    <cellStyle name="Normal 7 2 5 6 2" xfId="13456"/>
    <cellStyle name="Normal 7 2 5 7" xfId="13433"/>
    <cellStyle name="Normal 7 2 6" xfId="7345"/>
    <cellStyle name="Normal 7 2 6 2" xfId="7346"/>
    <cellStyle name="Normal 7 2 6 2 2" xfId="7347"/>
    <cellStyle name="Normal 7 2 6 2 2 2" xfId="7348"/>
    <cellStyle name="Normal 7 2 6 2 2 2 2" xfId="13460"/>
    <cellStyle name="Normal 7 2 6 2 2 3" xfId="13459"/>
    <cellStyle name="Normal 7 2 6 2 3" xfId="7349"/>
    <cellStyle name="Normal 7 2 6 2 3 2" xfId="7350"/>
    <cellStyle name="Normal 7 2 6 2 3 2 2" xfId="13462"/>
    <cellStyle name="Normal 7 2 6 2 3 3" xfId="13461"/>
    <cellStyle name="Normal 7 2 6 2 4" xfId="7351"/>
    <cellStyle name="Normal 7 2 6 2 4 2" xfId="13463"/>
    <cellStyle name="Normal 7 2 6 2 5" xfId="13458"/>
    <cellStyle name="Normal 7 2 6 3" xfId="7352"/>
    <cellStyle name="Normal 7 2 6 3 2" xfId="7353"/>
    <cellStyle name="Normal 7 2 6 3 2 2" xfId="13465"/>
    <cellStyle name="Normal 7 2 6 3 3" xfId="13464"/>
    <cellStyle name="Normal 7 2 6 4" xfId="7354"/>
    <cellStyle name="Normal 7 2 6 4 2" xfId="7355"/>
    <cellStyle name="Normal 7 2 6 4 2 2" xfId="13467"/>
    <cellStyle name="Normal 7 2 6 4 3" xfId="13466"/>
    <cellStyle name="Normal 7 2 6 5" xfId="7356"/>
    <cellStyle name="Normal 7 2 6 5 2" xfId="13468"/>
    <cellStyle name="Normal 7 2 6 6" xfId="13457"/>
    <cellStyle name="Normal 7 2 7" xfId="7357"/>
    <cellStyle name="Normal 7 2 7 2" xfId="7358"/>
    <cellStyle name="Normal 7 2 7 2 2" xfId="7359"/>
    <cellStyle name="Normal 7 2 7 2 2 2" xfId="13471"/>
    <cellStyle name="Normal 7 2 7 2 3" xfId="13470"/>
    <cellStyle name="Normal 7 2 7 3" xfId="7360"/>
    <cellStyle name="Normal 7 2 7 3 2" xfId="7361"/>
    <cellStyle name="Normal 7 2 7 3 2 2" xfId="13473"/>
    <cellStyle name="Normal 7 2 7 3 3" xfId="13472"/>
    <cellStyle name="Normal 7 2 7 4" xfId="7362"/>
    <cellStyle name="Normal 7 2 7 4 2" xfId="13474"/>
    <cellStyle name="Normal 7 2 7 5" xfId="13469"/>
    <cellStyle name="Normal 7 2 8" xfId="7363"/>
    <cellStyle name="Normal 7 2 8 2" xfId="7364"/>
    <cellStyle name="Normal 7 2 8 2 2" xfId="13476"/>
    <cellStyle name="Normal 7 2 8 3" xfId="13475"/>
    <cellStyle name="Normal 7 2 9" xfId="7365"/>
    <cellStyle name="Normal 7 2 9 2" xfId="7366"/>
    <cellStyle name="Normal 7 2 9 2 2" xfId="13478"/>
    <cellStyle name="Normal 7 2 9 3" xfId="13477"/>
    <cellStyle name="Normal 7 3" xfId="7367"/>
    <cellStyle name="Normal 7 3 10" xfId="7368"/>
    <cellStyle name="Normal 7 3 11" xfId="13479"/>
    <cellStyle name="Normal 7 3 2" xfId="7369"/>
    <cellStyle name="Normal 7 3 2 2" xfId="7370"/>
    <cellStyle name="Normal 7 3 2 2 2" xfId="7371"/>
    <cellStyle name="Normal 7 3 2 2 2 2" xfId="7372"/>
    <cellStyle name="Normal 7 3 2 2 2 2 2" xfId="7373"/>
    <cellStyle name="Normal 7 3 2 2 2 2 2 2" xfId="7374"/>
    <cellStyle name="Normal 7 3 2 2 2 2 2 2 2" xfId="13485"/>
    <cellStyle name="Normal 7 3 2 2 2 2 2 3" xfId="13484"/>
    <cellStyle name="Normal 7 3 2 2 2 2 3" xfId="7375"/>
    <cellStyle name="Normal 7 3 2 2 2 2 3 2" xfId="7376"/>
    <cellStyle name="Normal 7 3 2 2 2 2 3 2 2" xfId="13487"/>
    <cellStyle name="Normal 7 3 2 2 2 2 3 3" xfId="13486"/>
    <cellStyle name="Normal 7 3 2 2 2 2 4" xfId="7377"/>
    <cellStyle name="Normal 7 3 2 2 2 2 4 2" xfId="13488"/>
    <cellStyle name="Normal 7 3 2 2 2 2 5" xfId="13483"/>
    <cellStyle name="Normal 7 3 2 2 2 3" xfId="7378"/>
    <cellStyle name="Normal 7 3 2 2 2 3 2" xfId="7379"/>
    <cellStyle name="Normal 7 3 2 2 2 3 2 2" xfId="13490"/>
    <cellStyle name="Normal 7 3 2 2 2 3 3" xfId="13489"/>
    <cellStyle name="Normal 7 3 2 2 2 4" xfId="7380"/>
    <cellStyle name="Normal 7 3 2 2 2 4 2" xfId="7381"/>
    <cellStyle name="Normal 7 3 2 2 2 4 2 2" xfId="13492"/>
    <cellStyle name="Normal 7 3 2 2 2 4 3" xfId="13491"/>
    <cellStyle name="Normal 7 3 2 2 2 5" xfId="7382"/>
    <cellStyle name="Normal 7 3 2 2 2 5 2" xfId="13493"/>
    <cellStyle name="Normal 7 3 2 2 2 6" xfId="13482"/>
    <cellStyle name="Normal 7 3 2 2 3" xfId="7383"/>
    <cellStyle name="Normal 7 3 2 2 3 2" xfId="7384"/>
    <cellStyle name="Normal 7 3 2 2 3 2 2" xfId="7385"/>
    <cellStyle name="Normal 7 3 2 2 3 2 2 2" xfId="13496"/>
    <cellStyle name="Normal 7 3 2 2 3 2 3" xfId="13495"/>
    <cellStyle name="Normal 7 3 2 2 3 3" xfId="7386"/>
    <cellStyle name="Normal 7 3 2 2 3 3 2" xfId="7387"/>
    <cellStyle name="Normal 7 3 2 2 3 3 2 2" xfId="13498"/>
    <cellStyle name="Normal 7 3 2 2 3 3 3" xfId="13497"/>
    <cellStyle name="Normal 7 3 2 2 3 4" xfId="7388"/>
    <cellStyle name="Normal 7 3 2 2 3 4 2" xfId="13499"/>
    <cellStyle name="Normal 7 3 2 2 3 5" xfId="13494"/>
    <cellStyle name="Normal 7 3 2 2 4" xfId="7389"/>
    <cellStyle name="Normal 7 3 2 2 4 2" xfId="7390"/>
    <cellStyle name="Normal 7 3 2 2 4 2 2" xfId="13501"/>
    <cellStyle name="Normal 7 3 2 2 4 3" xfId="13500"/>
    <cellStyle name="Normal 7 3 2 2 5" xfId="7391"/>
    <cellStyle name="Normal 7 3 2 2 5 2" xfId="7392"/>
    <cellStyle name="Normal 7 3 2 2 5 2 2" xfId="13503"/>
    <cellStyle name="Normal 7 3 2 2 5 3" xfId="13502"/>
    <cellStyle name="Normal 7 3 2 2 6" xfId="7393"/>
    <cellStyle name="Normal 7 3 2 2 6 2" xfId="13504"/>
    <cellStyle name="Normal 7 3 2 2 7" xfId="13481"/>
    <cellStyle name="Normal 7 3 2 3" xfId="7394"/>
    <cellStyle name="Normal 7 3 2 3 2" xfId="7395"/>
    <cellStyle name="Normal 7 3 2 3 2 2" xfId="7396"/>
    <cellStyle name="Normal 7 3 2 3 2 2 2" xfId="7397"/>
    <cellStyle name="Normal 7 3 2 3 2 2 2 2" xfId="13508"/>
    <cellStyle name="Normal 7 3 2 3 2 2 3" xfId="13507"/>
    <cellStyle name="Normal 7 3 2 3 2 3" xfId="7398"/>
    <cellStyle name="Normal 7 3 2 3 2 3 2" xfId="7399"/>
    <cellStyle name="Normal 7 3 2 3 2 3 2 2" xfId="13510"/>
    <cellStyle name="Normal 7 3 2 3 2 3 3" xfId="13509"/>
    <cellStyle name="Normal 7 3 2 3 2 4" xfId="7400"/>
    <cellStyle name="Normal 7 3 2 3 2 4 2" xfId="13511"/>
    <cellStyle name="Normal 7 3 2 3 2 5" xfId="13506"/>
    <cellStyle name="Normal 7 3 2 3 3" xfId="7401"/>
    <cellStyle name="Normal 7 3 2 3 3 2" xfId="7402"/>
    <cellStyle name="Normal 7 3 2 3 3 2 2" xfId="13513"/>
    <cellStyle name="Normal 7 3 2 3 3 3" xfId="13512"/>
    <cellStyle name="Normal 7 3 2 3 4" xfId="7403"/>
    <cellStyle name="Normal 7 3 2 3 4 2" xfId="7404"/>
    <cellStyle name="Normal 7 3 2 3 4 2 2" xfId="13515"/>
    <cellStyle name="Normal 7 3 2 3 4 3" xfId="13514"/>
    <cellStyle name="Normal 7 3 2 3 5" xfId="7405"/>
    <cellStyle name="Normal 7 3 2 3 5 2" xfId="13516"/>
    <cellStyle name="Normal 7 3 2 3 6" xfId="13505"/>
    <cellStyle name="Normal 7 3 2 4" xfId="7406"/>
    <cellStyle name="Normal 7 3 2 4 2" xfId="7407"/>
    <cellStyle name="Normal 7 3 2 4 2 2" xfId="7408"/>
    <cellStyle name="Normal 7 3 2 4 2 2 2" xfId="13519"/>
    <cellStyle name="Normal 7 3 2 4 2 3" xfId="13518"/>
    <cellStyle name="Normal 7 3 2 4 3" xfId="7409"/>
    <cellStyle name="Normal 7 3 2 4 3 2" xfId="7410"/>
    <cellStyle name="Normal 7 3 2 4 3 2 2" xfId="13521"/>
    <cellStyle name="Normal 7 3 2 4 3 3" xfId="13520"/>
    <cellStyle name="Normal 7 3 2 4 4" xfId="7411"/>
    <cellStyle name="Normal 7 3 2 4 4 2" xfId="13522"/>
    <cellStyle name="Normal 7 3 2 4 5" xfId="13517"/>
    <cellStyle name="Normal 7 3 2 5" xfId="7412"/>
    <cellStyle name="Normal 7 3 2 5 2" xfId="7413"/>
    <cellStyle name="Normal 7 3 2 5 2 2" xfId="13524"/>
    <cellStyle name="Normal 7 3 2 5 3" xfId="13523"/>
    <cellStyle name="Normal 7 3 2 6" xfId="7414"/>
    <cellStyle name="Normal 7 3 2 6 2" xfId="7415"/>
    <cellStyle name="Normal 7 3 2 6 2 2" xfId="13526"/>
    <cellStyle name="Normal 7 3 2 6 3" xfId="13525"/>
    <cellStyle name="Normal 7 3 2 7" xfId="7416"/>
    <cellStyle name="Normal 7 3 2 7 2" xfId="13527"/>
    <cellStyle name="Normal 7 3 2 8" xfId="13480"/>
    <cellStyle name="Normal 7 3 3" xfId="7417"/>
    <cellStyle name="Normal 7 3 3 2" xfId="7418"/>
    <cellStyle name="Normal 7 3 3 2 2" xfId="7419"/>
    <cellStyle name="Normal 7 3 3 2 2 2" xfId="7420"/>
    <cellStyle name="Normal 7 3 3 2 2 2 2" xfId="7421"/>
    <cellStyle name="Normal 7 3 3 2 2 2 2 2" xfId="13532"/>
    <cellStyle name="Normal 7 3 3 2 2 2 3" xfId="13531"/>
    <cellStyle name="Normal 7 3 3 2 2 3" xfId="7422"/>
    <cellStyle name="Normal 7 3 3 2 2 3 2" xfId="7423"/>
    <cellStyle name="Normal 7 3 3 2 2 3 2 2" xfId="13534"/>
    <cellStyle name="Normal 7 3 3 2 2 3 3" xfId="13533"/>
    <cellStyle name="Normal 7 3 3 2 2 4" xfId="7424"/>
    <cellStyle name="Normal 7 3 3 2 2 4 2" xfId="13535"/>
    <cellStyle name="Normal 7 3 3 2 2 5" xfId="13530"/>
    <cellStyle name="Normal 7 3 3 2 3" xfId="7425"/>
    <cellStyle name="Normal 7 3 3 2 3 2" xfId="7426"/>
    <cellStyle name="Normal 7 3 3 2 3 2 2" xfId="13537"/>
    <cellStyle name="Normal 7 3 3 2 3 3" xfId="13536"/>
    <cellStyle name="Normal 7 3 3 2 4" xfId="7427"/>
    <cellStyle name="Normal 7 3 3 2 4 2" xfId="7428"/>
    <cellStyle name="Normal 7 3 3 2 4 2 2" xfId="13539"/>
    <cellStyle name="Normal 7 3 3 2 4 3" xfId="13538"/>
    <cellStyle name="Normal 7 3 3 2 5" xfId="7429"/>
    <cellStyle name="Normal 7 3 3 2 5 2" xfId="13540"/>
    <cellStyle name="Normal 7 3 3 2 6" xfId="13529"/>
    <cellStyle name="Normal 7 3 3 3" xfId="7430"/>
    <cellStyle name="Normal 7 3 3 3 2" xfId="7431"/>
    <cellStyle name="Normal 7 3 3 3 2 2" xfId="7432"/>
    <cellStyle name="Normal 7 3 3 3 2 2 2" xfId="13543"/>
    <cellStyle name="Normal 7 3 3 3 2 3" xfId="13542"/>
    <cellStyle name="Normal 7 3 3 3 3" xfId="7433"/>
    <cellStyle name="Normal 7 3 3 3 3 2" xfId="7434"/>
    <cellStyle name="Normal 7 3 3 3 3 2 2" xfId="13545"/>
    <cellStyle name="Normal 7 3 3 3 3 3" xfId="13544"/>
    <cellStyle name="Normal 7 3 3 3 4" xfId="7435"/>
    <cellStyle name="Normal 7 3 3 3 4 2" xfId="13546"/>
    <cellStyle name="Normal 7 3 3 3 5" xfId="13541"/>
    <cellStyle name="Normal 7 3 3 4" xfId="7436"/>
    <cellStyle name="Normal 7 3 3 4 2" xfId="7437"/>
    <cellStyle name="Normal 7 3 3 4 2 2" xfId="13548"/>
    <cellStyle name="Normal 7 3 3 4 3" xfId="13547"/>
    <cellStyle name="Normal 7 3 3 5" xfId="7438"/>
    <cellStyle name="Normal 7 3 3 5 2" xfId="7439"/>
    <cellStyle name="Normal 7 3 3 5 2 2" xfId="13550"/>
    <cellStyle name="Normal 7 3 3 5 3" xfId="13549"/>
    <cellStyle name="Normal 7 3 3 6" xfId="7440"/>
    <cellStyle name="Normal 7 3 3 6 2" xfId="13551"/>
    <cellStyle name="Normal 7 3 3 7" xfId="13528"/>
    <cellStyle name="Normal 7 3 4" xfId="7441"/>
    <cellStyle name="Normal 7 3 4 2" xfId="7442"/>
    <cellStyle name="Normal 7 3 4 2 2" xfId="7443"/>
    <cellStyle name="Normal 7 3 4 2 2 2" xfId="7444"/>
    <cellStyle name="Normal 7 3 4 2 2 2 2" xfId="13555"/>
    <cellStyle name="Normal 7 3 4 2 2 3" xfId="13554"/>
    <cellStyle name="Normal 7 3 4 2 3" xfId="7445"/>
    <cellStyle name="Normal 7 3 4 2 3 2" xfId="7446"/>
    <cellStyle name="Normal 7 3 4 2 3 2 2" xfId="13557"/>
    <cellStyle name="Normal 7 3 4 2 3 3" xfId="13556"/>
    <cellStyle name="Normal 7 3 4 2 4" xfId="7447"/>
    <cellStyle name="Normal 7 3 4 2 4 2" xfId="13558"/>
    <cellStyle name="Normal 7 3 4 2 5" xfId="13553"/>
    <cellStyle name="Normal 7 3 4 3" xfId="7448"/>
    <cellStyle name="Normal 7 3 4 3 2" xfId="7449"/>
    <cellStyle name="Normal 7 3 4 3 2 2" xfId="13560"/>
    <cellStyle name="Normal 7 3 4 3 3" xfId="13559"/>
    <cellStyle name="Normal 7 3 4 4" xfId="7450"/>
    <cellStyle name="Normal 7 3 4 4 2" xfId="7451"/>
    <cellStyle name="Normal 7 3 4 4 2 2" xfId="13562"/>
    <cellStyle name="Normal 7 3 4 4 3" xfId="13561"/>
    <cellStyle name="Normal 7 3 4 5" xfId="7452"/>
    <cellStyle name="Normal 7 3 4 5 2" xfId="13563"/>
    <cellStyle name="Normal 7 3 4 6" xfId="13552"/>
    <cellStyle name="Normal 7 3 5" xfId="7453"/>
    <cellStyle name="Normal 7 3 5 2" xfId="7454"/>
    <cellStyle name="Normal 7 3 5 2 2" xfId="7455"/>
    <cellStyle name="Normal 7 3 5 2 2 2" xfId="13566"/>
    <cellStyle name="Normal 7 3 5 2 3" xfId="13565"/>
    <cellStyle name="Normal 7 3 5 3" xfId="7456"/>
    <cellStyle name="Normal 7 3 5 3 2" xfId="7457"/>
    <cellStyle name="Normal 7 3 5 3 2 2" xfId="13568"/>
    <cellStyle name="Normal 7 3 5 3 3" xfId="13567"/>
    <cellStyle name="Normal 7 3 5 4" xfId="7458"/>
    <cellStyle name="Normal 7 3 5 4 2" xfId="13569"/>
    <cellStyle name="Normal 7 3 5 5" xfId="13564"/>
    <cellStyle name="Normal 7 3 6" xfId="7459"/>
    <cellStyle name="Normal 7 3 6 2" xfId="7460"/>
    <cellStyle name="Normal 7 3 6 2 2" xfId="13571"/>
    <cellStyle name="Normal 7 3 6 3" xfId="13570"/>
    <cellStyle name="Normal 7 3 7" xfId="7461"/>
    <cellStyle name="Normal 7 3 7 2" xfId="7462"/>
    <cellStyle name="Normal 7 3 7 2 2" xfId="13573"/>
    <cellStyle name="Normal 7 3 7 3" xfId="13572"/>
    <cellStyle name="Normal 7 3 8" xfId="7463"/>
    <cellStyle name="Normal 7 3 8 2" xfId="13574"/>
    <cellStyle name="Normal 7 3 9" xfId="7464"/>
    <cellStyle name="Normal 7 3 9 2" xfId="13575"/>
    <cellStyle name="Normal 7 4" xfId="7465"/>
    <cellStyle name="Normal 7 4 2" xfId="7466"/>
    <cellStyle name="Normal 7 4 2 2" xfId="7467"/>
    <cellStyle name="Normal 7 4 2 2 2" xfId="7468"/>
    <cellStyle name="Normal 7 4 2 2 2 2" xfId="7469"/>
    <cellStyle name="Normal 7 4 2 2 2 2 2" xfId="7470"/>
    <cellStyle name="Normal 7 4 2 2 2 2 2 2" xfId="13581"/>
    <cellStyle name="Normal 7 4 2 2 2 2 3" xfId="13580"/>
    <cellStyle name="Normal 7 4 2 2 2 3" xfId="7471"/>
    <cellStyle name="Normal 7 4 2 2 2 3 2" xfId="7472"/>
    <cellStyle name="Normal 7 4 2 2 2 3 2 2" xfId="13583"/>
    <cellStyle name="Normal 7 4 2 2 2 3 3" xfId="13582"/>
    <cellStyle name="Normal 7 4 2 2 2 4" xfId="7473"/>
    <cellStyle name="Normal 7 4 2 2 2 4 2" xfId="13584"/>
    <cellStyle name="Normal 7 4 2 2 2 5" xfId="13579"/>
    <cellStyle name="Normal 7 4 2 2 3" xfId="7474"/>
    <cellStyle name="Normal 7 4 2 2 3 2" xfId="7475"/>
    <cellStyle name="Normal 7 4 2 2 3 2 2" xfId="13586"/>
    <cellStyle name="Normal 7 4 2 2 3 3" xfId="13585"/>
    <cellStyle name="Normal 7 4 2 2 4" xfId="7476"/>
    <cellStyle name="Normal 7 4 2 2 4 2" xfId="7477"/>
    <cellStyle name="Normal 7 4 2 2 4 2 2" xfId="13588"/>
    <cellStyle name="Normal 7 4 2 2 4 3" xfId="13587"/>
    <cellStyle name="Normal 7 4 2 2 5" xfId="7478"/>
    <cellStyle name="Normal 7 4 2 2 5 2" xfId="13589"/>
    <cellStyle name="Normal 7 4 2 2 6" xfId="13578"/>
    <cellStyle name="Normal 7 4 2 3" xfId="7479"/>
    <cellStyle name="Normal 7 4 2 3 2" xfId="7480"/>
    <cellStyle name="Normal 7 4 2 3 2 2" xfId="7481"/>
    <cellStyle name="Normal 7 4 2 3 2 2 2" xfId="13592"/>
    <cellStyle name="Normal 7 4 2 3 2 3" xfId="13591"/>
    <cellStyle name="Normal 7 4 2 3 3" xfId="7482"/>
    <cellStyle name="Normal 7 4 2 3 3 2" xfId="7483"/>
    <cellStyle name="Normal 7 4 2 3 3 2 2" xfId="13594"/>
    <cellStyle name="Normal 7 4 2 3 3 3" xfId="13593"/>
    <cellStyle name="Normal 7 4 2 3 4" xfId="7484"/>
    <cellStyle name="Normal 7 4 2 3 4 2" xfId="13595"/>
    <cellStyle name="Normal 7 4 2 3 5" xfId="13590"/>
    <cellStyle name="Normal 7 4 2 4" xfId="7485"/>
    <cellStyle name="Normal 7 4 2 4 2" xfId="7486"/>
    <cellStyle name="Normal 7 4 2 4 2 2" xfId="13597"/>
    <cellStyle name="Normal 7 4 2 4 3" xfId="13596"/>
    <cellStyle name="Normal 7 4 2 5" xfId="7487"/>
    <cellStyle name="Normal 7 4 2 5 2" xfId="7488"/>
    <cellStyle name="Normal 7 4 2 5 2 2" xfId="13599"/>
    <cellStyle name="Normal 7 4 2 5 3" xfId="13598"/>
    <cellStyle name="Normal 7 4 2 6" xfId="7489"/>
    <cellStyle name="Normal 7 4 2 6 2" xfId="13600"/>
    <cellStyle name="Normal 7 4 2 7" xfId="13577"/>
    <cellStyle name="Normal 7 4 3" xfId="7490"/>
    <cellStyle name="Normal 7 4 3 2" xfId="7491"/>
    <cellStyle name="Normal 7 4 3 2 2" xfId="7492"/>
    <cellStyle name="Normal 7 4 3 2 2 2" xfId="7493"/>
    <cellStyle name="Normal 7 4 3 2 2 2 2" xfId="13604"/>
    <cellStyle name="Normal 7 4 3 2 2 3" xfId="13603"/>
    <cellStyle name="Normal 7 4 3 2 3" xfId="7494"/>
    <cellStyle name="Normal 7 4 3 2 3 2" xfId="7495"/>
    <cellStyle name="Normal 7 4 3 2 3 2 2" xfId="13606"/>
    <cellStyle name="Normal 7 4 3 2 3 3" xfId="13605"/>
    <cellStyle name="Normal 7 4 3 2 4" xfId="7496"/>
    <cellStyle name="Normal 7 4 3 2 4 2" xfId="13607"/>
    <cellStyle name="Normal 7 4 3 2 5" xfId="13602"/>
    <cellStyle name="Normal 7 4 3 3" xfId="7497"/>
    <cellStyle name="Normal 7 4 3 3 2" xfId="7498"/>
    <cellStyle name="Normal 7 4 3 3 2 2" xfId="13609"/>
    <cellStyle name="Normal 7 4 3 3 3" xfId="13608"/>
    <cellStyle name="Normal 7 4 3 4" xfId="7499"/>
    <cellStyle name="Normal 7 4 3 4 2" xfId="7500"/>
    <cellStyle name="Normal 7 4 3 4 2 2" xfId="13611"/>
    <cellStyle name="Normal 7 4 3 4 3" xfId="13610"/>
    <cellStyle name="Normal 7 4 3 5" xfId="7501"/>
    <cellStyle name="Normal 7 4 3 5 2" xfId="13612"/>
    <cellStyle name="Normal 7 4 3 6" xfId="13601"/>
    <cellStyle name="Normal 7 4 4" xfId="7502"/>
    <cellStyle name="Normal 7 4 4 2" xfId="7503"/>
    <cellStyle name="Normal 7 4 4 2 2" xfId="7504"/>
    <cellStyle name="Normal 7 4 4 2 2 2" xfId="13615"/>
    <cellStyle name="Normal 7 4 4 2 3" xfId="13614"/>
    <cellStyle name="Normal 7 4 4 3" xfId="7505"/>
    <cellStyle name="Normal 7 4 4 3 2" xfId="7506"/>
    <cellStyle name="Normal 7 4 4 3 2 2" xfId="13617"/>
    <cellStyle name="Normal 7 4 4 3 3" xfId="13616"/>
    <cellStyle name="Normal 7 4 4 4" xfId="7507"/>
    <cellStyle name="Normal 7 4 4 4 2" xfId="13618"/>
    <cellStyle name="Normal 7 4 4 5" xfId="13613"/>
    <cellStyle name="Normal 7 4 5" xfId="7508"/>
    <cellStyle name="Normal 7 4 5 2" xfId="7509"/>
    <cellStyle name="Normal 7 4 5 2 2" xfId="13620"/>
    <cellStyle name="Normal 7 4 5 3" xfId="13619"/>
    <cellStyle name="Normal 7 4 6" xfId="7510"/>
    <cellStyle name="Normal 7 4 6 2" xfId="7511"/>
    <cellStyle name="Normal 7 4 6 2 2" xfId="13622"/>
    <cellStyle name="Normal 7 4 6 3" xfId="13621"/>
    <cellStyle name="Normal 7 4 7" xfId="7512"/>
    <cellStyle name="Normal 7 4 7 2" xfId="13623"/>
    <cellStyle name="Normal 7 4 8" xfId="13576"/>
    <cellStyle name="Normal 7 5" xfId="7513"/>
    <cellStyle name="Normal 7 5 2" xfId="7514"/>
    <cellStyle name="Normal 7 5 2 2" xfId="7515"/>
    <cellStyle name="Normal 7 5 2 2 2" xfId="7516"/>
    <cellStyle name="Normal 7 5 2 2 2 2" xfId="7517"/>
    <cellStyle name="Normal 7 5 2 2 2 2 2" xfId="7518"/>
    <cellStyle name="Normal 7 5 2 2 2 2 2 2" xfId="13629"/>
    <cellStyle name="Normal 7 5 2 2 2 2 3" xfId="13628"/>
    <cellStyle name="Normal 7 5 2 2 2 3" xfId="7519"/>
    <cellStyle name="Normal 7 5 2 2 2 3 2" xfId="7520"/>
    <cellStyle name="Normal 7 5 2 2 2 3 2 2" xfId="13631"/>
    <cellStyle name="Normal 7 5 2 2 2 3 3" xfId="13630"/>
    <cellStyle name="Normal 7 5 2 2 2 4" xfId="7521"/>
    <cellStyle name="Normal 7 5 2 2 2 4 2" xfId="13632"/>
    <cellStyle name="Normal 7 5 2 2 2 5" xfId="13627"/>
    <cellStyle name="Normal 7 5 2 2 3" xfId="7522"/>
    <cellStyle name="Normal 7 5 2 2 3 2" xfId="7523"/>
    <cellStyle name="Normal 7 5 2 2 3 2 2" xfId="13634"/>
    <cellStyle name="Normal 7 5 2 2 3 3" xfId="13633"/>
    <cellStyle name="Normal 7 5 2 2 4" xfId="7524"/>
    <cellStyle name="Normal 7 5 2 2 4 2" xfId="7525"/>
    <cellStyle name="Normal 7 5 2 2 4 2 2" xfId="13636"/>
    <cellStyle name="Normal 7 5 2 2 4 3" xfId="13635"/>
    <cellStyle name="Normal 7 5 2 2 5" xfId="7526"/>
    <cellStyle name="Normal 7 5 2 2 5 2" xfId="13637"/>
    <cellStyle name="Normal 7 5 2 2 6" xfId="13626"/>
    <cellStyle name="Normal 7 5 2 3" xfId="7527"/>
    <cellStyle name="Normal 7 5 2 3 2" xfId="7528"/>
    <cellStyle name="Normal 7 5 2 3 2 2" xfId="7529"/>
    <cellStyle name="Normal 7 5 2 3 2 2 2" xfId="13640"/>
    <cellStyle name="Normal 7 5 2 3 2 3" xfId="13639"/>
    <cellStyle name="Normal 7 5 2 3 3" xfId="7530"/>
    <cellStyle name="Normal 7 5 2 3 3 2" xfId="7531"/>
    <cellStyle name="Normal 7 5 2 3 3 2 2" xfId="13642"/>
    <cellStyle name="Normal 7 5 2 3 3 3" xfId="13641"/>
    <cellStyle name="Normal 7 5 2 3 4" xfId="7532"/>
    <cellStyle name="Normal 7 5 2 3 4 2" xfId="13643"/>
    <cellStyle name="Normal 7 5 2 3 5" xfId="13638"/>
    <cellStyle name="Normal 7 5 2 4" xfId="7533"/>
    <cellStyle name="Normal 7 5 2 4 2" xfId="7534"/>
    <cellStyle name="Normal 7 5 2 4 2 2" xfId="13645"/>
    <cellStyle name="Normal 7 5 2 4 3" xfId="13644"/>
    <cellStyle name="Normal 7 5 2 5" xfId="7535"/>
    <cellStyle name="Normal 7 5 2 5 2" xfId="7536"/>
    <cellStyle name="Normal 7 5 2 5 2 2" xfId="13647"/>
    <cellStyle name="Normal 7 5 2 5 3" xfId="13646"/>
    <cellStyle name="Normal 7 5 2 6" xfId="7537"/>
    <cellStyle name="Normal 7 5 2 6 2" xfId="13648"/>
    <cellStyle name="Normal 7 5 2 7" xfId="13625"/>
    <cellStyle name="Normal 7 5 3" xfId="7538"/>
    <cellStyle name="Normal 7 5 3 2" xfId="7539"/>
    <cellStyle name="Normal 7 5 3 2 2" xfId="7540"/>
    <cellStyle name="Normal 7 5 3 2 2 2" xfId="7541"/>
    <cellStyle name="Normal 7 5 3 2 2 2 2" xfId="13652"/>
    <cellStyle name="Normal 7 5 3 2 2 3" xfId="13651"/>
    <cellStyle name="Normal 7 5 3 2 3" xfId="7542"/>
    <cellStyle name="Normal 7 5 3 2 3 2" xfId="7543"/>
    <cellStyle name="Normal 7 5 3 2 3 2 2" xfId="13654"/>
    <cellStyle name="Normal 7 5 3 2 3 3" xfId="13653"/>
    <cellStyle name="Normal 7 5 3 2 4" xfId="7544"/>
    <cellStyle name="Normal 7 5 3 2 4 2" xfId="13655"/>
    <cellStyle name="Normal 7 5 3 2 5" xfId="13650"/>
    <cellStyle name="Normal 7 5 3 3" xfId="7545"/>
    <cellStyle name="Normal 7 5 3 3 2" xfId="7546"/>
    <cellStyle name="Normal 7 5 3 3 2 2" xfId="13657"/>
    <cellStyle name="Normal 7 5 3 3 3" xfId="13656"/>
    <cellStyle name="Normal 7 5 3 4" xfId="7547"/>
    <cellStyle name="Normal 7 5 3 4 2" xfId="7548"/>
    <cellStyle name="Normal 7 5 3 4 2 2" xfId="13659"/>
    <cellStyle name="Normal 7 5 3 4 3" xfId="13658"/>
    <cellStyle name="Normal 7 5 3 5" xfId="7549"/>
    <cellStyle name="Normal 7 5 3 5 2" xfId="13660"/>
    <cellStyle name="Normal 7 5 3 6" xfId="13649"/>
    <cellStyle name="Normal 7 5 4" xfId="7550"/>
    <cellStyle name="Normal 7 5 4 2" xfId="7551"/>
    <cellStyle name="Normal 7 5 4 2 2" xfId="7552"/>
    <cellStyle name="Normal 7 5 4 2 2 2" xfId="13663"/>
    <cellStyle name="Normal 7 5 4 2 3" xfId="13662"/>
    <cellStyle name="Normal 7 5 4 3" xfId="7553"/>
    <cellStyle name="Normal 7 5 4 3 2" xfId="7554"/>
    <cellStyle name="Normal 7 5 4 3 2 2" xfId="13665"/>
    <cellStyle name="Normal 7 5 4 3 3" xfId="13664"/>
    <cellStyle name="Normal 7 5 4 4" xfId="7555"/>
    <cellStyle name="Normal 7 5 4 4 2" xfId="13666"/>
    <cellStyle name="Normal 7 5 4 5" xfId="13661"/>
    <cellStyle name="Normal 7 5 5" xfId="7556"/>
    <cellStyle name="Normal 7 5 5 2" xfId="7557"/>
    <cellStyle name="Normal 7 5 5 2 2" xfId="13668"/>
    <cellStyle name="Normal 7 5 5 3" xfId="13667"/>
    <cellStyle name="Normal 7 5 6" xfId="7558"/>
    <cellStyle name="Normal 7 5 6 2" xfId="7559"/>
    <cellStyle name="Normal 7 5 6 2 2" xfId="13670"/>
    <cellStyle name="Normal 7 5 6 3" xfId="13669"/>
    <cellStyle name="Normal 7 5 7" xfId="7560"/>
    <cellStyle name="Normal 7 5 7 2" xfId="13671"/>
    <cellStyle name="Normal 7 5 8" xfId="13624"/>
    <cellStyle name="Normal 7 6" xfId="7561"/>
    <cellStyle name="Normal 7 6 2" xfId="7562"/>
    <cellStyle name="Normal 7 6 2 2" xfId="7563"/>
    <cellStyle name="Normal 7 6 2 2 2" xfId="7564"/>
    <cellStyle name="Normal 7 6 2 2 2 2" xfId="7565"/>
    <cellStyle name="Normal 7 6 2 2 2 2 2" xfId="13676"/>
    <cellStyle name="Normal 7 6 2 2 2 3" xfId="13675"/>
    <cellStyle name="Normal 7 6 2 2 3" xfId="7566"/>
    <cellStyle name="Normal 7 6 2 2 3 2" xfId="7567"/>
    <cellStyle name="Normal 7 6 2 2 3 2 2" xfId="13678"/>
    <cellStyle name="Normal 7 6 2 2 3 3" xfId="13677"/>
    <cellStyle name="Normal 7 6 2 2 4" xfId="7568"/>
    <cellStyle name="Normal 7 6 2 2 4 2" xfId="13679"/>
    <cellStyle name="Normal 7 6 2 2 5" xfId="13674"/>
    <cellStyle name="Normal 7 6 2 3" xfId="7569"/>
    <cellStyle name="Normal 7 6 2 3 2" xfId="7570"/>
    <cellStyle name="Normal 7 6 2 3 2 2" xfId="13681"/>
    <cellStyle name="Normal 7 6 2 3 3" xfId="13680"/>
    <cellStyle name="Normal 7 6 2 4" xfId="7571"/>
    <cellStyle name="Normal 7 6 2 4 2" xfId="7572"/>
    <cellStyle name="Normal 7 6 2 4 2 2" xfId="13683"/>
    <cellStyle name="Normal 7 6 2 4 3" xfId="13682"/>
    <cellStyle name="Normal 7 6 2 5" xfId="7573"/>
    <cellStyle name="Normal 7 6 2 5 2" xfId="13684"/>
    <cellStyle name="Normal 7 6 2 6" xfId="13673"/>
    <cellStyle name="Normal 7 6 3" xfId="7574"/>
    <cellStyle name="Normal 7 6 3 2" xfId="7575"/>
    <cellStyle name="Normal 7 6 3 2 2" xfId="7576"/>
    <cellStyle name="Normal 7 6 3 2 2 2" xfId="13687"/>
    <cellStyle name="Normal 7 6 3 2 3" xfId="13686"/>
    <cellStyle name="Normal 7 6 3 3" xfId="7577"/>
    <cellStyle name="Normal 7 6 3 3 2" xfId="7578"/>
    <cellStyle name="Normal 7 6 3 3 2 2" xfId="13689"/>
    <cellStyle name="Normal 7 6 3 3 3" xfId="13688"/>
    <cellStyle name="Normal 7 6 3 4" xfId="7579"/>
    <cellStyle name="Normal 7 6 3 4 2" xfId="13690"/>
    <cellStyle name="Normal 7 6 3 5" xfId="13685"/>
    <cellStyle name="Normal 7 6 4" xfId="7580"/>
    <cellStyle name="Normal 7 6 4 2" xfId="7581"/>
    <cellStyle name="Normal 7 6 4 2 2" xfId="13692"/>
    <cellStyle name="Normal 7 6 4 3" xfId="13691"/>
    <cellStyle name="Normal 7 6 5" xfId="7582"/>
    <cellStyle name="Normal 7 6 5 2" xfId="7583"/>
    <cellStyle name="Normal 7 6 5 2 2" xfId="13694"/>
    <cellStyle name="Normal 7 6 5 3" xfId="13693"/>
    <cellStyle name="Normal 7 6 6" xfId="7584"/>
    <cellStyle name="Normal 7 6 6 2" xfId="13695"/>
    <cellStyle name="Normal 7 6 7" xfId="13672"/>
    <cellStyle name="Normal 7 7" xfId="7585"/>
    <cellStyle name="Normal 7 7 2" xfId="7586"/>
    <cellStyle name="Normal 7 7 2 2" xfId="7587"/>
    <cellStyle name="Normal 7 7 2 2 2" xfId="7588"/>
    <cellStyle name="Normal 7 7 2 2 2 2" xfId="13699"/>
    <cellStyle name="Normal 7 7 2 2 3" xfId="13698"/>
    <cellStyle name="Normal 7 7 2 3" xfId="7589"/>
    <cellStyle name="Normal 7 7 2 3 2" xfId="7590"/>
    <cellStyle name="Normal 7 7 2 3 2 2" xfId="13701"/>
    <cellStyle name="Normal 7 7 2 3 3" xfId="13700"/>
    <cellStyle name="Normal 7 7 2 4" xfId="7591"/>
    <cellStyle name="Normal 7 7 2 4 2" xfId="13702"/>
    <cellStyle name="Normal 7 7 2 5" xfId="13697"/>
    <cellStyle name="Normal 7 7 3" xfId="7592"/>
    <cellStyle name="Normal 7 7 3 2" xfId="7593"/>
    <cellStyle name="Normal 7 7 3 2 2" xfId="13704"/>
    <cellStyle name="Normal 7 7 3 3" xfId="13703"/>
    <cellStyle name="Normal 7 7 4" xfId="7594"/>
    <cellStyle name="Normal 7 7 4 2" xfId="7595"/>
    <cellStyle name="Normal 7 7 4 2 2" xfId="13706"/>
    <cellStyle name="Normal 7 7 4 3" xfId="13705"/>
    <cellStyle name="Normal 7 7 5" xfId="7596"/>
    <cellStyle name="Normal 7 7 5 2" xfId="13707"/>
    <cellStyle name="Normal 7 7 6" xfId="13696"/>
    <cellStyle name="Normal 7 8" xfId="7597"/>
    <cellStyle name="Normal 7 8 2" xfId="7598"/>
    <cellStyle name="Normal 7 8 2 2" xfId="7599"/>
    <cellStyle name="Normal 7 8 2 2 2" xfId="13710"/>
    <cellStyle name="Normal 7 8 2 3" xfId="13709"/>
    <cellStyle name="Normal 7 8 3" xfId="7600"/>
    <cellStyle name="Normal 7 8 3 2" xfId="7601"/>
    <cellStyle name="Normal 7 8 3 2 2" xfId="13712"/>
    <cellStyle name="Normal 7 8 3 3" xfId="13711"/>
    <cellStyle name="Normal 7 8 4" xfId="7602"/>
    <cellStyle name="Normal 7 8 4 2" xfId="13713"/>
    <cellStyle name="Normal 7 8 5" xfId="13708"/>
    <cellStyle name="Normal 7 9" xfId="7603"/>
    <cellStyle name="Normal 7 9 2" xfId="7604"/>
    <cellStyle name="Normal 7 9 2 2" xfId="13715"/>
    <cellStyle name="Normal 7 9 3" xfId="13714"/>
    <cellStyle name="Normal 7_2180" xfId="13716"/>
    <cellStyle name="Normal 70" xfId="7605"/>
    <cellStyle name="Normal 70 2" xfId="7606"/>
    <cellStyle name="Normal 70 2 2" xfId="13718"/>
    <cellStyle name="Normal 70 3" xfId="7607"/>
    <cellStyle name="Normal 70 3 2" xfId="13719"/>
    <cellStyle name="Normal 70 4" xfId="7608"/>
    <cellStyle name="Normal 70 5" xfId="13717"/>
    <cellStyle name="Normal 71" xfId="7609"/>
    <cellStyle name="Normal 71 2" xfId="7610"/>
    <cellStyle name="Normal 71 3" xfId="13720"/>
    <cellStyle name="Normal 72" xfId="7611"/>
    <cellStyle name="Normal 72 2" xfId="7612"/>
    <cellStyle name="Normal 72 2 2" xfId="7613"/>
    <cellStyle name="Normal 72 2 2 2" xfId="7614"/>
    <cellStyle name="Normal 72 2 2 2 2" xfId="7615"/>
    <cellStyle name="Normal 72 2 2 2 2 2" xfId="13725"/>
    <cellStyle name="Normal 72 2 2 2 3" xfId="13724"/>
    <cellStyle name="Normal 72 2 2 3" xfId="7616"/>
    <cellStyle name="Normal 72 2 2 3 2" xfId="7617"/>
    <cellStyle name="Normal 72 2 2 3 2 2" xfId="13727"/>
    <cellStyle name="Normal 72 2 2 3 3" xfId="13726"/>
    <cellStyle name="Normal 72 2 2 4" xfId="7618"/>
    <cellStyle name="Normal 72 2 2 4 2" xfId="13728"/>
    <cellStyle name="Normal 72 2 2 5" xfId="13723"/>
    <cellStyle name="Normal 72 2 3" xfId="7619"/>
    <cellStyle name="Normal 72 2 3 2" xfId="7620"/>
    <cellStyle name="Normal 72 2 3 2 2" xfId="13730"/>
    <cellStyle name="Normal 72 2 3 3" xfId="13729"/>
    <cellStyle name="Normal 72 2 4" xfId="7621"/>
    <cellStyle name="Normal 72 2 4 2" xfId="7622"/>
    <cellStyle name="Normal 72 2 4 2 2" xfId="13732"/>
    <cellStyle name="Normal 72 2 4 3" xfId="13731"/>
    <cellStyle name="Normal 72 2 5" xfId="7623"/>
    <cellStyle name="Normal 72 2 5 2" xfId="13733"/>
    <cellStyle name="Normal 72 2 6" xfId="13722"/>
    <cellStyle name="Normal 72 3" xfId="7624"/>
    <cellStyle name="Normal 72 3 2" xfId="7625"/>
    <cellStyle name="Normal 72 3 2 2" xfId="7626"/>
    <cellStyle name="Normal 72 3 2 2 2" xfId="13736"/>
    <cellStyle name="Normal 72 3 2 3" xfId="13735"/>
    <cellStyle name="Normal 72 3 3" xfId="7627"/>
    <cellStyle name="Normal 72 3 3 2" xfId="7628"/>
    <cellStyle name="Normal 72 3 3 2 2" xfId="13738"/>
    <cellStyle name="Normal 72 3 3 3" xfId="13737"/>
    <cellStyle name="Normal 72 3 4" xfId="7629"/>
    <cellStyle name="Normal 72 3 4 2" xfId="13739"/>
    <cellStyle name="Normal 72 3 5" xfId="13734"/>
    <cellStyle name="Normal 72 4" xfId="7630"/>
    <cellStyle name="Normal 72 4 2" xfId="7631"/>
    <cellStyle name="Normal 72 4 2 2" xfId="13741"/>
    <cellStyle name="Normal 72 4 3" xfId="13740"/>
    <cellStyle name="Normal 72 5" xfId="7632"/>
    <cellStyle name="Normal 72 5 2" xfId="7633"/>
    <cellStyle name="Normal 72 5 2 2" xfId="13743"/>
    <cellStyle name="Normal 72 5 3" xfId="13742"/>
    <cellStyle name="Normal 72 6" xfId="7634"/>
    <cellStyle name="Normal 72 6 2" xfId="13744"/>
    <cellStyle name="Normal 72 7" xfId="7635"/>
    <cellStyle name="Normal 72 8" xfId="13721"/>
    <cellStyle name="Normal 73" xfId="7636"/>
    <cellStyle name="Normal 73 2" xfId="7637"/>
    <cellStyle name="Normal 73 2 2" xfId="13746"/>
    <cellStyle name="Normal 73 3" xfId="7638"/>
    <cellStyle name="Normal 73 4" xfId="13745"/>
    <cellStyle name="Normal 74" xfId="7639"/>
    <cellStyle name="Normal 74 2" xfId="7640"/>
    <cellStyle name="Normal 74 3" xfId="13747"/>
    <cellStyle name="Normal 75" xfId="7641"/>
    <cellStyle name="Normal 75 2" xfId="7642"/>
    <cellStyle name="Normal 75 3" xfId="13748"/>
    <cellStyle name="Normal 76" xfId="7643"/>
    <cellStyle name="Normal 76 2" xfId="7644"/>
    <cellStyle name="Normal 76 3" xfId="13749"/>
    <cellStyle name="Normal 77" xfId="7645"/>
    <cellStyle name="Normal 77 2" xfId="7646"/>
    <cellStyle name="Normal 77 3" xfId="13750"/>
    <cellStyle name="Normal 78" xfId="7647"/>
    <cellStyle name="Normal 78 2" xfId="7648"/>
    <cellStyle name="Normal 78 3" xfId="13751"/>
    <cellStyle name="Normal 79" xfId="7649"/>
    <cellStyle name="Normal 79 2" xfId="7650"/>
    <cellStyle name="Normal 79 3" xfId="13752"/>
    <cellStyle name="Normal 8" xfId="13753"/>
    <cellStyle name="Normal 8 10" xfId="7651"/>
    <cellStyle name="Normal 8 10 2" xfId="13754"/>
    <cellStyle name="Normal 8 11" xfId="7652"/>
    <cellStyle name="Normal 8 2" xfId="7653"/>
    <cellStyle name="Normal 8 2 10" xfId="7654"/>
    <cellStyle name="Normal 8 2 11" xfId="13755"/>
    <cellStyle name="Normal 8 2 2" xfId="7655"/>
    <cellStyle name="Normal 8 2 2 2" xfId="7656"/>
    <cellStyle name="Normal 8 2 2 2 2" xfId="7657"/>
    <cellStyle name="Normal 8 2 2 2 2 2" xfId="7658"/>
    <cellStyle name="Normal 8 2 2 2 2 2 2" xfId="7659"/>
    <cellStyle name="Normal 8 2 2 2 2 2 2 2" xfId="7660"/>
    <cellStyle name="Normal 8 2 2 2 2 2 2 2 2" xfId="13761"/>
    <cellStyle name="Normal 8 2 2 2 2 2 2 3" xfId="13760"/>
    <cellStyle name="Normal 8 2 2 2 2 2 3" xfId="7661"/>
    <cellStyle name="Normal 8 2 2 2 2 2 3 2" xfId="7662"/>
    <cellStyle name="Normal 8 2 2 2 2 2 3 2 2" xfId="13763"/>
    <cellStyle name="Normal 8 2 2 2 2 2 3 3" xfId="13762"/>
    <cellStyle name="Normal 8 2 2 2 2 2 4" xfId="7663"/>
    <cellStyle name="Normal 8 2 2 2 2 2 4 2" xfId="13764"/>
    <cellStyle name="Normal 8 2 2 2 2 2 5" xfId="13759"/>
    <cellStyle name="Normal 8 2 2 2 2 3" xfId="7664"/>
    <cellStyle name="Normal 8 2 2 2 2 3 2" xfId="7665"/>
    <cellStyle name="Normal 8 2 2 2 2 3 2 2" xfId="13766"/>
    <cellStyle name="Normal 8 2 2 2 2 3 3" xfId="13765"/>
    <cellStyle name="Normal 8 2 2 2 2 4" xfId="7666"/>
    <cellStyle name="Normal 8 2 2 2 2 4 2" xfId="7667"/>
    <cellStyle name="Normal 8 2 2 2 2 4 2 2" xfId="13768"/>
    <cellStyle name="Normal 8 2 2 2 2 4 3" xfId="13767"/>
    <cellStyle name="Normal 8 2 2 2 2 5" xfId="7668"/>
    <cellStyle name="Normal 8 2 2 2 2 5 2" xfId="13769"/>
    <cellStyle name="Normal 8 2 2 2 2 6" xfId="13758"/>
    <cellStyle name="Normal 8 2 2 2 3" xfId="7669"/>
    <cellStyle name="Normal 8 2 2 2 3 2" xfId="7670"/>
    <cellStyle name="Normal 8 2 2 2 3 2 2" xfId="7671"/>
    <cellStyle name="Normal 8 2 2 2 3 2 2 2" xfId="13772"/>
    <cellStyle name="Normal 8 2 2 2 3 2 3" xfId="13771"/>
    <cellStyle name="Normal 8 2 2 2 3 3" xfId="7672"/>
    <cellStyle name="Normal 8 2 2 2 3 3 2" xfId="7673"/>
    <cellStyle name="Normal 8 2 2 2 3 3 2 2" xfId="13774"/>
    <cellStyle name="Normal 8 2 2 2 3 3 3" xfId="13773"/>
    <cellStyle name="Normal 8 2 2 2 3 4" xfId="7674"/>
    <cellStyle name="Normal 8 2 2 2 3 4 2" xfId="13775"/>
    <cellStyle name="Normal 8 2 2 2 3 5" xfId="13770"/>
    <cellStyle name="Normal 8 2 2 2 4" xfId="7675"/>
    <cellStyle name="Normal 8 2 2 2 4 2" xfId="7676"/>
    <cellStyle name="Normal 8 2 2 2 4 2 2" xfId="13777"/>
    <cellStyle name="Normal 8 2 2 2 4 3" xfId="13776"/>
    <cellStyle name="Normal 8 2 2 2 5" xfId="7677"/>
    <cellStyle name="Normal 8 2 2 2 5 2" xfId="7678"/>
    <cellStyle name="Normal 8 2 2 2 5 2 2" xfId="13779"/>
    <cellStyle name="Normal 8 2 2 2 5 3" xfId="13778"/>
    <cellStyle name="Normal 8 2 2 2 6" xfId="7679"/>
    <cellStyle name="Normal 8 2 2 2 6 2" xfId="13780"/>
    <cellStyle name="Normal 8 2 2 2 7" xfId="13757"/>
    <cellStyle name="Normal 8 2 2 3" xfId="7680"/>
    <cellStyle name="Normal 8 2 2 3 2" xfId="7681"/>
    <cellStyle name="Normal 8 2 2 3 2 2" xfId="7682"/>
    <cellStyle name="Normal 8 2 2 3 2 2 2" xfId="7683"/>
    <cellStyle name="Normal 8 2 2 3 2 2 2 2" xfId="13784"/>
    <cellStyle name="Normal 8 2 2 3 2 2 3" xfId="13783"/>
    <cellStyle name="Normal 8 2 2 3 2 3" xfId="7684"/>
    <cellStyle name="Normal 8 2 2 3 2 3 2" xfId="7685"/>
    <cellStyle name="Normal 8 2 2 3 2 3 2 2" xfId="13786"/>
    <cellStyle name="Normal 8 2 2 3 2 3 3" xfId="13785"/>
    <cellStyle name="Normal 8 2 2 3 2 4" xfId="7686"/>
    <cellStyle name="Normal 8 2 2 3 2 4 2" xfId="13787"/>
    <cellStyle name="Normal 8 2 2 3 2 5" xfId="13782"/>
    <cellStyle name="Normal 8 2 2 3 3" xfId="7687"/>
    <cellStyle name="Normal 8 2 2 3 3 2" xfId="7688"/>
    <cellStyle name="Normal 8 2 2 3 3 2 2" xfId="13789"/>
    <cellStyle name="Normal 8 2 2 3 3 3" xfId="13788"/>
    <cellStyle name="Normal 8 2 2 3 4" xfId="7689"/>
    <cellStyle name="Normal 8 2 2 3 4 2" xfId="7690"/>
    <cellStyle name="Normal 8 2 2 3 4 2 2" xfId="13791"/>
    <cellStyle name="Normal 8 2 2 3 4 3" xfId="13790"/>
    <cellStyle name="Normal 8 2 2 3 5" xfId="7691"/>
    <cellStyle name="Normal 8 2 2 3 5 2" xfId="13792"/>
    <cellStyle name="Normal 8 2 2 3 6" xfId="13781"/>
    <cellStyle name="Normal 8 2 2 4" xfId="7692"/>
    <cellStyle name="Normal 8 2 2 4 2" xfId="7693"/>
    <cellStyle name="Normal 8 2 2 4 2 2" xfId="7694"/>
    <cellStyle name="Normal 8 2 2 4 2 2 2" xfId="13795"/>
    <cellStyle name="Normal 8 2 2 4 2 3" xfId="13794"/>
    <cellStyle name="Normal 8 2 2 4 3" xfId="7695"/>
    <cellStyle name="Normal 8 2 2 4 3 2" xfId="7696"/>
    <cellStyle name="Normal 8 2 2 4 3 2 2" xfId="13797"/>
    <cellStyle name="Normal 8 2 2 4 3 3" xfId="13796"/>
    <cellStyle name="Normal 8 2 2 4 4" xfId="7697"/>
    <cellStyle name="Normal 8 2 2 4 4 2" xfId="13798"/>
    <cellStyle name="Normal 8 2 2 4 5" xfId="13793"/>
    <cellStyle name="Normal 8 2 2 5" xfId="7698"/>
    <cellStyle name="Normal 8 2 2 5 2" xfId="7699"/>
    <cellStyle name="Normal 8 2 2 5 2 2" xfId="13800"/>
    <cellStyle name="Normal 8 2 2 5 3" xfId="13799"/>
    <cellStyle name="Normal 8 2 2 6" xfId="7700"/>
    <cellStyle name="Normal 8 2 2 6 2" xfId="7701"/>
    <cellStyle name="Normal 8 2 2 6 2 2" xfId="13802"/>
    <cellStyle name="Normal 8 2 2 6 3" xfId="13801"/>
    <cellStyle name="Normal 8 2 2 7" xfId="7702"/>
    <cellStyle name="Normal 8 2 2 7 2" xfId="13803"/>
    <cellStyle name="Normal 8 2 2 8" xfId="7703"/>
    <cellStyle name="Normal 8 2 2 9" xfId="13756"/>
    <cellStyle name="Normal 8 2 3" xfId="7704"/>
    <cellStyle name="Normal 8 2 3 2" xfId="7705"/>
    <cellStyle name="Normal 8 2 3 2 2" xfId="7706"/>
    <cellStyle name="Normal 8 2 3 2 2 2" xfId="7707"/>
    <cellStyle name="Normal 8 2 3 2 2 2 2" xfId="7708"/>
    <cellStyle name="Normal 8 2 3 2 2 2 2 2" xfId="13808"/>
    <cellStyle name="Normal 8 2 3 2 2 2 3" xfId="13807"/>
    <cellStyle name="Normal 8 2 3 2 2 3" xfId="7709"/>
    <cellStyle name="Normal 8 2 3 2 2 3 2" xfId="7710"/>
    <cellStyle name="Normal 8 2 3 2 2 3 2 2" xfId="13810"/>
    <cellStyle name="Normal 8 2 3 2 2 3 3" xfId="13809"/>
    <cellStyle name="Normal 8 2 3 2 2 4" xfId="7711"/>
    <cellStyle name="Normal 8 2 3 2 2 4 2" xfId="13811"/>
    <cellStyle name="Normal 8 2 3 2 2 5" xfId="13806"/>
    <cellStyle name="Normal 8 2 3 2 3" xfId="7712"/>
    <cellStyle name="Normal 8 2 3 2 3 2" xfId="7713"/>
    <cellStyle name="Normal 8 2 3 2 3 2 2" xfId="13813"/>
    <cellStyle name="Normal 8 2 3 2 3 3" xfId="13812"/>
    <cellStyle name="Normal 8 2 3 2 4" xfId="7714"/>
    <cellStyle name="Normal 8 2 3 2 4 2" xfId="7715"/>
    <cellStyle name="Normal 8 2 3 2 4 2 2" xfId="13815"/>
    <cellStyle name="Normal 8 2 3 2 4 3" xfId="13814"/>
    <cellStyle name="Normal 8 2 3 2 5" xfId="7716"/>
    <cellStyle name="Normal 8 2 3 2 5 2" xfId="13816"/>
    <cellStyle name="Normal 8 2 3 2 6" xfId="13805"/>
    <cellStyle name="Normal 8 2 3 3" xfId="7717"/>
    <cellStyle name="Normal 8 2 3 3 2" xfId="7718"/>
    <cellStyle name="Normal 8 2 3 3 2 2" xfId="7719"/>
    <cellStyle name="Normal 8 2 3 3 2 2 2" xfId="13819"/>
    <cellStyle name="Normal 8 2 3 3 2 3" xfId="13818"/>
    <cellStyle name="Normal 8 2 3 3 3" xfId="7720"/>
    <cellStyle name="Normal 8 2 3 3 3 2" xfId="7721"/>
    <cellStyle name="Normal 8 2 3 3 3 2 2" xfId="13821"/>
    <cellStyle name="Normal 8 2 3 3 3 3" xfId="13820"/>
    <cellStyle name="Normal 8 2 3 3 4" xfId="7722"/>
    <cellStyle name="Normal 8 2 3 3 4 2" xfId="13822"/>
    <cellStyle name="Normal 8 2 3 3 5" xfId="13817"/>
    <cellStyle name="Normal 8 2 3 4" xfId="7723"/>
    <cellStyle name="Normal 8 2 3 4 2" xfId="7724"/>
    <cellStyle name="Normal 8 2 3 4 2 2" xfId="13824"/>
    <cellStyle name="Normal 8 2 3 4 3" xfId="13823"/>
    <cellStyle name="Normal 8 2 3 5" xfId="7725"/>
    <cellStyle name="Normal 8 2 3 5 2" xfId="7726"/>
    <cellStyle name="Normal 8 2 3 5 2 2" xfId="13826"/>
    <cellStyle name="Normal 8 2 3 5 3" xfId="13825"/>
    <cellStyle name="Normal 8 2 3 6" xfId="7727"/>
    <cellStyle name="Normal 8 2 3 6 2" xfId="13827"/>
    <cellStyle name="Normal 8 2 3 7" xfId="13804"/>
    <cellStyle name="Normal 8 2 4" xfId="7728"/>
    <cellStyle name="Normal 8 2 4 2" xfId="7729"/>
    <cellStyle name="Normal 8 2 4 2 2" xfId="7730"/>
    <cellStyle name="Normal 8 2 4 2 2 2" xfId="7731"/>
    <cellStyle name="Normal 8 2 4 2 2 2 2" xfId="13831"/>
    <cellStyle name="Normal 8 2 4 2 2 3" xfId="13830"/>
    <cellStyle name="Normal 8 2 4 2 3" xfId="7732"/>
    <cellStyle name="Normal 8 2 4 2 3 2" xfId="7733"/>
    <cellStyle name="Normal 8 2 4 2 3 2 2" xfId="13833"/>
    <cellStyle name="Normal 8 2 4 2 3 3" xfId="13832"/>
    <cellStyle name="Normal 8 2 4 2 4" xfId="7734"/>
    <cellStyle name="Normal 8 2 4 2 4 2" xfId="13834"/>
    <cellStyle name="Normal 8 2 4 2 5" xfId="13829"/>
    <cellStyle name="Normal 8 2 4 3" xfId="7735"/>
    <cellStyle name="Normal 8 2 4 3 2" xfId="7736"/>
    <cellStyle name="Normal 8 2 4 3 2 2" xfId="13836"/>
    <cellStyle name="Normal 8 2 4 3 3" xfId="13835"/>
    <cellStyle name="Normal 8 2 4 4" xfId="7737"/>
    <cellStyle name="Normal 8 2 4 4 2" xfId="7738"/>
    <cellStyle name="Normal 8 2 4 4 2 2" xfId="13838"/>
    <cellStyle name="Normal 8 2 4 4 3" xfId="13837"/>
    <cellStyle name="Normal 8 2 4 5" xfId="7739"/>
    <cellStyle name="Normal 8 2 4 5 2" xfId="13839"/>
    <cellStyle name="Normal 8 2 4 6" xfId="13828"/>
    <cellStyle name="Normal 8 2 5" xfId="7740"/>
    <cellStyle name="Normal 8 2 5 2" xfId="7741"/>
    <cellStyle name="Normal 8 2 5 2 2" xfId="7742"/>
    <cellStyle name="Normal 8 2 5 2 2 2" xfId="13842"/>
    <cellStyle name="Normal 8 2 5 2 3" xfId="13841"/>
    <cellStyle name="Normal 8 2 5 3" xfId="7743"/>
    <cellStyle name="Normal 8 2 5 3 2" xfId="7744"/>
    <cellStyle name="Normal 8 2 5 3 2 2" xfId="13844"/>
    <cellStyle name="Normal 8 2 5 3 3" xfId="13843"/>
    <cellStyle name="Normal 8 2 5 4" xfId="7745"/>
    <cellStyle name="Normal 8 2 5 4 2" xfId="13845"/>
    <cellStyle name="Normal 8 2 5 5" xfId="13840"/>
    <cellStyle name="Normal 8 2 6" xfId="7746"/>
    <cellStyle name="Normal 8 2 6 2" xfId="7747"/>
    <cellStyle name="Normal 8 2 6 2 2" xfId="13847"/>
    <cellStyle name="Normal 8 2 6 3" xfId="13846"/>
    <cellStyle name="Normal 8 2 7" xfId="7748"/>
    <cellStyle name="Normal 8 2 7 2" xfId="7749"/>
    <cellStyle name="Normal 8 2 7 2 2" xfId="13849"/>
    <cellStyle name="Normal 8 2 7 3" xfId="13848"/>
    <cellStyle name="Normal 8 2 8" xfId="7750"/>
    <cellStyle name="Normal 8 2 8 2" xfId="13850"/>
    <cellStyle name="Normal 8 2 9" xfId="7751"/>
    <cellStyle name="Normal 8 2 9 2" xfId="13851"/>
    <cellStyle name="Normal 8 3" xfId="7752"/>
    <cellStyle name="Normal 8 3 2" xfId="7753"/>
    <cellStyle name="Normal 8 3 2 2" xfId="7754"/>
    <cellStyle name="Normal 8 3 2 2 2" xfId="7755"/>
    <cellStyle name="Normal 8 3 2 2 2 2" xfId="7756"/>
    <cellStyle name="Normal 8 3 2 2 2 2 2" xfId="7757"/>
    <cellStyle name="Normal 8 3 2 2 2 2 2 2" xfId="13857"/>
    <cellStyle name="Normal 8 3 2 2 2 2 3" xfId="13856"/>
    <cellStyle name="Normal 8 3 2 2 2 3" xfId="7758"/>
    <cellStyle name="Normal 8 3 2 2 2 3 2" xfId="7759"/>
    <cellStyle name="Normal 8 3 2 2 2 3 2 2" xfId="13859"/>
    <cellStyle name="Normal 8 3 2 2 2 3 3" xfId="13858"/>
    <cellStyle name="Normal 8 3 2 2 2 4" xfId="7760"/>
    <cellStyle name="Normal 8 3 2 2 2 4 2" xfId="13860"/>
    <cellStyle name="Normal 8 3 2 2 2 5" xfId="13855"/>
    <cellStyle name="Normal 8 3 2 2 3" xfId="7761"/>
    <cellStyle name="Normal 8 3 2 2 3 2" xfId="7762"/>
    <cellStyle name="Normal 8 3 2 2 3 2 2" xfId="13862"/>
    <cellStyle name="Normal 8 3 2 2 3 3" xfId="13861"/>
    <cellStyle name="Normal 8 3 2 2 4" xfId="7763"/>
    <cellStyle name="Normal 8 3 2 2 4 2" xfId="7764"/>
    <cellStyle name="Normal 8 3 2 2 4 2 2" xfId="13864"/>
    <cellStyle name="Normal 8 3 2 2 4 3" xfId="13863"/>
    <cellStyle name="Normal 8 3 2 2 5" xfId="7765"/>
    <cellStyle name="Normal 8 3 2 2 5 2" xfId="13865"/>
    <cellStyle name="Normal 8 3 2 2 6" xfId="13854"/>
    <cellStyle name="Normal 8 3 2 3" xfId="7766"/>
    <cellStyle name="Normal 8 3 2 3 2" xfId="7767"/>
    <cellStyle name="Normal 8 3 2 3 2 2" xfId="7768"/>
    <cellStyle name="Normal 8 3 2 3 2 2 2" xfId="13868"/>
    <cellStyle name="Normal 8 3 2 3 2 3" xfId="13867"/>
    <cellStyle name="Normal 8 3 2 3 3" xfId="7769"/>
    <cellStyle name="Normal 8 3 2 3 3 2" xfId="7770"/>
    <cellStyle name="Normal 8 3 2 3 3 2 2" xfId="13870"/>
    <cellStyle name="Normal 8 3 2 3 3 3" xfId="13869"/>
    <cellStyle name="Normal 8 3 2 3 4" xfId="7771"/>
    <cellStyle name="Normal 8 3 2 3 4 2" xfId="13871"/>
    <cellStyle name="Normal 8 3 2 3 5" xfId="13866"/>
    <cellStyle name="Normal 8 3 2 4" xfId="7772"/>
    <cellStyle name="Normal 8 3 2 4 2" xfId="7773"/>
    <cellStyle name="Normal 8 3 2 4 2 2" xfId="13873"/>
    <cellStyle name="Normal 8 3 2 4 3" xfId="13872"/>
    <cellStyle name="Normal 8 3 2 5" xfId="7774"/>
    <cellStyle name="Normal 8 3 2 5 2" xfId="7775"/>
    <cellStyle name="Normal 8 3 2 5 2 2" xfId="13875"/>
    <cellStyle name="Normal 8 3 2 5 3" xfId="13874"/>
    <cellStyle name="Normal 8 3 2 6" xfId="7776"/>
    <cellStyle name="Normal 8 3 2 6 2" xfId="13876"/>
    <cellStyle name="Normal 8 3 2 7" xfId="13853"/>
    <cellStyle name="Normal 8 3 3" xfId="7777"/>
    <cellStyle name="Normal 8 3 3 2" xfId="7778"/>
    <cellStyle name="Normal 8 3 3 2 2" xfId="7779"/>
    <cellStyle name="Normal 8 3 3 2 2 2" xfId="7780"/>
    <cellStyle name="Normal 8 3 3 2 2 2 2" xfId="13880"/>
    <cellStyle name="Normal 8 3 3 2 2 3" xfId="13879"/>
    <cellStyle name="Normal 8 3 3 2 3" xfId="7781"/>
    <cellStyle name="Normal 8 3 3 2 3 2" xfId="7782"/>
    <cellStyle name="Normal 8 3 3 2 3 2 2" xfId="13882"/>
    <cellStyle name="Normal 8 3 3 2 3 3" xfId="13881"/>
    <cellStyle name="Normal 8 3 3 2 4" xfId="7783"/>
    <cellStyle name="Normal 8 3 3 2 4 2" xfId="13883"/>
    <cellStyle name="Normal 8 3 3 2 5" xfId="13878"/>
    <cellStyle name="Normal 8 3 3 3" xfId="7784"/>
    <cellStyle name="Normal 8 3 3 3 2" xfId="7785"/>
    <cellStyle name="Normal 8 3 3 3 2 2" xfId="13885"/>
    <cellStyle name="Normal 8 3 3 3 3" xfId="13884"/>
    <cellStyle name="Normal 8 3 3 4" xfId="7786"/>
    <cellStyle name="Normal 8 3 3 4 2" xfId="7787"/>
    <cellStyle name="Normal 8 3 3 4 2 2" xfId="13887"/>
    <cellStyle name="Normal 8 3 3 4 3" xfId="13886"/>
    <cellStyle name="Normal 8 3 3 5" xfId="7788"/>
    <cellStyle name="Normal 8 3 3 5 2" xfId="13888"/>
    <cellStyle name="Normal 8 3 3 6" xfId="13877"/>
    <cellStyle name="Normal 8 3 4" xfId="7789"/>
    <cellStyle name="Normal 8 3 4 2" xfId="7790"/>
    <cellStyle name="Normal 8 3 4 2 2" xfId="7791"/>
    <cellStyle name="Normal 8 3 4 2 2 2" xfId="13891"/>
    <cellStyle name="Normal 8 3 4 2 3" xfId="13890"/>
    <cellStyle name="Normal 8 3 4 3" xfId="7792"/>
    <cellStyle name="Normal 8 3 4 3 2" xfId="7793"/>
    <cellStyle name="Normal 8 3 4 3 2 2" xfId="13893"/>
    <cellStyle name="Normal 8 3 4 3 3" xfId="13892"/>
    <cellStyle name="Normal 8 3 4 4" xfId="7794"/>
    <cellStyle name="Normal 8 3 4 4 2" xfId="13894"/>
    <cellStyle name="Normal 8 3 4 5" xfId="13889"/>
    <cellStyle name="Normal 8 3 5" xfId="7795"/>
    <cellStyle name="Normal 8 3 5 2" xfId="7796"/>
    <cellStyle name="Normal 8 3 5 2 2" xfId="13896"/>
    <cellStyle name="Normal 8 3 5 3" xfId="13895"/>
    <cellStyle name="Normal 8 3 6" xfId="7797"/>
    <cellStyle name="Normal 8 3 6 2" xfId="7798"/>
    <cellStyle name="Normal 8 3 6 2 2" xfId="13898"/>
    <cellStyle name="Normal 8 3 6 3" xfId="13897"/>
    <cellStyle name="Normal 8 3 7" xfId="7799"/>
    <cellStyle name="Normal 8 3 7 2" xfId="13899"/>
    <cellStyle name="Normal 8 3 8" xfId="7800"/>
    <cellStyle name="Normal 8 3 9" xfId="13852"/>
    <cellStyle name="Normal 8 4" xfId="7801"/>
    <cellStyle name="Normal 8 4 2" xfId="7802"/>
    <cellStyle name="Normal 8 4 2 2" xfId="7803"/>
    <cellStyle name="Normal 8 4 2 2 2" xfId="7804"/>
    <cellStyle name="Normal 8 4 2 2 2 2" xfId="7805"/>
    <cellStyle name="Normal 8 4 2 2 2 2 2" xfId="7806"/>
    <cellStyle name="Normal 8 4 2 2 2 2 2 2" xfId="13905"/>
    <cellStyle name="Normal 8 4 2 2 2 2 3" xfId="13904"/>
    <cellStyle name="Normal 8 4 2 2 2 3" xfId="7807"/>
    <cellStyle name="Normal 8 4 2 2 2 3 2" xfId="7808"/>
    <cellStyle name="Normal 8 4 2 2 2 3 2 2" xfId="13907"/>
    <cellStyle name="Normal 8 4 2 2 2 3 3" xfId="13906"/>
    <cellStyle name="Normal 8 4 2 2 2 4" xfId="7809"/>
    <cellStyle name="Normal 8 4 2 2 2 4 2" xfId="13908"/>
    <cellStyle name="Normal 8 4 2 2 2 5" xfId="13903"/>
    <cellStyle name="Normal 8 4 2 2 3" xfId="7810"/>
    <cellStyle name="Normal 8 4 2 2 3 2" xfId="7811"/>
    <cellStyle name="Normal 8 4 2 2 3 2 2" xfId="13910"/>
    <cellStyle name="Normal 8 4 2 2 3 3" xfId="13909"/>
    <cellStyle name="Normal 8 4 2 2 4" xfId="7812"/>
    <cellStyle name="Normal 8 4 2 2 4 2" xfId="7813"/>
    <cellStyle name="Normal 8 4 2 2 4 2 2" xfId="13912"/>
    <cellStyle name="Normal 8 4 2 2 4 3" xfId="13911"/>
    <cellStyle name="Normal 8 4 2 2 5" xfId="7814"/>
    <cellStyle name="Normal 8 4 2 2 5 2" xfId="13913"/>
    <cellStyle name="Normal 8 4 2 2 6" xfId="13902"/>
    <cellStyle name="Normal 8 4 2 3" xfId="7815"/>
    <cellStyle name="Normal 8 4 2 3 2" xfId="7816"/>
    <cellStyle name="Normal 8 4 2 3 2 2" xfId="7817"/>
    <cellStyle name="Normal 8 4 2 3 2 2 2" xfId="13916"/>
    <cellStyle name="Normal 8 4 2 3 2 3" xfId="13915"/>
    <cellStyle name="Normal 8 4 2 3 3" xfId="7818"/>
    <cellStyle name="Normal 8 4 2 3 3 2" xfId="7819"/>
    <cellStyle name="Normal 8 4 2 3 3 2 2" xfId="13918"/>
    <cellStyle name="Normal 8 4 2 3 3 3" xfId="13917"/>
    <cellStyle name="Normal 8 4 2 3 4" xfId="7820"/>
    <cellStyle name="Normal 8 4 2 3 4 2" xfId="13919"/>
    <cellStyle name="Normal 8 4 2 3 5" xfId="13914"/>
    <cellStyle name="Normal 8 4 2 4" xfId="7821"/>
    <cellStyle name="Normal 8 4 2 4 2" xfId="7822"/>
    <cellStyle name="Normal 8 4 2 4 2 2" xfId="13921"/>
    <cellStyle name="Normal 8 4 2 4 3" xfId="13920"/>
    <cellStyle name="Normal 8 4 2 5" xfId="7823"/>
    <cellStyle name="Normal 8 4 2 5 2" xfId="7824"/>
    <cellStyle name="Normal 8 4 2 5 2 2" xfId="13923"/>
    <cellStyle name="Normal 8 4 2 5 3" xfId="13922"/>
    <cellStyle name="Normal 8 4 2 6" xfId="7825"/>
    <cellStyle name="Normal 8 4 2 6 2" xfId="13924"/>
    <cellStyle name="Normal 8 4 2 7" xfId="13901"/>
    <cellStyle name="Normal 8 4 3" xfId="7826"/>
    <cellStyle name="Normal 8 4 3 2" xfId="7827"/>
    <cellStyle name="Normal 8 4 3 2 2" xfId="7828"/>
    <cellStyle name="Normal 8 4 3 2 2 2" xfId="7829"/>
    <cellStyle name="Normal 8 4 3 2 2 2 2" xfId="13928"/>
    <cellStyle name="Normal 8 4 3 2 2 3" xfId="13927"/>
    <cellStyle name="Normal 8 4 3 2 3" xfId="7830"/>
    <cellStyle name="Normal 8 4 3 2 3 2" xfId="7831"/>
    <cellStyle name="Normal 8 4 3 2 3 2 2" xfId="13930"/>
    <cellStyle name="Normal 8 4 3 2 3 3" xfId="13929"/>
    <cellStyle name="Normal 8 4 3 2 4" xfId="7832"/>
    <cellStyle name="Normal 8 4 3 2 4 2" xfId="13931"/>
    <cellStyle name="Normal 8 4 3 2 5" xfId="13926"/>
    <cellStyle name="Normal 8 4 3 3" xfId="7833"/>
    <cellStyle name="Normal 8 4 3 3 2" xfId="7834"/>
    <cellStyle name="Normal 8 4 3 3 2 2" xfId="13933"/>
    <cellStyle name="Normal 8 4 3 3 3" xfId="13932"/>
    <cellStyle name="Normal 8 4 3 4" xfId="7835"/>
    <cellStyle name="Normal 8 4 3 4 2" xfId="7836"/>
    <cellStyle name="Normal 8 4 3 4 2 2" xfId="13935"/>
    <cellStyle name="Normal 8 4 3 4 3" xfId="13934"/>
    <cellStyle name="Normal 8 4 3 5" xfId="7837"/>
    <cellStyle name="Normal 8 4 3 5 2" xfId="13936"/>
    <cellStyle name="Normal 8 4 3 6" xfId="13925"/>
    <cellStyle name="Normal 8 4 4" xfId="7838"/>
    <cellStyle name="Normal 8 4 4 2" xfId="7839"/>
    <cellStyle name="Normal 8 4 4 2 2" xfId="7840"/>
    <cellStyle name="Normal 8 4 4 2 2 2" xfId="13939"/>
    <cellStyle name="Normal 8 4 4 2 3" xfId="13938"/>
    <cellStyle name="Normal 8 4 4 3" xfId="7841"/>
    <cellStyle name="Normal 8 4 4 3 2" xfId="7842"/>
    <cellStyle name="Normal 8 4 4 3 2 2" xfId="13941"/>
    <cellStyle name="Normal 8 4 4 3 3" xfId="13940"/>
    <cellStyle name="Normal 8 4 4 4" xfId="7843"/>
    <cellStyle name="Normal 8 4 4 4 2" xfId="13942"/>
    <cellStyle name="Normal 8 4 4 5" xfId="13937"/>
    <cellStyle name="Normal 8 4 5" xfId="7844"/>
    <cellStyle name="Normal 8 4 5 2" xfId="7845"/>
    <cellStyle name="Normal 8 4 5 2 2" xfId="13944"/>
    <cellStyle name="Normal 8 4 5 3" xfId="13943"/>
    <cellStyle name="Normal 8 4 6" xfId="7846"/>
    <cellStyle name="Normal 8 4 6 2" xfId="7847"/>
    <cellStyle name="Normal 8 4 6 2 2" xfId="13946"/>
    <cellStyle name="Normal 8 4 6 3" xfId="13945"/>
    <cellStyle name="Normal 8 4 7" xfId="7848"/>
    <cellStyle name="Normal 8 4 7 2" xfId="13947"/>
    <cellStyle name="Normal 8 4 8" xfId="13900"/>
    <cellStyle name="Normal 8 5" xfId="7849"/>
    <cellStyle name="Normal 8 5 2" xfId="7850"/>
    <cellStyle name="Normal 8 5 2 2" xfId="7851"/>
    <cellStyle name="Normal 8 5 2 2 2" xfId="7852"/>
    <cellStyle name="Normal 8 5 2 2 2 2" xfId="7853"/>
    <cellStyle name="Normal 8 5 2 2 2 2 2" xfId="13952"/>
    <cellStyle name="Normal 8 5 2 2 2 3" xfId="13951"/>
    <cellStyle name="Normal 8 5 2 2 3" xfId="7854"/>
    <cellStyle name="Normal 8 5 2 2 3 2" xfId="7855"/>
    <cellStyle name="Normal 8 5 2 2 3 2 2" xfId="13954"/>
    <cellStyle name="Normal 8 5 2 2 3 3" xfId="13953"/>
    <cellStyle name="Normal 8 5 2 2 4" xfId="7856"/>
    <cellStyle name="Normal 8 5 2 2 4 2" xfId="13955"/>
    <cellStyle name="Normal 8 5 2 2 5" xfId="13950"/>
    <cellStyle name="Normal 8 5 2 3" xfId="7857"/>
    <cellStyle name="Normal 8 5 2 3 2" xfId="7858"/>
    <cellStyle name="Normal 8 5 2 3 2 2" xfId="13957"/>
    <cellStyle name="Normal 8 5 2 3 3" xfId="13956"/>
    <cellStyle name="Normal 8 5 2 4" xfId="7859"/>
    <cellStyle name="Normal 8 5 2 4 2" xfId="7860"/>
    <cellStyle name="Normal 8 5 2 4 2 2" xfId="13959"/>
    <cellStyle name="Normal 8 5 2 4 3" xfId="13958"/>
    <cellStyle name="Normal 8 5 2 5" xfId="7861"/>
    <cellStyle name="Normal 8 5 2 5 2" xfId="13960"/>
    <cellStyle name="Normal 8 5 2 6" xfId="13949"/>
    <cellStyle name="Normal 8 5 3" xfId="7862"/>
    <cellStyle name="Normal 8 5 3 2" xfId="7863"/>
    <cellStyle name="Normal 8 5 3 2 2" xfId="7864"/>
    <cellStyle name="Normal 8 5 3 2 2 2" xfId="13963"/>
    <cellStyle name="Normal 8 5 3 2 3" xfId="13962"/>
    <cellStyle name="Normal 8 5 3 3" xfId="7865"/>
    <cellStyle name="Normal 8 5 3 3 2" xfId="7866"/>
    <cellStyle name="Normal 8 5 3 3 2 2" xfId="13965"/>
    <cellStyle name="Normal 8 5 3 3 3" xfId="13964"/>
    <cellStyle name="Normal 8 5 3 4" xfId="7867"/>
    <cellStyle name="Normal 8 5 3 4 2" xfId="13966"/>
    <cellStyle name="Normal 8 5 3 5" xfId="13961"/>
    <cellStyle name="Normal 8 5 4" xfId="7868"/>
    <cellStyle name="Normal 8 5 4 2" xfId="7869"/>
    <cellStyle name="Normal 8 5 4 2 2" xfId="13968"/>
    <cellStyle name="Normal 8 5 4 3" xfId="13967"/>
    <cellStyle name="Normal 8 5 5" xfId="7870"/>
    <cellStyle name="Normal 8 5 5 2" xfId="7871"/>
    <cellStyle name="Normal 8 5 5 2 2" xfId="13970"/>
    <cellStyle name="Normal 8 5 5 3" xfId="13969"/>
    <cellStyle name="Normal 8 5 6" xfId="7872"/>
    <cellStyle name="Normal 8 5 6 2" xfId="13971"/>
    <cellStyle name="Normal 8 5 7" xfId="13948"/>
    <cellStyle name="Normal 8 6" xfId="7873"/>
    <cellStyle name="Normal 8 6 2" xfId="7874"/>
    <cellStyle name="Normal 8 6 2 2" xfId="7875"/>
    <cellStyle name="Normal 8 6 2 2 2" xfId="7876"/>
    <cellStyle name="Normal 8 6 2 2 2 2" xfId="13975"/>
    <cellStyle name="Normal 8 6 2 2 3" xfId="13974"/>
    <cellStyle name="Normal 8 6 2 3" xfId="7877"/>
    <cellStyle name="Normal 8 6 2 3 2" xfId="7878"/>
    <cellStyle name="Normal 8 6 2 3 2 2" xfId="13977"/>
    <cellStyle name="Normal 8 6 2 3 3" xfId="13976"/>
    <cellStyle name="Normal 8 6 2 4" xfId="7879"/>
    <cellStyle name="Normal 8 6 2 4 2" xfId="13978"/>
    <cellStyle name="Normal 8 6 2 5" xfId="13973"/>
    <cellStyle name="Normal 8 6 3" xfId="7880"/>
    <cellStyle name="Normal 8 6 3 2" xfId="7881"/>
    <cellStyle name="Normal 8 6 3 2 2" xfId="13980"/>
    <cellStyle name="Normal 8 6 3 3" xfId="13979"/>
    <cellStyle name="Normal 8 6 4" xfId="7882"/>
    <cellStyle name="Normal 8 6 4 2" xfId="7883"/>
    <cellStyle name="Normal 8 6 4 2 2" xfId="13982"/>
    <cellStyle name="Normal 8 6 4 3" xfId="13981"/>
    <cellStyle name="Normal 8 6 5" xfId="7884"/>
    <cellStyle name="Normal 8 6 5 2" xfId="13983"/>
    <cellStyle name="Normal 8 6 6" xfId="13972"/>
    <cellStyle name="Normal 8 7" xfId="7885"/>
    <cellStyle name="Normal 8 7 2" xfId="7886"/>
    <cellStyle name="Normal 8 7 2 2" xfId="7887"/>
    <cellStyle name="Normal 8 7 2 2 2" xfId="13986"/>
    <cellStyle name="Normal 8 7 2 3" xfId="13985"/>
    <cellStyle name="Normal 8 7 3" xfId="7888"/>
    <cellStyle name="Normal 8 7 3 2" xfId="7889"/>
    <cellStyle name="Normal 8 7 3 2 2" xfId="13988"/>
    <cellStyle name="Normal 8 7 3 3" xfId="13987"/>
    <cellStyle name="Normal 8 7 4" xfId="7890"/>
    <cellStyle name="Normal 8 7 4 2" xfId="13989"/>
    <cellStyle name="Normal 8 7 5" xfId="13984"/>
    <cellStyle name="Normal 8 8" xfId="7891"/>
    <cellStyle name="Normal 8 8 2" xfId="7892"/>
    <cellStyle name="Normal 8 8 2 2" xfId="13991"/>
    <cellStyle name="Normal 8 8 3" xfId="13990"/>
    <cellStyle name="Normal 8 9" xfId="7893"/>
    <cellStyle name="Normal 8 9 2" xfId="7894"/>
    <cellStyle name="Normal 8 9 2 2" xfId="13993"/>
    <cellStyle name="Normal 8 9 3" xfId="13992"/>
    <cellStyle name="Normal 8_2180" xfId="13994"/>
    <cellStyle name="Normal 80" xfId="7895"/>
    <cellStyle name="Normal 80 2" xfId="7896"/>
    <cellStyle name="Normal 80 3" xfId="13995"/>
    <cellStyle name="Normal 81" xfId="7897"/>
    <cellStyle name="Normal 81 2" xfId="7898"/>
    <cellStyle name="Normal 81 2 2" xfId="7899"/>
    <cellStyle name="Normal 81 2 2 2" xfId="7900"/>
    <cellStyle name="Normal 81 2 2 2 2" xfId="13999"/>
    <cellStyle name="Normal 81 2 2 3" xfId="13998"/>
    <cellStyle name="Normal 81 2 3" xfId="7901"/>
    <cellStyle name="Normal 81 2 3 2" xfId="7902"/>
    <cellStyle name="Normal 81 2 3 2 2" xfId="14001"/>
    <cellStyle name="Normal 81 2 3 3" xfId="14000"/>
    <cellStyle name="Normal 81 2 4" xfId="7903"/>
    <cellStyle name="Normal 81 2 4 2" xfId="14002"/>
    <cellStyle name="Normal 81 2 5" xfId="13997"/>
    <cellStyle name="Normal 81 3" xfId="7904"/>
    <cellStyle name="Normal 81 3 2" xfId="7905"/>
    <cellStyle name="Normal 81 3 2 2" xfId="14004"/>
    <cellStyle name="Normal 81 3 3" xfId="14003"/>
    <cellStyle name="Normal 81 4" xfId="7906"/>
    <cellStyle name="Normal 81 4 2" xfId="7907"/>
    <cellStyle name="Normal 81 4 2 2" xfId="14006"/>
    <cellStyle name="Normal 81 4 3" xfId="14005"/>
    <cellStyle name="Normal 81 5" xfId="7908"/>
    <cellStyle name="Normal 81 5 2" xfId="14007"/>
    <cellStyle name="Normal 81 6" xfId="7909"/>
    <cellStyle name="Normal 81 7" xfId="13996"/>
    <cellStyle name="Normal 82" xfId="7910"/>
    <cellStyle name="Normal 82 2" xfId="7911"/>
    <cellStyle name="Normal 82 2 2" xfId="7912"/>
    <cellStyle name="Normal 82 2 2 2" xfId="7913"/>
    <cellStyle name="Normal 82 2 2 2 2" xfId="14011"/>
    <cellStyle name="Normal 82 2 2 3" xfId="14010"/>
    <cellStyle name="Normal 82 2 3" xfId="7914"/>
    <cellStyle name="Normal 82 2 3 2" xfId="7915"/>
    <cellStyle name="Normal 82 2 3 2 2" xfId="14013"/>
    <cellStyle name="Normal 82 2 3 3" xfId="14012"/>
    <cellStyle name="Normal 82 2 4" xfId="7916"/>
    <cellStyle name="Normal 82 2 4 2" xfId="14014"/>
    <cellStyle name="Normal 82 2 5" xfId="14009"/>
    <cellStyle name="Normal 82 3" xfId="7917"/>
    <cellStyle name="Normal 82 3 2" xfId="7918"/>
    <cellStyle name="Normal 82 3 2 2" xfId="14016"/>
    <cellStyle name="Normal 82 3 3" xfId="14015"/>
    <cellStyle name="Normal 82 4" xfId="7919"/>
    <cellStyle name="Normal 82 4 2" xfId="7920"/>
    <cellStyle name="Normal 82 4 2 2" xfId="14018"/>
    <cellStyle name="Normal 82 4 3" xfId="14017"/>
    <cellStyle name="Normal 82 5" xfId="7921"/>
    <cellStyle name="Normal 82 5 2" xfId="14019"/>
    <cellStyle name="Normal 82 6" xfId="7922"/>
    <cellStyle name="Normal 82 7" xfId="14008"/>
    <cellStyle name="Normal 83" xfId="7923"/>
    <cellStyle name="Normal 83 2" xfId="7924"/>
    <cellStyle name="Normal 83 3" xfId="14020"/>
    <cellStyle name="Normal 84" xfId="7925"/>
    <cellStyle name="Normal 84 2" xfId="7926"/>
    <cellStyle name="Normal 84 2 2" xfId="7927"/>
    <cellStyle name="Normal 84 2 2 2" xfId="7928"/>
    <cellStyle name="Normal 84 2 2 2 2" xfId="14024"/>
    <cellStyle name="Normal 84 2 2 3" xfId="14023"/>
    <cellStyle name="Normal 84 2 3" xfId="7929"/>
    <cellStyle name="Normal 84 2 3 2" xfId="7930"/>
    <cellStyle name="Normal 84 2 3 2 2" xfId="14026"/>
    <cellStyle name="Normal 84 2 3 3" xfId="14025"/>
    <cellStyle name="Normal 84 2 4" xfId="7931"/>
    <cellStyle name="Normal 84 2 4 2" xfId="14027"/>
    <cellStyle name="Normal 84 2 5" xfId="7932"/>
    <cellStyle name="Normal 84 2 6" xfId="14022"/>
    <cellStyle name="Normal 84 3" xfId="7933"/>
    <cellStyle name="Normal 84 3 2" xfId="7934"/>
    <cellStyle name="Normal 84 3 2 2" xfId="14029"/>
    <cellStyle name="Normal 84 3 3" xfId="7935"/>
    <cellStyle name="Normal 84 3 4" xfId="14028"/>
    <cellStyle name="Normal 84 4" xfId="7936"/>
    <cellStyle name="Normal 84 4 2" xfId="7937"/>
    <cellStyle name="Normal 84 4 2 2" xfId="14031"/>
    <cellStyle name="Normal 84 4 3" xfId="14030"/>
    <cellStyle name="Normal 84 5" xfId="7938"/>
    <cellStyle name="Normal 84 5 2" xfId="14032"/>
    <cellStyle name="Normal 84 6" xfId="7939"/>
    <cellStyle name="Normal 84 7" xfId="14021"/>
    <cellStyle name="Normal 85" xfId="7940"/>
    <cellStyle name="Normal 85 2" xfId="7941"/>
    <cellStyle name="Normal 85 2 2" xfId="7942"/>
    <cellStyle name="Normal 85 2 2 2" xfId="14035"/>
    <cellStyle name="Normal 85 2 3" xfId="7943"/>
    <cellStyle name="Normal 85 2 4" xfId="14034"/>
    <cellStyle name="Normal 85 3" xfId="7944"/>
    <cellStyle name="Normal 85 3 2" xfId="7945"/>
    <cellStyle name="Normal 85 3 2 2" xfId="14037"/>
    <cellStyle name="Normal 85 3 3" xfId="7946"/>
    <cellStyle name="Normal 85 3 4" xfId="14036"/>
    <cellStyle name="Normal 85 4" xfId="7947"/>
    <cellStyle name="Normal 85 4 2" xfId="14038"/>
    <cellStyle name="Normal 85 5" xfId="7948"/>
    <cellStyle name="Normal 85 6" xfId="14033"/>
    <cellStyle name="Normal 86" xfId="7949"/>
    <cellStyle name="Normal 86 2" xfId="7950"/>
    <cellStyle name="Normal 86 2 2" xfId="14040"/>
    <cellStyle name="Normal 86 3" xfId="7951"/>
    <cellStyle name="Normal 86 3 2" xfId="14041"/>
    <cellStyle name="Normal 86 4" xfId="7952"/>
    <cellStyle name="Normal 86 5" xfId="14039"/>
    <cellStyle name="Normal 87" xfId="7953"/>
    <cellStyle name="Normal 87 2" xfId="7954"/>
    <cellStyle name="Normal 87 2 2" xfId="14043"/>
    <cellStyle name="Normal 87 3" xfId="7955"/>
    <cellStyle name="Normal 87 4" xfId="14042"/>
    <cellStyle name="Normal 88" xfId="7956"/>
    <cellStyle name="Normal 88 2" xfId="7957"/>
    <cellStyle name="Normal 88 2 2" xfId="14045"/>
    <cellStyle name="Normal 88 3" xfId="7958"/>
    <cellStyle name="Normal 88 4" xfId="14044"/>
    <cellStyle name="Normal 89" xfId="7959"/>
    <cellStyle name="Normal 89 2" xfId="7960"/>
    <cellStyle name="Normal 89 3" xfId="14046"/>
    <cellStyle name="Normal 9" xfId="14047"/>
    <cellStyle name="Normal 9 10" xfId="7961"/>
    <cellStyle name="Normal 9 10 2" xfId="14048"/>
    <cellStyle name="Normal 9 11" xfId="7962"/>
    <cellStyle name="Normal 9 11 2" xfId="14049"/>
    <cellStyle name="Normal 9 12" xfId="7963"/>
    <cellStyle name="Normal 9 12 2" xfId="14050"/>
    <cellStyle name="Normal 9 13" xfId="7964"/>
    <cellStyle name="Normal 9 13 2" xfId="14051"/>
    <cellStyle name="Normal 9 14" xfId="7965"/>
    <cellStyle name="Normal 9 2" xfId="7966"/>
    <cellStyle name="Normal 9 2 10" xfId="7967"/>
    <cellStyle name="Normal 9 2 10 2" xfId="14053"/>
    <cellStyle name="Normal 9 2 11" xfId="7968"/>
    <cellStyle name="Normal 9 2 11 2" xfId="14054"/>
    <cellStyle name="Normal 9 2 12" xfId="7969"/>
    <cellStyle name="Normal 9 2 12 2" xfId="14055"/>
    <cellStyle name="Normal 9 2 13" xfId="7970"/>
    <cellStyle name="Normal 9 2 14" xfId="14052"/>
    <cellStyle name="Normal 9 2 2" xfId="7971"/>
    <cellStyle name="Normal 9 2 2 2" xfId="7972"/>
    <cellStyle name="Normal 9 2 2 2 2" xfId="7973"/>
    <cellStyle name="Normal 9 2 2 2 2 2" xfId="7974"/>
    <cellStyle name="Normal 9 2 2 2 2 2 2" xfId="7975"/>
    <cellStyle name="Normal 9 2 2 2 2 2 2 2" xfId="7976"/>
    <cellStyle name="Normal 9 2 2 2 2 2 2 2 2" xfId="14061"/>
    <cellStyle name="Normal 9 2 2 2 2 2 2 3" xfId="14060"/>
    <cellStyle name="Normal 9 2 2 2 2 2 3" xfId="7977"/>
    <cellStyle name="Normal 9 2 2 2 2 2 3 2" xfId="7978"/>
    <cellStyle name="Normal 9 2 2 2 2 2 3 2 2" xfId="14063"/>
    <cellStyle name="Normal 9 2 2 2 2 2 3 3" xfId="14062"/>
    <cellStyle name="Normal 9 2 2 2 2 2 4" xfId="7979"/>
    <cellStyle name="Normal 9 2 2 2 2 2 4 2" xfId="14064"/>
    <cellStyle name="Normal 9 2 2 2 2 2 5" xfId="14059"/>
    <cellStyle name="Normal 9 2 2 2 2 3" xfId="7980"/>
    <cellStyle name="Normal 9 2 2 2 2 3 2" xfId="7981"/>
    <cellStyle name="Normal 9 2 2 2 2 3 2 2" xfId="14066"/>
    <cellStyle name="Normal 9 2 2 2 2 3 3" xfId="14065"/>
    <cellStyle name="Normal 9 2 2 2 2 4" xfId="7982"/>
    <cellStyle name="Normal 9 2 2 2 2 4 2" xfId="7983"/>
    <cellStyle name="Normal 9 2 2 2 2 4 2 2" xfId="14068"/>
    <cellStyle name="Normal 9 2 2 2 2 4 3" xfId="14067"/>
    <cellStyle name="Normal 9 2 2 2 2 5" xfId="7984"/>
    <cellStyle name="Normal 9 2 2 2 2 5 2" xfId="14069"/>
    <cellStyle name="Normal 9 2 2 2 2 6" xfId="14058"/>
    <cellStyle name="Normal 9 2 2 2 3" xfId="7985"/>
    <cellStyle name="Normal 9 2 2 2 3 2" xfId="7986"/>
    <cellStyle name="Normal 9 2 2 2 3 2 2" xfId="7987"/>
    <cellStyle name="Normal 9 2 2 2 3 2 2 2" xfId="14072"/>
    <cellStyle name="Normal 9 2 2 2 3 2 3" xfId="14071"/>
    <cellStyle name="Normal 9 2 2 2 3 3" xfId="7988"/>
    <cellStyle name="Normal 9 2 2 2 3 3 2" xfId="7989"/>
    <cellStyle name="Normal 9 2 2 2 3 3 2 2" xfId="14074"/>
    <cellStyle name="Normal 9 2 2 2 3 3 3" xfId="14073"/>
    <cellStyle name="Normal 9 2 2 2 3 4" xfId="7990"/>
    <cellStyle name="Normal 9 2 2 2 3 4 2" xfId="14075"/>
    <cellStyle name="Normal 9 2 2 2 3 5" xfId="14070"/>
    <cellStyle name="Normal 9 2 2 2 4" xfId="7991"/>
    <cellStyle name="Normal 9 2 2 2 4 2" xfId="7992"/>
    <cellStyle name="Normal 9 2 2 2 4 2 2" xfId="14077"/>
    <cellStyle name="Normal 9 2 2 2 4 3" xfId="14076"/>
    <cellStyle name="Normal 9 2 2 2 5" xfId="7993"/>
    <cellStyle name="Normal 9 2 2 2 5 2" xfId="7994"/>
    <cellStyle name="Normal 9 2 2 2 5 2 2" xfId="14079"/>
    <cellStyle name="Normal 9 2 2 2 5 3" xfId="14078"/>
    <cellStyle name="Normal 9 2 2 2 6" xfId="7995"/>
    <cellStyle name="Normal 9 2 2 2 6 2" xfId="14080"/>
    <cellStyle name="Normal 9 2 2 2 7" xfId="14057"/>
    <cellStyle name="Normal 9 2 2 3" xfId="7996"/>
    <cellStyle name="Normal 9 2 2 3 2" xfId="7997"/>
    <cellStyle name="Normal 9 2 2 3 2 2" xfId="7998"/>
    <cellStyle name="Normal 9 2 2 3 2 2 2" xfId="7999"/>
    <cellStyle name="Normal 9 2 2 3 2 2 2 2" xfId="14084"/>
    <cellStyle name="Normal 9 2 2 3 2 2 3" xfId="14083"/>
    <cellStyle name="Normal 9 2 2 3 2 3" xfId="8000"/>
    <cellStyle name="Normal 9 2 2 3 2 3 2" xfId="8001"/>
    <cellStyle name="Normal 9 2 2 3 2 3 2 2" xfId="14086"/>
    <cellStyle name="Normal 9 2 2 3 2 3 3" xfId="14085"/>
    <cellStyle name="Normal 9 2 2 3 2 4" xfId="8002"/>
    <cellStyle name="Normal 9 2 2 3 2 4 2" xfId="14087"/>
    <cellStyle name="Normal 9 2 2 3 2 5" xfId="14082"/>
    <cellStyle name="Normal 9 2 2 3 3" xfId="8003"/>
    <cellStyle name="Normal 9 2 2 3 3 2" xfId="8004"/>
    <cellStyle name="Normal 9 2 2 3 3 2 2" xfId="14089"/>
    <cellStyle name="Normal 9 2 2 3 3 3" xfId="14088"/>
    <cellStyle name="Normal 9 2 2 3 4" xfId="8005"/>
    <cellStyle name="Normal 9 2 2 3 4 2" xfId="8006"/>
    <cellStyle name="Normal 9 2 2 3 4 2 2" xfId="14091"/>
    <cellStyle name="Normal 9 2 2 3 4 3" xfId="14090"/>
    <cellStyle name="Normal 9 2 2 3 5" xfId="8007"/>
    <cellStyle name="Normal 9 2 2 3 5 2" xfId="14092"/>
    <cellStyle name="Normal 9 2 2 3 6" xfId="14081"/>
    <cellStyle name="Normal 9 2 2 4" xfId="8008"/>
    <cellStyle name="Normal 9 2 2 4 2" xfId="8009"/>
    <cellStyle name="Normal 9 2 2 4 2 2" xfId="8010"/>
    <cellStyle name="Normal 9 2 2 4 2 2 2" xfId="14095"/>
    <cellStyle name="Normal 9 2 2 4 2 3" xfId="14094"/>
    <cellStyle name="Normal 9 2 2 4 3" xfId="8011"/>
    <cellStyle name="Normal 9 2 2 4 3 2" xfId="8012"/>
    <cellStyle name="Normal 9 2 2 4 3 2 2" xfId="14097"/>
    <cellStyle name="Normal 9 2 2 4 3 3" xfId="14096"/>
    <cellStyle name="Normal 9 2 2 4 4" xfId="8013"/>
    <cellStyle name="Normal 9 2 2 4 4 2" xfId="14098"/>
    <cellStyle name="Normal 9 2 2 4 5" xfId="14093"/>
    <cellStyle name="Normal 9 2 2 5" xfId="8014"/>
    <cellStyle name="Normal 9 2 2 5 2" xfId="8015"/>
    <cellStyle name="Normal 9 2 2 5 2 2" xfId="14100"/>
    <cellStyle name="Normal 9 2 2 5 3" xfId="14099"/>
    <cellStyle name="Normal 9 2 2 6" xfId="8016"/>
    <cellStyle name="Normal 9 2 2 6 2" xfId="8017"/>
    <cellStyle name="Normal 9 2 2 6 2 2" xfId="14102"/>
    <cellStyle name="Normal 9 2 2 6 3" xfId="14101"/>
    <cellStyle name="Normal 9 2 2 7" xfId="8018"/>
    <cellStyle name="Normal 9 2 2 7 2" xfId="14103"/>
    <cellStyle name="Normal 9 2 2 8" xfId="8019"/>
    <cellStyle name="Normal 9 2 2 9" xfId="14056"/>
    <cellStyle name="Normal 9 2 3" xfId="8020"/>
    <cellStyle name="Normal 9 2 3 2" xfId="8021"/>
    <cellStyle name="Normal 9 2 3 2 2" xfId="8022"/>
    <cellStyle name="Normal 9 2 3 2 2 2" xfId="8023"/>
    <cellStyle name="Normal 9 2 3 2 2 2 2" xfId="8024"/>
    <cellStyle name="Normal 9 2 3 2 2 2 2 2" xfId="14108"/>
    <cellStyle name="Normal 9 2 3 2 2 2 3" xfId="14107"/>
    <cellStyle name="Normal 9 2 3 2 2 3" xfId="8025"/>
    <cellStyle name="Normal 9 2 3 2 2 3 2" xfId="8026"/>
    <cellStyle name="Normal 9 2 3 2 2 3 2 2" xfId="14110"/>
    <cellStyle name="Normal 9 2 3 2 2 3 3" xfId="14109"/>
    <cellStyle name="Normal 9 2 3 2 2 4" xfId="8027"/>
    <cellStyle name="Normal 9 2 3 2 2 4 2" xfId="14111"/>
    <cellStyle name="Normal 9 2 3 2 2 5" xfId="14106"/>
    <cellStyle name="Normal 9 2 3 2 3" xfId="8028"/>
    <cellStyle name="Normal 9 2 3 2 3 2" xfId="8029"/>
    <cellStyle name="Normal 9 2 3 2 3 2 2" xfId="14113"/>
    <cellStyle name="Normal 9 2 3 2 3 3" xfId="14112"/>
    <cellStyle name="Normal 9 2 3 2 4" xfId="8030"/>
    <cellStyle name="Normal 9 2 3 2 4 2" xfId="8031"/>
    <cellStyle name="Normal 9 2 3 2 4 2 2" xfId="14115"/>
    <cellStyle name="Normal 9 2 3 2 4 3" xfId="14114"/>
    <cellStyle name="Normal 9 2 3 2 5" xfId="8032"/>
    <cellStyle name="Normal 9 2 3 2 5 2" xfId="14116"/>
    <cellStyle name="Normal 9 2 3 2 6" xfId="14105"/>
    <cellStyle name="Normal 9 2 3 3" xfId="8033"/>
    <cellStyle name="Normal 9 2 3 3 2" xfId="8034"/>
    <cellStyle name="Normal 9 2 3 3 2 2" xfId="8035"/>
    <cellStyle name="Normal 9 2 3 3 2 2 2" xfId="14119"/>
    <cellStyle name="Normal 9 2 3 3 2 3" xfId="14118"/>
    <cellStyle name="Normal 9 2 3 3 3" xfId="8036"/>
    <cellStyle name="Normal 9 2 3 3 3 2" xfId="8037"/>
    <cellStyle name="Normal 9 2 3 3 3 2 2" xfId="14121"/>
    <cellStyle name="Normal 9 2 3 3 3 3" xfId="14120"/>
    <cellStyle name="Normal 9 2 3 3 4" xfId="8038"/>
    <cellStyle name="Normal 9 2 3 3 4 2" xfId="14122"/>
    <cellStyle name="Normal 9 2 3 3 5" xfId="14117"/>
    <cellStyle name="Normal 9 2 3 4" xfId="8039"/>
    <cellStyle name="Normal 9 2 3 4 2" xfId="8040"/>
    <cellStyle name="Normal 9 2 3 4 2 2" xfId="14124"/>
    <cellStyle name="Normal 9 2 3 4 3" xfId="8041"/>
    <cellStyle name="Normal 9 2 3 4 3 2" xfId="14125"/>
    <cellStyle name="Normal 9 2 3 4 4" xfId="14123"/>
    <cellStyle name="Normal 9 2 3 5" xfId="8042"/>
    <cellStyle name="Normal 9 2 3 5 2" xfId="8043"/>
    <cellStyle name="Normal 9 2 3 5 2 2" xfId="14127"/>
    <cellStyle name="Normal 9 2 3 5 3" xfId="14126"/>
    <cellStyle name="Normal 9 2 3 6" xfId="8044"/>
    <cellStyle name="Normal 9 2 3 6 2" xfId="14128"/>
    <cellStyle name="Normal 9 2 3 7" xfId="14104"/>
    <cellStyle name="Normal 9 2 4" xfId="8045"/>
    <cellStyle name="Normal 9 2 4 2" xfId="8046"/>
    <cellStyle name="Normal 9 2 4 2 2" xfId="8047"/>
    <cellStyle name="Normal 9 2 4 2 2 2" xfId="8048"/>
    <cellStyle name="Normal 9 2 4 2 2 2 2" xfId="14132"/>
    <cellStyle name="Normal 9 2 4 2 2 3" xfId="14131"/>
    <cellStyle name="Normal 9 2 4 2 3" xfId="8049"/>
    <cellStyle name="Normal 9 2 4 2 3 2" xfId="8050"/>
    <cellStyle name="Normal 9 2 4 2 3 2 2" xfId="14134"/>
    <cellStyle name="Normal 9 2 4 2 3 3" xfId="14133"/>
    <cellStyle name="Normal 9 2 4 2 4" xfId="8051"/>
    <cellStyle name="Normal 9 2 4 2 4 2" xfId="14135"/>
    <cellStyle name="Normal 9 2 4 2 5" xfId="8052"/>
    <cellStyle name="Normal 9 2 4 2 5 2" xfId="14136"/>
    <cellStyle name="Normal 9 2 4 2 6" xfId="14130"/>
    <cellStyle name="Normal 9 2 4 3" xfId="8053"/>
    <cellStyle name="Normal 9 2 4 3 2" xfId="8054"/>
    <cellStyle name="Normal 9 2 4 3 2 2" xfId="14138"/>
    <cellStyle name="Normal 9 2 4 3 3" xfId="8055"/>
    <cellStyle name="Normal 9 2 4 3 3 2" xfId="14139"/>
    <cellStyle name="Normal 9 2 4 3 4" xfId="14137"/>
    <cellStyle name="Normal 9 2 4 4" xfId="8056"/>
    <cellStyle name="Normal 9 2 4 4 2" xfId="8057"/>
    <cellStyle name="Normal 9 2 4 4 2 2" xfId="14141"/>
    <cellStyle name="Normal 9 2 4 4 3" xfId="8058"/>
    <cellStyle name="Normal 9 2 4 4 3 2" xfId="14142"/>
    <cellStyle name="Normal 9 2 4 4 4" xfId="14140"/>
    <cellStyle name="Normal 9 2 4 5" xfId="8059"/>
    <cellStyle name="Normal 9 2 4 5 2" xfId="14143"/>
    <cellStyle name="Normal 9 2 4 6" xfId="8060"/>
    <cellStyle name="Normal 9 2 4 6 2" xfId="14144"/>
    <cellStyle name="Normal 9 2 4 7" xfId="14129"/>
    <cellStyle name="Normal 9 2 5" xfId="8061"/>
    <cellStyle name="Normal 9 2 5 10" xfId="14145"/>
    <cellStyle name="Normal 9 2 5 2" xfId="8062"/>
    <cellStyle name="Normal 9 2 5 2 2" xfId="8063"/>
    <cellStyle name="Normal 9 2 5 2 2 2" xfId="8064"/>
    <cellStyle name="Normal 9 2 5 2 2 2 2" xfId="14148"/>
    <cellStyle name="Normal 9 2 5 2 2 3" xfId="8065"/>
    <cellStyle name="Normal 9 2 5 2 2 3 2" xfId="14149"/>
    <cellStyle name="Normal 9 2 5 2 2 4" xfId="8066"/>
    <cellStyle name="Normal 9 2 5 2 2 4 2" xfId="14150"/>
    <cellStyle name="Normal 9 2 5 2 2 5" xfId="8067"/>
    <cellStyle name="Normal 9 2 5 2 2 5 2" xfId="14151"/>
    <cellStyle name="Normal 9 2 5 2 2 6" xfId="14147"/>
    <cellStyle name="Normal 9 2 5 2 3" xfId="8068"/>
    <cellStyle name="Normal 9 2 5 2 3 2" xfId="8069"/>
    <cellStyle name="Normal 9 2 5 2 3 2 2" xfId="14153"/>
    <cellStyle name="Normal 9 2 5 2 3 3" xfId="8070"/>
    <cellStyle name="Normal 9 2 5 2 3 3 2" xfId="14154"/>
    <cellStyle name="Normal 9 2 5 2 3 4" xfId="14152"/>
    <cellStyle name="Normal 9 2 5 2 4" xfId="8071"/>
    <cellStyle name="Normal 9 2 5 2 4 2" xfId="8072"/>
    <cellStyle name="Normal 9 2 5 2 4 2 2" xfId="14156"/>
    <cellStyle name="Normal 9 2 5 2 4 3" xfId="8073"/>
    <cellStyle name="Normal 9 2 5 2 4 3 2" xfId="14157"/>
    <cellStyle name="Normal 9 2 5 2 4 4" xfId="14155"/>
    <cellStyle name="Normal 9 2 5 2 5" xfId="8074"/>
    <cellStyle name="Normal 9 2 5 2 5 2" xfId="14158"/>
    <cellStyle name="Normal 9 2 5 2 6" xfId="8075"/>
    <cellStyle name="Normal 9 2 5 2 6 2" xfId="14159"/>
    <cellStyle name="Normal 9 2 5 2 7" xfId="14146"/>
    <cellStyle name="Normal 9 2 5 3" xfId="8076"/>
    <cellStyle name="Normal 9 2 5 3 2" xfId="8077"/>
    <cellStyle name="Normal 9 2 5 3 2 2" xfId="8078"/>
    <cellStyle name="Normal 9 2 5 3 2 2 2" xfId="8079"/>
    <cellStyle name="Normal 9 2 5 3 2 2 2 2" xfId="14163"/>
    <cellStyle name="Normal 9 2 5 3 2 2 3" xfId="8080"/>
    <cellStyle name="Normal 9 2 5 3 2 2 3 2" xfId="14164"/>
    <cellStyle name="Normal 9 2 5 3 2 2 4" xfId="14162"/>
    <cellStyle name="Normal 9 2 5 3 2 3" xfId="8081"/>
    <cellStyle name="Normal 9 2 5 3 2 3 2" xfId="8082"/>
    <cellStyle name="Normal 9 2 5 3 2 3 2 2" xfId="14166"/>
    <cellStyle name="Normal 9 2 5 3 2 3 3" xfId="8083"/>
    <cellStyle name="Normal 9 2 5 3 2 3 3 2" xfId="14167"/>
    <cellStyle name="Normal 9 2 5 3 2 3 4" xfId="14165"/>
    <cellStyle name="Normal 9 2 5 3 2 4" xfId="8084"/>
    <cellStyle name="Normal 9 2 5 3 2 4 2" xfId="14168"/>
    <cellStyle name="Normal 9 2 5 3 2 5" xfId="8085"/>
    <cellStyle name="Normal 9 2 5 3 2 5 2" xfId="14169"/>
    <cellStyle name="Normal 9 2 5 3 2 6" xfId="14161"/>
    <cellStyle name="Normal 9 2 5 3 3" xfId="8086"/>
    <cellStyle name="Normal 9 2 5 3 3 2" xfId="8087"/>
    <cellStyle name="Normal 9 2 5 3 3 2 2" xfId="14171"/>
    <cellStyle name="Normal 9 2 5 3 3 3" xfId="8088"/>
    <cellStyle name="Normal 9 2 5 3 3 3 2" xfId="14172"/>
    <cellStyle name="Normal 9 2 5 3 3 4" xfId="8089"/>
    <cellStyle name="Normal 9 2 5 3 3 4 2" xfId="14173"/>
    <cellStyle name="Normal 9 2 5 3 3 5" xfId="8090"/>
    <cellStyle name="Normal 9 2 5 3 3 5 2" xfId="14174"/>
    <cellStyle name="Normal 9 2 5 3 3 6" xfId="14170"/>
    <cellStyle name="Normal 9 2 5 3 4" xfId="8091"/>
    <cellStyle name="Normal 9 2 5 3 4 2" xfId="8092"/>
    <cellStyle name="Normal 9 2 5 3 4 2 2" xfId="14176"/>
    <cellStyle name="Normal 9 2 5 3 4 3" xfId="8093"/>
    <cellStyle name="Normal 9 2 5 3 4 3 2" xfId="14177"/>
    <cellStyle name="Normal 9 2 5 3 4 4" xfId="14175"/>
    <cellStyle name="Normal 9 2 5 3 5" xfId="8094"/>
    <cellStyle name="Normal 9 2 5 3 5 2" xfId="8095"/>
    <cellStyle name="Normal 9 2 5 3 5 2 2" xfId="14179"/>
    <cellStyle name="Normal 9 2 5 3 5 3" xfId="8096"/>
    <cellStyle name="Normal 9 2 5 3 5 3 2" xfId="14180"/>
    <cellStyle name="Normal 9 2 5 3 5 4" xfId="14178"/>
    <cellStyle name="Normal 9 2 5 3 6" xfId="8097"/>
    <cellStyle name="Normal 9 2 5 3 6 2" xfId="14181"/>
    <cellStyle name="Normal 9 2 5 3 7" xfId="8098"/>
    <cellStyle name="Normal 9 2 5 3 7 2" xfId="14182"/>
    <cellStyle name="Normal 9 2 5 3 8" xfId="14160"/>
    <cellStyle name="Normal 9 2 5 4" xfId="8099"/>
    <cellStyle name="Normal 9 2 5 4 2" xfId="8100"/>
    <cellStyle name="Normal 9 2 5 4 2 2" xfId="8101"/>
    <cellStyle name="Normal 9 2 5 4 2 2 2" xfId="14185"/>
    <cellStyle name="Normal 9 2 5 4 2 3" xfId="8102"/>
    <cellStyle name="Normal 9 2 5 4 2 3 2" xfId="14186"/>
    <cellStyle name="Normal 9 2 5 4 2 4" xfId="14184"/>
    <cellStyle name="Normal 9 2 5 4 3" xfId="8103"/>
    <cellStyle name="Normal 9 2 5 4 3 2" xfId="8104"/>
    <cellStyle name="Normal 9 2 5 4 3 2 2" xfId="14188"/>
    <cellStyle name="Normal 9 2 5 4 3 3" xfId="8105"/>
    <cellStyle name="Normal 9 2 5 4 3 3 2" xfId="14189"/>
    <cellStyle name="Normal 9 2 5 4 3 4" xfId="14187"/>
    <cellStyle name="Normal 9 2 5 4 4" xfId="8106"/>
    <cellStyle name="Normal 9 2 5 4 4 2" xfId="14190"/>
    <cellStyle name="Normal 9 2 5 4 5" xfId="8107"/>
    <cellStyle name="Normal 9 2 5 4 5 2" xfId="14191"/>
    <cellStyle name="Normal 9 2 5 4 6" xfId="14183"/>
    <cellStyle name="Normal 9 2 5 5" xfId="8108"/>
    <cellStyle name="Normal 9 2 5 5 2" xfId="8109"/>
    <cellStyle name="Normal 9 2 5 5 2 2" xfId="14193"/>
    <cellStyle name="Normal 9 2 5 5 3" xfId="8110"/>
    <cellStyle name="Normal 9 2 5 5 3 2" xfId="14194"/>
    <cellStyle name="Normal 9 2 5 5 4" xfId="8111"/>
    <cellStyle name="Normal 9 2 5 5 4 2" xfId="14195"/>
    <cellStyle name="Normal 9 2 5 5 5" xfId="8112"/>
    <cellStyle name="Normal 9 2 5 5 5 2" xfId="14196"/>
    <cellStyle name="Normal 9 2 5 5 6" xfId="14192"/>
    <cellStyle name="Normal 9 2 5 6" xfId="8113"/>
    <cellStyle name="Normal 9 2 5 6 2" xfId="8114"/>
    <cellStyle name="Normal 9 2 5 6 2 2" xfId="14198"/>
    <cellStyle name="Normal 9 2 5 6 3" xfId="8115"/>
    <cellStyle name="Normal 9 2 5 6 3 2" xfId="14199"/>
    <cellStyle name="Normal 9 2 5 6 4" xfId="14197"/>
    <cellStyle name="Normal 9 2 5 7" xfId="8116"/>
    <cellStyle name="Normal 9 2 5 7 2" xfId="8117"/>
    <cellStyle name="Normal 9 2 5 7 2 2" xfId="14201"/>
    <cellStyle name="Normal 9 2 5 7 3" xfId="8118"/>
    <cellStyle name="Normal 9 2 5 7 3 2" xfId="14202"/>
    <cellStyle name="Normal 9 2 5 7 4" xfId="14200"/>
    <cellStyle name="Normal 9 2 5 8" xfId="8119"/>
    <cellStyle name="Normal 9 2 5 8 2" xfId="14203"/>
    <cellStyle name="Normal 9 2 5 9" xfId="8120"/>
    <cellStyle name="Normal 9 2 5 9 2" xfId="14204"/>
    <cellStyle name="Normal 9 2 5_10070" xfId="8121"/>
    <cellStyle name="Normal 9 2 6" xfId="8122"/>
    <cellStyle name="Normal 9 2 6 2" xfId="8123"/>
    <cellStyle name="Normal 9 2 6 2 2" xfId="14206"/>
    <cellStyle name="Normal 9 2 6 3" xfId="8124"/>
    <cellStyle name="Normal 9 2 6 3 2" xfId="14207"/>
    <cellStyle name="Normal 9 2 6 4" xfId="8125"/>
    <cellStyle name="Normal 9 2 6 4 2" xfId="14208"/>
    <cellStyle name="Normal 9 2 6 5" xfId="8126"/>
    <cellStyle name="Normal 9 2 6 5 2" xfId="14209"/>
    <cellStyle name="Normal 9 2 6 6" xfId="14205"/>
    <cellStyle name="Normal 9 2 7" xfId="8127"/>
    <cellStyle name="Normal 9 2 7 2" xfId="8128"/>
    <cellStyle name="Normal 9 2 7 2 2" xfId="14211"/>
    <cellStyle name="Normal 9 2 7 3" xfId="8129"/>
    <cellStyle name="Normal 9 2 7 3 2" xfId="14212"/>
    <cellStyle name="Normal 9 2 7 4" xfId="14210"/>
    <cellStyle name="Normal 9 2 8" xfId="8130"/>
    <cellStyle name="Normal 9 2 8 2" xfId="8131"/>
    <cellStyle name="Normal 9 2 8 2 2" xfId="14214"/>
    <cellStyle name="Normal 9 2 8 3" xfId="8132"/>
    <cellStyle name="Normal 9 2 8 3 2" xfId="14215"/>
    <cellStyle name="Normal 9 2 8 4" xfId="14213"/>
    <cellStyle name="Normal 9 2 9" xfId="8133"/>
    <cellStyle name="Normal 9 2 9 2" xfId="14216"/>
    <cellStyle name="Normal 9 3" xfId="8134"/>
    <cellStyle name="Normal 9 3 2" xfId="8135"/>
    <cellStyle name="Normal 9 3 2 2" xfId="8136"/>
    <cellStyle name="Normal 9 3 2 2 2" xfId="8137"/>
    <cellStyle name="Normal 9 3 2 2 2 2" xfId="8138"/>
    <cellStyle name="Normal 9 3 2 2 2 2 2" xfId="8139"/>
    <cellStyle name="Normal 9 3 2 2 2 2 2 2" xfId="14222"/>
    <cellStyle name="Normal 9 3 2 2 2 2 3" xfId="14221"/>
    <cellStyle name="Normal 9 3 2 2 2 3" xfId="8140"/>
    <cellStyle name="Normal 9 3 2 2 2 3 2" xfId="8141"/>
    <cellStyle name="Normal 9 3 2 2 2 3 2 2" xfId="14224"/>
    <cellStyle name="Normal 9 3 2 2 2 3 3" xfId="14223"/>
    <cellStyle name="Normal 9 3 2 2 2 4" xfId="8142"/>
    <cellStyle name="Normal 9 3 2 2 2 4 2" xfId="14225"/>
    <cellStyle name="Normal 9 3 2 2 2 5" xfId="14220"/>
    <cellStyle name="Normal 9 3 2 2 3" xfId="8143"/>
    <cellStyle name="Normal 9 3 2 2 3 2" xfId="8144"/>
    <cellStyle name="Normal 9 3 2 2 3 2 2" xfId="14227"/>
    <cellStyle name="Normal 9 3 2 2 3 3" xfId="14226"/>
    <cellStyle name="Normal 9 3 2 2 4" xfId="8145"/>
    <cellStyle name="Normal 9 3 2 2 4 2" xfId="8146"/>
    <cellStyle name="Normal 9 3 2 2 4 2 2" xfId="14229"/>
    <cellStyle name="Normal 9 3 2 2 4 3" xfId="14228"/>
    <cellStyle name="Normal 9 3 2 2 5" xfId="8147"/>
    <cellStyle name="Normal 9 3 2 2 5 2" xfId="14230"/>
    <cellStyle name="Normal 9 3 2 2 6" xfId="14219"/>
    <cellStyle name="Normal 9 3 2 3" xfId="8148"/>
    <cellStyle name="Normal 9 3 2 3 2" xfId="8149"/>
    <cellStyle name="Normal 9 3 2 3 2 2" xfId="8150"/>
    <cellStyle name="Normal 9 3 2 3 2 2 2" xfId="14233"/>
    <cellStyle name="Normal 9 3 2 3 2 3" xfId="14232"/>
    <cellStyle name="Normal 9 3 2 3 3" xfId="8151"/>
    <cellStyle name="Normal 9 3 2 3 3 2" xfId="8152"/>
    <cellStyle name="Normal 9 3 2 3 3 2 2" xfId="14235"/>
    <cellStyle name="Normal 9 3 2 3 3 3" xfId="14234"/>
    <cellStyle name="Normal 9 3 2 3 4" xfId="8153"/>
    <cellStyle name="Normal 9 3 2 3 4 2" xfId="14236"/>
    <cellStyle name="Normal 9 3 2 3 5" xfId="14231"/>
    <cellStyle name="Normal 9 3 2 4" xfId="8154"/>
    <cellStyle name="Normal 9 3 2 4 2" xfId="8155"/>
    <cellStyle name="Normal 9 3 2 4 2 2" xfId="14238"/>
    <cellStyle name="Normal 9 3 2 4 3" xfId="14237"/>
    <cellStyle name="Normal 9 3 2 5" xfId="8156"/>
    <cellStyle name="Normal 9 3 2 5 2" xfId="8157"/>
    <cellStyle name="Normal 9 3 2 5 2 2" xfId="14240"/>
    <cellStyle name="Normal 9 3 2 5 3" xfId="14239"/>
    <cellStyle name="Normal 9 3 2 6" xfId="8158"/>
    <cellStyle name="Normal 9 3 2 6 2" xfId="14241"/>
    <cellStyle name="Normal 9 3 2 7" xfId="14218"/>
    <cellStyle name="Normal 9 3 3" xfId="8159"/>
    <cellStyle name="Normal 9 3 3 2" xfId="8160"/>
    <cellStyle name="Normal 9 3 3 2 2" xfId="8161"/>
    <cellStyle name="Normal 9 3 3 2 2 2" xfId="8162"/>
    <cellStyle name="Normal 9 3 3 2 2 2 2" xfId="14245"/>
    <cellStyle name="Normal 9 3 3 2 2 3" xfId="14244"/>
    <cellStyle name="Normal 9 3 3 2 3" xfId="8163"/>
    <cellStyle name="Normal 9 3 3 2 3 2" xfId="8164"/>
    <cellStyle name="Normal 9 3 3 2 3 2 2" xfId="14247"/>
    <cellStyle name="Normal 9 3 3 2 3 3" xfId="14246"/>
    <cellStyle name="Normal 9 3 3 2 4" xfId="8165"/>
    <cellStyle name="Normal 9 3 3 2 4 2" xfId="14248"/>
    <cellStyle name="Normal 9 3 3 2 5" xfId="14243"/>
    <cellStyle name="Normal 9 3 3 3" xfId="8166"/>
    <cellStyle name="Normal 9 3 3 3 2" xfId="8167"/>
    <cellStyle name="Normal 9 3 3 3 2 2" xfId="14250"/>
    <cellStyle name="Normal 9 3 3 3 3" xfId="14249"/>
    <cellStyle name="Normal 9 3 3 4" xfId="8168"/>
    <cellStyle name="Normal 9 3 3 4 2" xfId="8169"/>
    <cellStyle name="Normal 9 3 3 4 2 2" xfId="14252"/>
    <cellStyle name="Normal 9 3 3 4 3" xfId="14251"/>
    <cellStyle name="Normal 9 3 3 5" xfId="8170"/>
    <cellStyle name="Normal 9 3 3 5 2" xfId="14253"/>
    <cellStyle name="Normal 9 3 3 6" xfId="14242"/>
    <cellStyle name="Normal 9 3 4" xfId="8171"/>
    <cellStyle name="Normal 9 3 4 2" xfId="8172"/>
    <cellStyle name="Normal 9 3 4 2 2" xfId="8173"/>
    <cellStyle name="Normal 9 3 4 2 2 2" xfId="14256"/>
    <cellStyle name="Normal 9 3 4 2 3" xfId="14255"/>
    <cellStyle name="Normal 9 3 4 3" xfId="8174"/>
    <cellStyle name="Normal 9 3 4 3 2" xfId="8175"/>
    <cellStyle name="Normal 9 3 4 3 2 2" xfId="14258"/>
    <cellStyle name="Normal 9 3 4 3 3" xfId="14257"/>
    <cellStyle name="Normal 9 3 4 4" xfId="8176"/>
    <cellStyle name="Normal 9 3 4 4 2" xfId="14259"/>
    <cellStyle name="Normal 9 3 4 5" xfId="14254"/>
    <cellStyle name="Normal 9 3 5" xfId="8177"/>
    <cellStyle name="Normal 9 3 5 2" xfId="8178"/>
    <cellStyle name="Normal 9 3 5 2 2" xfId="14261"/>
    <cellStyle name="Normal 9 3 5 3" xfId="14260"/>
    <cellStyle name="Normal 9 3 6" xfId="8179"/>
    <cellStyle name="Normal 9 3 6 2" xfId="8180"/>
    <cellStyle name="Normal 9 3 6 2 2" xfId="14263"/>
    <cellStyle name="Normal 9 3 6 3" xfId="14262"/>
    <cellStyle name="Normal 9 3 7" xfId="8181"/>
    <cellStyle name="Normal 9 3 7 2" xfId="14264"/>
    <cellStyle name="Normal 9 3 8" xfId="8182"/>
    <cellStyle name="Normal 9 3 9" xfId="14217"/>
    <cellStyle name="Normal 9 4" xfId="8183"/>
    <cellStyle name="Normal 9 4 2" xfId="8184"/>
    <cellStyle name="Normal 9 4 2 2" xfId="8185"/>
    <cellStyle name="Normal 9 4 2 2 2" xfId="8186"/>
    <cellStyle name="Normal 9 4 2 2 2 2" xfId="8187"/>
    <cellStyle name="Normal 9 4 2 2 2 2 2" xfId="8188"/>
    <cellStyle name="Normal 9 4 2 2 2 2 2 2" xfId="14270"/>
    <cellStyle name="Normal 9 4 2 2 2 2 3" xfId="14269"/>
    <cellStyle name="Normal 9 4 2 2 2 3" xfId="8189"/>
    <cellStyle name="Normal 9 4 2 2 2 3 2" xfId="8190"/>
    <cellStyle name="Normal 9 4 2 2 2 3 2 2" xfId="14272"/>
    <cellStyle name="Normal 9 4 2 2 2 3 3" xfId="14271"/>
    <cellStyle name="Normal 9 4 2 2 2 4" xfId="8191"/>
    <cellStyle name="Normal 9 4 2 2 2 4 2" xfId="14273"/>
    <cellStyle name="Normal 9 4 2 2 2 5" xfId="14268"/>
    <cellStyle name="Normal 9 4 2 2 3" xfId="8192"/>
    <cellStyle name="Normal 9 4 2 2 3 2" xfId="8193"/>
    <cellStyle name="Normal 9 4 2 2 3 2 2" xfId="14275"/>
    <cellStyle name="Normal 9 4 2 2 3 3" xfId="14274"/>
    <cellStyle name="Normal 9 4 2 2 4" xfId="8194"/>
    <cellStyle name="Normal 9 4 2 2 4 2" xfId="8195"/>
    <cellStyle name="Normal 9 4 2 2 4 2 2" xfId="14277"/>
    <cellStyle name="Normal 9 4 2 2 4 3" xfId="14276"/>
    <cellStyle name="Normal 9 4 2 2 5" xfId="8196"/>
    <cellStyle name="Normal 9 4 2 2 5 2" xfId="14278"/>
    <cellStyle name="Normal 9 4 2 2 6" xfId="14267"/>
    <cellStyle name="Normal 9 4 2 3" xfId="8197"/>
    <cellStyle name="Normal 9 4 2 3 2" xfId="8198"/>
    <cellStyle name="Normal 9 4 2 3 2 2" xfId="8199"/>
    <cellStyle name="Normal 9 4 2 3 2 2 2" xfId="14281"/>
    <cellStyle name="Normal 9 4 2 3 2 3" xfId="14280"/>
    <cellStyle name="Normal 9 4 2 3 3" xfId="8200"/>
    <cellStyle name="Normal 9 4 2 3 3 2" xfId="8201"/>
    <cellStyle name="Normal 9 4 2 3 3 2 2" xfId="14283"/>
    <cellStyle name="Normal 9 4 2 3 3 3" xfId="14282"/>
    <cellStyle name="Normal 9 4 2 3 4" xfId="8202"/>
    <cellStyle name="Normal 9 4 2 3 4 2" xfId="14284"/>
    <cellStyle name="Normal 9 4 2 3 5" xfId="14279"/>
    <cellStyle name="Normal 9 4 2 4" xfId="8203"/>
    <cellStyle name="Normal 9 4 2 4 2" xfId="8204"/>
    <cellStyle name="Normal 9 4 2 4 2 2" xfId="14286"/>
    <cellStyle name="Normal 9 4 2 4 3" xfId="14285"/>
    <cellStyle name="Normal 9 4 2 5" xfId="8205"/>
    <cellStyle name="Normal 9 4 2 5 2" xfId="8206"/>
    <cellStyle name="Normal 9 4 2 5 2 2" xfId="14288"/>
    <cellStyle name="Normal 9 4 2 5 3" xfId="14287"/>
    <cellStyle name="Normal 9 4 2 6" xfId="8207"/>
    <cellStyle name="Normal 9 4 2 6 2" xfId="14289"/>
    <cellStyle name="Normal 9 4 2 7" xfId="14266"/>
    <cellStyle name="Normal 9 4 3" xfId="8208"/>
    <cellStyle name="Normal 9 4 3 2" xfId="8209"/>
    <cellStyle name="Normal 9 4 3 2 2" xfId="8210"/>
    <cellStyle name="Normal 9 4 3 2 2 2" xfId="8211"/>
    <cellStyle name="Normal 9 4 3 2 2 2 2" xfId="14293"/>
    <cellStyle name="Normal 9 4 3 2 2 3" xfId="14292"/>
    <cellStyle name="Normal 9 4 3 2 3" xfId="8212"/>
    <cellStyle name="Normal 9 4 3 2 3 2" xfId="8213"/>
    <cellStyle name="Normal 9 4 3 2 3 2 2" xfId="14295"/>
    <cellStyle name="Normal 9 4 3 2 3 3" xfId="14294"/>
    <cellStyle name="Normal 9 4 3 2 4" xfId="8214"/>
    <cellStyle name="Normal 9 4 3 2 4 2" xfId="14296"/>
    <cellStyle name="Normal 9 4 3 2 5" xfId="14291"/>
    <cellStyle name="Normal 9 4 3 3" xfId="8215"/>
    <cellStyle name="Normal 9 4 3 3 2" xfId="8216"/>
    <cellStyle name="Normal 9 4 3 3 2 2" xfId="14298"/>
    <cellStyle name="Normal 9 4 3 3 3" xfId="14297"/>
    <cellStyle name="Normal 9 4 3 4" xfId="8217"/>
    <cellStyle name="Normal 9 4 3 4 2" xfId="8218"/>
    <cellStyle name="Normal 9 4 3 4 2 2" xfId="14300"/>
    <cellStyle name="Normal 9 4 3 4 3" xfId="14299"/>
    <cellStyle name="Normal 9 4 3 5" xfId="8219"/>
    <cellStyle name="Normal 9 4 3 5 2" xfId="14301"/>
    <cellStyle name="Normal 9 4 3 6" xfId="14290"/>
    <cellStyle name="Normal 9 4 4" xfId="8220"/>
    <cellStyle name="Normal 9 4 4 2" xfId="8221"/>
    <cellStyle name="Normal 9 4 4 2 2" xfId="8222"/>
    <cellStyle name="Normal 9 4 4 2 2 2" xfId="14304"/>
    <cellStyle name="Normal 9 4 4 2 3" xfId="14303"/>
    <cellStyle name="Normal 9 4 4 3" xfId="8223"/>
    <cellStyle name="Normal 9 4 4 3 2" xfId="8224"/>
    <cellStyle name="Normal 9 4 4 3 2 2" xfId="14306"/>
    <cellStyle name="Normal 9 4 4 3 3" xfId="14305"/>
    <cellStyle name="Normal 9 4 4 4" xfId="8225"/>
    <cellStyle name="Normal 9 4 4 4 2" xfId="14307"/>
    <cellStyle name="Normal 9 4 4 5" xfId="14302"/>
    <cellStyle name="Normal 9 4 5" xfId="8226"/>
    <cellStyle name="Normal 9 4 5 2" xfId="8227"/>
    <cellStyle name="Normal 9 4 5 2 2" xfId="14309"/>
    <cellStyle name="Normal 9 4 5 3" xfId="14308"/>
    <cellStyle name="Normal 9 4 6" xfId="8228"/>
    <cellStyle name="Normal 9 4 6 2" xfId="8229"/>
    <cellStyle name="Normal 9 4 6 2 2" xfId="14311"/>
    <cellStyle name="Normal 9 4 6 3" xfId="14310"/>
    <cellStyle name="Normal 9 4 7" xfId="8230"/>
    <cellStyle name="Normal 9 4 7 2" xfId="14312"/>
    <cellStyle name="Normal 9 4 8" xfId="14265"/>
    <cellStyle name="Normal 9 5" xfId="8231"/>
    <cellStyle name="Normal 9 5 10" xfId="14313"/>
    <cellStyle name="Normal 9 5 2" xfId="8232"/>
    <cellStyle name="Normal 9 5 2 2" xfId="8233"/>
    <cellStyle name="Normal 9 5 2 2 2" xfId="8234"/>
    <cellStyle name="Normal 9 5 2 2 2 2" xfId="8235"/>
    <cellStyle name="Normal 9 5 2 2 2 2 2" xfId="14317"/>
    <cellStyle name="Normal 9 5 2 2 2 3" xfId="14316"/>
    <cellStyle name="Normal 9 5 2 2 3" xfId="8236"/>
    <cellStyle name="Normal 9 5 2 2 3 2" xfId="8237"/>
    <cellStyle name="Normal 9 5 2 2 3 2 2" xfId="14319"/>
    <cellStyle name="Normal 9 5 2 2 3 3" xfId="14318"/>
    <cellStyle name="Normal 9 5 2 2 4" xfId="8238"/>
    <cellStyle name="Normal 9 5 2 2 4 2" xfId="14320"/>
    <cellStyle name="Normal 9 5 2 2 5" xfId="8239"/>
    <cellStyle name="Normal 9 5 2 2 5 2" xfId="14321"/>
    <cellStyle name="Normal 9 5 2 2 6" xfId="14315"/>
    <cellStyle name="Normal 9 5 2 3" xfId="8240"/>
    <cellStyle name="Normal 9 5 2 3 2" xfId="8241"/>
    <cellStyle name="Normal 9 5 2 3 2 2" xfId="14323"/>
    <cellStyle name="Normal 9 5 2 3 3" xfId="8242"/>
    <cellStyle name="Normal 9 5 2 3 3 2" xfId="14324"/>
    <cellStyle name="Normal 9 5 2 3 4" xfId="14322"/>
    <cellStyle name="Normal 9 5 2 4" xfId="8243"/>
    <cellStyle name="Normal 9 5 2 4 2" xfId="8244"/>
    <cellStyle name="Normal 9 5 2 4 2 2" xfId="14326"/>
    <cellStyle name="Normal 9 5 2 4 3" xfId="8245"/>
    <cellStyle name="Normal 9 5 2 4 3 2" xfId="14327"/>
    <cellStyle name="Normal 9 5 2 4 4" xfId="14325"/>
    <cellStyle name="Normal 9 5 2 5" xfId="8246"/>
    <cellStyle name="Normal 9 5 2 5 2" xfId="14328"/>
    <cellStyle name="Normal 9 5 2 6" xfId="8247"/>
    <cellStyle name="Normal 9 5 2 6 2" xfId="14329"/>
    <cellStyle name="Normal 9 5 2 7" xfId="14314"/>
    <cellStyle name="Normal 9 5 3" xfId="8248"/>
    <cellStyle name="Normal 9 5 3 2" xfId="8249"/>
    <cellStyle name="Normal 9 5 3 2 2" xfId="8250"/>
    <cellStyle name="Normal 9 5 3 2 2 2" xfId="8251"/>
    <cellStyle name="Normal 9 5 3 2 2 2 2" xfId="14333"/>
    <cellStyle name="Normal 9 5 3 2 2 3" xfId="8252"/>
    <cellStyle name="Normal 9 5 3 2 2 3 2" xfId="14334"/>
    <cellStyle name="Normal 9 5 3 2 2 4" xfId="14332"/>
    <cellStyle name="Normal 9 5 3 2 3" xfId="8253"/>
    <cellStyle name="Normal 9 5 3 2 3 2" xfId="8254"/>
    <cellStyle name="Normal 9 5 3 2 3 2 2" xfId="14336"/>
    <cellStyle name="Normal 9 5 3 2 3 3" xfId="8255"/>
    <cellStyle name="Normal 9 5 3 2 3 3 2" xfId="14337"/>
    <cellStyle name="Normal 9 5 3 2 3 4" xfId="14335"/>
    <cellStyle name="Normal 9 5 3 2 4" xfId="8256"/>
    <cellStyle name="Normal 9 5 3 2 4 2" xfId="14338"/>
    <cellStyle name="Normal 9 5 3 2 5" xfId="8257"/>
    <cellStyle name="Normal 9 5 3 2 5 2" xfId="14339"/>
    <cellStyle name="Normal 9 5 3 2 6" xfId="14331"/>
    <cellStyle name="Normal 9 5 3 3" xfId="8258"/>
    <cellStyle name="Normal 9 5 3 3 2" xfId="8259"/>
    <cellStyle name="Normal 9 5 3 3 2 2" xfId="14341"/>
    <cellStyle name="Normal 9 5 3 3 3" xfId="8260"/>
    <cellStyle name="Normal 9 5 3 3 3 2" xfId="14342"/>
    <cellStyle name="Normal 9 5 3 3 4" xfId="8261"/>
    <cellStyle name="Normal 9 5 3 3 4 2" xfId="14343"/>
    <cellStyle name="Normal 9 5 3 3 5" xfId="8262"/>
    <cellStyle name="Normal 9 5 3 3 5 2" xfId="14344"/>
    <cellStyle name="Normal 9 5 3 3 6" xfId="14340"/>
    <cellStyle name="Normal 9 5 3 4" xfId="8263"/>
    <cellStyle name="Normal 9 5 3 4 2" xfId="8264"/>
    <cellStyle name="Normal 9 5 3 4 2 2" xfId="14346"/>
    <cellStyle name="Normal 9 5 3 4 3" xfId="8265"/>
    <cellStyle name="Normal 9 5 3 4 3 2" xfId="14347"/>
    <cellStyle name="Normal 9 5 3 4 4" xfId="14345"/>
    <cellStyle name="Normal 9 5 3 5" xfId="8266"/>
    <cellStyle name="Normal 9 5 3 5 2" xfId="8267"/>
    <cellStyle name="Normal 9 5 3 5 2 2" xfId="14349"/>
    <cellStyle name="Normal 9 5 3 5 3" xfId="8268"/>
    <cellStyle name="Normal 9 5 3 5 3 2" xfId="14350"/>
    <cellStyle name="Normal 9 5 3 5 4" xfId="14348"/>
    <cellStyle name="Normal 9 5 3 6" xfId="8269"/>
    <cellStyle name="Normal 9 5 3 6 2" xfId="14351"/>
    <cellStyle name="Normal 9 5 3 7" xfId="8270"/>
    <cellStyle name="Normal 9 5 3 7 2" xfId="14352"/>
    <cellStyle name="Normal 9 5 3 8" xfId="14330"/>
    <cellStyle name="Normal 9 5 4" xfId="8271"/>
    <cellStyle name="Normal 9 5 4 2" xfId="8272"/>
    <cellStyle name="Normal 9 5 4 2 2" xfId="8273"/>
    <cellStyle name="Normal 9 5 4 2 2 2" xfId="14355"/>
    <cellStyle name="Normal 9 5 4 2 3" xfId="8274"/>
    <cellStyle name="Normal 9 5 4 2 3 2" xfId="14356"/>
    <cellStyle name="Normal 9 5 4 2 4" xfId="14354"/>
    <cellStyle name="Normal 9 5 4 3" xfId="8275"/>
    <cellStyle name="Normal 9 5 4 3 2" xfId="8276"/>
    <cellStyle name="Normal 9 5 4 3 2 2" xfId="14358"/>
    <cellStyle name="Normal 9 5 4 3 3" xfId="8277"/>
    <cellStyle name="Normal 9 5 4 3 3 2" xfId="14359"/>
    <cellStyle name="Normal 9 5 4 3 4" xfId="14357"/>
    <cellStyle name="Normal 9 5 4 4" xfId="8278"/>
    <cellStyle name="Normal 9 5 4 4 2" xfId="14360"/>
    <cellStyle name="Normal 9 5 4 5" xfId="8279"/>
    <cellStyle name="Normal 9 5 4 5 2" xfId="14361"/>
    <cellStyle name="Normal 9 5 4 6" xfId="14353"/>
    <cellStyle name="Normal 9 5 5" xfId="8280"/>
    <cellStyle name="Normal 9 5 5 2" xfId="8281"/>
    <cellStyle name="Normal 9 5 5 2 2" xfId="14363"/>
    <cellStyle name="Normal 9 5 5 3" xfId="8282"/>
    <cellStyle name="Normal 9 5 5 3 2" xfId="14364"/>
    <cellStyle name="Normal 9 5 5 4" xfId="8283"/>
    <cellStyle name="Normal 9 5 5 4 2" xfId="14365"/>
    <cellStyle name="Normal 9 5 5 5" xfId="8284"/>
    <cellStyle name="Normal 9 5 5 5 2" xfId="14366"/>
    <cellStyle name="Normal 9 5 5 6" xfId="14362"/>
    <cellStyle name="Normal 9 5 6" xfId="8285"/>
    <cellStyle name="Normal 9 5 6 2" xfId="8286"/>
    <cellStyle name="Normal 9 5 6 2 2" xfId="14368"/>
    <cellStyle name="Normal 9 5 6 3" xfId="8287"/>
    <cellStyle name="Normal 9 5 6 3 2" xfId="14369"/>
    <cellStyle name="Normal 9 5 6 4" xfId="14367"/>
    <cellStyle name="Normal 9 5 7" xfId="8288"/>
    <cellStyle name="Normal 9 5 7 2" xfId="8289"/>
    <cellStyle name="Normal 9 5 7 2 2" xfId="14371"/>
    <cellStyle name="Normal 9 5 7 3" xfId="8290"/>
    <cellStyle name="Normal 9 5 7 3 2" xfId="14372"/>
    <cellStyle name="Normal 9 5 7 4" xfId="14370"/>
    <cellStyle name="Normal 9 5 8" xfId="8291"/>
    <cellStyle name="Normal 9 5 8 2" xfId="14373"/>
    <cellStyle name="Normal 9 5 9" xfId="8292"/>
    <cellStyle name="Normal 9 5 9 2" xfId="14374"/>
    <cellStyle name="Normal 9 5_10070" xfId="8293"/>
    <cellStyle name="Normal 9 6" xfId="8294"/>
    <cellStyle name="Normal 9 6 2" xfId="8295"/>
    <cellStyle name="Normal 9 6 2 2" xfId="8296"/>
    <cellStyle name="Normal 9 6 2 2 2" xfId="8297"/>
    <cellStyle name="Normal 9 6 2 2 2 2" xfId="14378"/>
    <cellStyle name="Normal 9 6 2 2 3" xfId="14377"/>
    <cellStyle name="Normal 9 6 2 3" xfId="8298"/>
    <cellStyle name="Normal 9 6 2 3 2" xfId="8299"/>
    <cellStyle name="Normal 9 6 2 3 2 2" xfId="14380"/>
    <cellStyle name="Normal 9 6 2 3 3" xfId="14379"/>
    <cellStyle name="Normal 9 6 2 4" xfId="8300"/>
    <cellStyle name="Normal 9 6 2 4 2" xfId="14381"/>
    <cellStyle name="Normal 9 6 2 5" xfId="14376"/>
    <cellStyle name="Normal 9 6 3" xfId="8301"/>
    <cellStyle name="Normal 9 6 3 2" xfId="8302"/>
    <cellStyle name="Normal 9 6 3 2 2" xfId="14383"/>
    <cellStyle name="Normal 9 6 3 3" xfId="8303"/>
    <cellStyle name="Normal 9 6 3 3 2" xfId="14384"/>
    <cellStyle name="Normal 9 6 3 4" xfId="14382"/>
    <cellStyle name="Normal 9 6 4" xfId="8304"/>
    <cellStyle name="Normal 9 6 4 2" xfId="8305"/>
    <cellStyle name="Normal 9 6 4 2 2" xfId="14386"/>
    <cellStyle name="Normal 9 6 4 3" xfId="14385"/>
    <cellStyle name="Normal 9 6 5" xfId="8306"/>
    <cellStyle name="Normal 9 6 5 2" xfId="14387"/>
    <cellStyle name="Normal 9 6 6" xfId="14375"/>
    <cellStyle name="Normal 9 7" xfId="8307"/>
    <cellStyle name="Normal 9 7 2" xfId="8308"/>
    <cellStyle name="Normal 9 7 2 2" xfId="8309"/>
    <cellStyle name="Normal 9 7 2 2 2" xfId="14390"/>
    <cellStyle name="Normal 9 7 2 3" xfId="14389"/>
    <cellStyle name="Normal 9 7 3" xfId="8310"/>
    <cellStyle name="Normal 9 7 3 2" xfId="8311"/>
    <cellStyle name="Normal 9 7 3 2 2" xfId="14392"/>
    <cellStyle name="Normal 9 7 3 3" xfId="14391"/>
    <cellStyle name="Normal 9 7 4" xfId="8312"/>
    <cellStyle name="Normal 9 7 4 2" xfId="14393"/>
    <cellStyle name="Normal 9 7 5" xfId="8313"/>
    <cellStyle name="Normal 9 7 5 2" xfId="14394"/>
    <cellStyle name="Normal 9 7 6" xfId="14388"/>
    <cellStyle name="Normal 9 8" xfId="8314"/>
    <cellStyle name="Normal 9 8 2" xfId="8315"/>
    <cellStyle name="Normal 9 8 2 2" xfId="14396"/>
    <cellStyle name="Normal 9 8 3" xfId="8316"/>
    <cellStyle name="Normal 9 8 3 2" xfId="14397"/>
    <cellStyle name="Normal 9 8 4" xfId="14395"/>
    <cellStyle name="Normal 9 9" xfId="8317"/>
    <cellStyle name="Normal 9 9 2" xfId="8318"/>
    <cellStyle name="Normal 9 9 2 2" xfId="14399"/>
    <cellStyle name="Normal 9 9 3" xfId="8319"/>
    <cellStyle name="Normal 9 9 3 2" xfId="14400"/>
    <cellStyle name="Normal 9 9 4" xfId="14398"/>
    <cellStyle name="Normal 9_2180" xfId="14401"/>
    <cellStyle name="Normal 90" xfId="8320"/>
    <cellStyle name="Normal 90 2" xfId="8321"/>
    <cellStyle name="Normal 90 2 2" xfId="14403"/>
    <cellStyle name="Normal 90 3" xfId="8322"/>
    <cellStyle name="Normal 90 4" xfId="14402"/>
    <cellStyle name="Normal 91" xfId="8323"/>
    <cellStyle name="Normal 91 2" xfId="8324"/>
    <cellStyle name="Normal 91 3" xfId="14404"/>
    <cellStyle name="Normal 92" xfId="8325"/>
    <cellStyle name="Normal 92 2" xfId="8326"/>
    <cellStyle name="Normal 92 2 2" xfId="8327"/>
    <cellStyle name="Normal 92 2 2 2" xfId="14407"/>
    <cellStyle name="Normal 92 2 3" xfId="14406"/>
    <cellStyle name="Normal 92 3" xfId="8328"/>
    <cellStyle name="Normal 92 4" xfId="14405"/>
    <cellStyle name="Normal 93" xfId="8329"/>
    <cellStyle name="Normal 93 2" xfId="8330"/>
    <cellStyle name="Normal 93 2 2" xfId="14409"/>
    <cellStyle name="Normal 93 3" xfId="8331"/>
    <cellStyle name="Normal 93 3 2" xfId="14410"/>
    <cellStyle name="Normal 93 4" xfId="8332"/>
    <cellStyle name="Normal 93 5" xfId="14408"/>
    <cellStyle name="Normal 94" xfId="8333"/>
    <cellStyle name="Normal 94 2" xfId="8334"/>
    <cellStyle name="Normal 94 2 2" xfId="14412"/>
    <cellStyle name="Normal 94 3" xfId="8335"/>
    <cellStyle name="Normal 94 3 2" xfId="14413"/>
    <cellStyle name="Normal 94 4" xfId="8336"/>
    <cellStyle name="Normal 94 5" xfId="14411"/>
    <cellStyle name="Normal 95" xfId="8337"/>
    <cellStyle name="Normal 95 2" xfId="8338"/>
    <cellStyle name="Normal 95 2 2" xfId="14415"/>
    <cellStyle name="Normal 95 3" xfId="8339"/>
    <cellStyle name="Normal 95 3 2" xfId="14416"/>
    <cellStyle name="Normal 95 4" xfId="8340"/>
    <cellStyle name="Normal 95 5" xfId="14414"/>
    <cellStyle name="Normal 96" xfId="8341"/>
    <cellStyle name="Normal 96 2" xfId="8342"/>
    <cellStyle name="Normal 96 2 2" xfId="14418"/>
    <cellStyle name="Normal 96 3" xfId="8343"/>
    <cellStyle name="Normal 96 3 2" xfId="14419"/>
    <cellStyle name="Normal 96 4" xfId="8344"/>
    <cellStyle name="Normal 96 5" xfId="14417"/>
    <cellStyle name="Normal 97" xfId="8345"/>
    <cellStyle name="Normal 97 2" xfId="8346"/>
    <cellStyle name="Normal 97 2 2" xfId="14421"/>
    <cellStyle name="Normal 97 3" xfId="8347"/>
    <cellStyle name="Normal 97 3 2" xfId="14422"/>
    <cellStyle name="Normal 97 4" xfId="8348"/>
    <cellStyle name="Normal 97 5" xfId="14420"/>
    <cellStyle name="Normal 98" xfId="8349"/>
    <cellStyle name="Normal 98 2" xfId="8350"/>
    <cellStyle name="Normal 98 2 2" xfId="8351"/>
    <cellStyle name="Normal 98 2 2 2" xfId="14425"/>
    <cellStyle name="Normal 98 2 3" xfId="14424"/>
    <cellStyle name="Normal 98 3" xfId="8352"/>
    <cellStyle name="Normal 98 4" xfId="14423"/>
    <cellStyle name="Normal 99" xfId="8353"/>
    <cellStyle name="Normal 99 2" xfId="8354"/>
    <cellStyle name="Normal 99 2 2" xfId="14427"/>
    <cellStyle name="Normal 99 3" xfId="8355"/>
    <cellStyle name="Normal 99 3 2" xfId="14428"/>
    <cellStyle name="Normal 99 4" xfId="8356"/>
    <cellStyle name="Normal 99 4 2" xfId="14429"/>
    <cellStyle name="Normal 99 5" xfId="8357"/>
    <cellStyle name="Normal 99 6" xfId="14426"/>
    <cellStyle name="Note 2" xfId="8358"/>
    <cellStyle name="Note 2 2" xfId="8359"/>
    <cellStyle name="Note 2 2 2" xfId="8360"/>
    <cellStyle name="Note 2 2 2 2" xfId="8361"/>
    <cellStyle name="Note 2 2 2 2 2" xfId="14433"/>
    <cellStyle name="Note 2 2 2 3" xfId="8362"/>
    <cellStyle name="Note 2 2 2 3 2" xfId="14434"/>
    <cellStyle name="Note 2 2 2 4" xfId="8363"/>
    <cellStyle name="Note 2 2 2 4 2" xfId="14435"/>
    <cellStyle name="Note 2 2 2 5" xfId="8364"/>
    <cellStyle name="Note 2 2 2 5 2" xfId="14436"/>
    <cellStyle name="Note 2 2 2 6" xfId="14432"/>
    <cellStyle name="Note 2 2 3" xfId="8365"/>
    <cellStyle name="Note 2 2 3 2" xfId="8366"/>
    <cellStyle name="Note 2 2 3 2 2" xfId="14438"/>
    <cellStyle name="Note 2 2 3 3" xfId="8367"/>
    <cellStyle name="Note 2 2 3 3 2" xfId="14439"/>
    <cellStyle name="Note 2 2 3 4" xfId="8368"/>
    <cellStyle name="Note 2 2 3 4 2" xfId="14440"/>
    <cellStyle name="Note 2 2 3 5" xfId="8369"/>
    <cellStyle name="Note 2 2 3 5 2" xfId="14441"/>
    <cellStyle name="Note 2 2 3 6" xfId="14437"/>
    <cellStyle name="Note 2 2 4" xfId="8370"/>
    <cellStyle name="Note 2 2 5" xfId="14431"/>
    <cellStyle name="Note 2 3" xfId="8371"/>
    <cellStyle name="Note 2 3 2" xfId="8372"/>
    <cellStyle name="Note 2 3 2 2" xfId="8373"/>
    <cellStyle name="Note 2 3 2 2 2" xfId="14444"/>
    <cellStyle name="Note 2 3 2 3" xfId="8374"/>
    <cellStyle name="Note 2 3 2 3 2" xfId="14445"/>
    <cellStyle name="Note 2 3 2 4" xfId="8375"/>
    <cellStyle name="Note 2 3 2 4 2" xfId="14446"/>
    <cellStyle name="Note 2 3 2 5" xfId="8376"/>
    <cellStyle name="Note 2 3 2 5 2" xfId="14447"/>
    <cellStyle name="Note 2 3 2 6" xfId="14443"/>
    <cellStyle name="Note 2 3 3" xfId="8377"/>
    <cellStyle name="Note 2 3 3 2" xfId="14448"/>
    <cellStyle name="Note 2 3 4" xfId="8378"/>
    <cellStyle name="Note 2 3 5" xfId="14442"/>
    <cellStyle name="Note 2 4" xfId="8379"/>
    <cellStyle name="Note 2 4 2" xfId="8380"/>
    <cellStyle name="Note 2 4 2 2" xfId="8381"/>
    <cellStyle name="Note 2 4 2 2 2" xfId="14451"/>
    <cellStyle name="Note 2 4 2 3" xfId="8382"/>
    <cellStyle name="Note 2 4 2 3 2" xfId="14452"/>
    <cellStyle name="Note 2 4 2 4" xfId="8383"/>
    <cellStyle name="Note 2 4 2 4 2" xfId="14453"/>
    <cellStyle name="Note 2 4 2 5" xfId="8384"/>
    <cellStyle name="Note 2 4 2 5 2" xfId="14454"/>
    <cellStyle name="Note 2 4 2 6" xfId="14450"/>
    <cellStyle name="Note 2 4 3" xfId="8385"/>
    <cellStyle name="Note 2 4 3 2" xfId="14455"/>
    <cellStyle name="Note 2 4 4" xfId="8386"/>
    <cellStyle name="Note 2 4 5" xfId="14449"/>
    <cellStyle name="Note 2 5" xfId="8387"/>
    <cellStyle name="Note 2 5 2" xfId="8388"/>
    <cellStyle name="Note 2 5 2 2" xfId="14457"/>
    <cellStyle name="Note 2 5 3" xfId="8389"/>
    <cellStyle name="Note 2 5 3 2" xfId="14458"/>
    <cellStyle name="Note 2 5 4" xfId="8390"/>
    <cellStyle name="Note 2 5 4 2" xfId="14459"/>
    <cellStyle name="Note 2 5 5" xfId="8391"/>
    <cellStyle name="Note 2 5 5 2" xfId="14460"/>
    <cellStyle name="Note 2 5 6" xfId="14456"/>
    <cellStyle name="Note 2 6" xfId="8392"/>
    <cellStyle name="Note 2 6 2" xfId="14461"/>
    <cellStyle name="Note 2 7" xfId="8393"/>
    <cellStyle name="Note 2 8" xfId="14430"/>
    <cellStyle name="Note 3" xfId="8394"/>
    <cellStyle name="Note 3 2" xfId="8395"/>
    <cellStyle name="Note 3 2 2" xfId="8396"/>
    <cellStyle name="Note 3 2 2 2" xfId="8397"/>
    <cellStyle name="Note 3 2 2 2 2" xfId="14465"/>
    <cellStyle name="Note 3 2 2 3" xfId="8398"/>
    <cellStyle name="Note 3 2 2 3 2" xfId="14466"/>
    <cellStyle name="Note 3 2 2 4" xfId="8399"/>
    <cellStyle name="Note 3 2 2 4 2" xfId="14467"/>
    <cellStyle name="Note 3 2 2 5" xfId="8400"/>
    <cellStyle name="Note 3 2 2 5 2" xfId="14468"/>
    <cellStyle name="Note 3 2 2 6" xfId="14464"/>
    <cellStyle name="Note 3 2 3" xfId="8401"/>
    <cellStyle name="Note 3 2 3 2" xfId="8402"/>
    <cellStyle name="Note 3 2 3 2 2" xfId="14470"/>
    <cellStyle name="Note 3 2 3 3" xfId="8403"/>
    <cellStyle name="Note 3 2 3 3 2" xfId="14471"/>
    <cellStyle name="Note 3 2 3 4" xfId="8404"/>
    <cellStyle name="Note 3 2 3 4 2" xfId="14472"/>
    <cellStyle name="Note 3 2 3 5" xfId="8405"/>
    <cellStyle name="Note 3 2 3 5 2" xfId="14473"/>
    <cellStyle name="Note 3 2 3 6" xfId="14469"/>
    <cellStyle name="Note 3 2 4" xfId="8406"/>
    <cellStyle name="Note 3 2 5" xfId="14463"/>
    <cellStyle name="Note 3 3" xfId="8407"/>
    <cellStyle name="Note 3 3 2" xfId="8408"/>
    <cellStyle name="Note 3 3 2 2" xfId="8409"/>
    <cellStyle name="Note 3 3 2 2 2" xfId="14476"/>
    <cellStyle name="Note 3 3 2 3" xfId="8410"/>
    <cellStyle name="Note 3 3 2 3 2" xfId="14477"/>
    <cellStyle name="Note 3 3 2 4" xfId="8411"/>
    <cellStyle name="Note 3 3 2 4 2" xfId="14478"/>
    <cellStyle name="Note 3 3 2 5" xfId="8412"/>
    <cellStyle name="Note 3 3 2 5 2" xfId="14479"/>
    <cellStyle name="Note 3 3 2 6" xfId="14475"/>
    <cellStyle name="Note 3 3 3" xfId="8413"/>
    <cellStyle name="Note 3 3 3 2" xfId="14480"/>
    <cellStyle name="Note 3 3 4" xfId="8414"/>
    <cellStyle name="Note 3 3 5" xfId="14474"/>
    <cellStyle name="Note 3 4" xfId="8415"/>
    <cellStyle name="Note 3 4 2" xfId="8416"/>
    <cellStyle name="Note 3 4 2 2" xfId="8417"/>
    <cellStyle name="Note 3 4 2 2 2" xfId="14483"/>
    <cellStyle name="Note 3 4 2 3" xfId="8418"/>
    <cellStyle name="Note 3 4 2 3 2" xfId="14484"/>
    <cellStyle name="Note 3 4 2 4" xfId="8419"/>
    <cellStyle name="Note 3 4 2 4 2" xfId="14485"/>
    <cellStyle name="Note 3 4 2 5" xfId="8420"/>
    <cellStyle name="Note 3 4 2 5 2" xfId="14486"/>
    <cellStyle name="Note 3 4 2 6" xfId="14482"/>
    <cellStyle name="Note 3 4 3" xfId="8421"/>
    <cellStyle name="Note 3 4 3 2" xfId="14487"/>
    <cellStyle name="Note 3 4 4" xfId="8422"/>
    <cellStyle name="Note 3 4 5" xfId="14481"/>
    <cellStyle name="Note 3 5" xfId="8423"/>
    <cellStyle name="Note 3 5 2" xfId="8424"/>
    <cellStyle name="Note 3 5 2 2" xfId="14489"/>
    <cellStyle name="Note 3 5 3" xfId="8425"/>
    <cellStyle name="Note 3 5 3 2" xfId="14490"/>
    <cellStyle name="Note 3 5 4" xfId="8426"/>
    <cellStyle name="Note 3 5 4 2" xfId="14491"/>
    <cellStyle name="Note 3 5 5" xfId="8427"/>
    <cellStyle name="Note 3 5 5 2" xfId="14492"/>
    <cellStyle name="Note 3 5 6" xfId="14488"/>
    <cellStyle name="Note 3 6" xfId="8428"/>
    <cellStyle name="Note 3 6 2" xfId="14493"/>
    <cellStyle name="Note 3 7" xfId="8429"/>
    <cellStyle name="Note 3 8" xfId="14462"/>
    <cellStyle name="Note 4" xfId="8430"/>
    <cellStyle name="Note 4 2" xfId="8431"/>
    <cellStyle name="Note 4 2 2" xfId="14495"/>
    <cellStyle name="Note 4 3" xfId="8432"/>
    <cellStyle name="Note 4 3 2" xfId="8433"/>
    <cellStyle name="Note 4 3 2 2" xfId="14497"/>
    <cellStyle name="Note 4 3 3" xfId="8434"/>
    <cellStyle name="Note 4 3 3 2" xfId="14498"/>
    <cellStyle name="Note 4 3 4" xfId="8435"/>
    <cellStyle name="Note 4 3 4 2" xfId="14499"/>
    <cellStyle name="Note 4 3 5" xfId="8436"/>
    <cellStyle name="Note 4 3 5 2" xfId="14500"/>
    <cellStyle name="Note 4 3 6" xfId="14496"/>
    <cellStyle name="Note 4 4" xfId="8437"/>
    <cellStyle name="Note 4 4 2" xfId="14501"/>
    <cellStyle name="Note 4 5" xfId="8438"/>
    <cellStyle name="Note 4 5 2" xfId="14502"/>
    <cellStyle name="Note 4 6" xfId="8439"/>
    <cellStyle name="Note 4 7" xfId="14494"/>
    <cellStyle name="Note 5" xfId="8440"/>
    <cellStyle name="Note 5 2" xfId="8441"/>
    <cellStyle name="Note 5 2 2" xfId="8442"/>
    <cellStyle name="Note 5 2 2 2" xfId="14505"/>
    <cellStyle name="Note 5 2 3" xfId="8443"/>
    <cellStyle name="Note 5 2 3 2" xfId="14506"/>
    <cellStyle name="Note 5 2 4" xfId="8444"/>
    <cellStyle name="Note 5 2 4 2" xfId="14507"/>
    <cellStyle name="Note 5 2 5" xfId="8445"/>
    <cellStyle name="Note 5 2 5 2" xfId="14508"/>
    <cellStyle name="Note 5 2 6" xfId="14504"/>
    <cellStyle name="Note 5 3" xfId="14503"/>
    <cellStyle name="Note 6" xfId="8446"/>
    <cellStyle name="Note 6 2" xfId="14509"/>
    <cellStyle name="Notes" xfId="8447"/>
    <cellStyle name="Notes 2" xfId="8448"/>
    <cellStyle name="Notes 3" xfId="14510"/>
    <cellStyle name="Output 2" xfId="8449"/>
    <cellStyle name="Output 2 2" xfId="8450"/>
    <cellStyle name="Output 2 2 2" xfId="8451"/>
    <cellStyle name="Output 2 2 2 2" xfId="8452"/>
    <cellStyle name="Output 2 2 2 2 2" xfId="8453"/>
    <cellStyle name="Output 2 2 2 2 2 2" xfId="14516"/>
    <cellStyle name="Output 2 2 2 2 3" xfId="8454"/>
    <cellStyle name="Output 2 2 2 2 3 2" xfId="14517"/>
    <cellStyle name="Output 2 2 2 2 4" xfId="8455"/>
    <cellStyle name="Output 2 2 2 2 4 2" xfId="14518"/>
    <cellStyle name="Output 2 2 2 2 5" xfId="8456"/>
    <cellStyle name="Output 2 2 2 2 5 2" xfId="14519"/>
    <cellStyle name="Output 2 2 2 2 6" xfId="14515"/>
    <cellStyle name="Output 2 2 2 3" xfId="8457"/>
    <cellStyle name="Output 2 2 2 3 2" xfId="14520"/>
    <cellStyle name="Output 2 2 2 4" xfId="14514"/>
    <cellStyle name="Output 2 2 3" xfId="8458"/>
    <cellStyle name="Output 2 2 3 2" xfId="8459"/>
    <cellStyle name="Output 2 2 3 2 2" xfId="14522"/>
    <cellStyle name="Output 2 2 3 3" xfId="8460"/>
    <cellStyle name="Output 2 2 3 3 2" xfId="14523"/>
    <cellStyle name="Output 2 2 3 4" xfId="8461"/>
    <cellStyle name="Output 2 2 3 4 2" xfId="14524"/>
    <cellStyle name="Output 2 2 3 5" xfId="8462"/>
    <cellStyle name="Output 2 2 3 5 2" xfId="14525"/>
    <cellStyle name="Output 2 2 3 6" xfId="14521"/>
    <cellStyle name="Output 2 2 4" xfId="8463"/>
    <cellStyle name="Output 2 2 4 2" xfId="14526"/>
    <cellStyle name="Output 2 2 5" xfId="8464"/>
    <cellStyle name="Output 2 2 6" xfId="14513"/>
    <cellStyle name="Output 2 3" xfId="8465"/>
    <cellStyle name="Output 2 3 2" xfId="8466"/>
    <cellStyle name="Output 2 3 2 2" xfId="8467"/>
    <cellStyle name="Output 2 3 2 2 2" xfId="14529"/>
    <cellStyle name="Output 2 3 2 3" xfId="8468"/>
    <cellStyle name="Output 2 3 2 3 2" xfId="14530"/>
    <cellStyle name="Output 2 3 2 4" xfId="8469"/>
    <cellStyle name="Output 2 3 2 4 2" xfId="14531"/>
    <cellStyle name="Output 2 3 2 5" xfId="8470"/>
    <cellStyle name="Output 2 3 2 5 2" xfId="14532"/>
    <cellStyle name="Output 2 3 2 6" xfId="14528"/>
    <cellStyle name="Output 2 3 3" xfId="8471"/>
    <cellStyle name="Output 2 3 3 2" xfId="14533"/>
    <cellStyle name="Output 2 3 4" xfId="8472"/>
    <cellStyle name="Output 2 3 5" xfId="14527"/>
    <cellStyle name="Output 2 4" xfId="8473"/>
    <cellStyle name="Output 2 4 2" xfId="8474"/>
    <cellStyle name="Output 2 4 2 2" xfId="14535"/>
    <cellStyle name="Output 2 4 3" xfId="8475"/>
    <cellStyle name="Output 2 4 3 2" xfId="14536"/>
    <cellStyle name="Output 2 4 4" xfId="8476"/>
    <cellStyle name="Output 2 4 4 2" xfId="14537"/>
    <cellStyle name="Output 2 4 5" xfId="8477"/>
    <cellStyle name="Output 2 4 5 2" xfId="14538"/>
    <cellStyle name="Output 2 4 6" xfId="14534"/>
    <cellStyle name="Output 2 5" xfId="8478"/>
    <cellStyle name="Output 2 5 2" xfId="14539"/>
    <cellStyle name="Output 2 6" xfId="8479"/>
    <cellStyle name="Output 2 7" xfId="14512"/>
    <cellStyle name="Output 3" xfId="8480"/>
    <cellStyle name="Output 3 2" xfId="8481"/>
    <cellStyle name="Output 3 2 2" xfId="8482"/>
    <cellStyle name="Output 3 2 2 2" xfId="8483"/>
    <cellStyle name="Output 3 2 2 2 2" xfId="14543"/>
    <cellStyle name="Output 3 2 2 3" xfId="8484"/>
    <cellStyle name="Output 3 2 2 3 2" xfId="14544"/>
    <cellStyle name="Output 3 2 2 4" xfId="8485"/>
    <cellStyle name="Output 3 2 2 4 2" xfId="14545"/>
    <cellStyle name="Output 3 2 2 5" xfId="8486"/>
    <cellStyle name="Output 3 2 2 5 2" xfId="14546"/>
    <cellStyle name="Output 3 2 2 6" xfId="14542"/>
    <cellStyle name="Output 3 2 3" xfId="8487"/>
    <cellStyle name="Output 3 2 3 2" xfId="14547"/>
    <cellStyle name="Output 3 2 4" xfId="8488"/>
    <cellStyle name="Output 3 2 5" xfId="14541"/>
    <cellStyle name="Output 3 3" xfId="8489"/>
    <cellStyle name="Output 3 3 2" xfId="8490"/>
    <cellStyle name="Output 3 3 2 2" xfId="14549"/>
    <cellStyle name="Output 3 3 3" xfId="8491"/>
    <cellStyle name="Output 3 3 3 2" xfId="14550"/>
    <cellStyle name="Output 3 3 4" xfId="8492"/>
    <cellStyle name="Output 3 3 4 2" xfId="14551"/>
    <cellStyle name="Output 3 3 5" xfId="8493"/>
    <cellStyle name="Output 3 3 5 2" xfId="14552"/>
    <cellStyle name="Output 3 3 6" xfId="8494"/>
    <cellStyle name="Output 3 3 7" xfId="14548"/>
    <cellStyle name="Output 3 4" xfId="8495"/>
    <cellStyle name="Output 3 4 2" xfId="8496"/>
    <cellStyle name="Output 3 4 2 2" xfId="14554"/>
    <cellStyle name="Output 3 4 3" xfId="8497"/>
    <cellStyle name="Output 3 4 3 2" xfId="14555"/>
    <cellStyle name="Output 3 4 4" xfId="8498"/>
    <cellStyle name="Output 3 4 4 2" xfId="14556"/>
    <cellStyle name="Output 3 4 5" xfId="8499"/>
    <cellStyle name="Output 3 4 5 2" xfId="14557"/>
    <cellStyle name="Output 3 4 6" xfId="14553"/>
    <cellStyle name="Output 3 5" xfId="8500"/>
    <cellStyle name="Output 3 5 2" xfId="14558"/>
    <cellStyle name="Output 3 6" xfId="8501"/>
    <cellStyle name="Output 3 7" xfId="14540"/>
    <cellStyle name="Output 4" xfId="8502"/>
    <cellStyle name="Output 4 2" xfId="14559"/>
    <cellStyle name="Output 5" xfId="8503"/>
    <cellStyle name="Output 6" xfId="14511"/>
    <cellStyle name="Percent" xfId="15197" builtinId="5"/>
    <cellStyle name="Percent 10" xfId="8504"/>
    <cellStyle name="Percent 10 2" xfId="8505"/>
    <cellStyle name="Percent 10 2 2" xfId="14561"/>
    <cellStyle name="Percent 10 3" xfId="8506"/>
    <cellStyle name="Percent 10 3 2" xfId="14562"/>
    <cellStyle name="Percent 10 4" xfId="8507"/>
    <cellStyle name="Percent 10 4 2" xfId="14563"/>
    <cellStyle name="Percent 10 5" xfId="8508"/>
    <cellStyle name="Percent 10 6" xfId="14560"/>
    <cellStyle name="Percent 11" xfId="8509"/>
    <cellStyle name="Percent 11 2" xfId="8510"/>
    <cellStyle name="Percent 11 2 2" xfId="8511"/>
    <cellStyle name="Percent 11 2 2 2" xfId="14566"/>
    <cellStyle name="Percent 11 2 3" xfId="14565"/>
    <cellStyle name="Percent 11 3" xfId="8512"/>
    <cellStyle name="Percent 11 3 2" xfId="8513"/>
    <cellStyle name="Percent 11 3 2 2" xfId="14568"/>
    <cellStyle name="Percent 11 3 3" xfId="14567"/>
    <cellStyle name="Percent 11 4" xfId="8514"/>
    <cellStyle name="Percent 11 4 2" xfId="14569"/>
    <cellStyle name="Percent 11 5" xfId="14564"/>
    <cellStyle name="Percent 12" xfId="8515"/>
    <cellStyle name="Percent 12 2" xfId="14570"/>
    <cellStyle name="Percent 13" xfId="8516"/>
    <cellStyle name="Percent 13 2" xfId="14571"/>
    <cellStyle name="Percent 14" xfId="8517"/>
    <cellStyle name="Percent 14 2" xfId="8518"/>
    <cellStyle name="Percent 14 2 2" xfId="8519"/>
    <cellStyle name="Percent 14 2 2 2" xfId="14574"/>
    <cellStyle name="Percent 14 2 3" xfId="14573"/>
    <cellStyle name="Percent 14 3" xfId="14572"/>
    <cellStyle name="Percent 15" xfId="8520"/>
    <cellStyle name="Percent 16" xfId="15196"/>
    <cellStyle name="Percent 16 2" xfId="8521"/>
    <cellStyle name="Percent 16 2 2" xfId="8522"/>
    <cellStyle name="Percent 16 2 2 2" xfId="14576"/>
    <cellStyle name="Percent 16 2 3" xfId="14575"/>
    <cellStyle name="Percent 2" xfId="8523"/>
    <cellStyle name="Percent 2 2" xfId="8524"/>
    <cellStyle name="Percent 2 2 2" xfId="8525"/>
    <cellStyle name="Percent 2 2 2 2" xfId="8526"/>
    <cellStyle name="Percent 2 2 2 3" xfId="14579"/>
    <cellStyle name="Percent 2 2 3" xfId="8527"/>
    <cellStyle name="Percent 2 2 3 2" xfId="8528"/>
    <cellStyle name="Percent 2 2 3 2 2" xfId="14581"/>
    <cellStyle name="Percent 2 2 3 3" xfId="8529"/>
    <cellStyle name="Percent 2 2 3 4" xfId="14580"/>
    <cellStyle name="Percent 2 2 4" xfId="8530"/>
    <cellStyle name="Percent 2 2 5" xfId="14578"/>
    <cellStyle name="Percent 2 3" xfId="8531"/>
    <cellStyle name="Percent 2 3 2" xfId="8532"/>
    <cellStyle name="Percent 2 3 2 2" xfId="14583"/>
    <cellStyle name="Percent 2 3 3" xfId="8533"/>
    <cellStyle name="Percent 2 3 3 2" xfId="14584"/>
    <cellStyle name="Percent 2 3 4" xfId="8534"/>
    <cellStyle name="Percent 2 3 5" xfId="14582"/>
    <cellStyle name="Percent 2 4" xfId="8535"/>
    <cellStyle name="Percent 2 4 2" xfId="8536"/>
    <cellStyle name="Percent 2 4 2 2" xfId="14586"/>
    <cellStyle name="Percent 2 4 3" xfId="8537"/>
    <cellStyle name="Percent 2 4 3 2" xfId="14587"/>
    <cellStyle name="Percent 2 4 4" xfId="8538"/>
    <cellStyle name="Percent 2 4 5" xfId="14585"/>
    <cellStyle name="Percent 2 5" xfId="8539"/>
    <cellStyle name="Percent 2 5 2" xfId="14588"/>
    <cellStyle name="Percent 2 6" xfId="8540"/>
    <cellStyle name="Percent 2 6 2" xfId="8541"/>
    <cellStyle name="Percent 2 6 3" xfId="14589"/>
    <cellStyle name="Percent 2 7" xfId="8542"/>
    <cellStyle name="Percent 2 8" xfId="14577"/>
    <cellStyle name="Percent 3" xfId="8543"/>
    <cellStyle name="Percent 3 10" xfId="8544"/>
    <cellStyle name="Percent 3 10 2" xfId="14591"/>
    <cellStyle name="Percent 3 11" xfId="8545"/>
    <cellStyle name="Percent 3 12" xfId="14590"/>
    <cellStyle name="Percent 3 2" xfId="8546"/>
    <cellStyle name="Percent 3 2 10" xfId="14592"/>
    <cellStyle name="Percent 3 2 2" xfId="8547"/>
    <cellStyle name="Percent 3 2 2 2" xfId="8548"/>
    <cellStyle name="Percent 3 2 2 2 2" xfId="8549"/>
    <cellStyle name="Percent 3 2 2 2 2 2" xfId="8550"/>
    <cellStyle name="Percent 3 2 2 2 2 2 2" xfId="8551"/>
    <cellStyle name="Percent 3 2 2 2 2 2 2 2" xfId="8552"/>
    <cellStyle name="Percent 3 2 2 2 2 2 2 2 2" xfId="14598"/>
    <cellStyle name="Percent 3 2 2 2 2 2 2 3" xfId="14597"/>
    <cellStyle name="Percent 3 2 2 2 2 2 3" xfId="8553"/>
    <cellStyle name="Percent 3 2 2 2 2 2 3 2" xfId="8554"/>
    <cellStyle name="Percent 3 2 2 2 2 2 3 2 2" xfId="14600"/>
    <cellStyle name="Percent 3 2 2 2 2 2 3 3" xfId="14599"/>
    <cellStyle name="Percent 3 2 2 2 2 2 4" xfId="8555"/>
    <cellStyle name="Percent 3 2 2 2 2 2 4 2" xfId="14601"/>
    <cellStyle name="Percent 3 2 2 2 2 2 5" xfId="14596"/>
    <cellStyle name="Percent 3 2 2 2 2 3" xfId="8556"/>
    <cellStyle name="Percent 3 2 2 2 2 3 2" xfId="8557"/>
    <cellStyle name="Percent 3 2 2 2 2 3 2 2" xfId="14603"/>
    <cellStyle name="Percent 3 2 2 2 2 3 3" xfId="14602"/>
    <cellStyle name="Percent 3 2 2 2 2 4" xfId="8558"/>
    <cellStyle name="Percent 3 2 2 2 2 4 2" xfId="8559"/>
    <cellStyle name="Percent 3 2 2 2 2 4 2 2" xfId="14605"/>
    <cellStyle name="Percent 3 2 2 2 2 4 3" xfId="14604"/>
    <cellStyle name="Percent 3 2 2 2 2 5" xfId="8560"/>
    <cellStyle name="Percent 3 2 2 2 2 5 2" xfId="14606"/>
    <cellStyle name="Percent 3 2 2 2 2 6" xfId="14595"/>
    <cellStyle name="Percent 3 2 2 2 3" xfId="8561"/>
    <cellStyle name="Percent 3 2 2 2 3 2" xfId="8562"/>
    <cellStyle name="Percent 3 2 2 2 3 2 2" xfId="8563"/>
    <cellStyle name="Percent 3 2 2 2 3 2 2 2" xfId="14609"/>
    <cellStyle name="Percent 3 2 2 2 3 2 3" xfId="14608"/>
    <cellStyle name="Percent 3 2 2 2 3 3" xfId="8564"/>
    <cellStyle name="Percent 3 2 2 2 3 3 2" xfId="8565"/>
    <cellStyle name="Percent 3 2 2 2 3 3 2 2" xfId="14611"/>
    <cellStyle name="Percent 3 2 2 2 3 3 3" xfId="14610"/>
    <cellStyle name="Percent 3 2 2 2 3 4" xfId="8566"/>
    <cellStyle name="Percent 3 2 2 2 3 4 2" xfId="14612"/>
    <cellStyle name="Percent 3 2 2 2 3 5" xfId="14607"/>
    <cellStyle name="Percent 3 2 2 2 4" xfId="8567"/>
    <cellStyle name="Percent 3 2 2 2 4 2" xfId="8568"/>
    <cellStyle name="Percent 3 2 2 2 4 2 2" xfId="14614"/>
    <cellStyle name="Percent 3 2 2 2 4 3" xfId="14613"/>
    <cellStyle name="Percent 3 2 2 2 5" xfId="8569"/>
    <cellStyle name="Percent 3 2 2 2 5 2" xfId="8570"/>
    <cellStyle name="Percent 3 2 2 2 5 2 2" xfId="14616"/>
    <cellStyle name="Percent 3 2 2 2 5 3" xfId="14615"/>
    <cellStyle name="Percent 3 2 2 2 6" xfId="8571"/>
    <cellStyle name="Percent 3 2 2 2 6 2" xfId="14617"/>
    <cellStyle name="Percent 3 2 2 2 7" xfId="14594"/>
    <cellStyle name="Percent 3 2 2 3" xfId="8572"/>
    <cellStyle name="Percent 3 2 2 3 2" xfId="8573"/>
    <cellStyle name="Percent 3 2 2 3 2 2" xfId="8574"/>
    <cellStyle name="Percent 3 2 2 3 2 2 2" xfId="8575"/>
    <cellStyle name="Percent 3 2 2 3 2 2 2 2" xfId="14621"/>
    <cellStyle name="Percent 3 2 2 3 2 2 3" xfId="14620"/>
    <cellStyle name="Percent 3 2 2 3 2 3" xfId="8576"/>
    <cellStyle name="Percent 3 2 2 3 2 3 2" xfId="8577"/>
    <cellStyle name="Percent 3 2 2 3 2 3 2 2" xfId="14623"/>
    <cellStyle name="Percent 3 2 2 3 2 3 3" xfId="14622"/>
    <cellStyle name="Percent 3 2 2 3 2 4" xfId="8578"/>
    <cellStyle name="Percent 3 2 2 3 2 4 2" xfId="14624"/>
    <cellStyle name="Percent 3 2 2 3 2 5" xfId="14619"/>
    <cellStyle name="Percent 3 2 2 3 3" xfId="8579"/>
    <cellStyle name="Percent 3 2 2 3 3 2" xfId="8580"/>
    <cellStyle name="Percent 3 2 2 3 3 2 2" xfId="14626"/>
    <cellStyle name="Percent 3 2 2 3 3 3" xfId="14625"/>
    <cellStyle name="Percent 3 2 2 3 4" xfId="8581"/>
    <cellStyle name="Percent 3 2 2 3 4 2" xfId="8582"/>
    <cellStyle name="Percent 3 2 2 3 4 2 2" xfId="14628"/>
    <cellStyle name="Percent 3 2 2 3 4 3" xfId="14627"/>
    <cellStyle name="Percent 3 2 2 3 5" xfId="8583"/>
    <cellStyle name="Percent 3 2 2 3 5 2" xfId="14629"/>
    <cellStyle name="Percent 3 2 2 3 6" xfId="14618"/>
    <cellStyle name="Percent 3 2 2 4" xfId="8584"/>
    <cellStyle name="Percent 3 2 2 4 2" xfId="8585"/>
    <cellStyle name="Percent 3 2 2 4 2 2" xfId="8586"/>
    <cellStyle name="Percent 3 2 2 4 2 2 2" xfId="14632"/>
    <cellStyle name="Percent 3 2 2 4 2 3" xfId="14631"/>
    <cellStyle name="Percent 3 2 2 4 3" xfId="8587"/>
    <cellStyle name="Percent 3 2 2 4 3 2" xfId="8588"/>
    <cellStyle name="Percent 3 2 2 4 3 2 2" xfId="14634"/>
    <cellStyle name="Percent 3 2 2 4 3 3" xfId="14633"/>
    <cellStyle name="Percent 3 2 2 4 4" xfId="8589"/>
    <cellStyle name="Percent 3 2 2 4 4 2" xfId="14635"/>
    <cellStyle name="Percent 3 2 2 4 5" xfId="14630"/>
    <cellStyle name="Percent 3 2 2 5" xfId="8590"/>
    <cellStyle name="Percent 3 2 2 5 2" xfId="8591"/>
    <cellStyle name="Percent 3 2 2 5 2 2" xfId="14637"/>
    <cellStyle name="Percent 3 2 2 5 3" xfId="14636"/>
    <cellStyle name="Percent 3 2 2 6" xfId="8592"/>
    <cellStyle name="Percent 3 2 2 6 2" xfId="8593"/>
    <cellStyle name="Percent 3 2 2 6 2 2" xfId="14639"/>
    <cellStyle name="Percent 3 2 2 6 3" xfId="14638"/>
    <cellStyle name="Percent 3 2 2 7" xfId="8594"/>
    <cellStyle name="Percent 3 2 2 7 2" xfId="14640"/>
    <cellStyle name="Percent 3 2 2 8" xfId="8595"/>
    <cellStyle name="Percent 3 2 2 9" xfId="14593"/>
    <cellStyle name="Percent 3 2 3" xfId="8596"/>
    <cellStyle name="Percent 3 2 3 2" xfId="8597"/>
    <cellStyle name="Percent 3 2 3 2 2" xfId="8598"/>
    <cellStyle name="Percent 3 2 3 2 2 2" xfId="8599"/>
    <cellStyle name="Percent 3 2 3 2 2 2 2" xfId="8600"/>
    <cellStyle name="Percent 3 2 3 2 2 2 2 2" xfId="14645"/>
    <cellStyle name="Percent 3 2 3 2 2 2 3" xfId="14644"/>
    <cellStyle name="Percent 3 2 3 2 2 3" xfId="8601"/>
    <cellStyle name="Percent 3 2 3 2 2 3 2" xfId="8602"/>
    <cellStyle name="Percent 3 2 3 2 2 3 2 2" xfId="14647"/>
    <cellStyle name="Percent 3 2 3 2 2 3 3" xfId="14646"/>
    <cellStyle name="Percent 3 2 3 2 2 4" xfId="8603"/>
    <cellStyle name="Percent 3 2 3 2 2 4 2" xfId="14648"/>
    <cellStyle name="Percent 3 2 3 2 2 5" xfId="14643"/>
    <cellStyle name="Percent 3 2 3 2 3" xfId="8604"/>
    <cellStyle name="Percent 3 2 3 2 3 2" xfId="8605"/>
    <cellStyle name="Percent 3 2 3 2 3 2 2" xfId="14650"/>
    <cellStyle name="Percent 3 2 3 2 3 3" xfId="14649"/>
    <cellStyle name="Percent 3 2 3 2 4" xfId="8606"/>
    <cellStyle name="Percent 3 2 3 2 4 2" xfId="8607"/>
    <cellStyle name="Percent 3 2 3 2 4 2 2" xfId="14652"/>
    <cellStyle name="Percent 3 2 3 2 4 3" xfId="14651"/>
    <cellStyle name="Percent 3 2 3 2 5" xfId="8608"/>
    <cellStyle name="Percent 3 2 3 2 5 2" xfId="14653"/>
    <cellStyle name="Percent 3 2 3 2 6" xfId="14642"/>
    <cellStyle name="Percent 3 2 3 3" xfId="8609"/>
    <cellStyle name="Percent 3 2 3 3 2" xfId="8610"/>
    <cellStyle name="Percent 3 2 3 3 2 2" xfId="8611"/>
    <cellStyle name="Percent 3 2 3 3 2 2 2" xfId="14656"/>
    <cellStyle name="Percent 3 2 3 3 2 3" xfId="14655"/>
    <cellStyle name="Percent 3 2 3 3 3" xfId="8612"/>
    <cellStyle name="Percent 3 2 3 3 3 2" xfId="8613"/>
    <cellStyle name="Percent 3 2 3 3 3 2 2" xfId="14658"/>
    <cellStyle name="Percent 3 2 3 3 3 3" xfId="14657"/>
    <cellStyle name="Percent 3 2 3 3 4" xfId="8614"/>
    <cellStyle name="Percent 3 2 3 3 4 2" xfId="14659"/>
    <cellStyle name="Percent 3 2 3 3 5" xfId="14654"/>
    <cellStyle name="Percent 3 2 3 4" xfId="8615"/>
    <cellStyle name="Percent 3 2 3 4 2" xfId="8616"/>
    <cellStyle name="Percent 3 2 3 4 2 2" xfId="14661"/>
    <cellStyle name="Percent 3 2 3 4 3" xfId="14660"/>
    <cellStyle name="Percent 3 2 3 5" xfId="8617"/>
    <cellStyle name="Percent 3 2 3 5 2" xfId="8618"/>
    <cellStyle name="Percent 3 2 3 5 2 2" xfId="14663"/>
    <cellStyle name="Percent 3 2 3 5 3" xfId="14662"/>
    <cellStyle name="Percent 3 2 3 6" xfId="8619"/>
    <cellStyle name="Percent 3 2 3 6 2" xfId="14664"/>
    <cellStyle name="Percent 3 2 3 7" xfId="14641"/>
    <cellStyle name="Percent 3 2 4" xfId="8620"/>
    <cellStyle name="Percent 3 2 4 2" xfId="8621"/>
    <cellStyle name="Percent 3 2 4 2 2" xfId="8622"/>
    <cellStyle name="Percent 3 2 4 2 2 2" xfId="8623"/>
    <cellStyle name="Percent 3 2 4 2 2 2 2" xfId="14668"/>
    <cellStyle name="Percent 3 2 4 2 2 3" xfId="14667"/>
    <cellStyle name="Percent 3 2 4 2 3" xfId="8624"/>
    <cellStyle name="Percent 3 2 4 2 3 2" xfId="8625"/>
    <cellStyle name="Percent 3 2 4 2 3 2 2" xfId="14670"/>
    <cellStyle name="Percent 3 2 4 2 3 3" xfId="14669"/>
    <cellStyle name="Percent 3 2 4 2 4" xfId="8626"/>
    <cellStyle name="Percent 3 2 4 2 4 2" xfId="14671"/>
    <cellStyle name="Percent 3 2 4 2 5" xfId="14666"/>
    <cellStyle name="Percent 3 2 4 3" xfId="8627"/>
    <cellStyle name="Percent 3 2 4 3 2" xfId="8628"/>
    <cellStyle name="Percent 3 2 4 3 2 2" xfId="14673"/>
    <cellStyle name="Percent 3 2 4 3 3" xfId="14672"/>
    <cellStyle name="Percent 3 2 4 4" xfId="8629"/>
    <cellStyle name="Percent 3 2 4 4 2" xfId="8630"/>
    <cellStyle name="Percent 3 2 4 4 2 2" xfId="14675"/>
    <cellStyle name="Percent 3 2 4 4 3" xfId="14674"/>
    <cellStyle name="Percent 3 2 4 5" xfId="8631"/>
    <cellStyle name="Percent 3 2 4 5 2" xfId="14676"/>
    <cellStyle name="Percent 3 2 4 6" xfId="14665"/>
    <cellStyle name="Percent 3 2 5" xfId="8632"/>
    <cellStyle name="Percent 3 2 5 2" xfId="8633"/>
    <cellStyle name="Percent 3 2 5 2 2" xfId="8634"/>
    <cellStyle name="Percent 3 2 5 2 2 2" xfId="14679"/>
    <cellStyle name="Percent 3 2 5 2 3" xfId="14678"/>
    <cellStyle name="Percent 3 2 5 3" xfId="8635"/>
    <cellStyle name="Percent 3 2 5 3 2" xfId="8636"/>
    <cellStyle name="Percent 3 2 5 3 2 2" xfId="14681"/>
    <cellStyle name="Percent 3 2 5 3 3" xfId="14680"/>
    <cellStyle name="Percent 3 2 5 4" xfId="8637"/>
    <cellStyle name="Percent 3 2 5 4 2" xfId="14682"/>
    <cellStyle name="Percent 3 2 5 5" xfId="14677"/>
    <cellStyle name="Percent 3 2 6" xfId="8638"/>
    <cellStyle name="Percent 3 2 6 2" xfId="8639"/>
    <cellStyle name="Percent 3 2 6 2 2" xfId="14684"/>
    <cellStyle name="Percent 3 2 6 3" xfId="14683"/>
    <cellStyle name="Percent 3 2 7" xfId="8640"/>
    <cellStyle name="Percent 3 2 7 2" xfId="8641"/>
    <cellStyle name="Percent 3 2 7 2 2" xfId="14686"/>
    <cellStyle name="Percent 3 2 7 3" xfId="14685"/>
    <cellStyle name="Percent 3 2 8" xfId="8642"/>
    <cellStyle name="Percent 3 2 8 2" xfId="14687"/>
    <cellStyle name="Percent 3 2 9" xfId="8643"/>
    <cellStyle name="Percent 3 3" xfId="8644"/>
    <cellStyle name="Percent 3 3 2" xfId="8645"/>
    <cellStyle name="Percent 3 3 2 2" xfId="8646"/>
    <cellStyle name="Percent 3 3 2 2 2" xfId="8647"/>
    <cellStyle name="Percent 3 3 2 2 2 2" xfId="8648"/>
    <cellStyle name="Percent 3 3 2 2 2 2 2" xfId="8649"/>
    <cellStyle name="Percent 3 3 2 2 2 2 2 2" xfId="14693"/>
    <cellStyle name="Percent 3 3 2 2 2 2 3" xfId="14692"/>
    <cellStyle name="Percent 3 3 2 2 2 3" xfId="8650"/>
    <cellStyle name="Percent 3 3 2 2 2 3 2" xfId="8651"/>
    <cellStyle name="Percent 3 3 2 2 2 3 2 2" xfId="14695"/>
    <cellStyle name="Percent 3 3 2 2 2 3 3" xfId="14694"/>
    <cellStyle name="Percent 3 3 2 2 2 4" xfId="8652"/>
    <cellStyle name="Percent 3 3 2 2 2 4 2" xfId="14696"/>
    <cellStyle name="Percent 3 3 2 2 2 5" xfId="14691"/>
    <cellStyle name="Percent 3 3 2 2 3" xfId="8653"/>
    <cellStyle name="Percent 3 3 2 2 3 2" xfId="8654"/>
    <cellStyle name="Percent 3 3 2 2 3 2 2" xfId="14698"/>
    <cellStyle name="Percent 3 3 2 2 3 3" xfId="14697"/>
    <cellStyle name="Percent 3 3 2 2 4" xfId="8655"/>
    <cellStyle name="Percent 3 3 2 2 4 2" xfId="8656"/>
    <cellStyle name="Percent 3 3 2 2 4 2 2" xfId="14700"/>
    <cellStyle name="Percent 3 3 2 2 4 3" xfId="14699"/>
    <cellStyle name="Percent 3 3 2 2 5" xfId="8657"/>
    <cellStyle name="Percent 3 3 2 2 5 2" xfId="14701"/>
    <cellStyle name="Percent 3 3 2 2 6" xfId="14690"/>
    <cellStyle name="Percent 3 3 2 3" xfId="8658"/>
    <cellStyle name="Percent 3 3 2 3 2" xfId="8659"/>
    <cellStyle name="Percent 3 3 2 3 2 2" xfId="8660"/>
    <cellStyle name="Percent 3 3 2 3 2 2 2" xfId="14704"/>
    <cellStyle name="Percent 3 3 2 3 2 3" xfId="14703"/>
    <cellStyle name="Percent 3 3 2 3 3" xfId="8661"/>
    <cellStyle name="Percent 3 3 2 3 3 2" xfId="8662"/>
    <cellStyle name="Percent 3 3 2 3 3 2 2" xfId="14706"/>
    <cellStyle name="Percent 3 3 2 3 3 3" xfId="14705"/>
    <cellStyle name="Percent 3 3 2 3 4" xfId="8663"/>
    <cellStyle name="Percent 3 3 2 3 4 2" xfId="14707"/>
    <cellStyle name="Percent 3 3 2 3 5" xfId="14702"/>
    <cellStyle name="Percent 3 3 2 4" xfId="8664"/>
    <cellStyle name="Percent 3 3 2 4 2" xfId="8665"/>
    <cellStyle name="Percent 3 3 2 4 2 2" xfId="14709"/>
    <cellStyle name="Percent 3 3 2 4 3" xfId="14708"/>
    <cellStyle name="Percent 3 3 2 5" xfId="8666"/>
    <cellStyle name="Percent 3 3 2 5 2" xfId="8667"/>
    <cellStyle name="Percent 3 3 2 5 2 2" xfId="14711"/>
    <cellStyle name="Percent 3 3 2 5 3" xfId="14710"/>
    <cellStyle name="Percent 3 3 2 6" xfId="8668"/>
    <cellStyle name="Percent 3 3 2 6 2" xfId="14712"/>
    <cellStyle name="Percent 3 3 2 7" xfId="14689"/>
    <cellStyle name="Percent 3 3 3" xfId="8669"/>
    <cellStyle name="Percent 3 3 3 2" xfId="8670"/>
    <cellStyle name="Percent 3 3 3 2 2" xfId="8671"/>
    <cellStyle name="Percent 3 3 3 2 2 2" xfId="8672"/>
    <cellStyle name="Percent 3 3 3 2 2 2 2" xfId="14716"/>
    <cellStyle name="Percent 3 3 3 2 2 3" xfId="14715"/>
    <cellStyle name="Percent 3 3 3 2 3" xfId="8673"/>
    <cellStyle name="Percent 3 3 3 2 3 2" xfId="8674"/>
    <cellStyle name="Percent 3 3 3 2 3 2 2" xfId="14718"/>
    <cellStyle name="Percent 3 3 3 2 3 3" xfId="14717"/>
    <cellStyle name="Percent 3 3 3 2 4" xfId="8675"/>
    <cellStyle name="Percent 3 3 3 2 4 2" xfId="14719"/>
    <cellStyle name="Percent 3 3 3 2 5" xfId="14714"/>
    <cellStyle name="Percent 3 3 3 3" xfId="8676"/>
    <cellStyle name="Percent 3 3 3 3 2" xfId="8677"/>
    <cellStyle name="Percent 3 3 3 3 2 2" xfId="14721"/>
    <cellStyle name="Percent 3 3 3 3 3" xfId="14720"/>
    <cellStyle name="Percent 3 3 3 4" xfId="8678"/>
    <cellStyle name="Percent 3 3 3 4 2" xfId="8679"/>
    <cellStyle name="Percent 3 3 3 4 2 2" xfId="14723"/>
    <cellStyle name="Percent 3 3 3 4 3" xfId="14722"/>
    <cellStyle name="Percent 3 3 3 5" xfId="8680"/>
    <cellStyle name="Percent 3 3 3 5 2" xfId="14724"/>
    <cellStyle name="Percent 3 3 3 6" xfId="14713"/>
    <cellStyle name="Percent 3 3 4" xfId="8681"/>
    <cellStyle name="Percent 3 3 4 2" xfId="8682"/>
    <cellStyle name="Percent 3 3 4 2 2" xfId="8683"/>
    <cellStyle name="Percent 3 3 4 2 2 2" xfId="14727"/>
    <cellStyle name="Percent 3 3 4 2 3" xfId="14726"/>
    <cellStyle name="Percent 3 3 4 3" xfId="8684"/>
    <cellStyle name="Percent 3 3 4 3 2" xfId="8685"/>
    <cellStyle name="Percent 3 3 4 3 2 2" xfId="14729"/>
    <cellStyle name="Percent 3 3 4 3 3" xfId="14728"/>
    <cellStyle name="Percent 3 3 4 4" xfId="8686"/>
    <cellStyle name="Percent 3 3 4 4 2" xfId="14730"/>
    <cellStyle name="Percent 3 3 4 5" xfId="14725"/>
    <cellStyle name="Percent 3 3 5" xfId="8687"/>
    <cellStyle name="Percent 3 3 5 2" xfId="8688"/>
    <cellStyle name="Percent 3 3 5 2 2" xfId="14732"/>
    <cellStyle name="Percent 3 3 5 3" xfId="14731"/>
    <cellStyle name="Percent 3 3 6" xfId="8689"/>
    <cellStyle name="Percent 3 3 6 2" xfId="8690"/>
    <cellStyle name="Percent 3 3 6 2 2" xfId="14734"/>
    <cellStyle name="Percent 3 3 6 3" xfId="14733"/>
    <cellStyle name="Percent 3 3 7" xfId="8691"/>
    <cellStyle name="Percent 3 3 7 2" xfId="14735"/>
    <cellStyle name="Percent 3 3 8" xfId="8692"/>
    <cellStyle name="Percent 3 3 9" xfId="14688"/>
    <cellStyle name="Percent 3 4" xfId="8693"/>
    <cellStyle name="Percent 3 4 2" xfId="8694"/>
    <cellStyle name="Percent 3 4 2 2" xfId="8695"/>
    <cellStyle name="Percent 3 4 2 2 2" xfId="8696"/>
    <cellStyle name="Percent 3 4 2 2 2 2" xfId="8697"/>
    <cellStyle name="Percent 3 4 2 2 2 2 2" xfId="8698"/>
    <cellStyle name="Percent 3 4 2 2 2 2 2 2" xfId="14741"/>
    <cellStyle name="Percent 3 4 2 2 2 2 3" xfId="14740"/>
    <cellStyle name="Percent 3 4 2 2 2 3" xfId="8699"/>
    <cellStyle name="Percent 3 4 2 2 2 3 2" xfId="8700"/>
    <cellStyle name="Percent 3 4 2 2 2 3 2 2" xfId="14743"/>
    <cellStyle name="Percent 3 4 2 2 2 3 3" xfId="14742"/>
    <cellStyle name="Percent 3 4 2 2 2 4" xfId="8701"/>
    <cellStyle name="Percent 3 4 2 2 2 4 2" xfId="14744"/>
    <cellStyle name="Percent 3 4 2 2 2 5" xfId="14739"/>
    <cellStyle name="Percent 3 4 2 2 3" xfId="8702"/>
    <cellStyle name="Percent 3 4 2 2 3 2" xfId="8703"/>
    <cellStyle name="Percent 3 4 2 2 3 2 2" xfId="14746"/>
    <cellStyle name="Percent 3 4 2 2 3 3" xfId="14745"/>
    <cellStyle name="Percent 3 4 2 2 4" xfId="8704"/>
    <cellStyle name="Percent 3 4 2 2 4 2" xfId="8705"/>
    <cellStyle name="Percent 3 4 2 2 4 2 2" xfId="14748"/>
    <cellStyle name="Percent 3 4 2 2 4 3" xfId="14747"/>
    <cellStyle name="Percent 3 4 2 2 5" xfId="8706"/>
    <cellStyle name="Percent 3 4 2 2 5 2" xfId="14749"/>
    <cellStyle name="Percent 3 4 2 2 6" xfId="14738"/>
    <cellStyle name="Percent 3 4 2 3" xfId="8707"/>
    <cellStyle name="Percent 3 4 2 3 2" xfId="8708"/>
    <cellStyle name="Percent 3 4 2 3 2 2" xfId="8709"/>
    <cellStyle name="Percent 3 4 2 3 2 2 2" xfId="14752"/>
    <cellStyle name="Percent 3 4 2 3 2 3" xfId="14751"/>
    <cellStyle name="Percent 3 4 2 3 3" xfId="8710"/>
    <cellStyle name="Percent 3 4 2 3 3 2" xfId="8711"/>
    <cellStyle name="Percent 3 4 2 3 3 2 2" xfId="14754"/>
    <cellStyle name="Percent 3 4 2 3 3 3" xfId="14753"/>
    <cellStyle name="Percent 3 4 2 3 4" xfId="8712"/>
    <cellStyle name="Percent 3 4 2 3 4 2" xfId="14755"/>
    <cellStyle name="Percent 3 4 2 3 5" xfId="14750"/>
    <cellStyle name="Percent 3 4 2 4" xfId="8713"/>
    <cellStyle name="Percent 3 4 2 4 2" xfId="8714"/>
    <cellStyle name="Percent 3 4 2 4 2 2" xfId="14757"/>
    <cellStyle name="Percent 3 4 2 4 3" xfId="14756"/>
    <cellStyle name="Percent 3 4 2 5" xfId="8715"/>
    <cellStyle name="Percent 3 4 2 5 2" xfId="8716"/>
    <cellStyle name="Percent 3 4 2 5 2 2" xfId="14759"/>
    <cellStyle name="Percent 3 4 2 5 3" xfId="14758"/>
    <cellStyle name="Percent 3 4 2 6" xfId="8717"/>
    <cellStyle name="Percent 3 4 2 6 2" xfId="14760"/>
    <cellStyle name="Percent 3 4 2 7" xfId="14737"/>
    <cellStyle name="Percent 3 4 3" xfId="8718"/>
    <cellStyle name="Percent 3 4 3 2" xfId="8719"/>
    <cellStyle name="Percent 3 4 3 2 2" xfId="8720"/>
    <cellStyle name="Percent 3 4 3 2 2 2" xfId="8721"/>
    <cellStyle name="Percent 3 4 3 2 2 2 2" xfId="14764"/>
    <cellStyle name="Percent 3 4 3 2 2 3" xfId="14763"/>
    <cellStyle name="Percent 3 4 3 2 3" xfId="8722"/>
    <cellStyle name="Percent 3 4 3 2 3 2" xfId="8723"/>
    <cellStyle name="Percent 3 4 3 2 3 2 2" xfId="14766"/>
    <cellStyle name="Percent 3 4 3 2 3 3" xfId="14765"/>
    <cellStyle name="Percent 3 4 3 2 4" xfId="8724"/>
    <cellStyle name="Percent 3 4 3 2 4 2" xfId="14767"/>
    <cellStyle name="Percent 3 4 3 2 5" xfId="14762"/>
    <cellStyle name="Percent 3 4 3 3" xfId="8725"/>
    <cellStyle name="Percent 3 4 3 3 2" xfId="8726"/>
    <cellStyle name="Percent 3 4 3 3 2 2" xfId="14769"/>
    <cellStyle name="Percent 3 4 3 3 3" xfId="14768"/>
    <cellStyle name="Percent 3 4 3 4" xfId="8727"/>
    <cellStyle name="Percent 3 4 3 4 2" xfId="8728"/>
    <cellStyle name="Percent 3 4 3 4 2 2" xfId="14771"/>
    <cellStyle name="Percent 3 4 3 4 3" xfId="14770"/>
    <cellStyle name="Percent 3 4 3 5" xfId="8729"/>
    <cellStyle name="Percent 3 4 3 5 2" xfId="14772"/>
    <cellStyle name="Percent 3 4 3 6" xfId="14761"/>
    <cellStyle name="Percent 3 4 4" xfId="8730"/>
    <cellStyle name="Percent 3 4 4 2" xfId="8731"/>
    <cellStyle name="Percent 3 4 4 2 2" xfId="8732"/>
    <cellStyle name="Percent 3 4 4 2 2 2" xfId="14775"/>
    <cellStyle name="Percent 3 4 4 2 3" xfId="14774"/>
    <cellStyle name="Percent 3 4 4 3" xfId="8733"/>
    <cellStyle name="Percent 3 4 4 3 2" xfId="8734"/>
    <cellStyle name="Percent 3 4 4 3 2 2" xfId="14777"/>
    <cellStyle name="Percent 3 4 4 3 3" xfId="14776"/>
    <cellStyle name="Percent 3 4 4 4" xfId="8735"/>
    <cellStyle name="Percent 3 4 4 4 2" xfId="14778"/>
    <cellStyle name="Percent 3 4 4 5" xfId="14773"/>
    <cellStyle name="Percent 3 4 5" xfId="8736"/>
    <cellStyle name="Percent 3 4 5 2" xfId="8737"/>
    <cellStyle name="Percent 3 4 5 2 2" xfId="14780"/>
    <cellStyle name="Percent 3 4 5 3" xfId="14779"/>
    <cellStyle name="Percent 3 4 6" xfId="8738"/>
    <cellStyle name="Percent 3 4 6 2" xfId="8739"/>
    <cellStyle name="Percent 3 4 6 2 2" xfId="14782"/>
    <cellStyle name="Percent 3 4 6 3" xfId="14781"/>
    <cellStyle name="Percent 3 4 7" xfId="8740"/>
    <cellStyle name="Percent 3 4 7 2" xfId="14783"/>
    <cellStyle name="Percent 3 4 8" xfId="14736"/>
    <cellStyle name="Percent 3 5" xfId="8741"/>
    <cellStyle name="Percent 3 5 2" xfId="8742"/>
    <cellStyle name="Percent 3 5 2 2" xfId="14785"/>
    <cellStyle name="Percent 3 5 3" xfId="14784"/>
    <cellStyle name="Percent 3 6" xfId="8743"/>
    <cellStyle name="Percent 3 6 2" xfId="8744"/>
    <cellStyle name="Percent 3 6 2 2" xfId="8745"/>
    <cellStyle name="Percent 3 6 2 2 2" xfId="8746"/>
    <cellStyle name="Percent 3 6 2 2 2 2" xfId="14789"/>
    <cellStyle name="Percent 3 6 2 2 3" xfId="14788"/>
    <cellStyle name="Percent 3 6 2 3" xfId="8747"/>
    <cellStyle name="Percent 3 6 2 3 2" xfId="8748"/>
    <cellStyle name="Percent 3 6 2 3 2 2" xfId="14791"/>
    <cellStyle name="Percent 3 6 2 3 3" xfId="14790"/>
    <cellStyle name="Percent 3 6 2 4" xfId="8749"/>
    <cellStyle name="Percent 3 6 2 4 2" xfId="14792"/>
    <cellStyle name="Percent 3 6 2 5" xfId="14787"/>
    <cellStyle name="Percent 3 6 3" xfId="8750"/>
    <cellStyle name="Percent 3 6 3 2" xfId="8751"/>
    <cellStyle name="Percent 3 6 3 2 2" xfId="14794"/>
    <cellStyle name="Percent 3 6 3 3" xfId="14793"/>
    <cellStyle name="Percent 3 6 4" xfId="8752"/>
    <cellStyle name="Percent 3 6 4 2" xfId="8753"/>
    <cellStyle name="Percent 3 6 4 2 2" xfId="14796"/>
    <cellStyle name="Percent 3 6 4 3" xfId="14795"/>
    <cellStyle name="Percent 3 6 5" xfId="8754"/>
    <cellStyle name="Percent 3 6 5 2" xfId="14797"/>
    <cellStyle name="Percent 3 6 6" xfId="14786"/>
    <cellStyle name="Percent 3 7" xfId="8755"/>
    <cellStyle name="Percent 3 7 2" xfId="8756"/>
    <cellStyle name="Percent 3 7 2 2" xfId="8757"/>
    <cellStyle name="Percent 3 7 2 2 2" xfId="14800"/>
    <cellStyle name="Percent 3 7 2 3" xfId="14799"/>
    <cellStyle name="Percent 3 7 3" xfId="8758"/>
    <cellStyle name="Percent 3 7 3 2" xfId="8759"/>
    <cellStyle name="Percent 3 7 3 2 2" xfId="14802"/>
    <cellStyle name="Percent 3 7 3 3" xfId="14801"/>
    <cellStyle name="Percent 3 7 4" xfId="8760"/>
    <cellStyle name="Percent 3 7 4 2" xfId="14803"/>
    <cellStyle name="Percent 3 7 5" xfId="14798"/>
    <cellStyle name="Percent 3 8" xfId="8761"/>
    <cellStyle name="Percent 3 8 2" xfId="8762"/>
    <cellStyle name="Percent 3 8 2 2" xfId="14805"/>
    <cellStyle name="Percent 3 8 3" xfId="14804"/>
    <cellStyle name="Percent 3 9" xfId="8763"/>
    <cellStyle name="Percent 3 9 2" xfId="8764"/>
    <cellStyle name="Percent 3 9 2 2" xfId="14807"/>
    <cellStyle name="Percent 3 9 3" xfId="14806"/>
    <cellStyle name="Percent 4" xfId="8765"/>
    <cellStyle name="Percent 4 2" xfId="8766"/>
    <cellStyle name="Percent 4 2 2" xfId="8767"/>
    <cellStyle name="Percent 4 2 2 2" xfId="14810"/>
    <cellStyle name="Percent 4 2 3" xfId="8768"/>
    <cellStyle name="Percent 4 2 4" xfId="14809"/>
    <cellStyle name="Percent 4 3" xfId="8769"/>
    <cellStyle name="Percent 4 3 2" xfId="8770"/>
    <cellStyle name="Percent 4 3 2 2" xfId="14812"/>
    <cellStyle name="Percent 4 3 3" xfId="8771"/>
    <cellStyle name="Percent 4 3 4" xfId="14811"/>
    <cellStyle name="Percent 4 4" xfId="8772"/>
    <cellStyle name="Percent 4 4 2" xfId="8773"/>
    <cellStyle name="Percent 4 4 2 2" xfId="8774"/>
    <cellStyle name="Percent 4 4 2 2 2" xfId="14815"/>
    <cellStyle name="Percent 4 4 2 3" xfId="14814"/>
    <cellStyle name="Percent 4 4 3" xfId="8775"/>
    <cellStyle name="Percent 4 4 3 2" xfId="14816"/>
    <cellStyle name="Percent 4 4 4" xfId="8776"/>
    <cellStyle name="Percent 4 4 5" xfId="14813"/>
    <cellStyle name="Percent 4 5" xfId="8777"/>
    <cellStyle name="Percent 4 5 2" xfId="14817"/>
    <cellStyle name="Percent 4 6" xfId="8778"/>
    <cellStyle name="Percent 4 7" xfId="14808"/>
    <cellStyle name="Percent 5" xfId="8779"/>
    <cellStyle name="Percent 5 10" xfId="14818"/>
    <cellStyle name="Percent 5 2" xfId="8780"/>
    <cellStyle name="Percent 5 2 2" xfId="8781"/>
    <cellStyle name="Percent 5 2 2 2" xfId="8782"/>
    <cellStyle name="Percent 5 2 2 2 2" xfId="8783"/>
    <cellStyle name="Percent 5 2 2 2 2 2" xfId="8784"/>
    <cellStyle name="Percent 5 2 2 2 2 2 2" xfId="8785"/>
    <cellStyle name="Percent 5 2 2 2 2 2 2 2" xfId="14824"/>
    <cellStyle name="Percent 5 2 2 2 2 2 3" xfId="14823"/>
    <cellStyle name="Percent 5 2 2 2 2 3" xfId="8786"/>
    <cellStyle name="Percent 5 2 2 2 2 3 2" xfId="8787"/>
    <cellStyle name="Percent 5 2 2 2 2 3 2 2" xfId="14826"/>
    <cellStyle name="Percent 5 2 2 2 2 3 3" xfId="14825"/>
    <cellStyle name="Percent 5 2 2 2 2 4" xfId="8788"/>
    <cellStyle name="Percent 5 2 2 2 2 4 2" xfId="14827"/>
    <cellStyle name="Percent 5 2 2 2 2 5" xfId="14822"/>
    <cellStyle name="Percent 5 2 2 2 3" xfId="8789"/>
    <cellStyle name="Percent 5 2 2 2 3 2" xfId="8790"/>
    <cellStyle name="Percent 5 2 2 2 3 2 2" xfId="14829"/>
    <cellStyle name="Percent 5 2 2 2 3 3" xfId="14828"/>
    <cellStyle name="Percent 5 2 2 2 4" xfId="8791"/>
    <cellStyle name="Percent 5 2 2 2 4 2" xfId="8792"/>
    <cellStyle name="Percent 5 2 2 2 4 2 2" xfId="14831"/>
    <cellStyle name="Percent 5 2 2 2 4 3" xfId="14830"/>
    <cellStyle name="Percent 5 2 2 2 5" xfId="8793"/>
    <cellStyle name="Percent 5 2 2 2 5 2" xfId="14832"/>
    <cellStyle name="Percent 5 2 2 2 6" xfId="14821"/>
    <cellStyle name="Percent 5 2 2 3" xfId="8794"/>
    <cellStyle name="Percent 5 2 2 3 2" xfId="8795"/>
    <cellStyle name="Percent 5 2 2 3 2 2" xfId="8796"/>
    <cellStyle name="Percent 5 2 2 3 2 2 2" xfId="14835"/>
    <cellStyle name="Percent 5 2 2 3 2 3" xfId="14834"/>
    <cellStyle name="Percent 5 2 2 3 3" xfId="8797"/>
    <cellStyle name="Percent 5 2 2 3 3 2" xfId="8798"/>
    <cellStyle name="Percent 5 2 2 3 3 2 2" xfId="14837"/>
    <cellStyle name="Percent 5 2 2 3 3 3" xfId="14836"/>
    <cellStyle name="Percent 5 2 2 3 4" xfId="8799"/>
    <cellStyle name="Percent 5 2 2 3 4 2" xfId="14838"/>
    <cellStyle name="Percent 5 2 2 3 5" xfId="14833"/>
    <cellStyle name="Percent 5 2 2 4" xfId="8800"/>
    <cellStyle name="Percent 5 2 2 4 2" xfId="8801"/>
    <cellStyle name="Percent 5 2 2 4 2 2" xfId="14840"/>
    <cellStyle name="Percent 5 2 2 4 3" xfId="14839"/>
    <cellStyle name="Percent 5 2 2 5" xfId="8802"/>
    <cellStyle name="Percent 5 2 2 5 2" xfId="8803"/>
    <cellStyle name="Percent 5 2 2 5 2 2" xfId="14842"/>
    <cellStyle name="Percent 5 2 2 5 3" xfId="14841"/>
    <cellStyle name="Percent 5 2 2 6" xfId="8804"/>
    <cellStyle name="Percent 5 2 2 6 2" xfId="14843"/>
    <cellStyle name="Percent 5 2 2 7" xfId="14820"/>
    <cellStyle name="Percent 5 2 3" xfId="8805"/>
    <cellStyle name="Percent 5 2 3 2" xfId="8806"/>
    <cellStyle name="Percent 5 2 3 2 2" xfId="8807"/>
    <cellStyle name="Percent 5 2 3 2 2 2" xfId="8808"/>
    <cellStyle name="Percent 5 2 3 2 2 2 2" xfId="14847"/>
    <cellStyle name="Percent 5 2 3 2 2 3" xfId="14846"/>
    <cellStyle name="Percent 5 2 3 2 3" xfId="8809"/>
    <cellStyle name="Percent 5 2 3 2 3 2" xfId="8810"/>
    <cellStyle name="Percent 5 2 3 2 3 2 2" xfId="14849"/>
    <cellStyle name="Percent 5 2 3 2 3 3" xfId="14848"/>
    <cellStyle name="Percent 5 2 3 2 4" xfId="8811"/>
    <cellStyle name="Percent 5 2 3 2 4 2" xfId="14850"/>
    <cellStyle name="Percent 5 2 3 2 5" xfId="14845"/>
    <cellStyle name="Percent 5 2 3 3" xfId="8812"/>
    <cellStyle name="Percent 5 2 3 3 2" xfId="8813"/>
    <cellStyle name="Percent 5 2 3 3 2 2" xfId="14852"/>
    <cellStyle name="Percent 5 2 3 3 3" xfId="14851"/>
    <cellStyle name="Percent 5 2 3 4" xfId="8814"/>
    <cellStyle name="Percent 5 2 3 4 2" xfId="8815"/>
    <cellStyle name="Percent 5 2 3 4 2 2" xfId="14854"/>
    <cellStyle name="Percent 5 2 3 4 3" xfId="14853"/>
    <cellStyle name="Percent 5 2 3 5" xfId="8816"/>
    <cellStyle name="Percent 5 2 3 5 2" xfId="14855"/>
    <cellStyle name="Percent 5 2 3 6" xfId="14844"/>
    <cellStyle name="Percent 5 2 4" xfId="8817"/>
    <cellStyle name="Percent 5 2 4 2" xfId="8818"/>
    <cellStyle name="Percent 5 2 4 2 2" xfId="8819"/>
    <cellStyle name="Percent 5 2 4 2 2 2" xfId="14858"/>
    <cellStyle name="Percent 5 2 4 2 3" xfId="14857"/>
    <cellStyle name="Percent 5 2 4 3" xfId="8820"/>
    <cellStyle name="Percent 5 2 4 3 2" xfId="8821"/>
    <cellStyle name="Percent 5 2 4 3 2 2" xfId="14860"/>
    <cellStyle name="Percent 5 2 4 3 3" xfId="14859"/>
    <cellStyle name="Percent 5 2 4 4" xfId="8822"/>
    <cellStyle name="Percent 5 2 4 4 2" xfId="14861"/>
    <cellStyle name="Percent 5 2 4 5" xfId="14856"/>
    <cellStyle name="Percent 5 2 5" xfId="8823"/>
    <cellStyle name="Percent 5 2 5 2" xfId="8824"/>
    <cellStyle name="Percent 5 2 5 2 2" xfId="14863"/>
    <cellStyle name="Percent 5 2 5 3" xfId="14862"/>
    <cellStyle name="Percent 5 2 6" xfId="8825"/>
    <cellStyle name="Percent 5 2 6 2" xfId="8826"/>
    <cellStyle name="Percent 5 2 6 2 2" xfId="14865"/>
    <cellStyle name="Percent 5 2 6 3" xfId="14864"/>
    <cellStyle name="Percent 5 2 7" xfId="8827"/>
    <cellStyle name="Percent 5 2 7 2" xfId="14866"/>
    <cellStyle name="Percent 5 2 8" xfId="8828"/>
    <cellStyle name="Percent 5 2 9" xfId="14819"/>
    <cellStyle name="Percent 5 3" xfId="8829"/>
    <cellStyle name="Percent 5 3 2" xfId="8830"/>
    <cellStyle name="Percent 5 3 2 2" xfId="8831"/>
    <cellStyle name="Percent 5 3 2 2 2" xfId="8832"/>
    <cellStyle name="Percent 5 3 2 2 2 2" xfId="8833"/>
    <cellStyle name="Percent 5 3 2 2 2 2 2" xfId="14871"/>
    <cellStyle name="Percent 5 3 2 2 2 3" xfId="14870"/>
    <cellStyle name="Percent 5 3 2 2 3" xfId="8834"/>
    <cellStyle name="Percent 5 3 2 2 3 2" xfId="8835"/>
    <cellStyle name="Percent 5 3 2 2 3 2 2" xfId="14873"/>
    <cellStyle name="Percent 5 3 2 2 3 3" xfId="14872"/>
    <cellStyle name="Percent 5 3 2 2 4" xfId="8836"/>
    <cellStyle name="Percent 5 3 2 2 4 2" xfId="14874"/>
    <cellStyle name="Percent 5 3 2 2 5" xfId="14869"/>
    <cellStyle name="Percent 5 3 2 3" xfId="8837"/>
    <cellStyle name="Percent 5 3 2 3 2" xfId="8838"/>
    <cellStyle name="Percent 5 3 2 3 2 2" xfId="14876"/>
    <cellStyle name="Percent 5 3 2 3 3" xfId="14875"/>
    <cellStyle name="Percent 5 3 2 4" xfId="8839"/>
    <cellStyle name="Percent 5 3 2 4 2" xfId="8840"/>
    <cellStyle name="Percent 5 3 2 4 2 2" xfId="14878"/>
    <cellStyle name="Percent 5 3 2 4 3" xfId="14877"/>
    <cellStyle name="Percent 5 3 2 5" xfId="8841"/>
    <cellStyle name="Percent 5 3 2 5 2" xfId="14879"/>
    <cellStyle name="Percent 5 3 2 6" xfId="14868"/>
    <cellStyle name="Percent 5 3 3" xfId="8842"/>
    <cellStyle name="Percent 5 3 3 2" xfId="8843"/>
    <cellStyle name="Percent 5 3 3 2 2" xfId="8844"/>
    <cellStyle name="Percent 5 3 3 2 2 2" xfId="14882"/>
    <cellStyle name="Percent 5 3 3 2 3" xfId="14881"/>
    <cellStyle name="Percent 5 3 3 3" xfId="8845"/>
    <cellStyle name="Percent 5 3 3 3 2" xfId="8846"/>
    <cellStyle name="Percent 5 3 3 3 2 2" xfId="14884"/>
    <cellStyle name="Percent 5 3 3 3 3" xfId="14883"/>
    <cellStyle name="Percent 5 3 3 4" xfId="8847"/>
    <cellStyle name="Percent 5 3 3 4 2" xfId="14885"/>
    <cellStyle name="Percent 5 3 3 5" xfId="14880"/>
    <cellStyle name="Percent 5 3 4" xfId="8848"/>
    <cellStyle name="Percent 5 3 4 2" xfId="8849"/>
    <cellStyle name="Percent 5 3 4 2 2" xfId="14887"/>
    <cellStyle name="Percent 5 3 4 3" xfId="14886"/>
    <cellStyle name="Percent 5 3 5" xfId="8850"/>
    <cellStyle name="Percent 5 3 5 2" xfId="8851"/>
    <cellStyle name="Percent 5 3 5 2 2" xfId="14889"/>
    <cellStyle name="Percent 5 3 5 3" xfId="14888"/>
    <cellStyle name="Percent 5 3 6" xfId="8852"/>
    <cellStyle name="Percent 5 3 6 2" xfId="14890"/>
    <cellStyle name="Percent 5 3 7" xfId="14867"/>
    <cellStyle name="Percent 5 4" xfId="8853"/>
    <cellStyle name="Percent 5 4 2" xfId="8854"/>
    <cellStyle name="Percent 5 4 2 2" xfId="8855"/>
    <cellStyle name="Percent 5 4 2 2 2" xfId="8856"/>
    <cellStyle name="Percent 5 4 2 2 2 2" xfId="14894"/>
    <cellStyle name="Percent 5 4 2 2 3" xfId="14893"/>
    <cellStyle name="Percent 5 4 2 3" xfId="8857"/>
    <cellStyle name="Percent 5 4 2 3 2" xfId="8858"/>
    <cellStyle name="Percent 5 4 2 3 2 2" xfId="14896"/>
    <cellStyle name="Percent 5 4 2 3 3" xfId="14895"/>
    <cellStyle name="Percent 5 4 2 4" xfId="8859"/>
    <cellStyle name="Percent 5 4 2 4 2" xfId="14897"/>
    <cellStyle name="Percent 5 4 2 5" xfId="14892"/>
    <cellStyle name="Percent 5 4 3" xfId="8860"/>
    <cellStyle name="Percent 5 4 3 2" xfId="8861"/>
    <cellStyle name="Percent 5 4 3 2 2" xfId="14899"/>
    <cellStyle name="Percent 5 4 3 3" xfId="14898"/>
    <cellStyle name="Percent 5 4 4" xfId="8862"/>
    <cellStyle name="Percent 5 4 4 2" xfId="8863"/>
    <cellStyle name="Percent 5 4 4 2 2" xfId="14901"/>
    <cellStyle name="Percent 5 4 4 3" xfId="14900"/>
    <cellStyle name="Percent 5 4 5" xfId="8864"/>
    <cellStyle name="Percent 5 4 5 2" xfId="14902"/>
    <cellStyle name="Percent 5 4 6" xfId="14891"/>
    <cellStyle name="Percent 5 5" xfId="8865"/>
    <cellStyle name="Percent 5 5 2" xfId="8866"/>
    <cellStyle name="Percent 5 5 2 2" xfId="8867"/>
    <cellStyle name="Percent 5 5 2 2 2" xfId="14905"/>
    <cellStyle name="Percent 5 5 2 3" xfId="14904"/>
    <cellStyle name="Percent 5 5 3" xfId="8868"/>
    <cellStyle name="Percent 5 5 3 2" xfId="8869"/>
    <cellStyle name="Percent 5 5 3 2 2" xfId="14907"/>
    <cellStyle name="Percent 5 5 3 3" xfId="14906"/>
    <cellStyle name="Percent 5 5 4" xfId="8870"/>
    <cellStyle name="Percent 5 5 4 2" xfId="14908"/>
    <cellStyle name="Percent 5 5 5" xfId="14903"/>
    <cellStyle name="Percent 5 6" xfId="8871"/>
    <cellStyle name="Percent 5 6 2" xfId="8872"/>
    <cellStyle name="Percent 5 6 2 2" xfId="14910"/>
    <cellStyle name="Percent 5 6 3" xfId="14909"/>
    <cellStyle name="Percent 5 7" xfId="8873"/>
    <cellStyle name="Percent 5 7 2" xfId="8874"/>
    <cellStyle name="Percent 5 7 2 2" xfId="14912"/>
    <cellStyle name="Percent 5 7 3" xfId="14911"/>
    <cellStyle name="Percent 5 8" xfId="8875"/>
    <cellStyle name="Percent 5 8 2" xfId="14913"/>
    <cellStyle name="Percent 5 9" xfId="8876"/>
    <cellStyle name="Percent 6" xfId="8877"/>
    <cellStyle name="Percent 6 2" xfId="8878"/>
    <cellStyle name="Percent 6 2 2" xfId="8879"/>
    <cellStyle name="Percent 6 2 2 2" xfId="8880"/>
    <cellStyle name="Percent 6 2 2 2 2" xfId="8881"/>
    <cellStyle name="Percent 6 2 2 2 2 2" xfId="8882"/>
    <cellStyle name="Percent 6 2 2 2 2 2 2" xfId="14919"/>
    <cellStyle name="Percent 6 2 2 2 2 3" xfId="14918"/>
    <cellStyle name="Percent 6 2 2 2 3" xfId="8883"/>
    <cellStyle name="Percent 6 2 2 2 3 2" xfId="8884"/>
    <cellStyle name="Percent 6 2 2 2 3 2 2" xfId="14921"/>
    <cellStyle name="Percent 6 2 2 2 3 3" xfId="14920"/>
    <cellStyle name="Percent 6 2 2 2 4" xfId="8885"/>
    <cellStyle name="Percent 6 2 2 2 4 2" xfId="14922"/>
    <cellStyle name="Percent 6 2 2 2 5" xfId="14917"/>
    <cellStyle name="Percent 6 2 2 3" xfId="8886"/>
    <cellStyle name="Percent 6 2 2 3 2" xfId="8887"/>
    <cellStyle name="Percent 6 2 2 3 2 2" xfId="14924"/>
    <cellStyle name="Percent 6 2 2 3 3" xfId="14923"/>
    <cellStyle name="Percent 6 2 2 4" xfId="8888"/>
    <cellStyle name="Percent 6 2 2 4 2" xfId="8889"/>
    <cellStyle name="Percent 6 2 2 4 2 2" xfId="14926"/>
    <cellStyle name="Percent 6 2 2 4 3" xfId="14925"/>
    <cellStyle name="Percent 6 2 2 5" xfId="8890"/>
    <cellStyle name="Percent 6 2 2 5 2" xfId="14927"/>
    <cellStyle name="Percent 6 2 2 6" xfId="14916"/>
    <cellStyle name="Percent 6 2 3" xfId="8891"/>
    <cellStyle name="Percent 6 2 3 2" xfId="8892"/>
    <cellStyle name="Percent 6 2 3 2 2" xfId="8893"/>
    <cellStyle name="Percent 6 2 3 2 2 2" xfId="14930"/>
    <cellStyle name="Percent 6 2 3 2 3" xfId="14929"/>
    <cellStyle name="Percent 6 2 3 3" xfId="8894"/>
    <cellStyle name="Percent 6 2 3 3 2" xfId="8895"/>
    <cellStyle name="Percent 6 2 3 3 2 2" xfId="14932"/>
    <cellStyle name="Percent 6 2 3 3 3" xfId="14931"/>
    <cellStyle name="Percent 6 2 3 4" xfId="8896"/>
    <cellStyle name="Percent 6 2 3 4 2" xfId="14933"/>
    <cellStyle name="Percent 6 2 3 5" xfId="14928"/>
    <cellStyle name="Percent 6 2 4" xfId="8897"/>
    <cellStyle name="Percent 6 2 4 2" xfId="8898"/>
    <cellStyle name="Percent 6 2 4 2 2" xfId="14935"/>
    <cellStyle name="Percent 6 2 4 3" xfId="14934"/>
    <cellStyle name="Percent 6 2 5" xfId="8899"/>
    <cellStyle name="Percent 6 2 5 2" xfId="8900"/>
    <cellStyle name="Percent 6 2 5 2 2" xfId="14937"/>
    <cellStyle name="Percent 6 2 5 3" xfId="14936"/>
    <cellStyle name="Percent 6 2 6" xfId="8901"/>
    <cellStyle name="Percent 6 2 6 2" xfId="14938"/>
    <cellStyle name="Percent 6 2 7" xfId="8902"/>
    <cellStyle name="Percent 6 2 8" xfId="14915"/>
    <cellStyle name="Percent 6 3" xfId="8903"/>
    <cellStyle name="Percent 6 3 2" xfId="8904"/>
    <cellStyle name="Percent 6 3 2 2" xfId="8905"/>
    <cellStyle name="Percent 6 3 2 2 2" xfId="8906"/>
    <cellStyle name="Percent 6 3 2 2 2 2" xfId="14942"/>
    <cellStyle name="Percent 6 3 2 2 3" xfId="14941"/>
    <cellStyle name="Percent 6 3 2 3" xfId="8907"/>
    <cellStyle name="Percent 6 3 2 3 2" xfId="8908"/>
    <cellStyle name="Percent 6 3 2 3 2 2" xfId="14944"/>
    <cellStyle name="Percent 6 3 2 3 3" xfId="14943"/>
    <cellStyle name="Percent 6 3 2 4" xfId="8909"/>
    <cellStyle name="Percent 6 3 2 4 2" xfId="14945"/>
    <cellStyle name="Percent 6 3 2 5" xfId="14940"/>
    <cellStyle name="Percent 6 3 3" xfId="8910"/>
    <cellStyle name="Percent 6 3 3 2" xfId="8911"/>
    <cellStyle name="Percent 6 3 3 2 2" xfId="14947"/>
    <cellStyle name="Percent 6 3 3 3" xfId="14946"/>
    <cellStyle name="Percent 6 3 4" xfId="8912"/>
    <cellStyle name="Percent 6 3 4 2" xfId="8913"/>
    <cellStyle name="Percent 6 3 4 2 2" xfId="14949"/>
    <cellStyle name="Percent 6 3 4 3" xfId="14948"/>
    <cellStyle name="Percent 6 3 5" xfId="8914"/>
    <cellStyle name="Percent 6 3 5 2" xfId="14950"/>
    <cellStyle name="Percent 6 3 6" xfId="14939"/>
    <cellStyle name="Percent 6 4" xfId="8915"/>
    <cellStyle name="Percent 6 4 2" xfId="8916"/>
    <cellStyle name="Percent 6 4 2 2" xfId="8917"/>
    <cellStyle name="Percent 6 4 2 2 2" xfId="14953"/>
    <cellStyle name="Percent 6 4 2 3" xfId="14952"/>
    <cellStyle name="Percent 6 4 3" xfId="8918"/>
    <cellStyle name="Percent 6 4 3 2" xfId="8919"/>
    <cellStyle name="Percent 6 4 3 2 2" xfId="14955"/>
    <cellStyle name="Percent 6 4 3 3" xfId="14954"/>
    <cellStyle name="Percent 6 4 4" xfId="8920"/>
    <cellStyle name="Percent 6 4 4 2" xfId="14956"/>
    <cellStyle name="Percent 6 4 5" xfId="14951"/>
    <cellStyle name="Percent 6 5" xfId="8921"/>
    <cellStyle name="Percent 6 5 2" xfId="8922"/>
    <cellStyle name="Percent 6 5 2 2" xfId="14958"/>
    <cellStyle name="Percent 6 5 3" xfId="14957"/>
    <cellStyle name="Percent 6 6" xfId="8923"/>
    <cellStyle name="Percent 6 6 2" xfId="8924"/>
    <cellStyle name="Percent 6 6 2 2" xfId="14960"/>
    <cellStyle name="Percent 6 6 3" xfId="14959"/>
    <cellStyle name="Percent 6 7" xfId="8925"/>
    <cellStyle name="Percent 6 7 2" xfId="14961"/>
    <cellStyle name="Percent 6 8" xfId="8926"/>
    <cellStyle name="Percent 6 9" xfId="14914"/>
    <cellStyle name="Percent 7" xfId="8927"/>
    <cellStyle name="Percent 7 2" xfId="8928"/>
    <cellStyle name="Percent 7 2 2" xfId="8929"/>
    <cellStyle name="Percent 7 2 2 2" xfId="8930"/>
    <cellStyle name="Percent 7 2 2 2 2" xfId="8931"/>
    <cellStyle name="Percent 7 2 2 2 2 2" xfId="8932"/>
    <cellStyle name="Percent 7 2 2 2 2 2 2" xfId="14967"/>
    <cellStyle name="Percent 7 2 2 2 2 3" xfId="14966"/>
    <cellStyle name="Percent 7 2 2 2 3" xfId="8933"/>
    <cellStyle name="Percent 7 2 2 2 3 2" xfId="8934"/>
    <cellStyle name="Percent 7 2 2 2 3 2 2" xfId="14969"/>
    <cellStyle name="Percent 7 2 2 2 3 3" xfId="14968"/>
    <cellStyle name="Percent 7 2 2 2 4" xfId="8935"/>
    <cellStyle name="Percent 7 2 2 2 4 2" xfId="14970"/>
    <cellStyle name="Percent 7 2 2 2 5" xfId="14965"/>
    <cellStyle name="Percent 7 2 2 3" xfId="8936"/>
    <cellStyle name="Percent 7 2 2 3 2" xfId="8937"/>
    <cellStyle name="Percent 7 2 2 3 2 2" xfId="14972"/>
    <cellStyle name="Percent 7 2 2 3 3" xfId="14971"/>
    <cellStyle name="Percent 7 2 2 4" xfId="8938"/>
    <cellStyle name="Percent 7 2 2 4 2" xfId="8939"/>
    <cellStyle name="Percent 7 2 2 4 2 2" xfId="14974"/>
    <cellStyle name="Percent 7 2 2 4 3" xfId="14973"/>
    <cellStyle name="Percent 7 2 2 5" xfId="8940"/>
    <cellStyle name="Percent 7 2 2 5 2" xfId="14975"/>
    <cellStyle name="Percent 7 2 2 6" xfId="14964"/>
    <cellStyle name="Percent 7 2 3" xfId="8941"/>
    <cellStyle name="Percent 7 2 3 2" xfId="8942"/>
    <cellStyle name="Percent 7 2 3 2 2" xfId="8943"/>
    <cellStyle name="Percent 7 2 3 2 2 2" xfId="14978"/>
    <cellStyle name="Percent 7 2 3 2 3" xfId="14977"/>
    <cellStyle name="Percent 7 2 3 3" xfId="8944"/>
    <cellStyle name="Percent 7 2 3 3 2" xfId="8945"/>
    <cellStyle name="Percent 7 2 3 3 2 2" xfId="14980"/>
    <cellStyle name="Percent 7 2 3 3 3" xfId="14979"/>
    <cellStyle name="Percent 7 2 3 4" xfId="8946"/>
    <cellStyle name="Percent 7 2 3 4 2" xfId="14981"/>
    <cellStyle name="Percent 7 2 3 5" xfId="14976"/>
    <cellStyle name="Percent 7 2 4" xfId="8947"/>
    <cellStyle name="Percent 7 2 4 2" xfId="8948"/>
    <cellStyle name="Percent 7 2 4 2 2" xfId="14983"/>
    <cellStyle name="Percent 7 2 4 3" xfId="14982"/>
    <cellStyle name="Percent 7 2 5" xfId="8949"/>
    <cellStyle name="Percent 7 2 5 2" xfId="8950"/>
    <cellStyle name="Percent 7 2 5 2 2" xfId="14985"/>
    <cellStyle name="Percent 7 2 5 3" xfId="14984"/>
    <cellStyle name="Percent 7 2 6" xfId="8951"/>
    <cellStyle name="Percent 7 2 6 2" xfId="14986"/>
    <cellStyle name="Percent 7 2 7" xfId="8952"/>
    <cellStyle name="Percent 7 2 8" xfId="14963"/>
    <cellStyle name="Percent 7 3" xfId="8953"/>
    <cellStyle name="Percent 7 3 2" xfId="8954"/>
    <cellStyle name="Percent 7 3 2 2" xfId="8955"/>
    <cellStyle name="Percent 7 3 2 2 2" xfId="8956"/>
    <cellStyle name="Percent 7 3 2 2 2 2" xfId="14990"/>
    <cellStyle name="Percent 7 3 2 2 3" xfId="14989"/>
    <cellStyle name="Percent 7 3 2 3" xfId="8957"/>
    <cellStyle name="Percent 7 3 2 3 2" xfId="8958"/>
    <cellStyle name="Percent 7 3 2 3 2 2" xfId="14992"/>
    <cellStyle name="Percent 7 3 2 3 3" xfId="14991"/>
    <cellStyle name="Percent 7 3 2 4" xfId="8959"/>
    <cellStyle name="Percent 7 3 2 4 2" xfId="14993"/>
    <cellStyle name="Percent 7 3 2 5" xfId="14988"/>
    <cellStyle name="Percent 7 3 3" xfId="8960"/>
    <cellStyle name="Percent 7 3 3 2" xfId="8961"/>
    <cellStyle name="Percent 7 3 3 2 2" xfId="14995"/>
    <cellStyle name="Percent 7 3 3 3" xfId="14994"/>
    <cellStyle name="Percent 7 3 4" xfId="8962"/>
    <cellStyle name="Percent 7 3 4 2" xfId="8963"/>
    <cellStyle name="Percent 7 3 4 2 2" xfId="14997"/>
    <cellStyle name="Percent 7 3 4 3" xfId="14996"/>
    <cellStyle name="Percent 7 3 5" xfId="8964"/>
    <cellStyle name="Percent 7 3 5 2" xfId="14998"/>
    <cellStyle name="Percent 7 3 6" xfId="8965"/>
    <cellStyle name="Percent 7 3 7" xfId="14987"/>
    <cellStyle name="Percent 7 4" xfId="8966"/>
    <cellStyle name="Percent 7 4 2" xfId="8967"/>
    <cellStyle name="Percent 7 4 2 2" xfId="8968"/>
    <cellStyle name="Percent 7 4 2 2 2" xfId="15001"/>
    <cellStyle name="Percent 7 4 2 3" xfId="15000"/>
    <cellStyle name="Percent 7 4 3" xfId="8969"/>
    <cellStyle name="Percent 7 4 3 2" xfId="8970"/>
    <cellStyle name="Percent 7 4 3 2 2" xfId="15003"/>
    <cellStyle name="Percent 7 4 3 3" xfId="15002"/>
    <cellStyle name="Percent 7 4 4" xfId="8971"/>
    <cellStyle name="Percent 7 4 4 2" xfId="15004"/>
    <cellStyle name="Percent 7 4 5" xfId="14999"/>
    <cellStyle name="Percent 7 5" xfId="8972"/>
    <cellStyle name="Percent 7 5 2" xfId="8973"/>
    <cellStyle name="Percent 7 5 2 2" xfId="15006"/>
    <cellStyle name="Percent 7 5 3" xfId="15005"/>
    <cellStyle name="Percent 7 6" xfId="8974"/>
    <cellStyle name="Percent 7 6 2" xfId="8975"/>
    <cellStyle name="Percent 7 6 2 2" xfId="15008"/>
    <cellStyle name="Percent 7 6 3" xfId="15007"/>
    <cellStyle name="Percent 7 7" xfId="8976"/>
    <cellStyle name="Percent 7 7 2" xfId="15009"/>
    <cellStyle name="Percent 7 8" xfId="8977"/>
    <cellStyle name="Percent 7 9" xfId="14962"/>
    <cellStyle name="Percent 8" xfId="8978"/>
    <cellStyle name="Percent 8 2" xfId="8979"/>
    <cellStyle name="Percent 8 2 2" xfId="8980"/>
    <cellStyle name="Percent 8 2 2 2" xfId="8981"/>
    <cellStyle name="Percent 8 2 2 2 2" xfId="8982"/>
    <cellStyle name="Percent 8 2 2 2 2 2" xfId="15014"/>
    <cellStyle name="Percent 8 2 2 2 3" xfId="15013"/>
    <cellStyle name="Percent 8 2 2 3" xfId="8983"/>
    <cellStyle name="Percent 8 2 2 3 2" xfId="8984"/>
    <cellStyle name="Percent 8 2 2 3 2 2" xfId="15016"/>
    <cellStyle name="Percent 8 2 2 3 3" xfId="15015"/>
    <cellStyle name="Percent 8 2 2 4" xfId="8985"/>
    <cellStyle name="Percent 8 2 2 4 2" xfId="15017"/>
    <cellStyle name="Percent 8 2 2 5" xfId="15012"/>
    <cellStyle name="Percent 8 2 3" xfId="8986"/>
    <cellStyle name="Percent 8 2 3 2" xfId="8987"/>
    <cellStyle name="Percent 8 2 3 2 2" xfId="15019"/>
    <cellStyle name="Percent 8 2 3 3" xfId="15018"/>
    <cellStyle name="Percent 8 2 4" xfId="8988"/>
    <cellStyle name="Percent 8 2 4 2" xfId="8989"/>
    <cellStyle name="Percent 8 2 4 2 2" xfId="15021"/>
    <cellStyle name="Percent 8 2 4 3" xfId="15020"/>
    <cellStyle name="Percent 8 2 5" xfId="8990"/>
    <cellStyle name="Percent 8 2 5 2" xfId="15022"/>
    <cellStyle name="Percent 8 2 6" xfId="15011"/>
    <cellStyle name="Percent 8 3" xfId="8991"/>
    <cellStyle name="Percent 8 3 2" xfId="8992"/>
    <cellStyle name="Percent 8 3 2 2" xfId="8993"/>
    <cellStyle name="Percent 8 3 2 2 2" xfId="15025"/>
    <cellStyle name="Percent 8 3 2 3" xfId="15024"/>
    <cellStyle name="Percent 8 3 3" xfId="8994"/>
    <cellStyle name="Percent 8 3 3 2" xfId="8995"/>
    <cellStyle name="Percent 8 3 3 2 2" xfId="15027"/>
    <cellStyle name="Percent 8 3 3 3" xfId="15026"/>
    <cellStyle name="Percent 8 3 4" xfId="8996"/>
    <cellStyle name="Percent 8 3 4 2" xfId="15028"/>
    <cellStyle name="Percent 8 3 5" xfId="15023"/>
    <cellStyle name="Percent 8 4" xfId="8997"/>
    <cellStyle name="Percent 8 4 2" xfId="8998"/>
    <cellStyle name="Percent 8 4 2 2" xfId="15030"/>
    <cellStyle name="Percent 8 4 3" xfId="15029"/>
    <cellStyle name="Percent 8 5" xfId="8999"/>
    <cellStyle name="Percent 8 5 2" xfId="9000"/>
    <cellStyle name="Percent 8 5 2 2" xfId="15032"/>
    <cellStyle name="Percent 8 5 3" xfId="15031"/>
    <cellStyle name="Percent 8 6" xfId="9001"/>
    <cellStyle name="Percent 8 6 2" xfId="15033"/>
    <cellStyle name="Percent 8 7" xfId="9002"/>
    <cellStyle name="Percent 8 7 2" xfId="15034"/>
    <cellStyle name="Percent 8 8" xfId="9003"/>
    <cellStyle name="Percent 8 9" xfId="15010"/>
    <cellStyle name="Percent 9" xfId="9004"/>
    <cellStyle name="Percent 9 2" xfId="9005"/>
    <cellStyle name="Percent 9 2 2" xfId="15036"/>
    <cellStyle name="Percent 9 3" xfId="9006"/>
    <cellStyle name="Percent 9 3 2" xfId="15037"/>
    <cellStyle name="Percent 9 4" xfId="9007"/>
    <cellStyle name="Percent 9 4 2" xfId="15038"/>
    <cellStyle name="Percent 9 5" xfId="9008"/>
    <cellStyle name="Percent 9 6" xfId="15035"/>
    <cellStyle name="Percent(1)" xfId="9009"/>
    <cellStyle name="Percent(1) 2" xfId="9010"/>
    <cellStyle name="Percent(1) 3" xfId="15039"/>
    <cellStyle name="Percent(2)" xfId="9011"/>
    <cellStyle name="Percent(2) 2" xfId="9012"/>
    <cellStyle name="Percent(2) 3" xfId="15040"/>
    <cellStyle name="Posting_Period" xfId="9013"/>
    <cellStyle name="PRM" xfId="9014"/>
    <cellStyle name="PRM 2" xfId="9015"/>
    <cellStyle name="PRM 2 2" xfId="9016"/>
    <cellStyle name="PRM 2 3" xfId="15042"/>
    <cellStyle name="PRM 3" xfId="9017"/>
    <cellStyle name="PRM 3 2" xfId="9018"/>
    <cellStyle name="PRM 3 3" xfId="15043"/>
    <cellStyle name="PRM 4" xfId="9019"/>
    <cellStyle name="PRM 5" xfId="15041"/>
    <cellStyle name="PRM_2011-11" xfId="9020"/>
    <cellStyle name="PS_Comma" xfId="9021"/>
    <cellStyle name="PSChar" xfId="9022"/>
    <cellStyle name="PSChar 2" xfId="9023"/>
    <cellStyle name="PSChar 3" xfId="15044"/>
    <cellStyle name="PSDate" xfId="9024"/>
    <cellStyle name="PSDate 2" xfId="9025"/>
    <cellStyle name="PSDate 3" xfId="15045"/>
    <cellStyle name="PSDec" xfId="9026"/>
    <cellStyle name="PSDec 2" xfId="9027"/>
    <cellStyle name="PSDec 3" xfId="15046"/>
    <cellStyle name="PSHeading" xfId="9028"/>
    <cellStyle name="PSHeading 2" xfId="9029"/>
    <cellStyle name="PSHeading 2 2" xfId="9030"/>
    <cellStyle name="PSHeading 2 2 2" xfId="15049"/>
    <cellStyle name="PSHeading 2 3" xfId="15048"/>
    <cellStyle name="PSHeading 3" xfId="9031"/>
    <cellStyle name="PSHeading 4" xfId="15047"/>
    <cellStyle name="PSInt" xfId="9032"/>
    <cellStyle name="PSInt 2" xfId="9033"/>
    <cellStyle name="PSInt 3" xfId="15050"/>
    <cellStyle name="PSSpacer" xfId="9034"/>
    <cellStyle name="PSSpacer 2" xfId="9035"/>
    <cellStyle name="PSSpacer 3" xfId="15051"/>
    <cellStyle name="Reset  - Style4" xfId="9036"/>
    <cellStyle name="Reset  - Style4 2" xfId="15052"/>
    <cellStyle name="Reset  - Style7" xfId="9037"/>
    <cellStyle name="Reset  - Style7 2" xfId="15053"/>
    <cellStyle name="STYL0 - Style1" xfId="9038"/>
    <cellStyle name="STYL0 - Style1 2" xfId="9039"/>
    <cellStyle name="STYL0 - Style1 3" xfId="15054"/>
    <cellStyle name="STYL1 - Style2" xfId="9040"/>
    <cellStyle name="STYL1 - Style2 2" xfId="9041"/>
    <cellStyle name="STYL1 - Style2 3" xfId="15055"/>
    <cellStyle name="STYL2 - Style3" xfId="9042"/>
    <cellStyle name="STYL2 - Style3 2" xfId="9043"/>
    <cellStyle name="STYL2 - Style3 3" xfId="15056"/>
    <cellStyle name="STYL3 - Style4" xfId="9044"/>
    <cellStyle name="STYL3 - Style4 2" xfId="9045"/>
    <cellStyle name="STYL3 - Style4 3" xfId="15057"/>
    <cellStyle name="STYL4 - Style5" xfId="9046"/>
    <cellStyle name="STYL4 - Style5 2" xfId="9047"/>
    <cellStyle name="STYL4 - Style5 3" xfId="15058"/>
    <cellStyle name="STYL5 - Style6" xfId="9048"/>
    <cellStyle name="STYL5 - Style6 2" xfId="9049"/>
    <cellStyle name="STYL5 - Style6 3" xfId="15059"/>
    <cellStyle name="STYL6 - Style7" xfId="9050"/>
    <cellStyle name="STYL6 - Style7 2" xfId="9051"/>
    <cellStyle name="STYL6 - Style7 3" xfId="15060"/>
    <cellStyle name="STYL7 - Style8" xfId="9052"/>
    <cellStyle name="STYL7 - Style8 2" xfId="9053"/>
    <cellStyle name="STYL7 - Style8 3" xfId="15061"/>
    <cellStyle name="Style 1" xfId="9054"/>
    <cellStyle name="Style 1 2" xfId="9055"/>
    <cellStyle name="Style 1 2 2" xfId="9056"/>
    <cellStyle name="Style 1 2 2 2" xfId="15064"/>
    <cellStyle name="Style 1 2 3" xfId="9057"/>
    <cellStyle name="Style 1 2 4" xfId="15063"/>
    <cellStyle name="Style 1 3" xfId="9058"/>
    <cellStyle name="Style 1 3 2" xfId="15065"/>
    <cellStyle name="Style 1 4" xfId="9059"/>
    <cellStyle name="Style 1 4 2" xfId="15066"/>
    <cellStyle name="Style 1 5" xfId="9060"/>
    <cellStyle name="Style 1 6" xfId="15062"/>
    <cellStyle name="Style 1_Recycle Center Commodities MRF" xfId="9061"/>
    <cellStyle name="STYLE1" xfId="9062"/>
    <cellStyle name="STYLE1 2" xfId="9063"/>
    <cellStyle name="STYLE1 2 2" xfId="9064"/>
    <cellStyle name="STYLE1 2 3" xfId="15068"/>
    <cellStyle name="STYLE1 3" xfId="9065"/>
    <cellStyle name="STYLE1 4" xfId="15067"/>
    <cellStyle name="sub heading" xfId="9066"/>
    <cellStyle name="sub heading 2" xfId="9067"/>
    <cellStyle name="sub heading 3" xfId="15069"/>
    <cellStyle name="Table  - Style5" xfId="9068"/>
    <cellStyle name="Table  - Style5 2" xfId="9069"/>
    <cellStyle name="Table  - Style5 2 2" xfId="15071"/>
    <cellStyle name="Table  - Style5 3" xfId="9070"/>
    <cellStyle name="Table  - Style5 3 2" xfId="15072"/>
    <cellStyle name="Table  - Style5 4" xfId="9071"/>
    <cellStyle name="Table  - Style5 4 2" xfId="15073"/>
    <cellStyle name="Table  - Style5 5" xfId="9072"/>
    <cellStyle name="Table  - Style5 5 2" xfId="15074"/>
    <cellStyle name="Table  - Style5 6" xfId="15070"/>
    <cellStyle name="Table  - Style6" xfId="9073"/>
    <cellStyle name="Table  - Style6 2" xfId="9074"/>
    <cellStyle name="Table  - Style6 2 2" xfId="15076"/>
    <cellStyle name="Table  - Style6 3" xfId="9075"/>
    <cellStyle name="Table  - Style6 3 2" xfId="15077"/>
    <cellStyle name="Table  - Style6 4" xfId="9076"/>
    <cellStyle name="Table  - Style6 4 2" xfId="15078"/>
    <cellStyle name="Table  - Style6 5" xfId="9077"/>
    <cellStyle name="Table  - Style6 5 2" xfId="15079"/>
    <cellStyle name="Table  - Style6 6" xfId="15075"/>
    <cellStyle name="Tax_Rate" xfId="9078"/>
    <cellStyle name="Title  - Style1" xfId="9079"/>
    <cellStyle name="Title  - Style1 2" xfId="15081"/>
    <cellStyle name="Title  - Style6" xfId="9080"/>
    <cellStyle name="Title  - Style6 2" xfId="15082"/>
    <cellStyle name="Title 10" xfId="9081"/>
    <cellStyle name="Title 10 2" xfId="15083"/>
    <cellStyle name="Title 11" xfId="9082"/>
    <cellStyle name="Title 11 2" xfId="15084"/>
    <cellStyle name="Title 12" xfId="9083"/>
    <cellStyle name="Title 12 2" xfId="15085"/>
    <cellStyle name="Title 13" xfId="9084"/>
    <cellStyle name="Title 14" xfId="15080"/>
    <cellStyle name="Title 2" xfId="9085"/>
    <cellStyle name="Title 2 2" xfId="9086"/>
    <cellStyle name="Title 2 2 2" xfId="9087"/>
    <cellStyle name="Title 2 2 2 2" xfId="15088"/>
    <cellStyle name="Title 2 2 3" xfId="9088"/>
    <cellStyle name="Title 2 2 4" xfId="15087"/>
    <cellStyle name="Title 2 3" xfId="9089"/>
    <cellStyle name="Title 2 3 2" xfId="9090"/>
    <cellStyle name="Title 2 3 3" xfId="15089"/>
    <cellStyle name="Title 2 4" xfId="9091"/>
    <cellStyle name="Title 2 5" xfId="15086"/>
    <cellStyle name="Title 3" xfId="9092"/>
    <cellStyle name="Title 3 2" xfId="9093"/>
    <cellStyle name="Title 3 2 2" xfId="9094"/>
    <cellStyle name="Title 3 2 3" xfId="15091"/>
    <cellStyle name="Title 3 3" xfId="9095"/>
    <cellStyle name="Title 3 4" xfId="9096"/>
    <cellStyle name="Title 3 5" xfId="15090"/>
    <cellStyle name="Title 4" xfId="9097"/>
    <cellStyle name="Title 4 2" xfId="15092"/>
    <cellStyle name="Title 5" xfId="9098"/>
    <cellStyle name="Title 5 2" xfId="15093"/>
    <cellStyle name="Title 6" xfId="9099"/>
    <cellStyle name="Title 6 2" xfId="15094"/>
    <cellStyle name="Title 7" xfId="9100"/>
    <cellStyle name="Title 7 2" xfId="15095"/>
    <cellStyle name="Title 8" xfId="9101"/>
    <cellStyle name="Title 8 2" xfId="15096"/>
    <cellStyle name="Title 9" xfId="9102"/>
    <cellStyle name="Title 9 2" xfId="15097"/>
    <cellStyle name="Total 2" xfId="9103"/>
    <cellStyle name="Total 2 2" xfId="9104"/>
    <cellStyle name="Total 2 2 2" xfId="9105"/>
    <cellStyle name="Total 2 2 2 2" xfId="9106"/>
    <cellStyle name="Total 2 2 2 2 2" xfId="15102"/>
    <cellStyle name="Total 2 2 2 3" xfId="9107"/>
    <cellStyle name="Total 2 2 2 3 2" xfId="15103"/>
    <cellStyle name="Total 2 2 2 4" xfId="9108"/>
    <cellStyle name="Total 2 2 2 4 2" xfId="15104"/>
    <cellStyle name="Total 2 2 2 5" xfId="9109"/>
    <cellStyle name="Total 2 2 2 5 2" xfId="15105"/>
    <cellStyle name="Total 2 2 2 6" xfId="15101"/>
    <cellStyle name="Total 2 2 3" xfId="9110"/>
    <cellStyle name="Total 2 2 3 2" xfId="9111"/>
    <cellStyle name="Total 2 2 3 2 2" xfId="15107"/>
    <cellStyle name="Total 2 2 3 3" xfId="9112"/>
    <cellStyle name="Total 2 2 3 3 2" xfId="15108"/>
    <cellStyle name="Total 2 2 3 4" xfId="9113"/>
    <cellStyle name="Total 2 2 3 4 2" xfId="15109"/>
    <cellStyle name="Total 2 2 3 5" xfId="9114"/>
    <cellStyle name="Total 2 2 3 5 2" xfId="15110"/>
    <cellStyle name="Total 2 2 3 6" xfId="15106"/>
    <cellStyle name="Total 2 2 4" xfId="9115"/>
    <cellStyle name="Total 2 2 5" xfId="15100"/>
    <cellStyle name="Total 2 3" xfId="9116"/>
    <cellStyle name="Total 2 3 2" xfId="9117"/>
    <cellStyle name="Total 2 3 2 2" xfId="9118"/>
    <cellStyle name="Total 2 3 2 2 2" xfId="15113"/>
    <cellStyle name="Total 2 3 2 3" xfId="9119"/>
    <cellStyle name="Total 2 3 2 3 2" xfId="15114"/>
    <cellStyle name="Total 2 3 2 4" xfId="9120"/>
    <cellStyle name="Total 2 3 2 4 2" xfId="15115"/>
    <cellStyle name="Total 2 3 2 5" xfId="9121"/>
    <cellStyle name="Total 2 3 2 5 2" xfId="15116"/>
    <cellStyle name="Total 2 3 2 6" xfId="15112"/>
    <cellStyle name="Total 2 3 3" xfId="9122"/>
    <cellStyle name="Total 2 3 3 2" xfId="15117"/>
    <cellStyle name="Total 2 3 4" xfId="9123"/>
    <cellStyle name="Total 2 3 4 2" xfId="15118"/>
    <cellStyle name="Total 2 3 5" xfId="9124"/>
    <cellStyle name="Total 2 3 5 2" xfId="15119"/>
    <cellStyle name="Total 2 3 6" xfId="9125"/>
    <cellStyle name="Total 2 3 6 2" xfId="15120"/>
    <cellStyle name="Total 2 3 7" xfId="9126"/>
    <cellStyle name="Total 2 3 8" xfId="15111"/>
    <cellStyle name="Total 2 4" xfId="9127"/>
    <cellStyle name="Total 2 4 2" xfId="9128"/>
    <cellStyle name="Total 2 4 2 2" xfId="9129"/>
    <cellStyle name="Total 2 4 2 2 2" xfId="15123"/>
    <cellStyle name="Total 2 4 2 3" xfId="9130"/>
    <cellStyle name="Total 2 4 2 3 2" xfId="15124"/>
    <cellStyle name="Total 2 4 2 4" xfId="9131"/>
    <cellStyle name="Total 2 4 2 4 2" xfId="15125"/>
    <cellStyle name="Total 2 4 2 5" xfId="9132"/>
    <cellStyle name="Total 2 4 2 5 2" xfId="15126"/>
    <cellStyle name="Total 2 4 2 6" xfId="15122"/>
    <cellStyle name="Total 2 4 3" xfId="9133"/>
    <cellStyle name="Total 2 4 3 2" xfId="15127"/>
    <cellStyle name="Total 2 4 4" xfId="9134"/>
    <cellStyle name="Total 2 4 4 2" xfId="15128"/>
    <cellStyle name="Total 2 4 5" xfId="9135"/>
    <cellStyle name="Total 2 4 5 2" xfId="15129"/>
    <cellStyle name="Total 2 4 6" xfId="9136"/>
    <cellStyle name="Total 2 4 6 2" xfId="15130"/>
    <cellStyle name="Total 2 4 7" xfId="9137"/>
    <cellStyle name="Total 2 4 8" xfId="15121"/>
    <cellStyle name="Total 2 5" xfId="9138"/>
    <cellStyle name="Total 2 5 2" xfId="9139"/>
    <cellStyle name="Total 2 5 2 2" xfId="15132"/>
    <cellStyle name="Total 2 5 3" xfId="9140"/>
    <cellStyle name="Total 2 5 3 2" xfId="15133"/>
    <cellStyle name="Total 2 5 4" xfId="9141"/>
    <cellStyle name="Total 2 5 4 2" xfId="15134"/>
    <cellStyle name="Total 2 5 5" xfId="9142"/>
    <cellStyle name="Total 2 5 5 2" xfId="15135"/>
    <cellStyle name="Total 2 5 6" xfId="15131"/>
    <cellStyle name="Total 2 6" xfId="9143"/>
    <cellStyle name="Total 2 6 2" xfId="15136"/>
    <cellStyle name="Total 2 7" xfId="9144"/>
    <cellStyle name="Total 2 8" xfId="15099"/>
    <cellStyle name="Total 3" xfId="9145"/>
    <cellStyle name="Total 3 2" xfId="9146"/>
    <cellStyle name="Total 3 2 2" xfId="9147"/>
    <cellStyle name="Total 3 2 2 2" xfId="9148"/>
    <cellStyle name="Total 3 2 2 2 2" xfId="15140"/>
    <cellStyle name="Total 3 2 2 3" xfId="9149"/>
    <cellStyle name="Total 3 2 2 3 2" xfId="15141"/>
    <cellStyle name="Total 3 2 2 4" xfId="9150"/>
    <cellStyle name="Total 3 2 2 4 2" xfId="15142"/>
    <cellStyle name="Total 3 2 2 5" xfId="9151"/>
    <cellStyle name="Total 3 2 2 5 2" xfId="15143"/>
    <cellStyle name="Total 3 2 2 6" xfId="15139"/>
    <cellStyle name="Total 3 2 3" xfId="9152"/>
    <cellStyle name="Total 3 2 3 2" xfId="9153"/>
    <cellStyle name="Total 3 2 3 2 2" xfId="15145"/>
    <cellStyle name="Total 3 2 3 3" xfId="9154"/>
    <cellStyle name="Total 3 2 3 3 2" xfId="15146"/>
    <cellStyle name="Total 3 2 3 4" xfId="9155"/>
    <cellStyle name="Total 3 2 3 4 2" xfId="15147"/>
    <cellStyle name="Total 3 2 3 5" xfId="9156"/>
    <cellStyle name="Total 3 2 3 5 2" xfId="15148"/>
    <cellStyle name="Total 3 2 3 6" xfId="15144"/>
    <cellStyle name="Total 3 2 4" xfId="9157"/>
    <cellStyle name="Total 3 2 5" xfId="15138"/>
    <cellStyle name="Total 3 3" xfId="9158"/>
    <cellStyle name="Total 3 3 2" xfId="9159"/>
    <cellStyle name="Total 3 3 2 2" xfId="9160"/>
    <cellStyle name="Total 3 3 2 2 2" xfId="15151"/>
    <cellStyle name="Total 3 3 2 3" xfId="9161"/>
    <cellStyle name="Total 3 3 2 3 2" xfId="15152"/>
    <cellStyle name="Total 3 3 2 4" xfId="9162"/>
    <cellStyle name="Total 3 3 2 4 2" xfId="15153"/>
    <cellStyle name="Total 3 3 2 5" xfId="9163"/>
    <cellStyle name="Total 3 3 2 5 2" xfId="15154"/>
    <cellStyle name="Total 3 3 2 6" xfId="15150"/>
    <cellStyle name="Total 3 3 3" xfId="9164"/>
    <cellStyle name="Total 3 3 3 2" xfId="15155"/>
    <cellStyle name="Total 3 3 4" xfId="9165"/>
    <cellStyle name="Total 3 3 4 2" xfId="15156"/>
    <cellStyle name="Total 3 3 5" xfId="9166"/>
    <cellStyle name="Total 3 3 5 2" xfId="15157"/>
    <cellStyle name="Total 3 3 6" xfId="9167"/>
    <cellStyle name="Total 3 3 6 2" xfId="15158"/>
    <cellStyle name="Total 3 3 7" xfId="9168"/>
    <cellStyle name="Total 3 3 8" xfId="15149"/>
    <cellStyle name="Total 3 4" xfId="9169"/>
    <cellStyle name="Total 3 4 2" xfId="9170"/>
    <cellStyle name="Total 3 4 2 2" xfId="15160"/>
    <cellStyle name="Total 3 4 3" xfId="9171"/>
    <cellStyle name="Total 3 4 3 2" xfId="15161"/>
    <cellStyle name="Total 3 4 4" xfId="9172"/>
    <cellStyle name="Total 3 4 4 2" xfId="15162"/>
    <cellStyle name="Total 3 4 5" xfId="9173"/>
    <cellStyle name="Total 3 4 5 2" xfId="15163"/>
    <cellStyle name="Total 3 4 6" xfId="9174"/>
    <cellStyle name="Total 3 4 7" xfId="15159"/>
    <cellStyle name="Total 3 5" xfId="9175"/>
    <cellStyle name="Total 3 5 2" xfId="9176"/>
    <cellStyle name="Total 3 5 2 2" xfId="15165"/>
    <cellStyle name="Total 3 5 3" xfId="9177"/>
    <cellStyle name="Total 3 5 3 2" xfId="15166"/>
    <cellStyle name="Total 3 5 4" xfId="9178"/>
    <cellStyle name="Total 3 5 4 2" xfId="15167"/>
    <cellStyle name="Total 3 5 5" xfId="9179"/>
    <cellStyle name="Total 3 5 5 2" xfId="15168"/>
    <cellStyle name="Total 3 5 6" xfId="15164"/>
    <cellStyle name="Total 3 6" xfId="9180"/>
    <cellStyle name="Total 3 7" xfId="15137"/>
    <cellStyle name="Total 4" xfId="9181"/>
    <cellStyle name="Total 4 2" xfId="9182"/>
    <cellStyle name="Total 4 2 2" xfId="15170"/>
    <cellStyle name="Total 4 3" xfId="9183"/>
    <cellStyle name="Total 4 3 2" xfId="9184"/>
    <cellStyle name="Total 4 3 2 2" xfId="15172"/>
    <cellStyle name="Total 4 3 3" xfId="9185"/>
    <cellStyle name="Total 4 3 3 2" xfId="15173"/>
    <cellStyle name="Total 4 3 4" xfId="9186"/>
    <cellStyle name="Total 4 3 4 2" xfId="15174"/>
    <cellStyle name="Total 4 3 5" xfId="9187"/>
    <cellStyle name="Total 4 3 5 2" xfId="15175"/>
    <cellStyle name="Total 4 3 6" xfId="15171"/>
    <cellStyle name="Total 4 4" xfId="9188"/>
    <cellStyle name="Total 4 4 2" xfId="15176"/>
    <cellStyle name="Total 4 5" xfId="9189"/>
    <cellStyle name="Total 4 5 2" xfId="15177"/>
    <cellStyle name="Total 4 6" xfId="9190"/>
    <cellStyle name="Total 4 6 2" xfId="15178"/>
    <cellStyle name="Total 4 7" xfId="9191"/>
    <cellStyle name="Total 4 7 2" xfId="15179"/>
    <cellStyle name="Total 4 8" xfId="9192"/>
    <cellStyle name="Total 4 9" xfId="15169"/>
    <cellStyle name="Total 5" xfId="9193"/>
    <cellStyle name="Total 6" xfId="15098"/>
    <cellStyle name="TotCol - Style5" xfId="9194"/>
    <cellStyle name="TotCol - Style5 2" xfId="15180"/>
    <cellStyle name="TotCol - Style7" xfId="9195"/>
    <cellStyle name="TotCol - Style7 2" xfId="15181"/>
    <cellStyle name="TotRow - Style4" xfId="9196"/>
    <cellStyle name="TotRow - Style4 2" xfId="9197"/>
    <cellStyle name="TotRow - Style4 2 2" xfId="15183"/>
    <cellStyle name="TotRow - Style4 3" xfId="9198"/>
    <cellStyle name="TotRow - Style4 3 2" xfId="15184"/>
    <cellStyle name="TotRow - Style4 4" xfId="9199"/>
    <cellStyle name="TotRow - Style4 4 2" xfId="15185"/>
    <cellStyle name="TotRow - Style4 5" xfId="9200"/>
    <cellStyle name="TotRow - Style4 5 2" xfId="15186"/>
    <cellStyle name="TotRow - Style4 6" xfId="15182"/>
    <cellStyle name="TotRow - Style8" xfId="9201"/>
    <cellStyle name="TotRow - Style8 2" xfId="9202"/>
    <cellStyle name="TotRow - Style8 2 2" xfId="15188"/>
    <cellStyle name="TotRow - Style8 3" xfId="9203"/>
    <cellStyle name="TotRow - Style8 3 2" xfId="15189"/>
    <cellStyle name="TotRow - Style8 4" xfId="9204"/>
    <cellStyle name="TotRow - Style8 4 2" xfId="15190"/>
    <cellStyle name="TotRow - Style8 5" xfId="9205"/>
    <cellStyle name="TotRow - Style8 5 2" xfId="15191"/>
    <cellStyle name="TotRow - Style8 6" xfId="15187"/>
    <cellStyle name="Transcript_Date" xfId="9206"/>
    <cellStyle name="Warning Text 2" xfId="9207"/>
    <cellStyle name="Warning Text 2 2" xfId="9208"/>
    <cellStyle name="Warning Text 2 3" xfId="15193"/>
    <cellStyle name="Warning Text 3" xfId="9209"/>
    <cellStyle name="Warning Text 3 2" xfId="9210"/>
    <cellStyle name="Warning Text 3 3" xfId="15194"/>
    <cellStyle name="Warning Text 4" xfId="9211"/>
    <cellStyle name="Warning Text 4 2" xfId="15195"/>
    <cellStyle name="Warning Text 5" xfId="9212"/>
    <cellStyle name="Warning Text 6" xfId="15192"/>
    <cellStyle name="WM_STANDARD" xfId="92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51546</xdr:colOff>
      <xdr:row>214</xdr:row>
      <xdr:rowOff>93976</xdr:rowOff>
    </xdr:from>
    <xdr:to>
      <xdr:col>13</xdr:col>
      <xdr:colOff>477370</xdr:colOff>
      <xdr:row>219</xdr:row>
      <xdr:rowOff>71564</xdr:rowOff>
    </xdr:to>
    <xdr:sp macro="" textlink="">
      <xdr:nvSpPr>
        <xdr:cNvPr id="2" name="TextBox 1"/>
        <xdr:cNvSpPr txBox="1"/>
      </xdr:nvSpPr>
      <xdr:spPr>
        <a:xfrm>
          <a:off x="965946" y="31955101"/>
          <a:ext cx="7264774" cy="691963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Note:  100% of assets shared between 2183, 2184, 2185 are included here.  They will be allocated  to the indivvidual</a:t>
          </a:r>
          <a:r>
            <a:rPr lang="en-US" sz="1100" baseline="0"/>
            <a:t> district </a:t>
          </a:r>
          <a:r>
            <a:rPr lang="en-US" sz="1100"/>
            <a:t>on the Proforma for Rate Case purposes.  See "LeMay Global Assets Depr UTC 12.31.2010" for LeMay Global assets.  For a rate case that tab will need to be added here and the correct allocation % entered into column T to allocate those assets to 2183, 2184, 2185.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LeMay%20Companies/Depreciation%20General/12.31.2015%20Depreciation%20Schedules/2184%20UTC%20Depreciation%2012.31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LeMay%20Companies/Depreciation%20General/12.31.2015%20Depreciation%20Schedules/2184%20UTC%20Depreciation%2011.30.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2184"/>
      <sheetName val="Trucks 2184"/>
      <sheetName val="Containers District 2184"/>
      <sheetName val="2184 Other Equipment"/>
      <sheetName val="LeMay Global - 2184"/>
    </sheetNames>
    <sheetDataSet>
      <sheetData sheetId="0" refreshError="1"/>
      <sheetData sheetId="1" refreshError="1">
        <row r="2">
          <cell r="P2">
            <v>12</v>
          </cell>
        </row>
        <row r="3">
          <cell r="P3">
            <v>0</v>
          </cell>
        </row>
        <row r="4">
          <cell r="P4">
            <v>2012</v>
          </cell>
        </row>
        <row r="5">
          <cell r="P5">
            <v>2013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2184"/>
      <sheetName val="Trucks 2184"/>
      <sheetName val="Containers District 2184"/>
      <sheetName val="2184 Other Equipment"/>
    </sheetNames>
    <sheetDataSet>
      <sheetData sheetId="0" refreshError="1"/>
      <sheetData sheetId="1" refreshError="1"/>
      <sheetData sheetId="2" refreshError="1"/>
      <sheetData sheetId="3" refreshError="1">
        <row r="3">
          <cell r="P3">
            <v>0</v>
          </cell>
        </row>
        <row r="4">
          <cell r="P4">
            <v>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file://sacinf05/DistShares/Fixed%20Assets/2013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showGridLines="0" view="pageBreakPreview" zoomScale="60" zoomScaleNormal="100" workbookViewId="0">
      <selection activeCell="K49" sqref="K49"/>
    </sheetView>
  </sheetViews>
  <sheetFormatPr defaultColWidth="11.42578125" defaultRowHeight="12.75"/>
  <cols>
    <col min="1" max="1" width="24.140625" customWidth="1"/>
    <col min="2" max="2" width="14" bestFit="1" customWidth="1"/>
    <col min="3" max="3" width="12.5703125" bestFit="1" customWidth="1"/>
    <col min="4" max="4" width="14" bestFit="1" customWidth="1"/>
    <col min="5" max="5" width="12.85546875" bestFit="1" customWidth="1"/>
    <col min="6" max="6" width="19.28515625" customWidth="1"/>
    <col min="7" max="8" width="14" bestFit="1" customWidth="1"/>
    <col min="9" max="14" width="11.42578125" customWidth="1"/>
    <col min="15" max="15" width="20.42578125" customWidth="1"/>
    <col min="16" max="16" width="16.42578125" customWidth="1"/>
    <col min="17" max="17" width="17.7109375" customWidth="1"/>
  </cols>
  <sheetData>
    <row r="1" spans="1:8">
      <c r="A1" s="9" t="s">
        <v>429</v>
      </c>
    </row>
    <row r="2" spans="1:8">
      <c r="A2" s="9" t="s">
        <v>457</v>
      </c>
    </row>
    <row r="3" spans="1:8">
      <c r="A3" s="9" t="s">
        <v>383</v>
      </c>
    </row>
    <row r="4" spans="1:8" ht="13.5" thickBot="1">
      <c r="A4" s="9"/>
    </row>
    <row r="5" spans="1:8">
      <c r="A5" s="35"/>
      <c r="B5" s="36"/>
      <c r="C5" s="36"/>
      <c r="D5" s="36"/>
      <c r="E5" s="36"/>
      <c r="F5" s="36" t="s">
        <v>188</v>
      </c>
      <c r="G5" s="36" t="s">
        <v>43</v>
      </c>
      <c r="H5" s="37" t="s">
        <v>55</v>
      </c>
    </row>
    <row r="6" spans="1:8">
      <c r="A6" s="38" t="s">
        <v>115</v>
      </c>
      <c r="B6" s="39" t="s">
        <v>173</v>
      </c>
      <c r="C6" s="39" t="s">
        <v>47</v>
      </c>
      <c r="D6" s="39" t="s">
        <v>62</v>
      </c>
      <c r="E6" s="39" t="s">
        <v>268</v>
      </c>
      <c r="F6" s="39" t="s">
        <v>101</v>
      </c>
      <c r="G6" s="39" t="s">
        <v>101</v>
      </c>
      <c r="H6" s="40" t="s">
        <v>6</v>
      </c>
    </row>
    <row r="7" spans="1:8">
      <c r="A7" s="41"/>
      <c r="B7" s="33"/>
      <c r="C7" s="33"/>
      <c r="D7" s="33" t="s">
        <v>173</v>
      </c>
      <c r="E7" s="33" t="s">
        <v>62</v>
      </c>
      <c r="F7" s="34">
        <v>43221</v>
      </c>
      <c r="G7" s="34">
        <v>43585</v>
      </c>
      <c r="H7" s="42">
        <f>G7</f>
        <v>43585</v>
      </c>
    </row>
    <row r="8" spans="1:8">
      <c r="A8" s="43" t="s">
        <v>5</v>
      </c>
      <c r="B8" s="44"/>
      <c r="C8" s="44"/>
      <c r="D8" s="44"/>
      <c r="E8" s="44"/>
      <c r="F8" s="44"/>
      <c r="G8" s="44"/>
      <c r="H8" s="45"/>
    </row>
    <row r="9" spans="1:8">
      <c r="A9" s="43" t="s">
        <v>147</v>
      </c>
      <c r="B9" s="107">
        <f>'Trucks 2183'!L90</f>
        <v>9907033.4407333322</v>
      </c>
      <c r="C9" s="107">
        <f>B9-D9</f>
        <v>0</v>
      </c>
      <c r="D9" s="107">
        <f>'Trucks 2183'!M90</f>
        <v>9907033.4407333322</v>
      </c>
      <c r="E9" s="107">
        <f>'Trucks 2183'!P90</f>
        <v>988149.35616666672</v>
      </c>
      <c r="F9" s="107">
        <f>'Trucks 2183'!Q90</f>
        <v>1751771.1618333336</v>
      </c>
      <c r="G9" s="107">
        <f>'Trucks 2183'!R90</f>
        <v>2739920.5179999992</v>
      </c>
      <c r="H9" s="108">
        <f>'Trucks 2183'!S90</f>
        <v>7167112.9227333358</v>
      </c>
    </row>
    <row r="10" spans="1:8">
      <c r="A10" s="43"/>
      <c r="B10" s="107"/>
      <c r="C10" s="107"/>
      <c r="D10" s="107"/>
      <c r="E10" s="107"/>
      <c r="F10" s="107"/>
      <c r="G10" s="107"/>
      <c r="H10" s="108"/>
    </row>
    <row r="11" spans="1:8">
      <c r="A11" s="43" t="s">
        <v>287</v>
      </c>
      <c r="B11" s="107">
        <f>'Trucks 2183'!L132</f>
        <v>2677806.6882666671</v>
      </c>
      <c r="C11" s="107">
        <f>B11-D11</f>
        <v>0</v>
      </c>
      <c r="D11" s="107">
        <f>'Trucks 2183'!M132</f>
        <v>2677806.6882666671</v>
      </c>
      <c r="E11" s="107">
        <f>'Trucks 2183'!P132</f>
        <v>280711.00633333338</v>
      </c>
      <c r="F11" s="107">
        <f>'Trucks 2183'!Q132</f>
        <v>1028238.2029333331</v>
      </c>
      <c r="G11" s="107">
        <f>'Trucks 2183'!R132</f>
        <v>1308949.2092666666</v>
      </c>
      <c r="H11" s="108">
        <f>'Trucks 2183'!S132</f>
        <v>1368857.4790000003</v>
      </c>
    </row>
    <row r="12" spans="1:8">
      <c r="A12" s="43"/>
      <c r="B12" s="107"/>
      <c r="C12" s="107"/>
      <c r="D12" s="107"/>
      <c r="E12" s="107"/>
      <c r="F12" s="107"/>
      <c r="G12" s="107"/>
      <c r="H12" s="108"/>
    </row>
    <row r="13" spans="1:8">
      <c r="A13" s="43" t="s">
        <v>22</v>
      </c>
      <c r="B13" s="107">
        <f>'Trucks 2183'!L181</f>
        <v>4670530.9578666659</v>
      </c>
      <c r="C13" s="107">
        <f>B13-D13</f>
        <v>0</v>
      </c>
      <c r="D13" s="107">
        <f>'Trucks 2183'!M181</f>
        <v>4670530.9578666659</v>
      </c>
      <c r="E13" s="107">
        <f>'Trucks 2183'!P181</f>
        <v>414414.45037777786</v>
      </c>
      <c r="F13" s="107">
        <f>'Trucks 2183'!Q181</f>
        <v>2508192.2346222224</v>
      </c>
      <c r="G13" s="107">
        <f>'Trucks 2183'!R181</f>
        <v>2922606.6849999996</v>
      </c>
      <c r="H13" s="108">
        <f>'Trucks 2183'!S181</f>
        <v>1747924.2728666663</v>
      </c>
    </row>
    <row r="14" spans="1:8">
      <c r="A14" s="43"/>
      <c r="B14" s="107"/>
      <c r="C14" s="107"/>
      <c r="D14" s="107"/>
      <c r="E14" s="107"/>
      <c r="F14" s="107"/>
      <c r="G14" s="107"/>
      <c r="H14" s="108"/>
    </row>
    <row r="15" spans="1:8">
      <c r="A15" s="43" t="s">
        <v>157</v>
      </c>
      <c r="B15" s="107">
        <f>'Trucks 2183'!L200</f>
        <v>1379356.7604000003</v>
      </c>
      <c r="C15" s="107">
        <f>B15-D15</f>
        <v>0</v>
      </c>
      <c r="D15" s="107">
        <f>'Trucks 2183'!M200</f>
        <v>1379356.7604000003</v>
      </c>
      <c r="E15" s="107">
        <f>'Trucks 2183'!P200</f>
        <v>140606.53777777779</v>
      </c>
      <c r="F15" s="107">
        <f>'Trucks 2183'!Q200</f>
        <v>920675.10595555557</v>
      </c>
      <c r="G15" s="107">
        <f>'Trucks 2183'!R200</f>
        <v>1061281.6437333336</v>
      </c>
      <c r="H15" s="108">
        <f>'Trucks 2183'!S200</f>
        <v>318075.1166666667</v>
      </c>
    </row>
    <row r="16" spans="1:8">
      <c r="A16" s="43"/>
      <c r="B16" s="107"/>
      <c r="C16" s="107"/>
      <c r="D16" s="107"/>
      <c r="E16" s="107"/>
      <c r="F16" s="107"/>
      <c r="G16" s="107"/>
      <c r="H16" s="108"/>
    </row>
    <row r="17" spans="1:8">
      <c r="A17" s="43" t="s">
        <v>555</v>
      </c>
      <c r="B17" s="107">
        <f>'Trucks 2183'!L226</f>
        <v>1917539.1113333337</v>
      </c>
      <c r="C17" s="107">
        <f>B17-D17</f>
        <v>0</v>
      </c>
      <c r="D17" s="107">
        <f>'Trucks 2183'!M226</f>
        <v>1917539.1113333337</v>
      </c>
      <c r="E17" s="107">
        <f>'Trucks 2183'!P226</f>
        <v>63698.602999999996</v>
      </c>
      <c r="F17" s="107">
        <f>'Trucks 2183'!Q226</f>
        <v>1461321.6813333337</v>
      </c>
      <c r="G17" s="107">
        <f>'Trucks 2183'!R226</f>
        <v>1525020.2843333336</v>
      </c>
      <c r="H17" s="108">
        <f>'Trucks 2183'!S226</f>
        <v>392518.82700000005</v>
      </c>
    </row>
    <row r="18" spans="1:8">
      <c r="A18" s="43"/>
      <c r="B18" s="107"/>
      <c r="C18" s="107"/>
      <c r="D18" s="107"/>
      <c r="E18" s="107"/>
      <c r="F18" s="107"/>
      <c r="G18" s="107"/>
      <c r="H18" s="108"/>
    </row>
    <row r="19" spans="1:8">
      <c r="A19" s="38" t="s">
        <v>271</v>
      </c>
      <c r="B19" s="109">
        <f t="shared" ref="B19:H19" si="0">SUM(B9:B18)</f>
        <v>20552266.9586</v>
      </c>
      <c r="C19" s="109">
        <f t="shared" si="0"/>
        <v>0</v>
      </c>
      <c r="D19" s="109">
        <f t="shared" si="0"/>
        <v>20552266.9586</v>
      </c>
      <c r="E19" s="109">
        <f t="shared" si="0"/>
        <v>1887579.9536555556</v>
      </c>
      <c r="F19" s="109">
        <f t="shared" si="0"/>
        <v>7670198.3866777774</v>
      </c>
      <c r="G19" s="109">
        <f t="shared" si="0"/>
        <v>9557778.3403333332</v>
      </c>
      <c r="H19" s="110">
        <f t="shared" si="0"/>
        <v>10994488.618266668</v>
      </c>
    </row>
    <row r="20" spans="1:8">
      <c r="A20" s="43"/>
      <c r="B20" s="107">
        <f>+B19-'Trucks 2183'!L228</f>
        <v>0</v>
      </c>
      <c r="C20" s="107"/>
      <c r="D20" s="107"/>
      <c r="E20" s="107"/>
      <c r="F20" s="107"/>
      <c r="G20" s="107"/>
      <c r="H20" s="108"/>
    </row>
    <row r="21" spans="1:8">
      <c r="A21" s="43" t="s">
        <v>272</v>
      </c>
      <c r="B21" s="107"/>
      <c r="C21" s="107"/>
      <c r="D21" s="107"/>
      <c r="E21" s="107"/>
      <c r="F21" s="107"/>
      <c r="G21" s="107"/>
      <c r="H21" s="108"/>
    </row>
    <row r="22" spans="1:8">
      <c r="A22" s="43" t="s">
        <v>423</v>
      </c>
      <c r="B22" s="107">
        <f>'Containers 2183'!K166</f>
        <v>1287690.48</v>
      </c>
      <c r="C22" s="107">
        <f>B22-D22</f>
        <v>0</v>
      </c>
      <c r="D22" s="107">
        <f>'Containers 2183'!L166</f>
        <v>1287690.48</v>
      </c>
      <c r="E22" s="107">
        <f>'Containers 2183'!O166</f>
        <v>44999.700500000014</v>
      </c>
      <c r="F22" s="107">
        <f>'Containers 2183'!P166</f>
        <v>875945.20733333298</v>
      </c>
      <c r="G22" s="107">
        <f>'Containers 2183'!Q166</f>
        <v>920944.90783333289</v>
      </c>
      <c r="H22" s="108">
        <f>'Containers 2183'!R166</f>
        <v>366745.57216666662</v>
      </c>
    </row>
    <row r="23" spans="1:8">
      <c r="A23" s="43"/>
      <c r="B23" s="107"/>
      <c r="C23" s="107"/>
      <c r="D23" s="107"/>
      <c r="E23" s="107"/>
      <c r="F23" s="107"/>
      <c r="G23" s="107"/>
      <c r="H23" s="108"/>
    </row>
    <row r="24" spans="1:8">
      <c r="A24" s="43" t="s">
        <v>424</v>
      </c>
      <c r="B24" s="107">
        <f>'Containers 2183'!K295</f>
        <v>3136158.7099999976</v>
      </c>
      <c r="C24" s="107">
        <f>B24-D24</f>
        <v>0</v>
      </c>
      <c r="D24" s="107">
        <f>'Containers 2183'!L295</f>
        <v>3136158.7099999976</v>
      </c>
      <c r="E24" s="107">
        <f>'Containers 2183'!O295</f>
        <v>263483.01428571437</v>
      </c>
      <c r="F24" s="107">
        <f>'Containers 2183'!P295</f>
        <v>1780638.2085714277</v>
      </c>
      <c r="G24" s="107">
        <f>'Containers 2183'!Q295</f>
        <v>2044121.2228571426</v>
      </c>
      <c r="H24" s="108">
        <f>'Containers 2183'!R295</f>
        <v>1092037.4871428569</v>
      </c>
    </row>
    <row r="25" spans="1:8">
      <c r="A25" s="43"/>
      <c r="B25" s="107"/>
      <c r="C25" s="107"/>
      <c r="D25" s="107"/>
      <c r="E25" s="107"/>
      <c r="F25" s="107"/>
      <c r="G25" s="107"/>
      <c r="H25" s="108"/>
    </row>
    <row r="26" spans="1:8">
      <c r="A26" s="43" t="s">
        <v>269</v>
      </c>
      <c r="B26" s="107">
        <f>'Containers 2183'!K365</f>
        <v>1928961.99</v>
      </c>
      <c r="C26" s="107">
        <f>B26-D26</f>
        <v>0</v>
      </c>
      <c r="D26" s="107">
        <f>'Containers 2183'!L365</f>
        <v>1928961.99</v>
      </c>
      <c r="E26" s="107">
        <f>'Containers 2183'!O365</f>
        <v>58087.091314881487</v>
      </c>
      <c r="F26" s="107">
        <f>'Containers 2183'!P365</f>
        <v>1436882.2821482148</v>
      </c>
      <c r="G26" s="107">
        <f>'Containers 2183'!Q365</f>
        <v>1494969.3734630963</v>
      </c>
      <c r="H26" s="108">
        <f>'Containers 2183'!R365</f>
        <v>433992.61653690366</v>
      </c>
    </row>
    <row r="27" spans="1:8">
      <c r="A27" s="43"/>
      <c r="B27" s="107"/>
      <c r="C27" s="107"/>
      <c r="D27" s="107"/>
      <c r="E27" s="107"/>
      <c r="F27" s="107"/>
      <c r="G27" s="107"/>
      <c r="H27" s="108"/>
    </row>
    <row r="28" spans="1:8">
      <c r="A28" s="43" t="s">
        <v>425</v>
      </c>
      <c r="B28" s="107">
        <f>'Containers 2183'!K405</f>
        <v>3560462.4400000009</v>
      </c>
      <c r="C28" s="107">
        <f>B28-D28</f>
        <v>0</v>
      </c>
      <c r="D28" s="107">
        <f>'Containers 2183'!L405</f>
        <v>3560462.4400000009</v>
      </c>
      <c r="E28" s="107">
        <f>'Containers 2183'!O405</f>
        <v>126645.75714285717</v>
      </c>
      <c r="F28" s="107">
        <f>'Containers 2183'!P405</f>
        <v>2912376.8900000011</v>
      </c>
      <c r="G28" s="107">
        <f>'Containers 2183'!Q405</f>
        <v>3039022.6471428573</v>
      </c>
      <c r="H28" s="108">
        <f>'Containers 2183'!R405</f>
        <v>521439.79285714298</v>
      </c>
    </row>
    <row r="29" spans="1:8">
      <c r="A29" s="43"/>
      <c r="B29" s="107"/>
      <c r="C29" s="107"/>
      <c r="D29" s="107"/>
      <c r="E29" s="107"/>
      <c r="F29" s="107"/>
      <c r="G29" s="107"/>
      <c r="H29" s="108"/>
    </row>
    <row r="30" spans="1:8">
      <c r="A30" s="43" t="s">
        <v>270</v>
      </c>
      <c r="B30" s="107">
        <f>'Containers 2183'!K457</f>
        <v>1106454.31</v>
      </c>
      <c r="C30" s="107">
        <f>B30-D30</f>
        <v>0</v>
      </c>
      <c r="D30" s="107">
        <f>'Containers 2183'!L457</f>
        <v>1106454.31</v>
      </c>
      <c r="E30" s="107">
        <f>'Containers 2183'!O457</f>
        <v>67130.804285714286</v>
      </c>
      <c r="F30" s="107">
        <f>'Containers 2183'!P457</f>
        <v>727939.49428571423</v>
      </c>
      <c r="G30" s="107">
        <f>'Containers 2183'!Q457</f>
        <v>795070.29857142852</v>
      </c>
      <c r="H30" s="108">
        <f>'Containers 2183'!R457</f>
        <v>311384.01142857142</v>
      </c>
    </row>
    <row r="31" spans="1:8">
      <c r="A31" s="43"/>
      <c r="B31" s="107"/>
      <c r="C31" s="107"/>
      <c r="D31" s="107"/>
      <c r="E31" s="107"/>
      <c r="F31" s="107"/>
      <c r="G31" s="107"/>
      <c r="H31" s="108"/>
    </row>
    <row r="32" spans="1:8">
      <c r="A32" s="38" t="s">
        <v>273</v>
      </c>
      <c r="B32" s="109">
        <f t="shared" ref="B32:H32" si="1">SUM(B22:B31)</f>
        <v>11019727.93</v>
      </c>
      <c r="C32" s="109">
        <f t="shared" si="1"/>
        <v>0</v>
      </c>
      <c r="D32" s="109">
        <f t="shared" si="1"/>
        <v>11019727.93</v>
      </c>
      <c r="E32" s="109">
        <f t="shared" si="1"/>
        <v>560346.36752916733</v>
      </c>
      <c r="F32" s="109">
        <f t="shared" si="1"/>
        <v>7733782.0823386908</v>
      </c>
      <c r="G32" s="109">
        <f t="shared" si="1"/>
        <v>8294128.4498678576</v>
      </c>
      <c r="H32" s="110">
        <f t="shared" si="1"/>
        <v>2725599.4801321416</v>
      </c>
    </row>
    <row r="33" spans="1:8">
      <c r="A33" s="43"/>
      <c r="B33" s="107">
        <f>+B32-'Containers 2183'!K459</f>
        <v>0</v>
      </c>
      <c r="C33" s="107"/>
      <c r="D33" s="107"/>
      <c r="E33" s="107"/>
      <c r="F33" s="107"/>
      <c r="G33" s="107"/>
      <c r="H33" s="108"/>
    </row>
    <row r="34" spans="1:8">
      <c r="A34" s="43" t="s">
        <v>274</v>
      </c>
      <c r="B34" s="107">
        <f>'OTHER EQUIP 2183'!M119</f>
        <v>176680.22999999998</v>
      </c>
      <c r="C34" s="107">
        <f>B34-D34</f>
        <v>2369.6599999999744</v>
      </c>
      <c r="D34" s="107">
        <f>'OTHER EQUIP 2183'!N119</f>
        <v>174310.57</v>
      </c>
      <c r="E34" s="107">
        <f>'OTHER EQUIP 2183'!Q119</f>
        <v>27304.815955555558</v>
      </c>
      <c r="F34" s="107">
        <f>'OTHER EQUIP 2183'!R119</f>
        <v>83306.515966666659</v>
      </c>
      <c r="G34" s="107">
        <f>'OTHER EQUIP 2183'!S119</f>
        <v>110611.33192222222</v>
      </c>
      <c r="H34" s="108">
        <f>'OTHER EQUIP 2183'!T119</f>
        <v>66068.898077777776</v>
      </c>
    </row>
    <row r="35" spans="1:8">
      <c r="A35" s="43"/>
      <c r="B35" s="107"/>
      <c r="C35" s="107"/>
      <c r="D35" s="107"/>
      <c r="E35" s="107"/>
      <c r="F35" s="107"/>
      <c r="G35" s="107"/>
      <c r="H35" s="108"/>
    </row>
    <row r="36" spans="1:8">
      <c r="A36" s="43" t="s">
        <v>85</v>
      </c>
      <c r="B36" s="107">
        <f>'OTHER EQUIP 2183'!M100</f>
        <v>1605332.5700000005</v>
      </c>
      <c r="C36" s="107">
        <f>B36-D36</f>
        <v>19764.868000000017</v>
      </c>
      <c r="D36" s="107">
        <f>'OTHER EQUIP 2183'!N100</f>
        <v>1585567.7020000005</v>
      </c>
      <c r="E36" s="107">
        <f>'OTHER EQUIP 2183'!Q100</f>
        <v>30436.617099999996</v>
      </c>
      <c r="F36" s="107">
        <f>'OTHER EQUIP 2183'!R100</f>
        <v>1464104.3931000002</v>
      </c>
      <c r="G36" s="107">
        <f>'OTHER EQUIP 2183'!S100</f>
        <v>1494541.0102000006</v>
      </c>
      <c r="H36" s="108">
        <f>'OTHER EQUIP 2183'!T100</f>
        <v>110791.55979999997</v>
      </c>
    </row>
    <row r="37" spans="1:8">
      <c r="A37" s="43"/>
      <c r="B37" s="107"/>
      <c r="C37" s="107"/>
      <c r="D37" s="107"/>
      <c r="E37" s="107"/>
      <c r="F37" s="107"/>
      <c r="G37" s="107"/>
      <c r="H37" s="108"/>
    </row>
    <row r="38" spans="1:8">
      <c r="A38" s="43" t="s">
        <v>275</v>
      </c>
      <c r="B38" s="107">
        <f>'OTHER EQUIP 2183'!M146</f>
        <v>359753.84</v>
      </c>
      <c r="C38" s="107">
        <f>B38-D38</f>
        <v>0</v>
      </c>
      <c r="D38" s="107">
        <f>'OTHER EQUIP 2183'!N146</f>
        <v>359753.84</v>
      </c>
      <c r="E38" s="107">
        <f>'OTHER EQUIP 2183'!Q146</f>
        <v>1832.4833333333336</v>
      </c>
      <c r="F38" s="107">
        <f>'OTHER EQUIP 2183'!R146</f>
        <v>353314.79000000004</v>
      </c>
      <c r="G38" s="107">
        <f>'OTHER EQUIP 2183'!S146</f>
        <v>355147.27333333332</v>
      </c>
      <c r="H38" s="108">
        <f>'OTHER EQUIP 2183'!T146</f>
        <v>4606.5666666666657</v>
      </c>
    </row>
    <row r="39" spans="1:8">
      <c r="A39" s="43"/>
      <c r="B39" s="107"/>
      <c r="C39" s="107"/>
      <c r="D39" s="107"/>
      <c r="E39" s="107"/>
      <c r="F39" s="107"/>
      <c r="G39" s="107"/>
      <c r="H39" s="108"/>
    </row>
    <row r="40" spans="1:8">
      <c r="A40" s="43" t="s">
        <v>21</v>
      </c>
      <c r="B40" s="107">
        <f>'OTHER EQUIP 2183'!M46</f>
        <v>2660769.8699999996</v>
      </c>
      <c r="C40" s="107">
        <f>B40-D40</f>
        <v>0</v>
      </c>
      <c r="D40" s="107">
        <f>'OTHER EQUIP 2183'!N46</f>
        <v>2660769.8699999996</v>
      </c>
      <c r="E40" s="107">
        <f>'OTHER EQUIP 2183'!Q46</f>
        <v>69348.317153846161</v>
      </c>
      <c r="F40" s="107">
        <f>'OTHER EQUIP 2183'!R46</f>
        <v>2419300.9384615384</v>
      </c>
      <c r="G40" s="107">
        <f>'OTHER EQUIP 2183'!S46</f>
        <v>2488649.2556153843</v>
      </c>
      <c r="H40" s="108">
        <f>'OTHER EQUIP 2183'!T46</f>
        <v>172120.6143846155</v>
      </c>
    </row>
    <row r="41" spans="1:8">
      <c r="A41" s="43"/>
      <c r="B41" s="107"/>
      <c r="C41" s="107"/>
      <c r="D41" s="107"/>
      <c r="E41" s="107"/>
      <c r="F41" s="107"/>
      <c r="G41" s="107"/>
      <c r="H41" s="108"/>
    </row>
    <row r="42" spans="1:8">
      <c r="A42" s="43" t="s">
        <v>138</v>
      </c>
      <c r="B42" s="107">
        <f>'OTHER EQUIP 2183'!M21</f>
        <v>997170.92</v>
      </c>
      <c r="C42" s="107">
        <f>B42-D42</f>
        <v>0</v>
      </c>
      <c r="D42" s="107">
        <f>'OTHER EQUIP 2183'!N21</f>
        <v>997170.92</v>
      </c>
      <c r="E42" s="107">
        <f>'OTHER EQUIP 2183'!Q21</f>
        <v>25835.315897435896</v>
      </c>
      <c r="F42" s="107">
        <f>'OTHER EQUIP 2183'!R21</f>
        <v>452521.84128205129</v>
      </c>
      <c r="G42" s="107">
        <f>'OTHER EQUIP 2183'!S21</f>
        <v>478357.15717948729</v>
      </c>
      <c r="H42" s="108">
        <f>'OTHER EQUIP 2183'!T21</f>
        <v>518813.76282051275</v>
      </c>
    </row>
    <row r="43" spans="1:8">
      <c r="A43" s="43"/>
      <c r="B43" s="107"/>
      <c r="C43" s="107"/>
      <c r="D43" s="107"/>
      <c r="E43" s="107"/>
      <c r="F43" s="107"/>
      <c r="G43" s="107"/>
      <c r="H43" s="108"/>
    </row>
    <row r="44" spans="1:8" s="104" customFormat="1">
      <c r="A44" s="105" t="s">
        <v>813</v>
      </c>
      <c r="B44" s="107">
        <f>+'OTHER EQUIP 2183'!M152</f>
        <v>1282967.4099999999</v>
      </c>
      <c r="C44" s="107"/>
      <c r="D44" s="107">
        <f>+'OTHER EQUIP 2183'!N152</f>
        <v>1282967.4099999999</v>
      </c>
      <c r="E44" s="107">
        <f>+'OTHER EQUIP 2183'!Q152</f>
        <v>32770.025384615386</v>
      </c>
      <c r="F44" s="107">
        <f>+'OTHER EQUIP 2183'!R152</f>
        <v>594796.87692307704</v>
      </c>
      <c r="G44" s="107">
        <f>+'OTHER EQUIP 2183'!S152</f>
        <v>627566.90230769245</v>
      </c>
      <c r="H44" s="108">
        <f>+'OTHER EQUIP 2183'!T152</f>
        <v>655400.50769230758</v>
      </c>
    </row>
    <row r="45" spans="1:8">
      <c r="A45" s="43"/>
      <c r="B45" s="107"/>
      <c r="C45" s="107"/>
      <c r="D45" s="107"/>
      <c r="E45" s="107"/>
      <c r="F45" s="107"/>
      <c r="G45" s="107"/>
      <c r="H45" s="108"/>
    </row>
    <row r="46" spans="1:8">
      <c r="A46" s="43" t="s">
        <v>24</v>
      </c>
      <c r="B46" s="107">
        <v>1474904.23</v>
      </c>
      <c r="C46" s="107">
        <f>B46-D46</f>
        <v>0</v>
      </c>
      <c r="D46" s="107">
        <f>B46</f>
        <v>1474904.23</v>
      </c>
      <c r="E46" s="107">
        <v>0</v>
      </c>
      <c r="F46" s="107">
        <v>0</v>
      </c>
      <c r="G46" s="107">
        <v>0</v>
      </c>
      <c r="H46" s="108">
        <f>B46</f>
        <v>1474904.23</v>
      </c>
    </row>
    <row r="47" spans="1:8">
      <c r="A47" s="43"/>
      <c r="B47" s="107"/>
      <c r="C47" s="107"/>
      <c r="D47" s="107"/>
      <c r="E47" s="107"/>
      <c r="F47" s="107"/>
      <c r="G47" s="107"/>
      <c r="H47" s="108"/>
    </row>
    <row r="48" spans="1:8">
      <c r="A48" s="38" t="s">
        <v>382</v>
      </c>
      <c r="B48" s="109">
        <f t="shared" ref="B48:H48" si="2">SUM(B34:B47)</f>
        <v>8557579.0700000003</v>
      </c>
      <c r="C48" s="109">
        <f t="shared" si="2"/>
        <v>22134.527999999991</v>
      </c>
      <c r="D48" s="109">
        <f t="shared" si="2"/>
        <v>8535444.5420000013</v>
      </c>
      <c r="E48" s="109">
        <f t="shared" si="2"/>
        <v>187527.57482478631</v>
      </c>
      <c r="F48" s="109">
        <f t="shared" si="2"/>
        <v>5367345.3557333332</v>
      </c>
      <c r="G48" s="109">
        <f t="shared" si="2"/>
        <v>5554872.930558119</v>
      </c>
      <c r="H48" s="110">
        <f t="shared" si="2"/>
        <v>3002706.1394418804</v>
      </c>
    </row>
    <row r="49" spans="1:9">
      <c r="A49" s="43"/>
      <c r="B49" s="107"/>
      <c r="C49" s="107"/>
      <c r="D49" s="107"/>
      <c r="E49" s="107"/>
      <c r="F49" s="107"/>
      <c r="G49" s="107"/>
      <c r="H49" s="108"/>
    </row>
    <row r="50" spans="1:9" ht="13.5" thickBot="1">
      <c r="A50" s="38" t="s">
        <v>276</v>
      </c>
      <c r="B50" s="82">
        <f t="shared" ref="B50:H50" si="3">B19+B32+B48</f>
        <v>40129573.9586</v>
      </c>
      <c r="C50" s="82">
        <f t="shared" si="3"/>
        <v>22134.527999999991</v>
      </c>
      <c r="D50" s="82">
        <f t="shared" si="3"/>
        <v>40107439.430600002</v>
      </c>
      <c r="E50" s="82">
        <f t="shared" si="3"/>
        <v>2635453.896009509</v>
      </c>
      <c r="F50" s="82">
        <f t="shared" si="3"/>
        <v>20771325.824749801</v>
      </c>
      <c r="G50" s="82">
        <f t="shared" si="3"/>
        <v>23406779.72075931</v>
      </c>
      <c r="H50" s="111">
        <f t="shared" si="3"/>
        <v>16722794.23784069</v>
      </c>
    </row>
    <row r="51" spans="1:9" ht="14.25" thickTop="1" thickBot="1">
      <c r="A51" s="47"/>
      <c r="B51" s="48">
        <f>+B50-'Trucks 2183'!L228-'Containers 2183'!K459-'OTHER EQUIP 2183'!M154-B46</f>
        <v>0</v>
      </c>
      <c r="C51" s="48"/>
      <c r="D51" s="48">
        <f>D50-'Trucks 2183'!M228-'Containers 2183'!L459-'OTHER EQUIP 2183'!N154-D46</f>
        <v>2.3283064365386963E-9</v>
      </c>
      <c r="E51" s="48">
        <f>+E50-'Trucks 2183'!P228-'Containers 2183'!O459-'OTHER EQUIP 2183'!Q154</f>
        <v>-2.6193447411060333E-10</v>
      </c>
      <c r="F51" s="48">
        <f>F50-'Trucks 2183'!Q228-'Containers 2183'!P459-'OTHER EQUIP 2183'!R154</f>
        <v>0</v>
      </c>
      <c r="G51" s="48">
        <f>G50-'Trucks 2183'!R228-'Containers 2183'!Q459-'OTHER EQUIP 2183'!S154</f>
        <v>0</v>
      </c>
      <c r="H51" s="49">
        <f>H50-'Trucks 2183'!S228-'Containers 2183'!R459-'OTHER EQUIP 2183'!T154-H46</f>
        <v>0</v>
      </c>
      <c r="I51" t="s">
        <v>430</v>
      </c>
    </row>
  </sheetData>
  <phoneticPr fontId="4" type="noConversion"/>
  <pageMargins left="0" right="0" top="0" bottom="0" header="0.5" footer="0.5"/>
  <pageSetup scale="87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2"/>
  <dimension ref="A1:XFD297"/>
  <sheetViews>
    <sheetView showGridLines="0" view="pageBreakPreview" zoomScale="85" zoomScaleNormal="100" zoomScaleSheetLayoutView="85" workbookViewId="0">
      <pane xSplit="3" ySplit="11" topLeftCell="D66" activePane="bottomRight" state="frozen"/>
      <selection activeCell="K49" sqref="K49"/>
      <selection pane="topRight" activeCell="K49" sqref="K49"/>
      <selection pane="bottomLeft" activeCell="K49" sqref="K49"/>
      <selection pane="bottomRight" activeCell="K49" sqref="K49"/>
    </sheetView>
  </sheetViews>
  <sheetFormatPr defaultColWidth="12.5703125" defaultRowHeight="12.75"/>
  <cols>
    <col min="1" max="1" width="8.42578125" customWidth="1"/>
    <col min="2" max="2" width="14.42578125" style="22" customWidth="1"/>
    <col min="3" max="3" width="7.42578125" bestFit="1" customWidth="1"/>
    <col min="4" max="4" width="43.140625" customWidth="1"/>
    <col min="5" max="5" width="13.5703125" customWidth="1"/>
    <col min="6" max="6" width="4.28515625" bestFit="1" customWidth="1"/>
    <col min="7" max="7" width="8.140625" style="27" bestFit="1" customWidth="1"/>
    <col min="8" max="8" width="8" bestFit="1" customWidth="1"/>
    <col min="9" max="9" width="6.42578125" bestFit="1" customWidth="1"/>
    <col min="10" max="10" width="6" bestFit="1" customWidth="1"/>
    <col min="11" max="11" width="9.28515625" style="11" bestFit="1" customWidth="1"/>
    <col min="12" max="13" width="11.28515625" style="1" bestFit="1" customWidth="1"/>
    <col min="14" max="14" width="11.85546875" style="1" customWidth="1"/>
    <col min="15" max="16" width="10.28515625" style="1" bestFit="1" customWidth="1"/>
    <col min="17" max="18" width="14.140625" style="1" bestFit="1" customWidth="1"/>
    <col min="19" max="19" width="12" style="1" bestFit="1" customWidth="1"/>
    <col min="20" max="16384" width="12.5703125" style="50"/>
  </cols>
  <sheetData>
    <row r="1" spans="1:19">
      <c r="D1" s="9" t="s">
        <v>342</v>
      </c>
    </row>
    <row r="2" spans="1:19">
      <c r="D2" s="9" t="s">
        <v>26</v>
      </c>
      <c r="M2" s="1">
        <v>8</v>
      </c>
      <c r="N2" s="26" t="s">
        <v>744</v>
      </c>
    </row>
    <row r="3" spans="1:19">
      <c r="D3" s="76">
        <f>'Summary 2183'!H7</f>
        <v>43585</v>
      </c>
      <c r="E3" t="s">
        <v>730</v>
      </c>
      <c r="M3" s="11">
        <v>2018</v>
      </c>
      <c r="N3" s="26" t="s">
        <v>745</v>
      </c>
    </row>
    <row r="4" spans="1:19">
      <c r="M4" s="11">
        <v>2019</v>
      </c>
      <c r="N4" s="26" t="s">
        <v>249</v>
      </c>
    </row>
    <row r="5" spans="1:19" ht="12" customHeight="1">
      <c r="M5" s="14">
        <f>+M4+(M2/12)</f>
        <v>2019.6666666666667</v>
      </c>
      <c r="N5" s="26" t="s">
        <v>746</v>
      </c>
    </row>
    <row r="6" spans="1:19" ht="12" customHeight="1"/>
    <row r="7" spans="1:19" s="68" customFormat="1">
      <c r="A7" s="4"/>
      <c r="B7" s="60"/>
      <c r="C7" s="4"/>
      <c r="D7" s="4"/>
      <c r="E7" s="4"/>
      <c r="F7" s="4"/>
      <c r="G7" s="70"/>
      <c r="H7" s="4"/>
      <c r="I7" s="4"/>
      <c r="J7" s="4"/>
      <c r="K7" s="12"/>
      <c r="L7" s="5"/>
      <c r="M7" s="5"/>
      <c r="N7" s="5"/>
      <c r="O7" s="5"/>
      <c r="P7" s="5"/>
      <c r="Q7" s="5"/>
      <c r="R7" s="5"/>
      <c r="S7" s="5"/>
    </row>
    <row r="8" spans="1:19" s="68" customFormat="1">
      <c r="A8" s="4"/>
      <c r="B8" s="60"/>
      <c r="C8" s="4"/>
      <c r="D8" s="4"/>
      <c r="E8" s="4"/>
      <c r="F8" s="4"/>
      <c r="G8" s="70"/>
      <c r="H8" s="4"/>
      <c r="I8" s="4"/>
      <c r="J8" s="4"/>
      <c r="K8" s="12"/>
      <c r="L8" s="5"/>
      <c r="M8" s="5"/>
      <c r="N8" s="5"/>
      <c r="O8" s="5"/>
      <c r="P8" s="5"/>
      <c r="Q8" s="5" t="s">
        <v>188</v>
      </c>
      <c r="R8" s="5" t="s">
        <v>44</v>
      </c>
      <c r="S8" s="5"/>
    </row>
    <row r="9" spans="1:19" s="68" customFormat="1">
      <c r="A9" s="4"/>
      <c r="B9" s="60"/>
      <c r="C9" s="4" t="s">
        <v>45</v>
      </c>
      <c r="D9" s="4"/>
      <c r="E9" s="4" t="s">
        <v>46</v>
      </c>
      <c r="F9" s="4"/>
      <c r="G9" s="70" t="s">
        <v>47</v>
      </c>
      <c r="H9" s="4" t="s">
        <v>45</v>
      </c>
      <c r="I9" s="4"/>
      <c r="J9" s="4" t="s">
        <v>48</v>
      </c>
      <c r="K9" s="12"/>
      <c r="L9" s="5" t="s">
        <v>45</v>
      </c>
      <c r="M9" s="5" t="s">
        <v>45</v>
      </c>
      <c r="N9" s="5"/>
      <c r="O9" s="5"/>
      <c r="P9" s="5" t="s">
        <v>42</v>
      </c>
      <c r="Q9" s="5" t="s">
        <v>251</v>
      </c>
      <c r="R9" s="5" t="s">
        <v>251</v>
      </c>
      <c r="S9" s="5" t="s">
        <v>55</v>
      </c>
    </row>
    <row r="10" spans="1:19" s="68" customFormat="1">
      <c r="A10" s="4"/>
      <c r="B10" s="60"/>
      <c r="C10" s="4" t="s">
        <v>143</v>
      </c>
      <c r="D10" s="4"/>
      <c r="E10" s="4" t="s">
        <v>57</v>
      </c>
      <c r="F10" s="4"/>
      <c r="G10" s="70" t="s">
        <v>58</v>
      </c>
      <c r="H10" s="4" t="s">
        <v>100</v>
      </c>
      <c r="I10" s="4" t="s">
        <v>59</v>
      </c>
      <c r="J10" s="4" t="s">
        <v>60</v>
      </c>
      <c r="K10" s="12" t="s">
        <v>742</v>
      </c>
      <c r="L10" s="5" t="s">
        <v>49</v>
      </c>
      <c r="M10" s="5" t="s">
        <v>62</v>
      </c>
      <c r="N10" s="5" t="s">
        <v>63</v>
      </c>
      <c r="O10" s="5" t="s">
        <v>648</v>
      </c>
      <c r="P10" s="5" t="s">
        <v>65</v>
      </c>
      <c r="Q10" s="5" t="s">
        <v>252</v>
      </c>
      <c r="R10" s="5" t="s">
        <v>252</v>
      </c>
      <c r="S10" s="5" t="s">
        <v>6</v>
      </c>
    </row>
    <row r="11" spans="1:19" s="68" customFormat="1">
      <c r="A11" s="4" t="s">
        <v>71</v>
      </c>
      <c r="B11" s="60" t="s">
        <v>384</v>
      </c>
      <c r="C11" s="4" t="s">
        <v>72</v>
      </c>
      <c r="D11" s="4" t="s">
        <v>254</v>
      </c>
      <c r="E11" s="4" t="s">
        <v>48</v>
      </c>
      <c r="F11" s="4" t="s">
        <v>74</v>
      </c>
      <c r="G11" s="70" t="s">
        <v>51</v>
      </c>
      <c r="H11" s="4" t="s">
        <v>75</v>
      </c>
      <c r="I11" s="4" t="s">
        <v>76</v>
      </c>
      <c r="J11" s="4" t="s">
        <v>62</v>
      </c>
      <c r="K11" s="12" t="s">
        <v>743</v>
      </c>
      <c r="L11" s="5" t="s">
        <v>173</v>
      </c>
      <c r="M11" s="5" t="s">
        <v>173</v>
      </c>
      <c r="N11" s="5" t="s">
        <v>62</v>
      </c>
      <c r="O11" s="5" t="s">
        <v>62</v>
      </c>
      <c r="P11" s="5" t="s">
        <v>77</v>
      </c>
      <c r="Q11" s="6">
        <f>'Summary 2183'!F7</f>
        <v>43221</v>
      </c>
      <c r="R11" s="6">
        <f>+D3</f>
        <v>43585</v>
      </c>
      <c r="S11" s="6">
        <f>+D3</f>
        <v>43585</v>
      </c>
    </row>
    <row r="12" spans="1:19">
      <c r="D12" s="9" t="s">
        <v>250</v>
      </c>
    </row>
    <row r="13" spans="1:19">
      <c r="A13" t="s">
        <v>288</v>
      </c>
      <c r="C13">
        <v>4511</v>
      </c>
      <c r="D13" t="s">
        <v>182</v>
      </c>
      <c r="E13">
        <v>1996</v>
      </c>
      <c r="F13">
        <v>11</v>
      </c>
      <c r="G13" s="27">
        <v>0</v>
      </c>
      <c r="H13" t="s">
        <v>78</v>
      </c>
      <c r="I13">
        <v>7</v>
      </c>
      <c r="J13">
        <f t="shared" ref="J13:J22" si="0">E13+I13</f>
        <v>2003</v>
      </c>
      <c r="K13" s="14">
        <f t="shared" ref="K13:K34" si="1">+J13+(F13/12)</f>
        <v>2003.9166666666667</v>
      </c>
      <c r="L13" s="79">
        <f>'Orig Trucks 2183'!P18</f>
        <v>8996</v>
      </c>
      <c r="M13" s="79">
        <f>L13-L13*G13</f>
        <v>8996</v>
      </c>
      <c r="N13" s="79">
        <f t="shared" ref="N13:N22" si="2">M13/I13/12</f>
        <v>107.09523809523809</v>
      </c>
      <c r="O13" s="79">
        <f t="shared" ref="O13:O22" si="3">+N13*12</f>
        <v>1285.1428571428571</v>
      </c>
      <c r="P13" s="79">
        <f t="shared" ref="P13:P34" si="4">+IF(K13&lt;=$M$5,0,IF(J13=$M$4,N13*F13,O13))</f>
        <v>0</v>
      </c>
      <c r="Q13" s="79">
        <f t="shared" ref="Q13:Q22" si="5">+IF(P13=0,M13,IF($M$3-E13&lt;1,0,(($M$3-E13)*O13)))</f>
        <v>8996</v>
      </c>
      <c r="R13" s="79">
        <f t="shared" ref="R13:R22" si="6">+IF(P13=0,Q13,Q13+P13)</f>
        <v>8996</v>
      </c>
      <c r="S13" s="79">
        <f t="shared" ref="S13:S22" si="7">+L13-R13</f>
        <v>0</v>
      </c>
    </row>
    <row r="14" spans="1:19">
      <c r="A14" s="2"/>
      <c r="B14" s="61">
        <v>4511</v>
      </c>
      <c r="C14" s="2"/>
      <c r="D14" s="2" t="s">
        <v>651</v>
      </c>
      <c r="E14" s="2">
        <v>2018</v>
      </c>
      <c r="F14" s="2">
        <v>5</v>
      </c>
      <c r="G14" s="71">
        <v>0</v>
      </c>
      <c r="H14" s="2" t="s">
        <v>78</v>
      </c>
      <c r="I14" s="2">
        <f>+IF(J13-$M$4&gt;=3,J13-$M$4,3)</f>
        <v>3</v>
      </c>
      <c r="J14" s="2">
        <f t="shared" si="0"/>
        <v>2021</v>
      </c>
      <c r="K14" s="15">
        <f t="shared" si="1"/>
        <v>2021.4166666666667</v>
      </c>
      <c r="L14" s="114">
        <f>'Orig Trucks 2183'!N18-'Trucks 2183'!L13</f>
        <v>2249</v>
      </c>
      <c r="M14" s="114">
        <f>L14-(L14*G14)</f>
        <v>2249</v>
      </c>
      <c r="N14" s="114">
        <f t="shared" si="2"/>
        <v>62.472222222222221</v>
      </c>
      <c r="O14" s="114">
        <f t="shared" si="3"/>
        <v>749.66666666666663</v>
      </c>
      <c r="P14" s="114">
        <f t="shared" si="4"/>
        <v>749.66666666666663</v>
      </c>
      <c r="Q14" s="114">
        <f t="shared" si="5"/>
        <v>0</v>
      </c>
      <c r="R14" s="114">
        <f t="shared" si="6"/>
        <v>749.66666666666663</v>
      </c>
      <c r="S14" s="114">
        <f t="shared" si="7"/>
        <v>1499.3333333333335</v>
      </c>
    </row>
    <row r="15" spans="1:19">
      <c r="A15" s="7">
        <v>114277</v>
      </c>
      <c r="B15" s="22" t="s">
        <v>283</v>
      </c>
      <c r="C15" s="7">
        <v>4512</v>
      </c>
      <c r="D15" s="7" t="s">
        <v>537</v>
      </c>
      <c r="E15" s="7">
        <v>1998</v>
      </c>
      <c r="F15" s="7">
        <v>2</v>
      </c>
      <c r="G15" s="27">
        <v>0</v>
      </c>
      <c r="H15" s="7" t="s">
        <v>78</v>
      </c>
      <c r="I15" s="7">
        <v>5</v>
      </c>
      <c r="J15" s="7">
        <f>E15+I15</f>
        <v>2003</v>
      </c>
      <c r="K15" s="14">
        <f>+J15+(F15/12)</f>
        <v>2003.1666666666667</v>
      </c>
      <c r="L15" s="79">
        <f>'Orig Trucks 2183'!P172</f>
        <v>16750</v>
      </c>
      <c r="M15" s="79">
        <f>L15-L15*G15</f>
        <v>16750</v>
      </c>
      <c r="N15" s="79">
        <f>M15/I15/12</f>
        <v>279.16666666666669</v>
      </c>
      <c r="O15" s="79">
        <f>+N15*12</f>
        <v>3350</v>
      </c>
      <c r="P15" s="79">
        <f>+IF(K15&lt;=$M$5,0,IF(J15&gt;$M$4,O15,N15*F15))</f>
        <v>0</v>
      </c>
      <c r="Q15" s="79">
        <f>+IF(P15=0,M15,IF($M$3-E15&lt;1,0,(($M$3-E15)*O15)))</f>
        <v>16750</v>
      </c>
      <c r="R15" s="79">
        <f>+IF(P15=0,Q15,Q15+P15)</f>
        <v>16750</v>
      </c>
      <c r="S15" s="79">
        <f>+L15-R15</f>
        <v>0</v>
      </c>
    </row>
    <row r="16" spans="1:19">
      <c r="A16" s="2"/>
      <c r="B16" s="61">
        <v>4512</v>
      </c>
      <c r="C16" s="2"/>
      <c r="D16" s="2" t="s">
        <v>701</v>
      </c>
      <c r="E16" s="2">
        <v>2018</v>
      </c>
      <c r="F16" s="2">
        <v>5</v>
      </c>
      <c r="G16" s="71">
        <v>0</v>
      </c>
      <c r="H16" s="2" t="s">
        <v>78</v>
      </c>
      <c r="I16" s="2">
        <f>+IF(J15-$M$4&gt;=3,J15-$M$4,3)</f>
        <v>3</v>
      </c>
      <c r="J16" s="2">
        <f>E16+I16</f>
        <v>2021</v>
      </c>
      <c r="K16" s="15">
        <f>+J16+(F16/12)</f>
        <v>2021.4166666666667</v>
      </c>
      <c r="L16" s="114">
        <f>'Orig Trucks 2183'!N172-'Trucks 2183'!L15</f>
        <v>8250</v>
      </c>
      <c r="M16" s="114">
        <f>L16-(L16*G16)</f>
        <v>8250</v>
      </c>
      <c r="N16" s="114">
        <f>M16/I16/12</f>
        <v>229.16666666666666</v>
      </c>
      <c r="O16" s="114">
        <f>+N16*12</f>
        <v>2750</v>
      </c>
      <c r="P16" s="114">
        <f>+IF(K16&lt;=$M$5,0,IF(J16&gt;$M$4,O16,N16*F16))</f>
        <v>2750</v>
      </c>
      <c r="Q16" s="114">
        <f>+IF(P16=0,M16,IF($M$3-E16&lt;1,0,(($M$3-E16)*O16)))</f>
        <v>0</v>
      </c>
      <c r="R16" s="114">
        <f>+IF(P16=0,Q16,Q16+P16)</f>
        <v>2750</v>
      </c>
      <c r="S16" s="114">
        <f>+L16-R16</f>
        <v>5500</v>
      </c>
    </row>
    <row r="17" spans="1:19">
      <c r="A17" s="7">
        <v>114269</v>
      </c>
      <c r="B17" s="22" t="s">
        <v>283</v>
      </c>
      <c r="C17" s="7">
        <v>4518</v>
      </c>
      <c r="D17" s="7" t="s">
        <v>541</v>
      </c>
      <c r="E17" s="7">
        <v>2003</v>
      </c>
      <c r="F17" s="7">
        <v>12</v>
      </c>
      <c r="G17" s="27">
        <v>0</v>
      </c>
      <c r="H17" s="7" t="s">
        <v>78</v>
      </c>
      <c r="I17" s="7">
        <v>7</v>
      </c>
      <c r="J17" s="7">
        <f>E17+I17</f>
        <v>2010</v>
      </c>
      <c r="K17" s="14">
        <f>+J17+(F17/12)</f>
        <v>2011</v>
      </c>
      <c r="L17" s="79">
        <f>'Orig Trucks 2183'!P176</f>
        <v>57530</v>
      </c>
      <c r="M17" s="79">
        <f>L17-L17*G17</f>
        <v>57530</v>
      </c>
      <c r="N17" s="79">
        <f>M17/I17/12</f>
        <v>684.88095238095241</v>
      </c>
      <c r="O17" s="79">
        <f>+N17*12</f>
        <v>8218.5714285714294</v>
      </c>
      <c r="P17" s="79">
        <f>+IF(K17&lt;=$M$5,0,IF(J17&gt;$M$4,O17,N17*F17))</f>
        <v>0</v>
      </c>
      <c r="Q17" s="79">
        <f>+IF(P17=0,M17,IF($M$3-E17&lt;1,0,(($M$3-E17)*O17)))</f>
        <v>57530</v>
      </c>
      <c r="R17" s="79">
        <f>+IF(P17=0,Q17,Q17+P17)</f>
        <v>57530</v>
      </c>
      <c r="S17" s="79">
        <f>+L17-R17</f>
        <v>0</v>
      </c>
    </row>
    <row r="18" spans="1:19">
      <c r="A18" s="2"/>
      <c r="B18" s="61">
        <v>4518</v>
      </c>
      <c r="C18" s="2"/>
      <c r="D18" s="2" t="s">
        <v>702</v>
      </c>
      <c r="E18" s="2">
        <v>2018</v>
      </c>
      <c r="F18" s="2">
        <v>5</v>
      </c>
      <c r="G18" s="71">
        <v>0</v>
      </c>
      <c r="H18" s="2" t="s">
        <v>78</v>
      </c>
      <c r="I18" s="2">
        <f>+IF(J17-$M$4&gt;=3,J17-$M$4,3)</f>
        <v>3</v>
      </c>
      <c r="J18" s="2">
        <f>E18+I18</f>
        <v>2021</v>
      </c>
      <c r="K18" s="15">
        <f>+J18+(F18/12)</f>
        <v>2021.4166666666667</v>
      </c>
      <c r="L18" s="114">
        <f>'Orig Trucks 2183'!N176-'Trucks 2183'!L17</f>
        <v>14382.5</v>
      </c>
      <c r="M18" s="114">
        <f>L18-(L18*G18)</f>
        <v>14382.5</v>
      </c>
      <c r="N18" s="114">
        <f>M18/I18/12</f>
        <v>399.51388888888891</v>
      </c>
      <c r="O18" s="114">
        <f>+N18*12</f>
        <v>4794.166666666667</v>
      </c>
      <c r="P18" s="114">
        <f>+IF(K18&lt;=$M$5,0,IF(J18&gt;$M$4,O18,N18*F18))</f>
        <v>4794.166666666667</v>
      </c>
      <c r="Q18" s="114">
        <f>+IF(P18=0,M18,IF($M$3-E18&lt;1,0,(($M$3-E18)*O18)))</f>
        <v>0</v>
      </c>
      <c r="R18" s="114">
        <f>+IF(P18=0,Q18,Q18+P18)</f>
        <v>4794.166666666667</v>
      </c>
      <c r="S18" s="114">
        <f>+L18-R18</f>
        <v>9588.3333333333321</v>
      </c>
    </row>
    <row r="19" spans="1:19">
      <c r="A19" t="s">
        <v>288</v>
      </c>
      <c r="C19">
        <v>5001</v>
      </c>
      <c r="D19" t="s">
        <v>304</v>
      </c>
      <c r="E19">
        <v>2005</v>
      </c>
      <c r="F19">
        <v>8</v>
      </c>
      <c r="G19" s="27">
        <v>0</v>
      </c>
      <c r="H19" t="s">
        <v>78</v>
      </c>
      <c r="I19">
        <v>5</v>
      </c>
      <c r="J19">
        <f t="shared" si="0"/>
        <v>2010</v>
      </c>
      <c r="K19" s="14">
        <f t="shared" si="1"/>
        <v>2010.6666666666667</v>
      </c>
      <c r="L19" s="79">
        <f>'Orig Trucks 2183'!P26</f>
        <v>6536.52</v>
      </c>
      <c r="M19" s="79">
        <f>L19-L19*G19</f>
        <v>6536.52</v>
      </c>
      <c r="N19" s="79">
        <f t="shared" si="2"/>
        <v>108.94200000000001</v>
      </c>
      <c r="O19" s="79">
        <f t="shared" si="3"/>
        <v>1307.3040000000001</v>
      </c>
      <c r="P19" s="79">
        <f t="shared" si="4"/>
        <v>0</v>
      </c>
      <c r="Q19" s="79">
        <f t="shared" si="5"/>
        <v>6536.52</v>
      </c>
      <c r="R19" s="79">
        <f t="shared" si="6"/>
        <v>6536.52</v>
      </c>
      <c r="S19" s="79">
        <f t="shared" si="7"/>
        <v>0</v>
      </c>
    </row>
    <row r="20" spans="1:19">
      <c r="A20" s="2"/>
      <c r="B20" s="61">
        <v>5001</v>
      </c>
      <c r="C20" s="2"/>
      <c r="D20" s="2" t="s">
        <v>655</v>
      </c>
      <c r="E20" s="2">
        <v>2018</v>
      </c>
      <c r="F20" s="2">
        <v>5</v>
      </c>
      <c r="G20" s="71">
        <v>0</v>
      </c>
      <c r="H20" s="2" t="s">
        <v>78</v>
      </c>
      <c r="I20" s="2">
        <f>+IF(J19-$M$4&gt;=3,J19-$M$4,3)</f>
        <v>3</v>
      </c>
      <c r="J20" s="2">
        <f t="shared" si="0"/>
        <v>2021</v>
      </c>
      <c r="K20" s="15">
        <f t="shared" si="1"/>
        <v>2021.4166666666667</v>
      </c>
      <c r="L20" s="114">
        <f>'Orig Trucks 2183'!N26-'Trucks 2183'!L19</f>
        <v>3219.4799999999996</v>
      </c>
      <c r="M20" s="114">
        <f>L20-(L20*G20)</f>
        <v>3219.4799999999996</v>
      </c>
      <c r="N20" s="114">
        <f t="shared" si="2"/>
        <v>89.429999999999993</v>
      </c>
      <c r="O20" s="114">
        <f t="shared" si="3"/>
        <v>1073.1599999999999</v>
      </c>
      <c r="P20" s="114">
        <f t="shared" si="4"/>
        <v>1073.1599999999999</v>
      </c>
      <c r="Q20" s="114">
        <f t="shared" si="5"/>
        <v>0</v>
      </c>
      <c r="R20" s="114">
        <f t="shared" si="6"/>
        <v>1073.1599999999999</v>
      </c>
      <c r="S20" s="114">
        <f t="shared" si="7"/>
        <v>2146.3199999999997</v>
      </c>
    </row>
    <row r="21" spans="1:19">
      <c r="A21" t="s">
        <v>284</v>
      </c>
      <c r="C21">
        <v>3586</v>
      </c>
      <c r="D21" t="s">
        <v>160</v>
      </c>
      <c r="E21">
        <v>2005</v>
      </c>
      <c r="F21">
        <v>12</v>
      </c>
      <c r="G21" s="27">
        <v>0</v>
      </c>
      <c r="H21" t="s">
        <v>78</v>
      </c>
      <c r="I21">
        <v>7</v>
      </c>
      <c r="J21">
        <f t="shared" si="0"/>
        <v>2012</v>
      </c>
      <c r="K21" s="14">
        <f t="shared" si="1"/>
        <v>2013</v>
      </c>
      <c r="L21" s="79">
        <f>'Orig Trucks 2183'!P28</f>
        <v>139667.60800000001</v>
      </c>
      <c r="M21" s="79">
        <f>L21-L21*G21</f>
        <v>139667.60800000001</v>
      </c>
      <c r="N21" s="79">
        <f t="shared" si="2"/>
        <v>1662.7096190476193</v>
      </c>
      <c r="O21" s="79">
        <f t="shared" si="3"/>
        <v>19952.515428571431</v>
      </c>
      <c r="P21" s="79">
        <f t="shared" si="4"/>
        <v>0</v>
      </c>
      <c r="Q21" s="79">
        <f t="shared" si="5"/>
        <v>139667.60800000001</v>
      </c>
      <c r="R21" s="79">
        <f t="shared" si="6"/>
        <v>139667.60800000001</v>
      </c>
      <c r="S21" s="79">
        <f t="shared" si="7"/>
        <v>0</v>
      </c>
    </row>
    <row r="22" spans="1:19">
      <c r="A22" s="2"/>
      <c r="B22" s="61">
        <v>3586</v>
      </c>
      <c r="C22" s="2"/>
      <c r="D22" s="2" t="s">
        <v>656</v>
      </c>
      <c r="E22" s="2">
        <v>2018</v>
      </c>
      <c r="F22" s="2">
        <v>5</v>
      </c>
      <c r="G22" s="71">
        <v>0</v>
      </c>
      <c r="H22" s="2" t="s">
        <v>78</v>
      </c>
      <c r="I22" s="2">
        <f>+IF(J21-$M$4&gt;=3,J21-$M$4,3)</f>
        <v>3</v>
      </c>
      <c r="J22" s="2">
        <f t="shared" si="0"/>
        <v>2021</v>
      </c>
      <c r="K22" s="15">
        <f t="shared" si="1"/>
        <v>2021.4166666666667</v>
      </c>
      <c r="L22" s="114">
        <f>'Orig Trucks 2183'!N28-'Trucks 2183'!L21</f>
        <v>34916.902000000002</v>
      </c>
      <c r="M22" s="114">
        <f>L22-(L22*G22)</f>
        <v>34916.902000000002</v>
      </c>
      <c r="N22" s="114">
        <f t="shared" si="2"/>
        <v>969.9139444444445</v>
      </c>
      <c r="O22" s="114">
        <f t="shared" si="3"/>
        <v>11638.967333333334</v>
      </c>
      <c r="P22" s="114">
        <f t="shared" si="4"/>
        <v>11638.967333333334</v>
      </c>
      <c r="Q22" s="114">
        <f t="shared" si="5"/>
        <v>0</v>
      </c>
      <c r="R22" s="114">
        <f t="shared" si="6"/>
        <v>11638.967333333334</v>
      </c>
      <c r="S22" s="114">
        <f t="shared" si="7"/>
        <v>23277.934666666668</v>
      </c>
    </row>
    <row r="23" spans="1:19">
      <c r="A23" t="s">
        <v>284</v>
      </c>
      <c r="C23">
        <v>3586</v>
      </c>
      <c r="D23" t="s">
        <v>296</v>
      </c>
      <c r="E23">
        <v>2006</v>
      </c>
      <c r="F23">
        <v>1</v>
      </c>
      <c r="G23" s="27">
        <v>0</v>
      </c>
      <c r="H23" t="s">
        <v>78</v>
      </c>
      <c r="I23">
        <v>7</v>
      </c>
      <c r="J23">
        <f t="shared" ref="J23:J34" si="8">E23+I23</f>
        <v>2013</v>
      </c>
      <c r="K23" s="14">
        <f t="shared" si="1"/>
        <v>2013.0833333333333</v>
      </c>
      <c r="L23" s="79">
        <f>'Orig Trucks 2183'!P30</f>
        <v>6670.7520000000004</v>
      </c>
      <c r="M23" s="79">
        <f>L23-L23*G23</f>
        <v>6670.7520000000004</v>
      </c>
      <c r="N23" s="79">
        <f t="shared" ref="N23:N34" si="9">M23/I23/12</f>
        <v>79.413714285714292</v>
      </c>
      <c r="O23" s="79">
        <f t="shared" ref="O23:O34" si="10">+N23*12</f>
        <v>952.9645714285715</v>
      </c>
      <c r="P23" s="79">
        <f t="shared" si="4"/>
        <v>0</v>
      </c>
      <c r="Q23" s="79">
        <f t="shared" ref="Q23:Q34" si="11">+IF(P23=0,M23,IF($M$3-E23&lt;1,0,(($M$3-E23)*O23)))</f>
        <v>6670.7520000000004</v>
      </c>
      <c r="R23" s="79">
        <f t="shared" ref="R23:R34" si="12">+IF(P23=0,Q23,Q23+P23)</f>
        <v>6670.7520000000004</v>
      </c>
      <c r="S23" s="79">
        <f t="shared" ref="S23:S34" si="13">+L23-R23</f>
        <v>0</v>
      </c>
    </row>
    <row r="24" spans="1:19">
      <c r="A24" s="2"/>
      <c r="B24" s="61">
        <v>3586</v>
      </c>
      <c r="C24" s="2"/>
      <c r="D24" s="2" t="s">
        <v>656</v>
      </c>
      <c r="E24" s="2">
        <v>2018</v>
      </c>
      <c r="F24" s="2">
        <v>5</v>
      </c>
      <c r="G24" s="71">
        <v>0</v>
      </c>
      <c r="H24" s="2" t="s">
        <v>78</v>
      </c>
      <c r="I24" s="2">
        <f>+IF(J23-$M$4&gt;=3,J23-$M$4,3)</f>
        <v>3</v>
      </c>
      <c r="J24" s="2">
        <f t="shared" si="8"/>
        <v>2021</v>
      </c>
      <c r="K24" s="15">
        <f t="shared" si="1"/>
        <v>2021.4166666666667</v>
      </c>
      <c r="L24" s="114">
        <f>'Orig Trucks 2183'!N30-'Trucks 2183'!L23</f>
        <v>1667.6880000000001</v>
      </c>
      <c r="M24" s="114">
        <f>L24-(L24*G24)</f>
        <v>1667.6880000000001</v>
      </c>
      <c r="N24" s="114">
        <f t="shared" si="9"/>
        <v>46.324666666666673</v>
      </c>
      <c r="O24" s="114">
        <f t="shared" si="10"/>
        <v>555.89600000000007</v>
      </c>
      <c r="P24" s="114">
        <f t="shared" si="4"/>
        <v>555.89600000000007</v>
      </c>
      <c r="Q24" s="114">
        <f t="shared" si="11"/>
        <v>0</v>
      </c>
      <c r="R24" s="114">
        <f t="shared" si="12"/>
        <v>555.89600000000007</v>
      </c>
      <c r="S24" s="114">
        <f t="shared" si="13"/>
        <v>1111.7919999999999</v>
      </c>
    </row>
    <row r="25" spans="1:19">
      <c r="A25" t="s">
        <v>284</v>
      </c>
      <c r="C25">
        <v>3590</v>
      </c>
      <c r="D25" t="s">
        <v>160</v>
      </c>
      <c r="E25">
        <v>2006</v>
      </c>
      <c r="F25">
        <v>5</v>
      </c>
      <c r="G25" s="27">
        <v>0</v>
      </c>
      <c r="H25" t="s">
        <v>78</v>
      </c>
      <c r="I25">
        <v>7</v>
      </c>
      <c r="J25">
        <f t="shared" si="8"/>
        <v>2013</v>
      </c>
      <c r="K25" s="14">
        <f t="shared" si="1"/>
        <v>2013.4166666666667</v>
      </c>
      <c r="L25" s="79">
        <f>'Orig Trucks 2183'!P32</f>
        <v>146842.576</v>
      </c>
      <c r="M25" s="79">
        <f>L25-L25*G25</f>
        <v>146842.576</v>
      </c>
      <c r="N25" s="79">
        <f t="shared" si="9"/>
        <v>1748.1259047619048</v>
      </c>
      <c r="O25" s="79">
        <f t="shared" si="10"/>
        <v>20977.510857142857</v>
      </c>
      <c r="P25" s="79">
        <f t="shared" si="4"/>
        <v>0</v>
      </c>
      <c r="Q25" s="79">
        <f t="shared" si="11"/>
        <v>146842.576</v>
      </c>
      <c r="R25" s="79">
        <f t="shared" si="12"/>
        <v>146842.576</v>
      </c>
      <c r="S25" s="79">
        <f t="shared" si="13"/>
        <v>0</v>
      </c>
    </row>
    <row r="26" spans="1:19">
      <c r="A26" s="2"/>
      <c r="B26" s="61">
        <v>3590</v>
      </c>
      <c r="C26" s="2"/>
      <c r="D26" s="2" t="s">
        <v>657</v>
      </c>
      <c r="E26" s="2">
        <v>2018</v>
      </c>
      <c r="F26" s="2">
        <v>5</v>
      </c>
      <c r="G26" s="71">
        <v>0</v>
      </c>
      <c r="H26" s="2" t="s">
        <v>78</v>
      </c>
      <c r="I26" s="2">
        <f>+IF(J25-$M$4&gt;=3,J25-$M$4,3)</f>
        <v>3</v>
      </c>
      <c r="J26" s="2">
        <f t="shared" si="8"/>
        <v>2021</v>
      </c>
      <c r="K26" s="15">
        <f t="shared" si="1"/>
        <v>2021.4166666666667</v>
      </c>
      <c r="L26" s="114">
        <f>'Orig Trucks 2183'!N32-'Trucks 2183'!L25</f>
        <v>36710.644</v>
      </c>
      <c r="M26" s="114">
        <f>L26-(L26*G26)</f>
        <v>36710.644</v>
      </c>
      <c r="N26" s="114">
        <f t="shared" si="9"/>
        <v>1019.7401111111111</v>
      </c>
      <c r="O26" s="114">
        <f t="shared" si="10"/>
        <v>12236.881333333333</v>
      </c>
      <c r="P26" s="114">
        <f t="shared" si="4"/>
        <v>12236.881333333333</v>
      </c>
      <c r="Q26" s="114">
        <f t="shared" si="11"/>
        <v>0</v>
      </c>
      <c r="R26" s="114">
        <f t="shared" si="12"/>
        <v>12236.881333333333</v>
      </c>
      <c r="S26" s="114">
        <f t="shared" si="13"/>
        <v>24473.762666666669</v>
      </c>
    </row>
    <row r="27" spans="1:19">
      <c r="A27" t="s">
        <v>285</v>
      </c>
      <c r="B27" s="22">
        <v>61108</v>
      </c>
      <c r="C27">
        <v>1054</v>
      </c>
      <c r="D27" t="s">
        <v>150</v>
      </c>
      <c r="E27">
        <v>2007</v>
      </c>
      <c r="F27">
        <v>4</v>
      </c>
      <c r="G27" s="27">
        <v>0</v>
      </c>
      <c r="H27" t="s">
        <v>78</v>
      </c>
      <c r="I27">
        <v>7</v>
      </c>
      <c r="J27">
        <f t="shared" si="8"/>
        <v>2014</v>
      </c>
      <c r="K27" s="14">
        <f t="shared" si="1"/>
        <v>2014.3333333333333</v>
      </c>
      <c r="L27" s="79">
        <f>'Orig Trucks 2183'!P39</f>
        <v>101567.75200000001</v>
      </c>
      <c r="M27" s="79">
        <f>L27-L27*G27</f>
        <v>101567.75200000001</v>
      </c>
      <c r="N27" s="79">
        <f t="shared" si="9"/>
        <v>1209.139904761905</v>
      </c>
      <c r="O27" s="79">
        <f t="shared" si="10"/>
        <v>14509.678857142859</v>
      </c>
      <c r="P27" s="79">
        <f t="shared" si="4"/>
        <v>0</v>
      </c>
      <c r="Q27" s="79">
        <f t="shared" si="11"/>
        <v>101567.75200000001</v>
      </c>
      <c r="R27" s="79">
        <f t="shared" si="12"/>
        <v>101567.75200000001</v>
      </c>
      <c r="S27" s="79">
        <f t="shared" si="13"/>
        <v>0</v>
      </c>
    </row>
    <row r="28" spans="1:19">
      <c r="A28" s="2"/>
      <c r="B28" s="61">
        <v>1054</v>
      </c>
      <c r="C28" s="2"/>
      <c r="D28" s="2" t="s">
        <v>662</v>
      </c>
      <c r="E28" s="2">
        <v>2018</v>
      </c>
      <c r="F28" s="2">
        <v>5</v>
      </c>
      <c r="G28" s="71">
        <v>0</v>
      </c>
      <c r="H28" s="2" t="s">
        <v>78</v>
      </c>
      <c r="I28" s="2">
        <f>+IF(J27-$M$4&gt;=3,J27-$M$4,3)</f>
        <v>3</v>
      </c>
      <c r="J28" s="2">
        <f t="shared" si="8"/>
        <v>2021</v>
      </c>
      <c r="K28" s="15">
        <f t="shared" si="1"/>
        <v>2021.4166666666667</v>
      </c>
      <c r="L28" s="114">
        <f>'Orig Trucks 2183'!N39-'Trucks 2183'!L27</f>
        <v>25391.937999999995</v>
      </c>
      <c r="M28" s="114">
        <f>L28-(L28*G28)</f>
        <v>25391.937999999995</v>
      </c>
      <c r="N28" s="114">
        <f t="shared" si="9"/>
        <v>705.33161111111087</v>
      </c>
      <c r="O28" s="114">
        <f t="shared" si="10"/>
        <v>8463.9793333333309</v>
      </c>
      <c r="P28" s="114">
        <f t="shared" si="4"/>
        <v>8463.9793333333309</v>
      </c>
      <c r="Q28" s="114">
        <f t="shared" si="11"/>
        <v>0</v>
      </c>
      <c r="R28" s="114">
        <f t="shared" si="12"/>
        <v>8463.9793333333309</v>
      </c>
      <c r="S28" s="114">
        <f t="shared" si="13"/>
        <v>16927.958666666666</v>
      </c>
    </row>
    <row r="29" spans="1:19">
      <c r="A29" t="s">
        <v>285</v>
      </c>
      <c r="B29" s="22">
        <v>61110</v>
      </c>
      <c r="C29">
        <v>1062</v>
      </c>
      <c r="D29" t="s">
        <v>150</v>
      </c>
      <c r="E29">
        <v>2007</v>
      </c>
      <c r="F29">
        <v>5</v>
      </c>
      <c r="G29" s="27">
        <v>0</v>
      </c>
      <c r="H29" t="s">
        <v>78</v>
      </c>
      <c r="I29">
        <v>7</v>
      </c>
      <c r="J29">
        <f t="shared" si="8"/>
        <v>2014</v>
      </c>
      <c r="K29" s="14">
        <f t="shared" si="1"/>
        <v>2014.4166666666667</v>
      </c>
      <c r="L29" s="79">
        <f>'Orig Trucks 2183'!P41</f>
        <v>101874.976</v>
      </c>
      <c r="M29" s="79">
        <f>L29-L29*G29</f>
        <v>101874.976</v>
      </c>
      <c r="N29" s="79">
        <f t="shared" si="9"/>
        <v>1212.7973333333332</v>
      </c>
      <c r="O29" s="79">
        <f t="shared" si="10"/>
        <v>14553.567999999999</v>
      </c>
      <c r="P29" s="79">
        <f t="shared" si="4"/>
        <v>0</v>
      </c>
      <c r="Q29" s="79">
        <f t="shared" si="11"/>
        <v>101874.976</v>
      </c>
      <c r="R29" s="79">
        <f t="shared" si="12"/>
        <v>101874.976</v>
      </c>
      <c r="S29" s="79">
        <f t="shared" si="13"/>
        <v>0</v>
      </c>
    </row>
    <row r="30" spans="1:19">
      <c r="A30" s="2"/>
      <c r="B30" s="61">
        <v>1062</v>
      </c>
      <c r="C30" s="2"/>
      <c r="D30" s="2" t="s">
        <v>664</v>
      </c>
      <c r="E30" s="2">
        <v>2018</v>
      </c>
      <c r="F30" s="2">
        <v>5</v>
      </c>
      <c r="G30" s="71">
        <v>0</v>
      </c>
      <c r="H30" s="2" t="s">
        <v>78</v>
      </c>
      <c r="I30" s="2">
        <f>+IF(J29-$M$4&gt;=3,J29-$M$4,3)</f>
        <v>3</v>
      </c>
      <c r="J30" s="2">
        <f t="shared" si="8"/>
        <v>2021</v>
      </c>
      <c r="K30" s="15">
        <f t="shared" si="1"/>
        <v>2021.4166666666667</v>
      </c>
      <c r="L30" s="114">
        <f>'Orig Trucks 2183'!N41-'Trucks 2183'!L29</f>
        <v>25468.744000000006</v>
      </c>
      <c r="M30" s="114">
        <f>L30-(L30*G30)</f>
        <v>25468.744000000006</v>
      </c>
      <c r="N30" s="114">
        <f t="shared" si="9"/>
        <v>707.46511111111124</v>
      </c>
      <c r="O30" s="114">
        <f t="shared" si="10"/>
        <v>8489.5813333333354</v>
      </c>
      <c r="P30" s="114">
        <f t="shared" si="4"/>
        <v>8489.5813333333354</v>
      </c>
      <c r="Q30" s="114">
        <f t="shared" si="11"/>
        <v>0</v>
      </c>
      <c r="R30" s="114">
        <f t="shared" si="12"/>
        <v>8489.5813333333354</v>
      </c>
      <c r="S30" s="114">
        <f t="shared" si="13"/>
        <v>16979.162666666671</v>
      </c>
    </row>
    <row r="31" spans="1:19">
      <c r="A31" t="s">
        <v>285</v>
      </c>
      <c r="B31" s="22">
        <v>61111</v>
      </c>
      <c r="C31">
        <v>1067</v>
      </c>
      <c r="D31" t="s">
        <v>150</v>
      </c>
      <c r="E31">
        <v>2007</v>
      </c>
      <c r="F31">
        <v>5</v>
      </c>
      <c r="G31" s="27">
        <v>0</v>
      </c>
      <c r="H31" t="s">
        <v>78</v>
      </c>
      <c r="I31">
        <v>7</v>
      </c>
      <c r="J31">
        <f t="shared" si="8"/>
        <v>2014</v>
      </c>
      <c r="K31" s="14">
        <f t="shared" si="1"/>
        <v>2014.4166666666667</v>
      </c>
      <c r="L31" s="79">
        <f>'Orig Trucks 2183'!P42</f>
        <v>101874.976</v>
      </c>
      <c r="M31" s="79">
        <f>L31-L31*G31</f>
        <v>101874.976</v>
      </c>
      <c r="N31" s="79">
        <f t="shared" si="9"/>
        <v>1212.7973333333332</v>
      </c>
      <c r="O31" s="79">
        <f t="shared" si="10"/>
        <v>14553.567999999999</v>
      </c>
      <c r="P31" s="79">
        <f t="shared" si="4"/>
        <v>0</v>
      </c>
      <c r="Q31" s="79">
        <f t="shared" si="11"/>
        <v>101874.976</v>
      </c>
      <c r="R31" s="79">
        <f t="shared" si="12"/>
        <v>101874.976</v>
      </c>
      <c r="S31" s="79">
        <f t="shared" si="13"/>
        <v>0</v>
      </c>
    </row>
    <row r="32" spans="1:19">
      <c r="A32" s="2"/>
      <c r="B32" s="61">
        <v>1067</v>
      </c>
      <c r="C32" s="2"/>
      <c r="D32" s="2" t="s">
        <v>663</v>
      </c>
      <c r="E32" s="2">
        <v>2018</v>
      </c>
      <c r="F32" s="2">
        <v>5</v>
      </c>
      <c r="G32" s="71">
        <v>0</v>
      </c>
      <c r="H32" s="2" t="s">
        <v>78</v>
      </c>
      <c r="I32" s="2">
        <f>+IF(J31-$M$4&gt;=3,J31-$M$4,3)</f>
        <v>3</v>
      </c>
      <c r="J32" s="2">
        <f t="shared" si="8"/>
        <v>2021</v>
      </c>
      <c r="K32" s="15">
        <f t="shared" si="1"/>
        <v>2021.4166666666667</v>
      </c>
      <c r="L32" s="114">
        <f>'Orig Trucks 2183'!N42-'Trucks 2183'!L31</f>
        <v>25468.744000000006</v>
      </c>
      <c r="M32" s="114">
        <f>L32-(L32*G32)</f>
        <v>25468.744000000006</v>
      </c>
      <c r="N32" s="114">
        <f t="shared" si="9"/>
        <v>707.46511111111124</v>
      </c>
      <c r="O32" s="114">
        <f t="shared" si="10"/>
        <v>8489.5813333333354</v>
      </c>
      <c r="P32" s="114">
        <f t="shared" si="4"/>
        <v>8489.5813333333354</v>
      </c>
      <c r="Q32" s="114">
        <f t="shared" si="11"/>
        <v>0</v>
      </c>
      <c r="R32" s="114">
        <f t="shared" si="12"/>
        <v>8489.5813333333354</v>
      </c>
      <c r="S32" s="114">
        <f t="shared" si="13"/>
        <v>16979.162666666671</v>
      </c>
    </row>
    <row r="33" spans="1:19">
      <c r="A33" t="s">
        <v>288</v>
      </c>
      <c r="C33">
        <v>5012</v>
      </c>
      <c r="D33" t="s">
        <v>314</v>
      </c>
      <c r="E33">
        <v>2008</v>
      </c>
      <c r="F33">
        <v>11</v>
      </c>
      <c r="G33" s="27">
        <v>0</v>
      </c>
      <c r="H33" t="s">
        <v>78</v>
      </c>
      <c r="I33">
        <v>5</v>
      </c>
      <c r="J33">
        <f t="shared" si="8"/>
        <v>2013</v>
      </c>
      <c r="K33" s="14">
        <f t="shared" si="1"/>
        <v>2013.9166666666667</v>
      </c>
      <c r="L33" s="79">
        <f>'Orig Trucks 2183'!P45</f>
        <v>0</v>
      </c>
      <c r="M33" s="79">
        <f>L33-L33*G33</f>
        <v>0</v>
      </c>
      <c r="N33" s="79">
        <f t="shared" si="9"/>
        <v>0</v>
      </c>
      <c r="O33" s="79">
        <f t="shared" si="10"/>
        <v>0</v>
      </c>
      <c r="P33" s="79">
        <f t="shared" si="4"/>
        <v>0</v>
      </c>
      <c r="Q33" s="79">
        <f t="shared" si="11"/>
        <v>0</v>
      </c>
      <c r="R33" s="79">
        <f t="shared" si="12"/>
        <v>0</v>
      </c>
      <c r="S33" s="79">
        <f t="shared" si="13"/>
        <v>0</v>
      </c>
    </row>
    <row r="34" spans="1:19">
      <c r="A34" s="2"/>
      <c r="B34" s="61">
        <v>5012</v>
      </c>
      <c r="C34" s="2"/>
      <c r="D34" s="2" t="s">
        <v>667</v>
      </c>
      <c r="E34" s="2">
        <v>2018</v>
      </c>
      <c r="F34" s="2">
        <v>5</v>
      </c>
      <c r="G34" s="71">
        <v>0</v>
      </c>
      <c r="H34" s="2" t="s">
        <v>78</v>
      </c>
      <c r="I34" s="2">
        <f>+IF(J33-$M$4&gt;=3,J33-$M$4,3)</f>
        <v>3</v>
      </c>
      <c r="J34" s="2">
        <f t="shared" si="8"/>
        <v>2021</v>
      </c>
      <c r="K34" s="15">
        <f t="shared" si="1"/>
        <v>2021.4166666666667</v>
      </c>
      <c r="L34" s="114">
        <f>'Orig Trucks 2183'!N45-'Trucks 2183'!L33</f>
        <v>0</v>
      </c>
      <c r="M34" s="114">
        <f>L34-(L34*G34)</f>
        <v>0</v>
      </c>
      <c r="N34" s="114">
        <f t="shared" si="9"/>
        <v>0</v>
      </c>
      <c r="O34" s="114">
        <f t="shared" si="10"/>
        <v>0</v>
      </c>
      <c r="P34" s="114">
        <f t="shared" si="4"/>
        <v>0</v>
      </c>
      <c r="Q34" s="114">
        <f t="shared" si="11"/>
        <v>0</v>
      </c>
      <c r="R34" s="114">
        <f t="shared" si="12"/>
        <v>0</v>
      </c>
      <c r="S34" s="114">
        <f t="shared" si="13"/>
        <v>0</v>
      </c>
    </row>
    <row r="35" spans="1:19">
      <c r="A35" t="s">
        <v>311</v>
      </c>
      <c r="C35">
        <v>67258</v>
      </c>
      <c r="D35" t="s">
        <v>324</v>
      </c>
      <c r="E35">
        <v>2009</v>
      </c>
      <c r="F35">
        <v>6</v>
      </c>
      <c r="G35" s="27">
        <v>0</v>
      </c>
      <c r="H35" t="s">
        <v>78</v>
      </c>
      <c r="I35">
        <v>5</v>
      </c>
      <c r="J35">
        <f t="shared" ref="J35:J53" si="14">E35+I35</f>
        <v>2014</v>
      </c>
      <c r="K35" s="14">
        <f t="shared" ref="K35:K61" si="15">+J35+(F35/12)</f>
        <v>2014.5</v>
      </c>
      <c r="L35" s="79">
        <f>'Orig Trucks 2183'!P48</f>
        <v>28151.168899999997</v>
      </c>
      <c r="M35" s="79">
        <f>L35-L35*G35</f>
        <v>28151.168899999997</v>
      </c>
      <c r="N35" s="79">
        <f t="shared" ref="N35:N53" si="16">M35/I35/12</f>
        <v>469.18614833333328</v>
      </c>
      <c r="O35" s="79">
        <f t="shared" ref="O35:O53" si="17">+N35*12</f>
        <v>5630.2337799999996</v>
      </c>
      <c r="P35" s="79">
        <f t="shared" ref="P35:P61" si="18">+IF(K35&lt;=$M$5,0,IF(J35=$M$4,N35*F35,O35))</f>
        <v>0</v>
      </c>
      <c r="Q35" s="79">
        <f t="shared" ref="Q35:Q53" si="19">+IF(P35=0,M35,IF($M$3-E35&lt;1,0,(($M$3-E35)*O35)))</f>
        <v>28151.168899999997</v>
      </c>
      <c r="R35" s="79">
        <f t="shared" ref="R35:R53" si="20">+IF(P35=0,Q35,Q35+P35)</f>
        <v>28151.168899999997</v>
      </c>
      <c r="S35" s="79">
        <f t="shared" ref="S35:S53" si="21">+L35-R35</f>
        <v>0</v>
      </c>
    </row>
    <row r="36" spans="1:19">
      <c r="A36" s="2"/>
      <c r="B36" s="61">
        <v>67258</v>
      </c>
      <c r="C36" s="2"/>
      <c r="D36" s="2" t="s">
        <v>669</v>
      </c>
      <c r="E36" s="2">
        <v>2018</v>
      </c>
      <c r="F36" s="2">
        <v>5</v>
      </c>
      <c r="G36" s="71">
        <v>0</v>
      </c>
      <c r="H36" s="2" t="s">
        <v>78</v>
      </c>
      <c r="I36" s="2">
        <f>+IF(J35-$M$4&gt;=3,J35-$M$4,3)</f>
        <v>3</v>
      </c>
      <c r="J36" s="2">
        <f t="shared" si="14"/>
        <v>2021</v>
      </c>
      <c r="K36" s="15">
        <f t="shared" si="15"/>
        <v>2021.4166666666667</v>
      </c>
      <c r="L36" s="114">
        <f>'Orig Trucks 2183'!N48-'Trucks 2183'!L35</f>
        <v>13865.501100000001</v>
      </c>
      <c r="M36" s="114">
        <f>L36-(L36*G36)</f>
        <v>13865.501100000001</v>
      </c>
      <c r="N36" s="114">
        <f t="shared" si="16"/>
        <v>385.15280833333333</v>
      </c>
      <c r="O36" s="114">
        <f t="shared" si="17"/>
        <v>4621.8337000000001</v>
      </c>
      <c r="P36" s="114">
        <f t="shared" si="18"/>
        <v>4621.8337000000001</v>
      </c>
      <c r="Q36" s="114">
        <f t="shared" si="19"/>
        <v>0</v>
      </c>
      <c r="R36" s="114">
        <f t="shared" si="20"/>
        <v>4621.8337000000001</v>
      </c>
      <c r="S36" s="114">
        <f t="shared" si="21"/>
        <v>9243.6674000000021</v>
      </c>
    </row>
    <row r="37" spans="1:19">
      <c r="A37" t="s">
        <v>288</v>
      </c>
      <c r="C37">
        <v>4511</v>
      </c>
      <c r="D37" t="s">
        <v>328</v>
      </c>
      <c r="E37">
        <v>2009</v>
      </c>
      <c r="F37">
        <v>6</v>
      </c>
      <c r="G37" s="27">
        <v>0</v>
      </c>
      <c r="H37" t="s">
        <v>78</v>
      </c>
      <c r="I37">
        <v>3</v>
      </c>
      <c r="J37">
        <f t="shared" si="14"/>
        <v>2012</v>
      </c>
      <c r="K37" s="14">
        <f t="shared" si="15"/>
        <v>2012.5</v>
      </c>
      <c r="L37" s="79">
        <v>3096.41</v>
      </c>
      <c r="M37" s="79">
        <f>L37-L37*G37</f>
        <v>3096.41</v>
      </c>
      <c r="N37" s="79">
        <f t="shared" si="16"/>
        <v>86.011388888888874</v>
      </c>
      <c r="O37" s="79">
        <f t="shared" si="17"/>
        <v>1032.1366666666665</v>
      </c>
      <c r="P37" s="79">
        <f t="shared" si="18"/>
        <v>0</v>
      </c>
      <c r="Q37" s="79">
        <f t="shared" si="19"/>
        <v>3096.41</v>
      </c>
      <c r="R37" s="79">
        <f t="shared" si="20"/>
        <v>3096.41</v>
      </c>
      <c r="S37" s="79">
        <f t="shared" si="21"/>
        <v>0</v>
      </c>
    </row>
    <row r="38" spans="1:19">
      <c r="A38" t="s">
        <v>311</v>
      </c>
      <c r="C38">
        <v>68611</v>
      </c>
      <c r="D38" t="s">
        <v>325</v>
      </c>
      <c r="E38">
        <v>2009</v>
      </c>
      <c r="F38">
        <v>7</v>
      </c>
      <c r="G38" s="27">
        <v>0</v>
      </c>
      <c r="H38" t="s">
        <v>78</v>
      </c>
      <c r="I38">
        <v>5</v>
      </c>
      <c r="J38">
        <f t="shared" si="14"/>
        <v>2014</v>
      </c>
      <c r="K38" s="14">
        <f t="shared" si="15"/>
        <v>2014.5833333333333</v>
      </c>
      <c r="L38" s="79">
        <f>+'Orig Trucks 2183'!P51</f>
        <v>-726.95</v>
      </c>
      <c r="M38" s="79">
        <f>L38-L38*G38</f>
        <v>-726.95</v>
      </c>
      <c r="N38" s="79">
        <f t="shared" si="16"/>
        <v>-12.115833333333335</v>
      </c>
      <c r="O38" s="79">
        <f t="shared" si="17"/>
        <v>-145.39000000000001</v>
      </c>
      <c r="P38" s="79">
        <f t="shared" si="18"/>
        <v>0</v>
      </c>
      <c r="Q38" s="79">
        <f t="shared" si="19"/>
        <v>-726.95</v>
      </c>
      <c r="R38" s="79">
        <f t="shared" si="20"/>
        <v>-726.95</v>
      </c>
      <c r="S38" s="79">
        <f t="shared" si="21"/>
        <v>0</v>
      </c>
    </row>
    <row r="39" spans="1:19">
      <c r="A39" s="2"/>
      <c r="B39" s="61">
        <v>68611</v>
      </c>
      <c r="C39" s="2"/>
      <c r="D39" s="2" t="s">
        <v>670</v>
      </c>
      <c r="E39" s="2">
        <v>2018</v>
      </c>
      <c r="F39" s="2">
        <v>5</v>
      </c>
      <c r="G39" s="71">
        <v>0</v>
      </c>
      <c r="H39" s="2" t="s">
        <v>78</v>
      </c>
      <c r="I39" s="2">
        <f>+IF(J38-$M$4&gt;=3,J38-$M$4,3)</f>
        <v>3</v>
      </c>
      <c r="J39" s="2">
        <f t="shared" si="14"/>
        <v>2021</v>
      </c>
      <c r="K39" s="15">
        <f t="shared" si="15"/>
        <v>2021.4166666666667</v>
      </c>
      <c r="L39" s="114">
        <f>+'Orig Trucks 2183'!N51-L38</f>
        <v>-358.04999999999995</v>
      </c>
      <c r="M39" s="114">
        <f>L39-(L39*G39)</f>
        <v>-358.04999999999995</v>
      </c>
      <c r="N39" s="114">
        <f t="shared" si="16"/>
        <v>-9.9458333333333311</v>
      </c>
      <c r="O39" s="114">
        <f t="shared" si="17"/>
        <v>-119.34999999999997</v>
      </c>
      <c r="P39" s="114">
        <f t="shared" si="18"/>
        <v>-119.34999999999997</v>
      </c>
      <c r="Q39" s="114">
        <f t="shared" si="19"/>
        <v>0</v>
      </c>
      <c r="R39" s="114">
        <f t="shared" si="20"/>
        <v>-119.34999999999997</v>
      </c>
      <c r="S39" s="114">
        <f t="shared" si="21"/>
        <v>-238.7</v>
      </c>
    </row>
    <row r="40" spans="1:19">
      <c r="A40" t="s">
        <v>312</v>
      </c>
      <c r="B40" s="22">
        <v>75159</v>
      </c>
      <c r="D40" t="s">
        <v>388</v>
      </c>
      <c r="E40">
        <v>2010</v>
      </c>
      <c r="F40">
        <v>3</v>
      </c>
      <c r="G40" s="27">
        <v>0</v>
      </c>
      <c r="H40" t="s">
        <v>78</v>
      </c>
      <c r="I40">
        <v>5</v>
      </c>
      <c r="J40">
        <f t="shared" si="14"/>
        <v>2015</v>
      </c>
      <c r="K40" s="14">
        <f t="shared" si="15"/>
        <v>2015.25</v>
      </c>
      <c r="L40" s="79">
        <f>'Orig Trucks 2183'!P52</f>
        <v>7491.645199999999</v>
      </c>
      <c r="M40" s="79">
        <f>L40-L40*G40</f>
        <v>7491.645199999999</v>
      </c>
      <c r="N40" s="79">
        <f t="shared" si="16"/>
        <v>124.86075333333332</v>
      </c>
      <c r="O40" s="79">
        <f t="shared" si="17"/>
        <v>1498.3290399999998</v>
      </c>
      <c r="P40" s="79">
        <f t="shared" si="18"/>
        <v>0</v>
      </c>
      <c r="Q40" s="79">
        <f t="shared" si="19"/>
        <v>7491.645199999999</v>
      </c>
      <c r="R40" s="79">
        <f t="shared" si="20"/>
        <v>7491.645199999999</v>
      </c>
      <c r="S40" s="79">
        <f t="shared" si="21"/>
        <v>0</v>
      </c>
    </row>
    <row r="41" spans="1:19">
      <c r="D41" t="s">
        <v>711</v>
      </c>
      <c r="E41">
        <v>2017</v>
      </c>
      <c r="F41">
        <v>2</v>
      </c>
      <c r="G41" s="27">
        <v>0</v>
      </c>
      <c r="H41" t="s">
        <v>78</v>
      </c>
      <c r="I41">
        <f>+IF(J40-$M$4&gt;=3,J40-$M$4,3)</f>
        <v>3</v>
      </c>
      <c r="J41">
        <f t="shared" si="14"/>
        <v>2020</v>
      </c>
      <c r="K41" s="14">
        <f t="shared" si="15"/>
        <v>2020.1666666666667</v>
      </c>
      <c r="L41" s="79">
        <f>'Orig Trucks 2183'!N52-'Trucks 2183'!L40</f>
        <v>3689.9148000000005</v>
      </c>
      <c r="M41" s="79">
        <f>L41-(L41*G41)</f>
        <v>3689.9148000000005</v>
      </c>
      <c r="N41" s="79">
        <f t="shared" si="16"/>
        <v>102.49763333333334</v>
      </c>
      <c r="O41" s="79">
        <f t="shared" si="17"/>
        <v>1229.9716000000001</v>
      </c>
      <c r="P41" s="79">
        <f t="shared" si="18"/>
        <v>1229.9716000000001</v>
      </c>
      <c r="Q41" s="79">
        <f t="shared" si="19"/>
        <v>1229.9716000000001</v>
      </c>
      <c r="R41" s="79">
        <f t="shared" si="20"/>
        <v>2459.9432000000002</v>
      </c>
      <c r="S41" s="79">
        <f t="shared" si="21"/>
        <v>1229.9716000000003</v>
      </c>
    </row>
    <row r="42" spans="1:19">
      <c r="A42" t="s">
        <v>286</v>
      </c>
      <c r="B42" s="22">
        <v>77760</v>
      </c>
      <c r="C42">
        <v>2035</v>
      </c>
      <c r="D42" t="s">
        <v>385</v>
      </c>
      <c r="E42">
        <v>2010</v>
      </c>
      <c r="F42">
        <v>10</v>
      </c>
      <c r="G42" s="27">
        <v>0</v>
      </c>
      <c r="H42" t="s">
        <v>78</v>
      </c>
      <c r="I42">
        <v>7</v>
      </c>
      <c r="J42">
        <f t="shared" si="14"/>
        <v>2017</v>
      </c>
      <c r="K42" s="14">
        <f t="shared" si="15"/>
        <v>2017.8333333333333</v>
      </c>
      <c r="L42" s="79">
        <f>'Orig Trucks 2183'!P53</f>
        <v>185665.2</v>
      </c>
      <c r="M42" s="79">
        <f>L42-L42*G42</f>
        <v>185665.2</v>
      </c>
      <c r="N42" s="79">
        <f t="shared" si="16"/>
        <v>2210.3000000000002</v>
      </c>
      <c r="O42" s="79">
        <f t="shared" si="17"/>
        <v>26523.600000000002</v>
      </c>
      <c r="P42" s="79">
        <f t="shared" si="18"/>
        <v>0</v>
      </c>
      <c r="Q42" s="79">
        <f t="shared" si="19"/>
        <v>185665.2</v>
      </c>
      <c r="R42" s="79">
        <f t="shared" si="20"/>
        <v>185665.2</v>
      </c>
      <c r="S42" s="79">
        <f t="shared" si="21"/>
        <v>0</v>
      </c>
    </row>
    <row r="43" spans="1:19">
      <c r="A43" s="2"/>
      <c r="B43" s="61">
        <v>2035</v>
      </c>
      <c r="C43" s="2"/>
      <c r="D43" s="2" t="s">
        <v>671</v>
      </c>
      <c r="E43" s="2">
        <v>2018</v>
      </c>
      <c r="F43" s="2">
        <v>5</v>
      </c>
      <c r="G43" s="71">
        <v>0</v>
      </c>
      <c r="H43" s="2" t="s">
        <v>78</v>
      </c>
      <c r="I43" s="2">
        <f>+IF(J42-$M$4&gt;=3,J42-$M$4,3)</f>
        <v>3</v>
      </c>
      <c r="J43" s="2">
        <f t="shared" si="14"/>
        <v>2021</v>
      </c>
      <c r="K43" s="15">
        <f t="shared" si="15"/>
        <v>2021.4166666666667</v>
      </c>
      <c r="L43" s="114">
        <f>'Orig Trucks 2183'!N53-'Trucks 2183'!L42</f>
        <v>46416.299999999988</v>
      </c>
      <c r="M43" s="114">
        <f>L43-(L43*G43)</f>
        <v>46416.299999999988</v>
      </c>
      <c r="N43" s="114">
        <f t="shared" si="16"/>
        <v>1289.3416666666665</v>
      </c>
      <c r="O43" s="114">
        <f t="shared" si="17"/>
        <v>15472.099999999999</v>
      </c>
      <c r="P43" s="114">
        <f t="shared" si="18"/>
        <v>15472.099999999999</v>
      </c>
      <c r="Q43" s="114">
        <f t="shared" si="19"/>
        <v>0</v>
      </c>
      <c r="R43" s="114">
        <f t="shared" si="20"/>
        <v>15472.099999999999</v>
      </c>
      <c r="S43" s="114">
        <f t="shared" si="21"/>
        <v>30944.19999999999</v>
      </c>
    </row>
    <row r="44" spans="1:19">
      <c r="B44" s="22">
        <v>88721</v>
      </c>
      <c r="D44" t="s">
        <v>437</v>
      </c>
      <c r="E44">
        <v>2011</v>
      </c>
      <c r="F44">
        <v>12</v>
      </c>
      <c r="G44" s="27">
        <v>0</v>
      </c>
      <c r="H44" t="s">
        <v>78</v>
      </c>
      <c r="I44">
        <v>5</v>
      </c>
      <c r="J44">
        <f t="shared" si="14"/>
        <v>2016</v>
      </c>
      <c r="K44" s="14">
        <f t="shared" si="15"/>
        <v>2017</v>
      </c>
      <c r="L44" s="79">
        <f>487.65*32</f>
        <v>15604.8</v>
      </c>
      <c r="M44" s="79">
        <f>L44-L44*G44</f>
        <v>15604.8</v>
      </c>
      <c r="N44" s="79">
        <f t="shared" si="16"/>
        <v>260.08</v>
      </c>
      <c r="O44" s="79">
        <f t="shared" si="17"/>
        <v>3120.96</v>
      </c>
      <c r="P44" s="79">
        <f t="shared" si="18"/>
        <v>0</v>
      </c>
      <c r="Q44" s="79">
        <f t="shared" si="19"/>
        <v>15604.8</v>
      </c>
      <c r="R44" s="79">
        <f t="shared" si="20"/>
        <v>15604.8</v>
      </c>
      <c r="S44" s="79">
        <f t="shared" si="21"/>
        <v>0</v>
      </c>
    </row>
    <row r="45" spans="1:19">
      <c r="B45" s="22">
        <v>89484</v>
      </c>
      <c r="C45">
        <v>2036</v>
      </c>
      <c r="D45" t="s">
        <v>448</v>
      </c>
      <c r="E45">
        <v>2011</v>
      </c>
      <c r="F45">
        <v>12</v>
      </c>
      <c r="G45" s="27">
        <v>0</v>
      </c>
      <c r="H45" t="s">
        <v>78</v>
      </c>
      <c r="I45">
        <v>7</v>
      </c>
      <c r="J45">
        <f t="shared" si="14"/>
        <v>2018</v>
      </c>
      <c r="K45" s="14">
        <f t="shared" si="15"/>
        <v>2019</v>
      </c>
      <c r="L45" s="79">
        <f>'Orig Trucks 2183'!P56</f>
        <v>196384.44</v>
      </c>
      <c r="M45" s="79">
        <f>L45-L45*G45</f>
        <v>196384.44</v>
      </c>
      <c r="N45" s="79">
        <f t="shared" si="16"/>
        <v>2337.9100000000003</v>
      </c>
      <c r="O45" s="79">
        <f t="shared" si="17"/>
        <v>28054.920000000006</v>
      </c>
      <c r="P45" s="79">
        <f t="shared" si="18"/>
        <v>0</v>
      </c>
      <c r="Q45" s="79">
        <f t="shared" si="19"/>
        <v>196384.44</v>
      </c>
      <c r="R45" s="79">
        <f t="shared" si="20"/>
        <v>196384.44</v>
      </c>
      <c r="S45" s="79">
        <f t="shared" si="21"/>
        <v>0</v>
      </c>
    </row>
    <row r="46" spans="1:19">
      <c r="A46" s="2"/>
      <c r="B46" s="61">
        <v>2036</v>
      </c>
      <c r="C46" s="2"/>
      <c r="D46" s="2" t="s">
        <v>673</v>
      </c>
      <c r="E46" s="2">
        <v>2018</v>
      </c>
      <c r="F46" s="2">
        <v>5</v>
      </c>
      <c r="G46" s="71">
        <v>0</v>
      </c>
      <c r="H46" s="2" t="s">
        <v>78</v>
      </c>
      <c r="I46" s="2">
        <f>+IF(J45-$M$4&gt;=3,J45-$M$4,3)</f>
        <v>3</v>
      </c>
      <c r="J46" s="2">
        <f t="shared" si="14"/>
        <v>2021</v>
      </c>
      <c r="K46" s="15">
        <f t="shared" si="15"/>
        <v>2021.4166666666667</v>
      </c>
      <c r="L46" s="114">
        <f>'Orig Trucks 2183'!N56-'Trucks 2183'!L45</f>
        <v>49096.109999999986</v>
      </c>
      <c r="M46" s="114">
        <f>L46-(L46*G46)</f>
        <v>49096.109999999986</v>
      </c>
      <c r="N46" s="114">
        <f t="shared" si="16"/>
        <v>1363.780833333333</v>
      </c>
      <c r="O46" s="114">
        <f t="shared" si="17"/>
        <v>16365.369999999995</v>
      </c>
      <c r="P46" s="114">
        <f t="shared" si="18"/>
        <v>16365.369999999995</v>
      </c>
      <c r="Q46" s="114">
        <f t="shared" si="19"/>
        <v>0</v>
      </c>
      <c r="R46" s="114">
        <f t="shared" si="20"/>
        <v>16365.369999999995</v>
      </c>
      <c r="S46" s="114">
        <f t="shared" si="21"/>
        <v>32730.739999999991</v>
      </c>
    </row>
    <row r="47" spans="1:19">
      <c r="A47" t="s">
        <v>288</v>
      </c>
      <c r="B47" s="22" t="s">
        <v>444</v>
      </c>
      <c r="C47">
        <v>4511</v>
      </c>
      <c r="D47" t="s">
        <v>445</v>
      </c>
      <c r="E47">
        <v>2012</v>
      </c>
      <c r="F47">
        <v>2</v>
      </c>
      <c r="G47" s="27">
        <v>0</v>
      </c>
      <c r="H47" t="s">
        <v>78</v>
      </c>
      <c r="I47">
        <v>3</v>
      </c>
      <c r="J47">
        <f t="shared" si="14"/>
        <v>2015</v>
      </c>
      <c r="K47" s="14">
        <f t="shared" si="15"/>
        <v>2015.1666666666667</v>
      </c>
      <c r="L47" s="79">
        <f>12472.57-4700.16+4164.8</f>
        <v>11937.21</v>
      </c>
      <c r="M47" s="79">
        <f t="shared" ref="M47:M61" si="22">L47-L47*G47</f>
        <v>11937.21</v>
      </c>
      <c r="N47" s="79">
        <f t="shared" si="16"/>
        <v>331.58916666666664</v>
      </c>
      <c r="O47" s="79">
        <f t="shared" si="17"/>
        <v>3979.0699999999997</v>
      </c>
      <c r="P47" s="79">
        <f t="shared" si="18"/>
        <v>0</v>
      </c>
      <c r="Q47" s="79">
        <f t="shared" si="19"/>
        <v>11937.21</v>
      </c>
      <c r="R47" s="79">
        <f t="shared" si="20"/>
        <v>11937.21</v>
      </c>
      <c r="S47" s="79">
        <f t="shared" si="21"/>
        <v>0</v>
      </c>
    </row>
    <row r="48" spans="1:19">
      <c r="B48" s="22">
        <v>103479</v>
      </c>
      <c r="C48">
        <v>1042</v>
      </c>
      <c r="D48" t="s">
        <v>478</v>
      </c>
      <c r="E48">
        <v>2013</v>
      </c>
      <c r="F48">
        <v>3</v>
      </c>
      <c r="G48" s="27">
        <v>0</v>
      </c>
      <c r="H48" t="s">
        <v>78</v>
      </c>
      <c r="I48">
        <v>3</v>
      </c>
      <c r="J48">
        <f t="shared" si="14"/>
        <v>2016</v>
      </c>
      <c r="K48" s="14">
        <f t="shared" si="15"/>
        <v>2016.25</v>
      </c>
      <c r="L48" s="79">
        <v>13741.65</v>
      </c>
      <c r="M48" s="79">
        <f t="shared" si="22"/>
        <v>13741.65</v>
      </c>
      <c r="N48" s="79">
        <f t="shared" si="16"/>
        <v>381.71250000000003</v>
      </c>
      <c r="O48" s="79">
        <f t="shared" si="17"/>
        <v>4580.55</v>
      </c>
      <c r="P48" s="79">
        <f t="shared" si="18"/>
        <v>0</v>
      </c>
      <c r="Q48" s="79">
        <f t="shared" si="19"/>
        <v>13741.65</v>
      </c>
      <c r="R48" s="79">
        <f t="shared" si="20"/>
        <v>13741.65</v>
      </c>
      <c r="S48" s="79">
        <f t="shared" si="21"/>
        <v>0</v>
      </c>
    </row>
    <row r="49" spans="1:19">
      <c r="B49" s="22">
        <v>109992</v>
      </c>
      <c r="C49">
        <v>3603</v>
      </c>
      <c r="D49" t="s">
        <v>491</v>
      </c>
      <c r="E49">
        <v>2013</v>
      </c>
      <c r="F49">
        <v>12</v>
      </c>
      <c r="G49" s="27">
        <v>0</v>
      </c>
      <c r="H49" t="s">
        <v>78</v>
      </c>
      <c r="I49">
        <v>3</v>
      </c>
      <c r="J49">
        <f t="shared" si="14"/>
        <v>2016</v>
      </c>
      <c r="K49" s="14">
        <f t="shared" si="15"/>
        <v>2017</v>
      </c>
      <c r="L49" s="79">
        <v>24943.74</v>
      </c>
      <c r="M49" s="79">
        <f t="shared" si="22"/>
        <v>24943.74</v>
      </c>
      <c r="N49" s="79">
        <f t="shared" si="16"/>
        <v>692.88166666666666</v>
      </c>
      <c r="O49" s="79">
        <f t="shared" si="17"/>
        <v>8314.58</v>
      </c>
      <c r="P49" s="79">
        <f t="shared" si="18"/>
        <v>0</v>
      </c>
      <c r="Q49" s="79">
        <f t="shared" si="19"/>
        <v>24943.74</v>
      </c>
      <c r="R49" s="79">
        <f t="shared" si="20"/>
        <v>24943.74</v>
      </c>
      <c r="S49" s="79">
        <f t="shared" si="21"/>
        <v>0</v>
      </c>
    </row>
    <row r="50" spans="1:19">
      <c r="A50" t="s">
        <v>463</v>
      </c>
      <c r="B50" s="22">
        <v>117321</v>
      </c>
      <c r="C50">
        <v>3639</v>
      </c>
      <c r="D50" t="s">
        <v>527</v>
      </c>
      <c r="E50">
        <v>2014</v>
      </c>
      <c r="F50">
        <v>11</v>
      </c>
      <c r="G50" s="27">
        <v>0</v>
      </c>
      <c r="H50" t="s">
        <v>78</v>
      </c>
      <c r="I50">
        <v>10</v>
      </c>
      <c r="J50">
        <f t="shared" si="14"/>
        <v>2024</v>
      </c>
      <c r="K50" s="14">
        <f t="shared" si="15"/>
        <v>2024.9166666666667</v>
      </c>
      <c r="L50" s="79">
        <v>330416.48</v>
      </c>
      <c r="M50" s="79">
        <f t="shared" si="22"/>
        <v>330416.48</v>
      </c>
      <c r="N50" s="79">
        <f t="shared" si="16"/>
        <v>2753.4706666666666</v>
      </c>
      <c r="O50" s="79">
        <f t="shared" si="17"/>
        <v>33041.648000000001</v>
      </c>
      <c r="P50" s="79">
        <f t="shared" si="18"/>
        <v>33041.648000000001</v>
      </c>
      <c r="Q50" s="79">
        <f t="shared" si="19"/>
        <v>132166.592</v>
      </c>
      <c r="R50" s="79">
        <f t="shared" si="20"/>
        <v>165208.24</v>
      </c>
      <c r="S50" s="79">
        <f t="shared" si="21"/>
        <v>165208.24</v>
      </c>
    </row>
    <row r="51" spans="1:19">
      <c r="A51" t="s">
        <v>463</v>
      </c>
      <c r="B51" s="22">
        <v>117322</v>
      </c>
      <c r="C51">
        <v>3640</v>
      </c>
      <c r="D51" t="s">
        <v>527</v>
      </c>
      <c r="E51">
        <v>2014</v>
      </c>
      <c r="F51">
        <v>11</v>
      </c>
      <c r="G51" s="27">
        <v>0</v>
      </c>
      <c r="H51" t="s">
        <v>78</v>
      </c>
      <c r="I51">
        <v>10</v>
      </c>
      <c r="J51">
        <f t="shared" si="14"/>
        <v>2024</v>
      </c>
      <c r="K51" s="14">
        <f t="shared" si="15"/>
        <v>2024.9166666666667</v>
      </c>
      <c r="L51" s="79">
        <v>330302.59000000003</v>
      </c>
      <c r="M51" s="79">
        <f t="shared" si="22"/>
        <v>330302.59000000003</v>
      </c>
      <c r="N51" s="79">
        <f t="shared" si="16"/>
        <v>2752.5215833333336</v>
      </c>
      <c r="O51" s="79">
        <f t="shared" si="17"/>
        <v>33030.259000000005</v>
      </c>
      <c r="P51" s="79">
        <f t="shared" si="18"/>
        <v>33030.259000000005</v>
      </c>
      <c r="Q51" s="79">
        <f t="shared" si="19"/>
        <v>132121.03600000002</v>
      </c>
      <c r="R51" s="79">
        <f t="shared" si="20"/>
        <v>165151.29500000004</v>
      </c>
      <c r="S51" s="79">
        <f t="shared" si="21"/>
        <v>165151.29499999998</v>
      </c>
    </row>
    <row r="52" spans="1:19">
      <c r="A52" t="s">
        <v>528</v>
      </c>
      <c r="B52" s="22">
        <v>117320</v>
      </c>
      <c r="C52">
        <v>1071</v>
      </c>
      <c r="D52" t="s">
        <v>529</v>
      </c>
      <c r="E52">
        <v>2014</v>
      </c>
      <c r="F52">
        <v>11</v>
      </c>
      <c r="G52" s="27">
        <v>0</v>
      </c>
      <c r="H52" t="s">
        <v>78</v>
      </c>
      <c r="I52">
        <v>10</v>
      </c>
      <c r="J52">
        <f t="shared" si="14"/>
        <v>2024</v>
      </c>
      <c r="K52" s="14">
        <f t="shared" si="15"/>
        <v>2024.9166666666667</v>
      </c>
      <c r="L52" s="79">
        <v>289667.86</v>
      </c>
      <c r="M52" s="79">
        <f t="shared" si="22"/>
        <v>289667.86</v>
      </c>
      <c r="N52" s="79">
        <f t="shared" si="16"/>
        <v>2413.8988333333332</v>
      </c>
      <c r="O52" s="79">
        <f t="shared" si="17"/>
        <v>28966.786</v>
      </c>
      <c r="P52" s="79">
        <f t="shared" si="18"/>
        <v>28966.786</v>
      </c>
      <c r="Q52" s="79">
        <f t="shared" si="19"/>
        <v>115867.144</v>
      </c>
      <c r="R52" s="79">
        <f t="shared" si="20"/>
        <v>144833.93</v>
      </c>
      <c r="S52" s="79">
        <f t="shared" si="21"/>
        <v>144833.93</v>
      </c>
    </row>
    <row r="53" spans="1:19">
      <c r="B53" s="22">
        <v>124606</v>
      </c>
      <c r="C53">
        <v>3603</v>
      </c>
      <c r="D53" t="s">
        <v>571</v>
      </c>
      <c r="E53">
        <v>2015</v>
      </c>
      <c r="F53">
        <v>6</v>
      </c>
      <c r="G53" s="27">
        <v>0</v>
      </c>
      <c r="H53" t="s">
        <v>78</v>
      </c>
      <c r="I53">
        <v>3</v>
      </c>
      <c r="J53">
        <f t="shared" si="14"/>
        <v>2018</v>
      </c>
      <c r="K53" s="14">
        <f t="shared" si="15"/>
        <v>2018.5</v>
      </c>
      <c r="L53" s="79">
        <v>10023.450000000001</v>
      </c>
      <c r="M53" s="79">
        <f t="shared" si="22"/>
        <v>10023.450000000001</v>
      </c>
      <c r="N53" s="79">
        <f t="shared" si="16"/>
        <v>278.42916666666667</v>
      </c>
      <c r="O53" s="79">
        <f t="shared" si="17"/>
        <v>3341.15</v>
      </c>
      <c r="P53" s="79">
        <f t="shared" si="18"/>
        <v>0</v>
      </c>
      <c r="Q53" s="79">
        <f t="shared" si="19"/>
        <v>10023.450000000001</v>
      </c>
      <c r="R53" s="79">
        <f t="shared" si="20"/>
        <v>10023.450000000001</v>
      </c>
      <c r="S53" s="79">
        <f t="shared" si="21"/>
        <v>0</v>
      </c>
    </row>
    <row r="54" spans="1:19">
      <c r="B54" s="22" t="s">
        <v>594</v>
      </c>
      <c r="D54" t="s">
        <v>589</v>
      </c>
      <c r="E54">
        <v>2016</v>
      </c>
      <c r="F54">
        <v>4</v>
      </c>
      <c r="G54" s="27">
        <v>0</v>
      </c>
      <c r="H54" t="s">
        <v>78</v>
      </c>
      <c r="I54">
        <v>1</v>
      </c>
      <c r="J54">
        <f t="shared" ref="J54:J61" si="23">E54+I54</f>
        <v>2017</v>
      </c>
      <c r="K54" s="14">
        <f t="shared" si="15"/>
        <v>2017.3333333333333</v>
      </c>
      <c r="L54" s="79">
        <f>((14612.94+16641.82+675)/75)*46</f>
        <v>19583.586133333334</v>
      </c>
      <c r="M54" s="79">
        <f t="shared" si="22"/>
        <v>19583.586133333334</v>
      </c>
      <c r="N54" s="79">
        <f t="shared" ref="N54:N61" si="24">M54/I54/12</f>
        <v>1631.9655111111113</v>
      </c>
      <c r="O54" s="79">
        <f>+N54*12</f>
        <v>19583.586133333334</v>
      </c>
      <c r="P54" s="79">
        <f t="shared" si="18"/>
        <v>0</v>
      </c>
      <c r="Q54" s="79">
        <f t="shared" ref="Q54:Q61" si="25">+IF(P54=0,M54,IF($M$3-E54&lt;1,0,(($M$3-E54)*O54)))</f>
        <v>19583.586133333334</v>
      </c>
      <c r="R54" s="79">
        <f t="shared" ref="R54:R61" si="26">+IF(P54=0,Q54,Q54+P54)</f>
        <v>19583.586133333334</v>
      </c>
      <c r="S54" s="79">
        <f t="shared" ref="S54:S61" si="27">+L54-R54</f>
        <v>0</v>
      </c>
    </row>
    <row r="55" spans="1:19">
      <c r="B55" s="22">
        <v>171241</v>
      </c>
      <c r="C55">
        <v>2046</v>
      </c>
      <c r="D55" t="s">
        <v>603</v>
      </c>
      <c r="E55">
        <v>2016</v>
      </c>
      <c r="F55">
        <v>11</v>
      </c>
      <c r="G55" s="27">
        <v>0</v>
      </c>
      <c r="H55" t="s">
        <v>78</v>
      </c>
      <c r="I55">
        <v>10</v>
      </c>
      <c r="J55">
        <f t="shared" si="23"/>
        <v>2026</v>
      </c>
      <c r="K55" s="14">
        <f t="shared" si="15"/>
        <v>2026.9166666666667</v>
      </c>
      <c r="L55" s="79">
        <v>318387.46000000002</v>
      </c>
      <c r="M55" s="79">
        <f t="shared" si="22"/>
        <v>318387.46000000002</v>
      </c>
      <c r="N55" s="79">
        <f t="shared" si="24"/>
        <v>2653.2288333333336</v>
      </c>
      <c r="O55" s="79">
        <f>+N55*12</f>
        <v>31838.746000000003</v>
      </c>
      <c r="P55" s="79">
        <f t="shared" si="18"/>
        <v>31838.746000000003</v>
      </c>
      <c r="Q55" s="79">
        <f t="shared" si="25"/>
        <v>63677.492000000006</v>
      </c>
      <c r="R55" s="79">
        <f t="shared" si="26"/>
        <v>95516.238000000012</v>
      </c>
      <c r="S55" s="79">
        <f t="shared" si="27"/>
        <v>222871.22200000001</v>
      </c>
    </row>
    <row r="56" spans="1:19">
      <c r="A56" s="7"/>
      <c r="B56" s="22">
        <v>18550</v>
      </c>
      <c r="C56" s="7"/>
      <c r="D56" s="7" t="s">
        <v>633</v>
      </c>
      <c r="E56" s="7">
        <v>2017</v>
      </c>
      <c r="F56" s="7">
        <v>8</v>
      </c>
      <c r="G56" s="27">
        <v>0</v>
      </c>
      <c r="H56" s="16" t="s">
        <v>78</v>
      </c>
      <c r="I56" s="7">
        <v>1</v>
      </c>
      <c r="J56" s="7">
        <f t="shared" si="23"/>
        <v>2018</v>
      </c>
      <c r="K56" s="14">
        <f t="shared" si="15"/>
        <v>2018.6666666666667</v>
      </c>
      <c r="L56" s="79">
        <v>1244.8</v>
      </c>
      <c r="M56" s="79">
        <f t="shared" si="22"/>
        <v>1244.8</v>
      </c>
      <c r="N56" s="79">
        <f t="shared" ref="N56" si="28">M56/I56/12</f>
        <v>103.73333333333333</v>
      </c>
      <c r="O56" s="79">
        <f>+N56*12</f>
        <v>1244.8</v>
      </c>
      <c r="P56" s="79">
        <f t="shared" ref="P56" si="29">+IF(K56&lt;=$M$5,0,IF(J56=$M$4,N56*F56,O56))</f>
        <v>0</v>
      </c>
      <c r="Q56" s="79">
        <f t="shared" ref="Q56" si="30">+IF(P56=0,M56,IF($M$3-E56&lt;1,0,(($M$3-E56)*O56)))</f>
        <v>1244.8</v>
      </c>
      <c r="R56" s="79">
        <f t="shared" ref="R56" si="31">+IF(P56=0,Q56,Q56+P56)</f>
        <v>1244.8</v>
      </c>
      <c r="S56" s="79">
        <f t="shared" ref="S56" si="32">+L56-R56</f>
        <v>0</v>
      </c>
    </row>
    <row r="57" spans="1:19">
      <c r="A57" s="50"/>
      <c r="B57" s="62">
        <v>187607</v>
      </c>
      <c r="C57" s="50">
        <v>3664</v>
      </c>
      <c r="D57" s="50" t="s">
        <v>720</v>
      </c>
      <c r="E57" s="50">
        <v>2017</v>
      </c>
      <c r="F57" s="50">
        <v>10</v>
      </c>
      <c r="G57" s="73">
        <v>0</v>
      </c>
      <c r="H57" s="50" t="s">
        <v>78</v>
      </c>
      <c r="I57" s="50">
        <v>10</v>
      </c>
      <c r="J57" s="50">
        <f t="shared" si="23"/>
        <v>2027</v>
      </c>
      <c r="K57" s="51">
        <f t="shared" si="15"/>
        <v>2027.8333333333333</v>
      </c>
      <c r="L57" s="86">
        <v>336704.5</v>
      </c>
      <c r="M57" s="86">
        <f t="shared" si="22"/>
        <v>336704.5</v>
      </c>
      <c r="N57" s="86">
        <f t="shared" si="24"/>
        <v>2805.8708333333329</v>
      </c>
      <c r="O57" s="86">
        <f t="shared" ref="O57:O61" si="33">+N57*12</f>
        <v>33670.449999999997</v>
      </c>
      <c r="P57" s="86">
        <f t="shared" si="18"/>
        <v>33670.449999999997</v>
      </c>
      <c r="Q57" s="86">
        <f t="shared" si="25"/>
        <v>33670.449999999997</v>
      </c>
      <c r="R57" s="86">
        <f t="shared" si="26"/>
        <v>67340.899999999994</v>
      </c>
      <c r="S57" s="86">
        <f t="shared" si="27"/>
        <v>269363.59999999998</v>
      </c>
    </row>
    <row r="58" spans="1:19">
      <c r="A58" s="50"/>
      <c r="B58" s="62">
        <v>187606</v>
      </c>
      <c r="C58" s="50">
        <v>3663</v>
      </c>
      <c r="D58" s="50" t="s">
        <v>720</v>
      </c>
      <c r="E58" s="50">
        <v>2017</v>
      </c>
      <c r="F58" s="50">
        <v>10</v>
      </c>
      <c r="G58" s="73">
        <v>0</v>
      </c>
      <c r="H58" s="50" t="s">
        <v>78</v>
      </c>
      <c r="I58" s="50">
        <v>10</v>
      </c>
      <c r="J58" s="50">
        <f t="shared" si="23"/>
        <v>2027</v>
      </c>
      <c r="K58" s="51">
        <f t="shared" si="15"/>
        <v>2027.8333333333333</v>
      </c>
      <c r="L58" s="86">
        <v>337878.55</v>
      </c>
      <c r="M58" s="86">
        <f t="shared" si="22"/>
        <v>337878.55</v>
      </c>
      <c r="N58" s="86">
        <f t="shared" si="24"/>
        <v>2815.654583333333</v>
      </c>
      <c r="O58" s="86">
        <f t="shared" si="33"/>
        <v>33787.854999999996</v>
      </c>
      <c r="P58" s="86">
        <f t="shared" si="18"/>
        <v>33787.854999999996</v>
      </c>
      <c r="Q58" s="86">
        <f t="shared" si="25"/>
        <v>33787.854999999996</v>
      </c>
      <c r="R58" s="86">
        <f t="shared" si="26"/>
        <v>67575.709999999992</v>
      </c>
      <c r="S58" s="86">
        <f t="shared" si="27"/>
        <v>270302.83999999997</v>
      </c>
    </row>
    <row r="59" spans="1:19">
      <c r="A59" s="50"/>
      <c r="B59" s="62">
        <v>187605</v>
      </c>
      <c r="C59" s="50">
        <v>3662</v>
      </c>
      <c r="D59" s="50" t="s">
        <v>720</v>
      </c>
      <c r="E59" s="50">
        <v>2017</v>
      </c>
      <c r="F59" s="50">
        <v>10</v>
      </c>
      <c r="G59" s="73">
        <v>0</v>
      </c>
      <c r="H59" s="50" t="s">
        <v>78</v>
      </c>
      <c r="I59" s="50">
        <v>10</v>
      </c>
      <c r="J59" s="50">
        <f t="shared" si="23"/>
        <v>2027</v>
      </c>
      <c r="K59" s="51">
        <f t="shared" si="15"/>
        <v>2027.8333333333333</v>
      </c>
      <c r="L59" s="86">
        <v>337983.11</v>
      </c>
      <c r="M59" s="86">
        <f t="shared" si="22"/>
        <v>337983.11</v>
      </c>
      <c r="N59" s="86">
        <f t="shared" si="24"/>
        <v>2816.5259166666669</v>
      </c>
      <c r="O59" s="86">
        <f t="shared" si="33"/>
        <v>33798.311000000002</v>
      </c>
      <c r="P59" s="86">
        <f t="shared" si="18"/>
        <v>33798.311000000002</v>
      </c>
      <c r="Q59" s="86">
        <f t="shared" si="25"/>
        <v>33798.311000000002</v>
      </c>
      <c r="R59" s="86">
        <f t="shared" si="26"/>
        <v>67596.622000000003</v>
      </c>
      <c r="S59" s="86">
        <f t="shared" si="27"/>
        <v>270386.48800000001</v>
      </c>
    </row>
    <row r="60" spans="1:19">
      <c r="A60" s="50"/>
      <c r="B60" s="62" t="s">
        <v>713</v>
      </c>
      <c r="C60" s="50"/>
      <c r="D60" s="50" t="s">
        <v>712</v>
      </c>
      <c r="E60" s="50">
        <v>2018</v>
      </c>
      <c r="F60" s="50">
        <v>1</v>
      </c>
      <c r="G60" s="73">
        <v>0</v>
      </c>
      <c r="H60" s="50" t="s">
        <v>78</v>
      </c>
      <c r="I60" s="50">
        <v>10</v>
      </c>
      <c r="J60" s="50">
        <f t="shared" si="23"/>
        <v>2028</v>
      </c>
      <c r="K60" s="51">
        <f t="shared" si="15"/>
        <v>2028.0833333333333</v>
      </c>
      <c r="L60" s="86">
        <v>1003.93</v>
      </c>
      <c r="M60" s="86">
        <f t="shared" si="22"/>
        <v>1003.93</v>
      </c>
      <c r="N60" s="86">
        <f t="shared" si="24"/>
        <v>8.366083333333334</v>
      </c>
      <c r="O60" s="86">
        <f t="shared" si="33"/>
        <v>100.393</v>
      </c>
      <c r="P60" s="86">
        <f t="shared" si="18"/>
        <v>100.393</v>
      </c>
      <c r="Q60" s="86">
        <f t="shared" si="25"/>
        <v>0</v>
      </c>
      <c r="R60" s="86">
        <f t="shared" si="26"/>
        <v>100.393</v>
      </c>
      <c r="S60" s="86">
        <f t="shared" si="27"/>
        <v>903.53699999999992</v>
      </c>
    </row>
    <row r="61" spans="1:19">
      <c r="A61" s="50"/>
      <c r="B61" s="62">
        <v>191688</v>
      </c>
      <c r="C61" s="102">
        <v>3670</v>
      </c>
      <c r="D61" s="50" t="s">
        <v>714</v>
      </c>
      <c r="E61" s="50">
        <v>2018</v>
      </c>
      <c r="F61" s="50">
        <v>1</v>
      </c>
      <c r="G61" s="73">
        <v>0</v>
      </c>
      <c r="H61" s="50" t="s">
        <v>78</v>
      </c>
      <c r="I61" s="50">
        <v>10</v>
      </c>
      <c r="J61" s="50">
        <f t="shared" si="23"/>
        <v>2028</v>
      </c>
      <c r="K61" s="51">
        <f t="shared" si="15"/>
        <v>2028.0833333333333</v>
      </c>
      <c r="L61" s="86">
        <v>336750.81</v>
      </c>
      <c r="M61" s="86">
        <f t="shared" si="22"/>
        <v>336750.81</v>
      </c>
      <c r="N61" s="86">
        <f t="shared" si="24"/>
        <v>2806.25675</v>
      </c>
      <c r="O61" s="86">
        <f t="shared" si="33"/>
        <v>33675.080999999998</v>
      </c>
      <c r="P61" s="86">
        <f t="shared" si="18"/>
        <v>33675.080999999998</v>
      </c>
      <c r="Q61" s="86">
        <f t="shared" si="25"/>
        <v>0</v>
      </c>
      <c r="R61" s="86">
        <f t="shared" si="26"/>
        <v>33675.080999999998</v>
      </c>
      <c r="S61" s="86">
        <f t="shared" si="27"/>
        <v>303075.72899999999</v>
      </c>
    </row>
    <row r="62" spans="1:19">
      <c r="A62" s="50"/>
      <c r="B62" s="62" t="s">
        <v>776</v>
      </c>
      <c r="C62" s="50">
        <v>3671</v>
      </c>
      <c r="D62" s="50" t="s">
        <v>724</v>
      </c>
      <c r="E62" s="50">
        <v>2018</v>
      </c>
      <c r="F62" s="50">
        <v>4</v>
      </c>
      <c r="G62" s="73">
        <v>0</v>
      </c>
      <c r="H62" s="50" t="s">
        <v>78</v>
      </c>
      <c r="I62" s="50">
        <v>10</v>
      </c>
      <c r="J62" s="50">
        <f t="shared" ref="J62:J82" si="34">E62+I62</f>
        <v>2028</v>
      </c>
      <c r="K62" s="51">
        <f t="shared" ref="K62:K82" si="35">+J62+(F62/12)</f>
        <v>2028.3333333333333</v>
      </c>
      <c r="L62" s="86">
        <f>339677.75+336+1003.93+677.33</f>
        <v>341695.01</v>
      </c>
      <c r="M62" s="86">
        <f t="shared" ref="M62:M78" si="36">L62-L62*G62</f>
        <v>341695.01</v>
      </c>
      <c r="N62" s="86">
        <f t="shared" ref="N62:N78" si="37">M62/I62/12</f>
        <v>2847.4584166666668</v>
      </c>
      <c r="O62" s="86">
        <f t="shared" ref="O62:O78" si="38">+N62*12</f>
        <v>34169.501000000004</v>
      </c>
      <c r="P62" s="86">
        <f t="shared" ref="P62:P78" si="39">+IF(K62&lt;=$M$5,0,IF(J62=$M$4,N62*F62,O62))</f>
        <v>34169.501000000004</v>
      </c>
      <c r="Q62" s="86">
        <f t="shared" ref="Q62:Q78" si="40">+IF(P62=0,M62,IF($M$3-E62&lt;1,0,(($M$3-E62)*O62)))</f>
        <v>0</v>
      </c>
      <c r="R62" s="86">
        <f t="shared" ref="R62:R78" si="41">+IF(P62=0,Q62,Q62+P62)</f>
        <v>34169.501000000004</v>
      </c>
      <c r="S62" s="86">
        <f t="shared" ref="S62:S78" si="42">+L62-R62</f>
        <v>307525.50900000002</v>
      </c>
    </row>
    <row r="63" spans="1:19">
      <c r="A63" s="50"/>
      <c r="B63" s="62" t="s">
        <v>777</v>
      </c>
      <c r="C63" s="50">
        <v>3671</v>
      </c>
      <c r="D63" s="50" t="s">
        <v>778</v>
      </c>
      <c r="E63" s="50">
        <v>2018</v>
      </c>
      <c r="F63" s="50">
        <v>4</v>
      </c>
      <c r="G63" s="73">
        <v>0</v>
      </c>
      <c r="H63" s="50" t="s">
        <v>78</v>
      </c>
      <c r="I63" s="50">
        <v>5</v>
      </c>
      <c r="J63" s="50">
        <f t="shared" si="34"/>
        <v>2023</v>
      </c>
      <c r="K63" s="51">
        <f t="shared" si="35"/>
        <v>2023.3333333333333</v>
      </c>
      <c r="L63" s="86">
        <f>722.88+518.38</f>
        <v>1241.26</v>
      </c>
      <c r="M63" s="86">
        <f t="shared" si="36"/>
        <v>1241.26</v>
      </c>
      <c r="N63" s="86">
        <f t="shared" si="37"/>
        <v>20.687666666666669</v>
      </c>
      <c r="O63" s="86">
        <f t="shared" si="38"/>
        <v>248.25200000000001</v>
      </c>
      <c r="P63" s="86">
        <f t="shared" si="39"/>
        <v>248.25200000000001</v>
      </c>
      <c r="Q63" s="86">
        <f t="shared" si="40"/>
        <v>0</v>
      </c>
      <c r="R63" s="86">
        <f t="shared" si="41"/>
        <v>248.25200000000001</v>
      </c>
      <c r="S63" s="86">
        <f t="shared" si="42"/>
        <v>993.00800000000004</v>
      </c>
    </row>
    <row r="64" spans="1:19">
      <c r="A64" s="50"/>
      <c r="B64" s="62" t="s">
        <v>779</v>
      </c>
      <c r="C64" s="50">
        <v>3673</v>
      </c>
      <c r="D64" s="50" t="s">
        <v>724</v>
      </c>
      <c r="E64" s="50">
        <v>2018</v>
      </c>
      <c r="F64" s="50">
        <v>6</v>
      </c>
      <c r="G64" s="73">
        <v>0</v>
      </c>
      <c r="H64" s="50" t="s">
        <v>78</v>
      </c>
      <c r="I64" s="50">
        <v>10</v>
      </c>
      <c r="J64" s="50">
        <f t="shared" si="34"/>
        <v>2028</v>
      </c>
      <c r="K64" s="51">
        <f t="shared" si="35"/>
        <v>2028.5</v>
      </c>
      <c r="L64" s="86">
        <f>339421.75+950.67+1003.93</f>
        <v>341376.35</v>
      </c>
      <c r="M64" s="86">
        <f t="shared" si="36"/>
        <v>341376.35</v>
      </c>
      <c r="N64" s="86">
        <f t="shared" si="37"/>
        <v>2844.8029166666661</v>
      </c>
      <c r="O64" s="86">
        <f t="shared" si="38"/>
        <v>34137.634999999995</v>
      </c>
      <c r="P64" s="86">
        <f t="shared" si="39"/>
        <v>34137.634999999995</v>
      </c>
      <c r="Q64" s="86">
        <f t="shared" si="40"/>
        <v>0</v>
      </c>
      <c r="R64" s="86">
        <f t="shared" si="41"/>
        <v>34137.634999999995</v>
      </c>
      <c r="S64" s="86">
        <f t="shared" si="42"/>
        <v>307238.71499999997</v>
      </c>
    </row>
    <row r="65" spans="1:19">
      <c r="A65" s="50"/>
      <c r="B65" s="62" t="s">
        <v>732</v>
      </c>
      <c r="C65" s="50">
        <v>3673</v>
      </c>
      <c r="D65" s="50" t="s">
        <v>733</v>
      </c>
      <c r="E65" s="50">
        <v>2018</v>
      </c>
      <c r="F65" s="50">
        <v>6</v>
      </c>
      <c r="G65" s="73">
        <v>0</v>
      </c>
      <c r="H65" s="50" t="s">
        <v>78</v>
      </c>
      <c r="I65" s="50">
        <v>5</v>
      </c>
      <c r="J65" s="50">
        <f t="shared" si="34"/>
        <v>2023</v>
      </c>
      <c r="K65" s="51">
        <f t="shared" si="35"/>
        <v>2023.5</v>
      </c>
      <c r="L65" s="86">
        <v>722.88</v>
      </c>
      <c r="M65" s="86">
        <f t="shared" si="36"/>
        <v>722.88</v>
      </c>
      <c r="N65" s="86">
        <f t="shared" si="37"/>
        <v>12.048</v>
      </c>
      <c r="O65" s="86">
        <f t="shared" si="38"/>
        <v>144.57599999999999</v>
      </c>
      <c r="P65" s="86">
        <f t="shared" si="39"/>
        <v>144.57599999999999</v>
      </c>
      <c r="Q65" s="86">
        <f t="shared" si="40"/>
        <v>0</v>
      </c>
      <c r="R65" s="86">
        <f t="shared" si="41"/>
        <v>144.57599999999999</v>
      </c>
      <c r="S65" s="86">
        <f t="shared" si="42"/>
        <v>578.30399999999997</v>
      </c>
    </row>
    <row r="66" spans="1:19">
      <c r="A66" s="50"/>
      <c r="B66" s="62" t="s">
        <v>764</v>
      </c>
      <c r="C66" s="50">
        <v>3672</v>
      </c>
      <c r="D66" s="50" t="s">
        <v>724</v>
      </c>
      <c r="E66" s="50">
        <v>2018</v>
      </c>
      <c r="F66" s="50">
        <v>8</v>
      </c>
      <c r="G66" s="73">
        <v>0</v>
      </c>
      <c r="H66" s="50" t="s">
        <v>78</v>
      </c>
      <c r="I66" s="50">
        <v>10</v>
      </c>
      <c r="J66" s="50">
        <f t="shared" si="34"/>
        <v>2028</v>
      </c>
      <c r="K66" s="51">
        <f t="shared" si="35"/>
        <v>2028.6666666666667</v>
      </c>
      <c r="L66" s="86">
        <f>339421.75+1274.53</f>
        <v>340696.28</v>
      </c>
      <c r="M66" s="86">
        <f t="shared" si="36"/>
        <v>340696.28</v>
      </c>
      <c r="N66" s="86">
        <f t="shared" si="37"/>
        <v>2839.135666666667</v>
      </c>
      <c r="O66" s="86">
        <f t="shared" si="38"/>
        <v>34069.628000000004</v>
      </c>
      <c r="P66" s="86">
        <f t="shared" si="39"/>
        <v>34069.628000000004</v>
      </c>
      <c r="Q66" s="86">
        <f t="shared" si="40"/>
        <v>0</v>
      </c>
      <c r="R66" s="86">
        <f t="shared" si="41"/>
        <v>34069.628000000004</v>
      </c>
      <c r="S66" s="86">
        <f t="shared" si="42"/>
        <v>306626.652</v>
      </c>
    </row>
    <row r="67" spans="1:19">
      <c r="A67" s="50"/>
      <c r="B67" s="62" t="s">
        <v>766</v>
      </c>
      <c r="C67" s="50">
        <v>3672</v>
      </c>
      <c r="D67" s="50" t="s">
        <v>765</v>
      </c>
      <c r="E67" s="50">
        <v>2018</v>
      </c>
      <c r="F67" s="50">
        <v>8</v>
      </c>
      <c r="G67" s="73">
        <v>0</v>
      </c>
      <c r="H67" s="50" t="s">
        <v>78</v>
      </c>
      <c r="I67" s="50">
        <v>5</v>
      </c>
      <c r="J67" s="50">
        <f t="shared" si="34"/>
        <v>2023</v>
      </c>
      <c r="K67" s="51">
        <f t="shared" si="35"/>
        <v>2023.6666666666667</v>
      </c>
      <c r="L67" s="86">
        <f>731.05+519.47</f>
        <v>1250.52</v>
      </c>
      <c r="M67" s="86">
        <f t="shared" si="36"/>
        <v>1250.52</v>
      </c>
      <c r="N67" s="86">
        <f t="shared" si="37"/>
        <v>20.841999999999999</v>
      </c>
      <c r="O67" s="86">
        <f t="shared" si="38"/>
        <v>250.10399999999998</v>
      </c>
      <c r="P67" s="86">
        <f t="shared" si="39"/>
        <v>250.10399999999998</v>
      </c>
      <c r="Q67" s="86">
        <f t="shared" si="40"/>
        <v>0</v>
      </c>
      <c r="R67" s="86">
        <f t="shared" si="41"/>
        <v>250.10399999999998</v>
      </c>
      <c r="S67" s="86">
        <f t="shared" si="42"/>
        <v>1000.4159999999999</v>
      </c>
    </row>
    <row r="68" spans="1:19">
      <c r="A68" s="50"/>
      <c r="B68" s="62" t="s">
        <v>734</v>
      </c>
      <c r="C68" s="50">
        <v>3672</v>
      </c>
      <c r="D68" s="50" t="s">
        <v>735</v>
      </c>
      <c r="E68" s="50">
        <v>2018</v>
      </c>
      <c r="F68" s="50">
        <v>8</v>
      </c>
      <c r="G68" s="73">
        <v>0</v>
      </c>
      <c r="H68" s="50" t="s">
        <v>78</v>
      </c>
      <c r="I68" s="50">
        <v>10</v>
      </c>
      <c r="J68" s="50">
        <f t="shared" si="34"/>
        <v>2028</v>
      </c>
      <c r="K68" s="51">
        <f t="shared" si="35"/>
        <v>2028.6666666666667</v>
      </c>
      <c r="L68" s="86">
        <v>336</v>
      </c>
      <c r="M68" s="86">
        <f t="shared" si="36"/>
        <v>336</v>
      </c>
      <c r="N68" s="86">
        <f t="shared" si="37"/>
        <v>2.8000000000000003</v>
      </c>
      <c r="O68" s="86">
        <f t="shared" si="38"/>
        <v>33.6</v>
      </c>
      <c r="P68" s="86">
        <f t="shared" si="39"/>
        <v>33.6</v>
      </c>
      <c r="Q68" s="86">
        <f t="shared" si="40"/>
        <v>0</v>
      </c>
      <c r="R68" s="86">
        <f t="shared" si="41"/>
        <v>33.6</v>
      </c>
      <c r="S68" s="86">
        <f t="shared" si="42"/>
        <v>302.39999999999998</v>
      </c>
    </row>
    <row r="69" spans="1:19">
      <c r="A69" s="50"/>
      <c r="B69" s="62" t="s">
        <v>773</v>
      </c>
      <c r="C69" s="50">
        <v>3686</v>
      </c>
      <c r="D69" s="50" t="s">
        <v>724</v>
      </c>
      <c r="E69" s="50">
        <v>2018</v>
      </c>
      <c r="F69" s="50">
        <v>9</v>
      </c>
      <c r="G69" s="73">
        <v>0</v>
      </c>
      <c r="H69" s="50" t="s">
        <v>78</v>
      </c>
      <c r="I69" s="50">
        <v>10</v>
      </c>
      <c r="J69" s="50">
        <f t="shared" si="34"/>
        <v>2028</v>
      </c>
      <c r="K69" s="51">
        <f t="shared" si="35"/>
        <v>2028.75</v>
      </c>
      <c r="L69" s="86">
        <f>339421.75+243+993+952.88</f>
        <v>341610.63</v>
      </c>
      <c r="M69" s="86">
        <f t="shared" si="36"/>
        <v>341610.63</v>
      </c>
      <c r="N69" s="86">
        <f t="shared" si="37"/>
        <v>2846.7552500000002</v>
      </c>
      <c r="O69" s="86">
        <f t="shared" si="38"/>
        <v>34161.063000000002</v>
      </c>
      <c r="P69" s="86">
        <f t="shared" si="39"/>
        <v>34161.063000000002</v>
      </c>
      <c r="Q69" s="86">
        <f t="shared" si="40"/>
        <v>0</v>
      </c>
      <c r="R69" s="86">
        <f t="shared" si="41"/>
        <v>34161.063000000002</v>
      </c>
      <c r="S69" s="86">
        <f t="shared" si="42"/>
        <v>307449.56699999998</v>
      </c>
    </row>
    <row r="70" spans="1:19">
      <c r="A70" s="50"/>
      <c r="B70" s="62" t="s">
        <v>782</v>
      </c>
      <c r="C70" s="50">
        <v>3685</v>
      </c>
      <c r="D70" s="50" t="s">
        <v>724</v>
      </c>
      <c r="E70" s="50">
        <v>2018</v>
      </c>
      <c r="F70" s="50">
        <v>9</v>
      </c>
      <c r="G70" s="73">
        <v>0</v>
      </c>
      <c r="H70" s="50" t="s">
        <v>78</v>
      </c>
      <c r="I70" s="50">
        <v>10</v>
      </c>
      <c r="J70" s="50">
        <f t="shared" si="34"/>
        <v>2028</v>
      </c>
      <c r="K70" s="51">
        <f t="shared" si="35"/>
        <v>2028.75</v>
      </c>
      <c r="L70" s="86">
        <f>338957.39+952.88+371.67</f>
        <v>340281.94</v>
      </c>
      <c r="M70" s="86">
        <f t="shared" si="36"/>
        <v>340281.94</v>
      </c>
      <c r="N70" s="86">
        <f t="shared" si="37"/>
        <v>2835.6828333333337</v>
      </c>
      <c r="O70" s="86">
        <f t="shared" si="38"/>
        <v>34028.194000000003</v>
      </c>
      <c r="P70" s="86">
        <f t="shared" si="39"/>
        <v>34028.194000000003</v>
      </c>
      <c r="Q70" s="86">
        <f t="shared" si="40"/>
        <v>0</v>
      </c>
      <c r="R70" s="86">
        <f t="shared" si="41"/>
        <v>34028.194000000003</v>
      </c>
      <c r="S70" s="86">
        <f t="shared" si="42"/>
        <v>306253.74599999998</v>
      </c>
    </row>
    <row r="71" spans="1:19">
      <c r="A71" s="50"/>
      <c r="B71" s="62" t="s">
        <v>783</v>
      </c>
      <c r="C71" s="50">
        <v>3685</v>
      </c>
      <c r="D71" s="50" t="s">
        <v>733</v>
      </c>
      <c r="E71" s="50">
        <v>2018</v>
      </c>
      <c r="F71" s="50">
        <v>9</v>
      </c>
      <c r="G71" s="73">
        <v>0</v>
      </c>
      <c r="H71" s="50" t="s">
        <v>78</v>
      </c>
      <c r="I71" s="50">
        <v>5</v>
      </c>
      <c r="J71" s="50">
        <f t="shared" si="34"/>
        <v>2023</v>
      </c>
      <c r="K71" s="51">
        <f t="shared" si="35"/>
        <v>2023.75</v>
      </c>
      <c r="L71" s="86">
        <f>796.28+519.47</f>
        <v>1315.75</v>
      </c>
      <c r="M71" s="86">
        <f t="shared" si="36"/>
        <v>1315.75</v>
      </c>
      <c r="N71" s="86">
        <f t="shared" si="37"/>
        <v>21.929166666666664</v>
      </c>
      <c r="O71" s="86">
        <f t="shared" si="38"/>
        <v>263.14999999999998</v>
      </c>
      <c r="P71" s="86">
        <f t="shared" si="39"/>
        <v>263.14999999999998</v>
      </c>
      <c r="Q71" s="86">
        <f t="shared" si="40"/>
        <v>0</v>
      </c>
      <c r="R71" s="86">
        <f t="shared" si="41"/>
        <v>263.14999999999998</v>
      </c>
      <c r="S71" s="86">
        <f t="shared" si="42"/>
        <v>1052.5999999999999</v>
      </c>
    </row>
    <row r="72" spans="1:19">
      <c r="A72" s="50"/>
      <c r="B72" s="62" t="s">
        <v>780</v>
      </c>
      <c r="C72" s="50">
        <v>2050</v>
      </c>
      <c r="D72" s="50" t="s">
        <v>725</v>
      </c>
      <c r="E72" s="50">
        <v>2018</v>
      </c>
      <c r="F72" s="50">
        <v>9</v>
      </c>
      <c r="G72" s="73">
        <v>0</v>
      </c>
      <c r="H72" s="50" t="s">
        <v>78</v>
      </c>
      <c r="I72" s="50">
        <v>10</v>
      </c>
      <c r="J72" s="50">
        <f t="shared" si="34"/>
        <v>2028</v>
      </c>
      <c r="K72" s="51">
        <f t="shared" si="35"/>
        <v>2028.75</v>
      </c>
      <c r="L72" s="86">
        <f>317781.56+920.21+1295.25</f>
        <v>319997.02</v>
      </c>
      <c r="M72" s="86">
        <f t="shared" si="36"/>
        <v>319997.02</v>
      </c>
      <c r="N72" s="86">
        <f t="shared" si="37"/>
        <v>2666.6418333333336</v>
      </c>
      <c r="O72" s="86">
        <f t="shared" si="38"/>
        <v>31999.702000000005</v>
      </c>
      <c r="P72" s="86">
        <f t="shared" si="39"/>
        <v>31999.702000000005</v>
      </c>
      <c r="Q72" s="86">
        <f t="shared" si="40"/>
        <v>0</v>
      </c>
      <c r="R72" s="86">
        <f t="shared" si="41"/>
        <v>31999.702000000005</v>
      </c>
      <c r="S72" s="86">
        <f t="shared" si="42"/>
        <v>287997.31800000003</v>
      </c>
    </row>
    <row r="73" spans="1:19">
      <c r="A73" s="50"/>
      <c r="B73" s="62" t="s">
        <v>781</v>
      </c>
      <c r="C73" s="50">
        <v>2050</v>
      </c>
      <c r="D73" s="50" t="s">
        <v>770</v>
      </c>
      <c r="E73" s="50">
        <v>2018</v>
      </c>
      <c r="F73" s="50">
        <v>9</v>
      </c>
      <c r="G73" s="73">
        <v>0</v>
      </c>
      <c r="H73" s="50" t="s">
        <v>78</v>
      </c>
      <c r="I73" s="50">
        <v>5</v>
      </c>
      <c r="J73" s="50">
        <f t="shared" si="34"/>
        <v>2023</v>
      </c>
      <c r="K73" s="51">
        <f t="shared" si="35"/>
        <v>2023.75</v>
      </c>
      <c r="L73" s="86">
        <f>796.28+519.47</f>
        <v>1315.75</v>
      </c>
      <c r="M73" s="86">
        <f t="shared" si="36"/>
        <v>1315.75</v>
      </c>
      <c r="N73" s="86">
        <f t="shared" si="37"/>
        <v>21.929166666666664</v>
      </c>
      <c r="O73" s="86">
        <f t="shared" si="38"/>
        <v>263.14999999999998</v>
      </c>
      <c r="P73" s="86">
        <f t="shared" si="39"/>
        <v>263.14999999999998</v>
      </c>
      <c r="Q73" s="86">
        <f t="shared" si="40"/>
        <v>0</v>
      </c>
      <c r="R73" s="86">
        <f t="shared" si="41"/>
        <v>263.14999999999998</v>
      </c>
      <c r="S73" s="86">
        <f t="shared" si="42"/>
        <v>1052.5999999999999</v>
      </c>
    </row>
    <row r="74" spans="1:19">
      <c r="A74" s="50"/>
      <c r="B74" s="62" t="s">
        <v>774</v>
      </c>
      <c r="C74" s="50">
        <v>3686</v>
      </c>
      <c r="D74" s="50" t="s">
        <v>770</v>
      </c>
      <c r="E74" s="50">
        <v>2018</v>
      </c>
      <c r="F74" s="50">
        <v>11</v>
      </c>
      <c r="G74" s="73">
        <v>0</v>
      </c>
      <c r="H74" s="50" t="s">
        <v>78</v>
      </c>
      <c r="I74" s="50">
        <v>5</v>
      </c>
      <c r="J74" s="50">
        <f t="shared" si="34"/>
        <v>2023</v>
      </c>
      <c r="K74" s="51">
        <f t="shared" si="35"/>
        <v>2023.9166666666667</v>
      </c>
      <c r="L74" s="86">
        <f>796.28+519.47</f>
        <v>1315.75</v>
      </c>
      <c r="M74" s="86">
        <f t="shared" si="36"/>
        <v>1315.75</v>
      </c>
      <c r="N74" s="86">
        <f t="shared" si="37"/>
        <v>21.929166666666664</v>
      </c>
      <c r="O74" s="86">
        <f t="shared" si="38"/>
        <v>263.14999999999998</v>
      </c>
      <c r="P74" s="86">
        <f t="shared" si="39"/>
        <v>263.14999999999998</v>
      </c>
      <c r="Q74" s="86">
        <f t="shared" si="40"/>
        <v>0</v>
      </c>
      <c r="R74" s="86">
        <f t="shared" si="41"/>
        <v>263.14999999999998</v>
      </c>
      <c r="S74" s="86">
        <f t="shared" si="42"/>
        <v>1052.5999999999999</v>
      </c>
    </row>
    <row r="75" spans="1:19">
      <c r="A75" s="50"/>
      <c r="B75" s="62" t="s">
        <v>771</v>
      </c>
      <c r="C75" s="50">
        <v>2051</v>
      </c>
      <c r="D75" s="50" t="s">
        <v>761</v>
      </c>
      <c r="E75" s="50">
        <v>2018</v>
      </c>
      <c r="F75" s="50">
        <v>8</v>
      </c>
      <c r="G75" s="73">
        <v>0</v>
      </c>
      <c r="H75" s="50" t="s">
        <v>78</v>
      </c>
      <c r="I75" s="50">
        <v>10</v>
      </c>
      <c r="J75" s="50">
        <f t="shared" si="34"/>
        <v>2028</v>
      </c>
      <c r="K75" s="51">
        <f t="shared" si="35"/>
        <v>2028.6666666666667</v>
      </c>
      <c r="L75" s="86">
        <f>319310.68+1236+892.98</f>
        <v>321439.65999999997</v>
      </c>
      <c r="M75" s="86">
        <f t="shared" si="36"/>
        <v>321439.65999999997</v>
      </c>
      <c r="N75" s="86">
        <f t="shared" si="37"/>
        <v>2678.6638333333331</v>
      </c>
      <c r="O75" s="86">
        <f t="shared" si="38"/>
        <v>32143.965999999997</v>
      </c>
      <c r="P75" s="86">
        <f t="shared" si="39"/>
        <v>32143.965999999997</v>
      </c>
      <c r="Q75" s="86">
        <f t="shared" si="40"/>
        <v>0</v>
      </c>
      <c r="R75" s="86">
        <f t="shared" si="41"/>
        <v>32143.965999999997</v>
      </c>
      <c r="S75" s="86">
        <f t="shared" si="42"/>
        <v>289295.69399999996</v>
      </c>
    </row>
    <row r="76" spans="1:19">
      <c r="A76" s="50"/>
      <c r="B76" s="62" t="s">
        <v>772</v>
      </c>
      <c r="C76" s="50">
        <v>2051</v>
      </c>
      <c r="D76" s="50" t="s">
        <v>770</v>
      </c>
      <c r="E76" s="50">
        <v>2018</v>
      </c>
      <c r="F76" s="50">
        <v>10</v>
      </c>
      <c r="G76" s="73">
        <v>0</v>
      </c>
      <c r="H76" s="50" t="s">
        <v>78</v>
      </c>
      <c r="I76" s="50">
        <v>5</v>
      </c>
      <c r="J76" s="50">
        <f t="shared" si="34"/>
        <v>2023</v>
      </c>
      <c r="K76" s="51">
        <f t="shared" si="35"/>
        <v>2023.8333333333333</v>
      </c>
      <c r="L76" s="86">
        <f>796.28+519.47</f>
        <v>1315.75</v>
      </c>
      <c r="M76" s="86">
        <f t="shared" si="36"/>
        <v>1315.75</v>
      </c>
      <c r="N76" s="86">
        <f t="shared" si="37"/>
        <v>21.929166666666664</v>
      </c>
      <c r="O76" s="86">
        <f t="shared" si="38"/>
        <v>263.14999999999998</v>
      </c>
      <c r="P76" s="86">
        <f t="shared" si="39"/>
        <v>263.14999999999998</v>
      </c>
      <c r="Q76" s="86">
        <f t="shared" si="40"/>
        <v>0</v>
      </c>
      <c r="R76" s="86">
        <f t="shared" si="41"/>
        <v>263.14999999999998</v>
      </c>
      <c r="S76" s="86">
        <f t="shared" si="42"/>
        <v>1052.5999999999999</v>
      </c>
    </row>
    <row r="77" spans="1:19">
      <c r="A77" s="50"/>
      <c r="B77" s="62" t="s">
        <v>768</v>
      </c>
      <c r="C77" s="50">
        <v>3687</v>
      </c>
      <c r="D77" s="50" t="s">
        <v>767</v>
      </c>
      <c r="E77" s="50">
        <v>2018</v>
      </c>
      <c r="F77" s="50">
        <v>11</v>
      </c>
      <c r="G77" s="73">
        <v>0</v>
      </c>
      <c r="H77" s="50" t="s">
        <v>78</v>
      </c>
      <c r="I77" s="50">
        <v>10</v>
      </c>
      <c r="J77" s="50">
        <f t="shared" si="34"/>
        <v>2028</v>
      </c>
      <c r="K77" s="51">
        <f t="shared" si="35"/>
        <v>2028.9166666666667</v>
      </c>
      <c r="L77" s="86">
        <f>340374.63+1155.33</f>
        <v>341529.96</v>
      </c>
      <c r="M77" s="86">
        <f t="shared" si="36"/>
        <v>341529.96</v>
      </c>
      <c r="N77" s="86">
        <f t="shared" si="37"/>
        <v>2846.0830000000001</v>
      </c>
      <c r="O77" s="86">
        <f t="shared" si="38"/>
        <v>34152.995999999999</v>
      </c>
      <c r="P77" s="86">
        <f t="shared" si="39"/>
        <v>34152.995999999999</v>
      </c>
      <c r="Q77" s="86">
        <f t="shared" si="40"/>
        <v>0</v>
      </c>
      <c r="R77" s="86">
        <f t="shared" si="41"/>
        <v>34152.995999999999</v>
      </c>
      <c r="S77" s="86">
        <f t="shared" si="42"/>
        <v>307376.96400000004</v>
      </c>
    </row>
    <row r="78" spans="1:19">
      <c r="A78" s="50"/>
      <c r="B78" s="62" t="s">
        <v>769</v>
      </c>
      <c r="C78" s="50">
        <v>3687</v>
      </c>
      <c r="D78" s="50" t="s">
        <v>770</v>
      </c>
      <c r="E78" s="50">
        <v>2018</v>
      </c>
      <c r="F78" s="50">
        <v>11</v>
      </c>
      <c r="G78" s="73">
        <v>0</v>
      </c>
      <c r="H78" s="50" t="s">
        <v>78</v>
      </c>
      <c r="I78" s="50">
        <v>5</v>
      </c>
      <c r="J78" s="50">
        <f t="shared" si="34"/>
        <v>2023</v>
      </c>
      <c r="K78" s="51">
        <f t="shared" si="35"/>
        <v>2023.9166666666667</v>
      </c>
      <c r="L78" s="86">
        <f>796.28+519.47</f>
        <v>1315.75</v>
      </c>
      <c r="M78" s="86">
        <f t="shared" si="36"/>
        <v>1315.75</v>
      </c>
      <c r="N78" s="86">
        <f t="shared" si="37"/>
        <v>21.929166666666664</v>
      </c>
      <c r="O78" s="86">
        <f t="shared" si="38"/>
        <v>263.14999999999998</v>
      </c>
      <c r="P78" s="86">
        <f t="shared" si="39"/>
        <v>263.14999999999998</v>
      </c>
      <c r="Q78" s="86">
        <f t="shared" si="40"/>
        <v>0</v>
      </c>
      <c r="R78" s="86">
        <f t="shared" si="41"/>
        <v>263.14999999999998</v>
      </c>
      <c r="S78" s="86">
        <f t="shared" si="42"/>
        <v>1052.5999999999999</v>
      </c>
    </row>
    <row r="79" spans="1:19" s="2" customFormat="1">
      <c r="B79" s="61"/>
      <c r="D79" s="2" t="s">
        <v>796</v>
      </c>
      <c r="E79" s="2">
        <v>2018</v>
      </c>
      <c r="F79" s="2">
        <v>5</v>
      </c>
      <c r="G79" s="71">
        <v>0</v>
      </c>
      <c r="H79" s="2" t="s">
        <v>78</v>
      </c>
      <c r="I79" s="2">
        <v>3</v>
      </c>
      <c r="J79" s="2">
        <f t="shared" si="34"/>
        <v>2021</v>
      </c>
      <c r="K79" s="15">
        <f t="shared" si="35"/>
        <v>2021.4166666666667</v>
      </c>
      <c r="L79" s="114">
        <f>+SUM(L244,L246,L262,L273,L280,L288,L290,L295,L297)</f>
        <v>199006.83460000003</v>
      </c>
      <c r="M79" s="114">
        <f t="shared" ref="M79" si="43">L79-L79*G79</f>
        <v>199006.83460000003</v>
      </c>
      <c r="N79" s="114">
        <f t="shared" ref="N79" si="44">M79/I79/12</f>
        <v>5527.9676277777789</v>
      </c>
      <c r="O79" s="114">
        <f t="shared" ref="O79" si="45">+N79*12</f>
        <v>66335.611533333344</v>
      </c>
      <c r="P79" s="114">
        <f t="shared" ref="P79" si="46">+IF(K79&lt;=$M$5,0,IF(J79=$M$4,N79*F79,O79))</f>
        <v>66335.611533333344</v>
      </c>
      <c r="Q79" s="114">
        <f t="shared" ref="Q79" si="47">+IF(P79=0,M79,IF($M$3-E79&lt;1,0,(($M$3-E79)*O79)))</f>
        <v>0</v>
      </c>
      <c r="R79" s="114">
        <f t="shared" ref="R79" si="48">+IF(P79=0,Q79,Q79+P79)</f>
        <v>66335.611533333344</v>
      </c>
      <c r="S79" s="114">
        <f t="shared" ref="S79" si="49">+L79-R79</f>
        <v>132671.22306666669</v>
      </c>
    </row>
    <row r="80" spans="1:19" s="59" customFormat="1">
      <c r="B80" s="95" t="s">
        <v>800</v>
      </c>
      <c r="D80" s="59" t="s">
        <v>801</v>
      </c>
      <c r="E80" s="59">
        <v>2019</v>
      </c>
      <c r="F80" s="59">
        <v>2</v>
      </c>
      <c r="G80" s="96">
        <v>0</v>
      </c>
      <c r="H80" s="59" t="s">
        <v>78</v>
      </c>
      <c r="I80" s="59">
        <v>3</v>
      </c>
      <c r="J80" s="59">
        <f t="shared" si="34"/>
        <v>2022</v>
      </c>
      <c r="K80" s="103">
        <f t="shared" si="35"/>
        <v>2022.1666666666667</v>
      </c>
      <c r="L80" s="115">
        <v>12037.33</v>
      </c>
      <c r="M80" s="115">
        <f t="shared" ref="M80" si="50">L80-L80*G80</f>
        <v>12037.33</v>
      </c>
      <c r="N80" s="115">
        <f t="shared" ref="N80" si="51">M80/I80/12</f>
        <v>334.37027777777774</v>
      </c>
      <c r="O80" s="115">
        <f t="shared" ref="O80" si="52">+N80*12</f>
        <v>4012.4433333333327</v>
      </c>
      <c r="P80" s="115">
        <f t="shared" ref="P80" si="53">+IF(K80&lt;=$M$5,0,IF(J80=$M$4,N80*F80,O80))</f>
        <v>4012.4433333333327</v>
      </c>
      <c r="Q80" s="115">
        <f t="shared" ref="Q80" si="54">+IF(P80=0,M80,IF($M$3-E80&lt;1,0,(($M$3-E80)*O80)))</f>
        <v>0</v>
      </c>
      <c r="R80" s="115">
        <f t="shared" ref="R80" si="55">+IF(P80=0,Q80,Q80+P80)</f>
        <v>4012.4433333333327</v>
      </c>
      <c r="S80" s="115">
        <f t="shared" ref="S80" si="56">+L80-R80</f>
        <v>8024.8866666666672</v>
      </c>
    </row>
    <row r="81" spans="1:19" s="59" customFormat="1">
      <c r="B81" s="95" t="s">
        <v>807</v>
      </c>
      <c r="D81" s="59" t="s">
        <v>808</v>
      </c>
      <c r="E81" s="59">
        <v>2019</v>
      </c>
      <c r="F81" s="59">
        <v>6</v>
      </c>
      <c r="G81" s="96">
        <v>0</v>
      </c>
      <c r="H81" s="59" t="s">
        <v>78</v>
      </c>
      <c r="I81" s="59">
        <v>10</v>
      </c>
      <c r="J81" s="59">
        <f>E81+I81</f>
        <v>2029</v>
      </c>
      <c r="K81" s="103">
        <f>+J81+(F81/12)</f>
        <v>2029.5</v>
      </c>
      <c r="L81" s="115">
        <v>362936</v>
      </c>
      <c r="M81" s="115">
        <f>L81-L81*G81</f>
        <v>362936</v>
      </c>
      <c r="N81" s="115">
        <f>M81/I81/12</f>
        <v>3024.4666666666667</v>
      </c>
      <c r="O81" s="115">
        <f>+N81*12</f>
        <v>36293.599999999999</v>
      </c>
      <c r="P81" s="115">
        <f>+IF(K81&lt;=$M$5,0,IF(J81=$M$4,N81*F81,O81))</f>
        <v>36293.599999999999</v>
      </c>
      <c r="Q81" s="115">
        <f>+IF(P81=0,M81,IF($M$3-E81&lt;1,0,(($M$3-E81)*O81)))</f>
        <v>0</v>
      </c>
      <c r="R81" s="115">
        <f>+IF(P81=0,Q81,Q81+P81)</f>
        <v>36293.599999999999</v>
      </c>
      <c r="S81" s="115">
        <f>+L81-R81</f>
        <v>326642.40000000002</v>
      </c>
    </row>
    <row r="82" spans="1:19" s="59" customFormat="1">
      <c r="B82" s="95" t="s">
        <v>807</v>
      </c>
      <c r="D82" s="59" t="s">
        <v>808</v>
      </c>
      <c r="E82" s="59">
        <v>2019</v>
      </c>
      <c r="F82" s="59">
        <v>6</v>
      </c>
      <c r="G82" s="96">
        <v>0</v>
      </c>
      <c r="H82" s="59" t="s">
        <v>78</v>
      </c>
      <c r="I82" s="59">
        <v>10</v>
      </c>
      <c r="J82" s="59">
        <f t="shared" si="34"/>
        <v>2029</v>
      </c>
      <c r="K82" s="103">
        <f t="shared" si="35"/>
        <v>2029.5</v>
      </c>
      <c r="L82" s="115">
        <v>362936</v>
      </c>
      <c r="M82" s="115">
        <f t="shared" ref="M82" si="57">L82-L82*G82</f>
        <v>362936</v>
      </c>
      <c r="N82" s="115">
        <f t="shared" ref="N82" si="58">M82/I82/12</f>
        <v>3024.4666666666667</v>
      </c>
      <c r="O82" s="115">
        <f t="shared" ref="O82" si="59">+N82*12</f>
        <v>36293.599999999999</v>
      </c>
      <c r="P82" s="115">
        <f t="shared" ref="P82" si="60">+IF(K82&lt;=$M$5,0,IF(J82=$M$4,N82*F82,O82))</f>
        <v>36293.599999999999</v>
      </c>
      <c r="Q82" s="115">
        <f t="shared" ref="Q82" si="61">+IF(P82=0,M82,IF($M$3-E82&lt;1,0,(($M$3-E82)*O82)))</f>
        <v>0</v>
      </c>
      <c r="R82" s="115">
        <f t="shared" ref="R82" si="62">+IF(P82=0,Q82,Q82+P82)</f>
        <v>36293.599999999999</v>
      </c>
      <c r="S82" s="115">
        <f t="shared" ref="S82" si="63">+L82-R82</f>
        <v>326642.40000000002</v>
      </c>
    </row>
    <row r="83" spans="1:19" s="59" customFormat="1">
      <c r="B83" s="95" t="s">
        <v>807</v>
      </c>
      <c r="D83" s="59" t="s">
        <v>808</v>
      </c>
      <c r="E83" s="59">
        <v>2019</v>
      </c>
      <c r="F83" s="59">
        <v>10</v>
      </c>
      <c r="G83" s="96">
        <v>0</v>
      </c>
      <c r="H83" s="59" t="s">
        <v>78</v>
      </c>
      <c r="I83" s="59">
        <v>10</v>
      </c>
      <c r="J83" s="59">
        <f t="shared" ref="J83:J88" si="64">E83+I83</f>
        <v>2029</v>
      </c>
      <c r="K83" s="103">
        <f t="shared" ref="K83:K88" si="65">+J83+(F83/12)</f>
        <v>2029.8333333333333</v>
      </c>
      <c r="L83" s="115">
        <v>362936</v>
      </c>
      <c r="M83" s="115">
        <f t="shared" ref="M83:M88" si="66">L83-L83*G83</f>
        <v>362936</v>
      </c>
      <c r="N83" s="115">
        <f t="shared" ref="N83:N88" si="67">M83/I83/12</f>
        <v>3024.4666666666667</v>
      </c>
      <c r="O83" s="115">
        <f t="shared" ref="O83:O88" si="68">+N83*12</f>
        <v>36293.599999999999</v>
      </c>
      <c r="P83" s="115">
        <f t="shared" ref="P83:P88" si="69">+IF(K83&lt;=$M$5,0,IF(J83=$M$4,N83*F83,O83))</f>
        <v>36293.599999999999</v>
      </c>
      <c r="Q83" s="115">
        <f t="shared" ref="Q83:Q88" si="70">+IF(P83=0,M83,IF($M$3-E83&lt;1,0,(($M$3-E83)*O83)))</f>
        <v>0</v>
      </c>
      <c r="R83" s="115">
        <f t="shared" ref="R83:R88" si="71">+IF(P83=0,Q83,Q83+P83)</f>
        <v>36293.599999999999</v>
      </c>
      <c r="S83" s="115">
        <f t="shared" ref="S83:S88" si="72">+L83-R83</f>
        <v>326642.40000000002</v>
      </c>
    </row>
    <row r="84" spans="1:19" s="59" customFormat="1">
      <c r="B84" s="95" t="s">
        <v>807</v>
      </c>
      <c r="D84" s="59" t="s">
        <v>808</v>
      </c>
      <c r="E84" s="59">
        <v>2019</v>
      </c>
      <c r="F84" s="59">
        <v>10</v>
      </c>
      <c r="G84" s="96">
        <v>0</v>
      </c>
      <c r="H84" s="59" t="s">
        <v>78</v>
      </c>
      <c r="I84" s="59">
        <v>10</v>
      </c>
      <c r="J84" s="59">
        <f t="shared" si="64"/>
        <v>2029</v>
      </c>
      <c r="K84" s="103">
        <f t="shared" si="65"/>
        <v>2029.8333333333333</v>
      </c>
      <c r="L84" s="115">
        <v>362936</v>
      </c>
      <c r="M84" s="115">
        <f t="shared" si="66"/>
        <v>362936</v>
      </c>
      <c r="N84" s="115">
        <f t="shared" si="67"/>
        <v>3024.4666666666667</v>
      </c>
      <c r="O84" s="115">
        <f t="shared" si="68"/>
        <v>36293.599999999999</v>
      </c>
      <c r="P84" s="115">
        <f t="shared" si="69"/>
        <v>36293.599999999999</v>
      </c>
      <c r="Q84" s="115">
        <f t="shared" si="70"/>
        <v>0</v>
      </c>
      <c r="R84" s="115">
        <f t="shared" si="71"/>
        <v>36293.599999999999</v>
      </c>
      <c r="S84" s="115">
        <f t="shared" si="72"/>
        <v>326642.40000000002</v>
      </c>
    </row>
    <row r="85" spans="1:19" s="59" customFormat="1">
      <c r="B85" s="95" t="s">
        <v>807</v>
      </c>
      <c r="D85" s="59" t="s">
        <v>808</v>
      </c>
      <c r="E85" s="59">
        <v>2019</v>
      </c>
      <c r="F85" s="59">
        <v>11</v>
      </c>
      <c r="G85" s="96">
        <v>0</v>
      </c>
      <c r="H85" s="59" t="s">
        <v>78</v>
      </c>
      <c r="I85" s="59">
        <v>10</v>
      </c>
      <c r="J85" s="59">
        <f t="shared" si="64"/>
        <v>2029</v>
      </c>
      <c r="K85" s="103">
        <f t="shared" si="65"/>
        <v>2029.9166666666667</v>
      </c>
      <c r="L85" s="115">
        <v>362936</v>
      </c>
      <c r="M85" s="115">
        <f t="shared" si="66"/>
        <v>362936</v>
      </c>
      <c r="N85" s="115">
        <f t="shared" si="67"/>
        <v>3024.4666666666667</v>
      </c>
      <c r="O85" s="115">
        <f t="shared" si="68"/>
        <v>36293.599999999999</v>
      </c>
      <c r="P85" s="115">
        <f t="shared" si="69"/>
        <v>36293.599999999999</v>
      </c>
      <c r="Q85" s="115">
        <f t="shared" si="70"/>
        <v>0</v>
      </c>
      <c r="R85" s="115">
        <f t="shared" si="71"/>
        <v>36293.599999999999</v>
      </c>
      <c r="S85" s="115">
        <f t="shared" si="72"/>
        <v>326642.40000000002</v>
      </c>
    </row>
    <row r="86" spans="1:19" s="59" customFormat="1">
      <c r="B86" s="95" t="s">
        <v>807</v>
      </c>
      <c r="D86" s="59" t="s">
        <v>810</v>
      </c>
      <c r="E86" s="59">
        <v>2019</v>
      </c>
      <c r="F86" s="59">
        <v>12</v>
      </c>
      <c r="G86" s="96">
        <v>0</v>
      </c>
      <c r="H86" s="59" t="s">
        <v>78</v>
      </c>
      <c r="I86" s="59">
        <v>10</v>
      </c>
      <c r="J86" s="59">
        <f t="shared" si="64"/>
        <v>2029</v>
      </c>
      <c r="K86" s="103">
        <f t="shared" si="65"/>
        <v>2030</v>
      </c>
      <c r="L86" s="115">
        <v>341698</v>
      </c>
      <c r="M86" s="115">
        <f t="shared" si="66"/>
        <v>341698</v>
      </c>
      <c r="N86" s="115">
        <f t="shared" si="67"/>
        <v>2847.4833333333336</v>
      </c>
      <c r="O86" s="115">
        <f t="shared" si="68"/>
        <v>34169.800000000003</v>
      </c>
      <c r="P86" s="115">
        <f t="shared" si="69"/>
        <v>34169.800000000003</v>
      </c>
      <c r="Q86" s="115">
        <f t="shared" si="70"/>
        <v>0</v>
      </c>
      <c r="R86" s="115">
        <f t="shared" si="71"/>
        <v>34169.800000000003</v>
      </c>
      <c r="S86" s="115">
        <f t="shared" si="72"/>
        <v>307528.2</v>
      </c>
    </row>
    <row r="87" spans="1:19" s="59" customFormat="1">
      <c r="B87" s="95" t="s">
        <v>807</v>
      </c>
      <c r="D87" s="59" t="s">
        <v>808</v>
      </c>
      <c r="E87" s="59">
        <v>2019</v>
      </c>
      <c r="F87" s="59">
        <v>11</v>
      </c>
      <c r="G87" s="96">
        <v>0</v>
      </c>
      <c r="H87" s="59" t="s">
        <v>78</v>
      </c>
      <c r="I87" s="59">
        <v>10</v>
      </c>
      <c r="J87" s="59">
        <f t="shared" si="64"/>
        <v>2029</v>
      </c>
      <c r="K87" s="103">
        <f t="shared" si="65"/>
        <v>2029.9166666666667</v>
      </c>
      <c r="L87" s="115">
        <v>362936</v>
      </c>
      <c r="M87" s="115">
        <f t="shared" si="66"/>
        <v>362936</v>
      </c>
      <c r="N87" s="115">
        <f t="shared" si="67"/>
        <v>3024.4666666666667</v>
      </c>
      <c r="O87" s="115">
        <f t="shared" si="68"/>
        <v>36293.599999999999</v>
      </c>
      <c r="P87" s="115">
        <f t="shared" si="69"/>
        <v>36293.599999999999</v>
      </c>
      <c r="Q87" s="115">
        <f t="shared" si="70"/>
        <v>0</v>
      </c>
      <c r="R87" s="115">
        <f t="shared" si="71"/>
        <v>36293.599999999999</v>
      </c>
      <c r="S87" s="115">
        <f t="shared" si="72"/>
        <v>326642.40000000002</v>
      </c>
    </row>
    <row r="88" spans="1:19" s="59" customFormat="1">
      <c r="B88" s="95" t="s">
        <v>807</v>
      </c>
      <c r="D88" s="59" t="s">
        <v>808</v>
      </c>
      <c r="E88" s="59">
        <v>2019</v>
      </c>
      <c r="F88" s="59">
        <v>11</v>
      </c>
      <c r="G88" s="96">
        <v>0</v>
      </c>
      <c r="H88" s="59" t="s">
        <v>78</v>
      </c>
      <c r="I88" s="59">
        <v>10</v>
      </c>
      <c r="J88" s="59">
        <f t="shared" si="64"/>
        <v>2029</v>
      </c>
      <c r="K88" s="103">
        <f t="shared" si="65"/>
        <v>2029.9166666666667</v>
      </c>
      <c r="L88" s="115">
        <v>362936</v>
      </c>
      <c r="M88" s="115">
        <f t="shared" si="66"/>
        <v>362936</v>
      </c>
      <c r="N88" s="115">
        <f t="shared" si="67"/>
        <v>3024.4666666666667</v>
      </c>
      <c r="O88" s="115">
        <f t="shared" si="68"/>
        <v>36293.599999999999</v>
      </c>
      <c r="P88" s="115">
        <f t="shared" si="69"/>
        <v>36293.599999999999</v>
      </c>
      <c r="Q88" s="115">
        <f t="shared" si="70"/>
        <v>0</v>
      </c>
      <c r="R88" s="115">
        <f t="shared" si="71"/>
        <v>36293.599999999999</v>
      </c>
      <c r="S88" s="115">
        <f t="shared" si="72"/>
        <v>326642.40000000002</v>
      </c>
    </row>
    <row r="89" spans="1:19">
      <c r="L89" s="79"/>
      <c r="M89" s="79"/>
      <c r="N89" s="79"/>
      <c r="O89" s="79"/>
      <c r="P89" s="79"/>
      <c r="Q89" s="79"/>
      <c r="R89" s="79"/>
      <c r="S89" s="79"/>
    </row>
    <row r="90" spans="1:19">
      <c r="C90" s="9">
        <v>32</v>
      </c>
      <c r="D90" s="9" t="s">
        <v>294</v>
      </c>
      <c r="L90" s="81">
        <f t="shared" ref="L90:S90" si="73">SUM(L13:L89)</f>
        <v>9907033.4407333322</v>
      </c>
      <c r="M90" s="81">
        <f t="shared" si="73"/>
        <v>9907033.4407333322</v>
      </c>
      <c r="N90" s="81">
        <f t="shared" si="73"/>
        <v>99547.392148888874</v>
      </c>
      <c r="O90" s="81">
        <f t="shared" si="73"/>
        <v>1194568.7057866673</v>
      </c>
      <c r="P90" s="81">
        <f t="shared" si="73"/>
        <v>988149.35616666672</v>
      </c>
      <c r="Q90" s="81">
        <f t="shared" si="73"/>
        <v>1751771.1618333336</v>
      </c>
      <c r="R90" s="81">
        <f t="shared" si="73"/>
        <v>2739920.5179999992</v>
      </c>
      <c r="S90" s="81">
        <f t="shared" si="73"/>
        <v>7167112.9227333358</v>
      </c>
    </row>
    <row r="91" spans="1:19">
      <c r="J91" s="17"/>
      <c r="K91" s="19"/>
      <c r="L91" s="79"/>
      <c r="M91" s="79"/>
      <c r="N91" s="79"/>
      <c r="O91" s="79"/>
      <c r="P91" s="79"/>
      <c r="Q91" s="79"/>
      <c r="R91" s="79"/>
      <c r="S91" s="79"/>
    </row>
    <row r="92" spans="1:19">
      <c r="J92" s="17"/>
      <c r="K92" s="19"/>
      <c r="L92" s="79"/>
      <c r="M92" s="79"/>
      <c r="N92" s="79"/>
      <c r="O92" s="79"/>
      <c r="P92" s="79"/>
      <c r="Q92" s="79"/>
      <c r="R92" s="79"/>
      <c r="S92" s="79"/>
    </row>
    <row r="93" spans="1:19">
      <c r="D93" s="9" t="s">
        <v>145</v>
      </c>
      <c r="L93" s="79"/>
      <c r="M93" s="79"/>
      <c r="N93" s="79"/>
      <c r="O93" s="79"/>
      <c r="P93" s="79"/>
      <c r="Q93" s="79"/>
      <c r="R93" s="79"/>
      <c r="S93" s="79"/>
    </row>
    <row r="94" spans="1:19">
      <c r="A94" s="7" t="s">
        <v>283</v>
      </c>
      <c r="C94" s="7">
        <v>4046</v>
      </c>
      <c r="D94" s="7" t="s">
        <v>165</v>
      </c>
      <c r="E94" s="7">
        <v>2005</v>
      </c>
      <c r="F94" s="7">
        <v>10</v>
      </c>
      <c r="G94" s="27">
        <v>0</v>
      </c>
      <c r="H94" s="7" t="s">
        <v>78</v>
      </c>
      <c r="I94" s="7">
        <v>7</v>
      </c>
      <c r="J94" s="7">
        <f t="shared" ref="J94:J129" si="74">E94+I94</f>
        <v>2012</v>
      </c>
      <c r="K94" s="14">
        <f t="shared" ref="K94:K129" si="75">+J94+(F94/12)</f>
        <v>2012.8333333333333</v>
      </c>
      <c r="L94" s="79">
        <f>'Orig Trucks 2183'!P85</f>
        <v>119503.72</v>
      </c>
      <c r="M94" s="79">
        <f>L94-L94*G94</f>
        <v>119503.72</v>
      </c>
      <c r="N94" s="79">
        <f t="shared" ref="N94:N127" si="76">M94/I94/12</f>
        <v>1422.6633333333332</v>
      </c>
      <c r="O94" s="79">
        <f t="shared" ref="O94:O124" si="77">+N94*12</f>
        <v>17071.96</v>
      </c>
      <c r="P94" s="79">
        <f t="shared" ref="P94:P125" si="78">+IF(K94&lt;=$M$5,0,IF(J94&gt;$M$4,O94,N94*F94))</f>
        <v>0</v>
      </c>
      <c r="Q94" s="79">
        <f t="shared" ref="Q94:Q127" si="79">+IF(P94=0,M94,IF($M$3-E94&lt;1,0,(($M$3-E94)*O94)))</f>
        <v>119503.72</v>
      </c>
      <c r="R94" s="79">
        <f t="shared" ref="R94:R127" si="80">+IF(P94=0,Q94,Q94+P94)</f>
        <v>119503.72</v>
      </c>
      <c r="S94" s="79">
        <f t="shared" ref="S94:S127" si="81">+L94-R94</f>
        <v>0</v>
      </c>
    </row>
    <row r="95" spans="1:19">
      <c r="A95" s="2"/>
      <c r="B95" s="61">
        <v>4046</v>
      </c>
      <c r="C95" s="2"/>
      <c r="D95" s="2" t="s">
        <v>677</v>
      </c>
      <c r="E95" s="2">
        <v>2018</v>
      </c>
      <c r="F95" s="2">
        <v>5</v>
      </c>
      <c r="G95" s="71">
        <v>0</v>
      </c>
      <c r="H95" s="2" t="s">
        <v>78</v>
      </c>
      <c r="I95" s="2">
        <f>+IF(J94-$M$4&gt;=3,J94-$M$4,3)</f>
        <v>3</v>
      </c>
      <c r="J95" s="2">
        <f t="shared" si="74"/>
        <v>2021</v>
      </c>
      <c r="K95" s="15">
        <f t="shared" si="75"/>
        <v>2021.4166666666667</v>
      </c>
      <c r="L95" s="114">
        <f>'Orig Trucks 2183'!N85-'Trucks 2183'!L94</f>
        <v>29875.929999999993</v>
      </c>
      <c r="M95" s="114">
        <f>L95-(L95*G95)</f>
        <v>29875.929999999993</v>
      </c>
      <c r="N95" s="114">
        <f t="shared" si="76"/>
        <v>829.88694444444434</v>
      </c>
      <c r="O95" s="114">
        <f>+N95*12</f>
        <v>9958.6433333333316</v>
      </c>
      <c r="P95" s="114">
        <f t="shared" si="78"/>
        <v>9958.6433333333316</v>
      </c>
      <c r="Q95" s="114">
        <f t="shared" si="79"/>
        <v>0</v>
      </c>
      <c r="R95" s="114">
        <f t="shared" si="80"/>
        <v>9958.6433333333316</v>
      </c>
      <c r="S95" s="114">
        <f t="shared" si="81"/>
        <v>19917.28666666666</v>
      </c>
    </row>
    <row r="96" spans="1:19">
      <c r="A96" s="7" t="s">
        <v>283</v>
      </c>
      <c r="C96" s="7">
        <v>4047</v>
      </c>
      <c r="D96" s="7" t="s">
        <v>166</v>
      </c>
      <c r="E96" s="7">
        <v>2005</v>
      </c>
      <c r="F96" s="7">
        <v>11</v>
      </c>
      <c r="G96" s="27">
        <v>0</v>
      </c>
      <c r="H96" s="7" t="s">
        <v>78</v>
      </c>
      <c r="I96" s="7">
        <v>7</v>
      </c>
      <c r="J96" s="7">
        <f t="shared" si="74"/>
        <v>2012</v>
      </c>
      <c r="K96" s="14">
        <f t="shared" si="75"/>
        <v>2012.9166666666667</v>
      </c>
      <c r="L96" s="79">
        <f>'Orig Trucks 2183'!P86</f>
        <v>116925.36799999999</v>
      </c>
      <c r="M96" s="79">
        <f>L96-L96*G96</f>
        <v>116925.36799999999</v>
      </c>
      <c r="N96" s="79">
        <f t="shared" si="76"/>
        <v>1391.9686666666666</v>
      </c>
      <c r="O96" s="79">
        <f t="shared" si="77"/>
        <v>16703.624</v>
      </c>
      <c r="P96" s="79">
        <f t="shared" si="78"/>
        <v>0</v>
      </c>
      <c r="Q96" s="79">
        <f t="shared" si="79"/>
        <v>116925.36799999999</v>
      </c>
      <c r="R96" s="79">
        <f t="shared" si="80"/>
        <v>116925.36799999999</v>
      </c>
      <c r="S96" s="79">
        <f t="shared" si="81"/>
        <v>0</v>
      </c>
    </row>
    <row r="97" spans="1:19">
      <c r="A97" s="2"/>
      <c r="B97" s="61">
        <v>4047</v>
      </c>
      <c r="C97" s="2"/>
      <c r="D97" s="2" t="s">
        <v>678</v>
      </c>
      <c r="E97" s="2">
        <v>2018</v>
      </c>
      <c r="F97" s="2">
        <v>5</v>
      </c>
      <c r="G97" s="71">
        <v>0</v>
      </c>
      <c r="H97" s="2" t="s">
        <v>78</v>
      </c>
      <c r="I97" s="2">
        <f>+IF(J96-$M$4&gt;=3,J96-$M$4,3)</f>
        <v>3</v>
      </c>
      <c r="J97" s="2">
        <f t="shared" si="74"/>
        <v>2021</v>
      </c>
      <c r="K97" s="15">
        <f t="shared" si="75"/>
        <v>2021.4166666666667</v>
      </c>
      <c r="L97" s="114">
        <f>'Orig Trucks 2183'!N86-'Trucks 2183'!L96</f>
        <v>29231.342000000004</v>
      </c>
      <c r="M97" s="114">
        <f>L97-(L97*G97)</f>
        <v>29231.342000000004</v>
      </c>
      <c r="N97" s="114">
        <f t="shared" si="76"/>
        <v>811.98172222222229</v>
      </c>
      <c r="O97" s="114">
        <f>+N97*12</f>
        <v>9743.7806666666675</v>
      </c>
      <c r="P97" s="114">
        <f t="shared" si="78"/>
        <v>9743.7806666666675</v>
      </c>
      <c r="Q97" s="114">
        <f t="shared" si="79"/>
        <v>0</v>
      </c>
      <c r="R97" s="114">
        <f t="shared" si="80"/>
        <v>9743.7806666666675</v>
      </c>
      <c r="S97" s="114">
        <f t="shared" si="81"/>
        <v>19487.561333333339</v>
      </c>
    </row>
    <row r="98" spans="1:19">
      <c r="A98" s="7" t="s">
        <v>283</v>
      </c>
      <c r="B98" s="22">
        <v>114283</v>
      </c>
      <c r="C98" s="7">
        <v>4049</v>
      </c>
      <c r="D98" s="7" t="s">
        <v>551</v>
      </c>
      <c r="E98" s="7">
        <v>2006</v>
      </c>
      <c r="F98" s="7">
        <v>4</v>
      </c>
      <c r="G98" s="27">
        <v>0</v>
      </c>
      <c r="H98" s="7" t="s">
        <v>78</v>
      </c>
      <c r="I98" s="7">
        <v>7</v>
      </c>
      <c r="J98" s="7">
        <f t="shared" si="74"/>
        <v>2013</v>
      </c>
      <c r="K98" s="14">
        <f t="shared" si="75"/>
        <v>2013.3333333333333</v>
      </c>
      <c r="L98" s="79">
        <f>'Orig Trucks 2183'!P87</f>
        <v>116016.144</v>
      </c>
      <c r="M98" s="79">
        <f>L98-L98*G98</f>
        <v>116016.144</v>
      </c>
      <c r="N98" s="79">
        <f t="shared" si="76"/>
        <v>1381.1445714285712</v>
      </c>
      <c r="O98" s="79">
        <f t="shared" si="77"/>
        <v>16573.734857142856</v>
      </c>
      <c r="P98" s="79">
        <f t="shared" si="78"/>
        <v>0</v>
      </c>
      <c r="Q98" s="79">
        <f t="shared" si="79"/>
        <v>116016.144</v>
      </c>
      <c r="R98" s="79">
        <f t="shared" si="80"/>
        <v>116016.144</v>
      </c>
      <c r="S98" s="79">
        <f t="shared" si="81"/>
        <v>0</v>
      </c>
    </row>
    <row r="99" spans="1:19">
      <c r="A99" s="2"/>
      <c r="B99" s="61">
        <v>4049</v>
      </c>
      <c r="C99" s="2"/>
      <c r="D99" s="2" t="s">
        <v>679</v>
      </c>
      <c r="E99" s="2">
        <v>2018</v>
      </c>
      <c r="F99" s="2">
        <v>5</v>
      </c>
      <c r="G99" s="71">
        <v>0</v>
      </c>
      <c r="H99" s="2" t="s">
        <v>78</v>
      </c>
      <c r="I99" s="2">
        <f>+IF(J98-$M$4&gt;=3,J98-$M$4,3)</f>
        <v>3</v>
      </c>
      <c r="J99" s="2">
        <f t="shared" si="74"/>
        <v>2021</v>
      </c>
      <c r="K99" s="15">
        <f t="shared" si="75"/>
        <v>2021.4166666666667</v>
      </c>
      <c r="L99" s="114">
        <f>'Orig Trucks 2183'!N87-'Trucks 2183'!L98</f>
        <v>29004.035999999993</v>
      </c>
      <c r="M99" s="114">
        <f>L99-(L99*G99)</f>
        <v>29004.035999999993</v>
      </c>
      <c r="N99" s="114">
        <f t="shared" si="76"/>
        <v>805.66766666666638</v>
      </c>
      <c r="O99" s="114">
        <f>+N99*12</f>
        <v>9668.011999999997</v>
      </c>
      <c r="P99" s="114">
        <f t="shared" si="78"/>
        <v>9668.011999999997</v>
      </c>
      <c r="Q99" s="114">
        <f t="shared" si="79"/>
        <v>0</v>
      </c>
      <c r="R99" s="114">
        <f t="shared" si="80"/>
        <v>9668.011999999997</v>
      </c>
      <c r="S99" s="114">
        <f t="shared" si="81"/>
        <v>19336.023999999998</v>
      </c>
    </row>
    <row r="100" spans="1:19">
      <c r="A100" s="7" t="s">
        <v>283</v>
      </c>
      <c r="C100" s="7">
        <v>4049</v>
      </c>
      <c r="D100" s="7" t="s">
        <v>550</v>
      </c>
      <c r="E100" s="7">
        <v>2006</v>
      </c>
      <c r="F100" s="7">
        <v>4</v>
      </c>
      <c r="G100" s="27">
        <v>0</v>
      </c>
      <c r="H100" s="7" t="s">
        <v>78</v>
      </c>
      <c r="I100" s="7">
        <v>7</v>
      </c>
      <c r="J100" s="7">
        <f t="shared" si="74"/>
        <v>2013</v>
      </c>
      <c r="K100" s="14">
        <f t="shared" si="75"/>
        <v>2013.3333333333333</v>
      </c>
      <c r="L100" s="79">
        <f>'Orig Trucks 2183'!P88</f>
        <v>3133.3040000000001</v>
      </c>
      <c r="M100" s="79">
        <f>L100-L100*G100</f>
        <v>3133.3040000000001</v>
      </c>
      <c r="N100" s="79">
        <f t="shared" si="76"/>
        <v>37.301238095238098</v>
      </c>
      <c r="O100" s="79">
        <f t="shared" si="77"/>
        <v>447.6148571428572</v>
      </c>
      <c r="P100" s="79">
        <f t="shared" si="78"/>
        <v>0</v>
      </c>
      <c r="Q100" s="79">
        <f t="shared" si="79"/>
        <v>3133.3040000000001</v>
      </c>
      <c r="R100" s="79">
        <f t="shared" si="80"/>
        <v>3133.3040000000001</v>
      </c>
      <c r="S100" s="79">
        <f t="shared" si="81"/>
        <v>0</v>
      </c>
    </row>
    <row r="101" spans="1:19">
      <c r="A101" s="2"/>
      <c r="B101" s="61">
        <v>4049</v>
      </c>
      <c r="C101" s="2"/>
      <c r="D101" s="2" t="s">
        <v>679</v>
      </c>
      <c r="E101" s="2">
        <v>2018</v>
      </c>
      <c r="F101" s="2">
        <v>5</v>
      </c>
      <c r="G101" s="71">
        <v>0</v>
      </c>
      <c r="H101" s="2" t="s">
        <v>78</v>
      </c>
      <c r="I101" s="2">
        <f>+IF(J100-$M$4&gt;=3,J100-$M$4,3)</f>
        <v>3</v>
      </c>
      <c r="J101" s="2">
        <f t="shared" si="74"/>
        <v>2021</v>
      </c>
      <c r="K101" s="15">
        <f t="shared" si="75"/>
        <v>2021.4166666666667</v>
      </c>
      <c r="L101" s="114">
        <f>'Orig Trucks 2183'!N88-'Trucks 2183'!L100</f>
        <v>783.32600000000002</v>
      </c>
      <c r="M101" s="114">
        <f>L101-(L101*G101)</f>
        <v>783.32600000000002</v>
      </c>
      <c r="N101" s="114">
        <f t="shared" si="76"/>
        <v>21.759055555555559</v>
      </c>
      <c r="O101" s="114">
        <f>+N101*12</f>
        <v>261.10866666666669</v>
      </c>
      <c r="P101" s="114">
        <f t="shared" si="78"/>
        <v>261.10866666666669</v>
      </c>
      <c r="Q101" s="114">
        <f t="shared" si="79"/>
        <v>0</v>
      </c>
      <c r="R101" s="114">
        <f t="shared" si="80"/>
        <v>261.10866666666669</v>
      </c>
      <c r="S101" s="114">
        <f t="shared" si="81"/>
        <v>522.21733333333327</v>
      </c>
    </row>
    <row r="102" spans="1:19">
      <c r="A102" s="7" t="s">
        <v>283</v>
      </c>
      <c r="C102" s="7">
        <v>4054</v>
      </c>
      <c r="D102" s="7" t="s">
        <v>167</v>
      </c>
      <c r="E102" s="7">
        <v>2006</v>
      </c>
      <c r="F102" s="7">
        <v>12</v>
      </c>
      <c r="G102" s="27">
        <v>0</v>
      </c>
      <c r="H102" s="7" t="s">
        <v>78</v>
      </c>
      <c r="I102" s="7">
        <v>7</v>
      </c>
      <c r="J102" s="7">
        <f t="shared" si="74"/>
        <v>2013</v>
      </c>
      <c r="K102" s="14">
        <f t="shared" si="75"/>
        <v>2014</v>
      </c>
      <c r="L102" s="79">
        <f>'Orig Trucks 2183'!P89</f>
        <v>121228.32800000001</v>
      </c>
      <c r="M102" s="79">
        <f>L102-L102*G102</f>
        <v>121228.32800000001</v>
      </c>
      <c r="N102" s="79">
        <f t="shared" si="76"/>
        <v>1443.1943809523809</v>
      </c>
      <c r="O102" s="79">
        <f t="shared" si="77"/>
        <v>17318.332571428571</v>
      </c>
      <c r="P102" s="79">
        <f t="shared" si="78"/>
        <v>0</v>
      </c>
      <c r="Q102" s="79">
        <f t="shared" si="79"/>
        <v>121228.32800000001</v>
      </c>
      <c r="R102" s="79">
        <f t="shared" si="80"/>
        <v>121228.32800000001</v>
      </c>
      <c r="S102" s="79">
        <f t="shared" si="81"/>
        <v>0</v>
      </c>
    </row>
    <row r="103" spans="1:19">
      <c r="A103" s="2"/>
      <c r="B103" s="61">
        <v>4054</v>
      </c>
      <c r="C103" s="2"/>
      <c r="D103" s="2" t="s">
        <v>680</v>
      </c>
      <c r="E103" s="2">
        <v>2018</v>
      </c>
      <c r="F103" s="2">
        <v>5</v>
      </c>
      <c r="G103" s="71">
        <v>0</v>
      </c>
      <c r="H103" s="2" t="s">
        <v>78</v>
      </c>
      <c r="I103" s="2">
        <f>+IF(J102-$M$4&gt;=3,J102-$M$4,3)</f>
        <v>3</v>
      </c>
      <c r="J103" s="2">
        <f t="shared" si="74"/>
        <v>2021</v>
      </c>
      <c r="K103" s="15">
        <f t="shared" si="75"/>
        <v>2021.4166666666667</v>
      </c>
      <c r="L103" s="114">
        <f>'Orig Trucks 2183'!N89-'Trucks 2183'!L102</f>
        <v>30307.081999999995</v>
      </c>
      <c r="M103" s="114">
        <f>L103-(L103*G103)</f>
        <v>30307.081999999995</v>
      </c>
      <c r="N103" s="114">
        <f t="shared" si="76"/>
        <v>841.86338888888884</v>
      </c>
      <c r="O103" s="114">
        <f>+N103*12</f>
        <v>10102.360666666666</v>
      </c>
      <c r="P103" s="114">
        <f t="shared" si="78"/>
        <v>10102.360666666666</v>
      </c>
      <c r="Q103" s="114">
        <f t="shared" si="79"/>
        <v>0</v>
      </c>
      <c r="R103" s="114">
        <f t="shared" si="80"/>
        <v>10102.360666666666</v>
      </c>
      <c r="S103" s="114">
        <f t="shared" si="81"/>
        <v>20204.721333333327</v>
      </c>
    </row>
    <row r="104" spans="1:19">
      <c r="A104" s="7" t="s">
        <v>283</v>
      </c>
      <c r="C104" s="7">
        <v>4054</v>
      </c>
      <c r="D104" s="7" t="s">
        <v>289</v>
      </c>
      <c r="E104" s="7">
        <v>2007</v>
      </c>
      <c r="F104" s="7">
        <v>1</v>
      </c>
      <c r="G104" s="27">
        <v>0</v>
      </c>
      <c r="H104" s="7" t="s">
        <v>78</v>
      </c>
      <c r="I104" s="7">
        <v>7</v>
      </c>
      <c r="J104" s="7">
        <f t="shared" si="74"/>
        <v>2014</v>
      </c>
      <c r="K104" s="14">
        <f t="shared" si="75"/>
        <v>2014.0833333333333</v>
      </c>
      <c r="L104" s="79">
        <f>'Orig Trucks 2183'!P90</f>
        <v>3133.3040000000001</v>
      </c>
      <c r="M104" s="79">
        <f>L104-L104*G104</f>
        <v>3133.3040000000001</v>
      </c>
      <c r="N104" s="79">
        <f t="shared" si="76"/>
        <v>37.301238095238098</v>
      </c>
      <c r="O104" s="79">
        <f t="shared" si="77"/>
        <v>447.6148571428572</v>
      </c>
      <c r="P104" s="79">
        <f t="shared" si="78"/>
        <v>0</v>
      </c>
      <c r="Q104" s="79">
        <f t="shared" si="79"/>
        <v>3133.3040000000001</v>
      </c>
      <c r="R104" s="79">
        <f t="shared" si="80"/>
        <v>3133.3040000000001</v>
      </c>
      <c r="S104" s="79">
        <f t="shared" si="81"/>
        <v>0</v>
      </c>
    </row>
    <row r="105" spans="1:19">
      <c r="A105" s="2"/>
      <c r="B105" s="61">
        <v>4054</v>
      </c>
      <c r="C105" s="2"/>
      <c r="D105" s="2" t="s">
        <v>680</v>
      </c>
      <c r="E105" s="2">
        <v>2018</v>
      </c>
      <c r="F105" s="2">
        <v>5</v>
      </c>
      <c r="G105" s="71">
        <v>0</v>
      </c>
      <c r="H105" s="2" t="s">
        <v>78</v>
      </c>
      <c r="I105" s="2">
        <f>+IF(J104-$M$4&gt;=3,J104-$M$4,3)</f>
        <v>3</v>
      </c>
      <c r="J105" s="2">
        <f t="shared" si="74"/>
        <v>2021</v>
      </c>
      <c r="K105" s="15">
        <f t="shared" si="75"/>
        <v>2021.4166666666667</v>
      </c>
      <c r="L105" s="114">
        <f>'Orig Trucks 2183'!N90-'Trucks 2183'!L104</f>
        <v>783.32600000000002</v>
      </c>
      <c r="M105" s="114">
        <f>L105-(L105*G105)</f>
        <v>783.32600000000002</v>
      </c>
      <c r="N105" s="114">
        <f t="shared" si="76"/>
        <v>21.759055555555559</v>
      </c>
      <c r="O105" s="114">
        <f>+N105*12</f>
        <v>261.10866666666669</v>
      </c>
      <c r="P105" s="114">
        <f t="shared" si="78"/>
        <v>261.10866666666669</v>
      </c>
      <c r="Q105" s="114">
        <f t="shared" si="79"/>
        <v>0</v>
      </c>
      <c r="R105" s="114">
        <f t="shared" si="80"/>
        <v>261.10866666666669</v>
      </c>
      <c r="S105" s="114">
        <f t="shared" si="81"/>
        <v>522.21733333333327</v>
      </c>
    </row>
    <row r="106" spans="1:19">
      <c r="A106" s="7" t="s">
        <v>283</v>
      </c>
      <c r="C106" s="7">
        <v>4061</v>
      </c>
      <c r="D106" s="7" t="s">
        <v>332</v>
      </c>
      <c r="E106" s="7">
        <v>2007</v>
      </c>
      <c r="F106" s="7">
        <v>9</v>
      </c>
      <c r="G106" s="27">
        <v>0</v>
      </c>
      <c r="H106" s="7" t="s">
        <v>78</v>
      </c>
      <c r="I106" s="7">
        <v>7</v>
      </c>
      <c r="J106" s="7">
        <f t="shared" si="74"/>
        <v>2014</v>
      </c>
      <c r="K106" s="14">
        <f t="shared" si="75"/>
        <v>2014.75</v>
      </c>
      <c r="L106" s="79">
        <f>'Orig Trucks 2183'!P91</f>
        <v>125728.91200000001</v>
      </c>
      <c r="M106" s="79">
        <f>L106-L106*G106</f>
        <v>125728.91200000001</v>
      </c>
      <c r="N106" s="79">
        <f t="shared" si="76"/>
        <v>1496.7727619047621</v>
      </c>
      <c r="O106" s="79">
        <f t="shared" si="77"/>
        <v>17961.273142857146</v>
      </c>
      <c r="P106" s="79">
        <f t="shared" si="78"/>
        <v>0</v>
      </c>
      <c r="Q106" s="79">
        <f t="shared" si="79"/>
        <v>125728.91200000001</v>
      </c>
      <c r="R106" s="79">
        <f t="shared" si="80"/>
        <v>125728.91200000001</v>
      </c>
      <c r="S106" s="79">
        <f t="shared" si="81"/>
        <v>0</v>
      </c>
    </row>
    <row r="107" spans="1:19">
      <c r="A107" s="2"/>
      <c r="B107" s="61">
        <v>4061</v>
      </c>
      <c r="C107" s="2"/>
      <c r="D107" s="2" t="s">
        <v>681</v>
      </c>
      <c r="E107" s="2">
        <v>2018</v>
      </c>
      <c r="F107" s="2">
        <v>5</v>
      </c>
      <c r="G107" s="71">
        <v>0</v>
      </c>
      <c r="H107" s="2" t="s">
        <v>78</v>
      </c>
      <c r="I107" s="2">
        <f>+IF(J106-$M$4&gt;=3,J106-$M$4,3)</f>
        <v>3</v>
      </c>
      <c r="J107" s="2">
        <f t="shared" si="74"/>
        <v>2021</v>
      </c>
      <c r="K107" s="15">
        <f t="shared" si="75"/>
        <v>2021.4166666666667</v>
      </c>
      <c r="L107" s="114">
        <f>'Orig Trucks 2183'!N91-'Trucks 2183'!L106</f>
        <v>31432.228000000003</v>
      </c>
      <c r="M107" s="114">
        <f>L107-(L107*G107)</f>
        <v>31432.228000000003</v>
      </c>
      <c r="N107" s="114">
        <f t="shared" si="76"/>
        <v>873.11744444444457</v>
      </c>
      <c r="O107" s="114">
        <f>+N107*12</f>
        <v>10477.409333333335</v>
      </c>
      <c r="P107" s="114">
        <f t="shared" si="78"/>
        <v>10477.409333333335</v>
      </c>
      <c r="Q107" s="114">
        <f t="shared" si="79"/>
        <v>0</v>
      </c>
      <c r="R107" s="114">
        <f t="shared" si="80"/>
        <v>10477.409333333335</v>
      </c>
      <c r="S107" s="114">
        <f t="shared" si="81"/>
        <v>20954.818666666666</v>
      </c>
    </row>
    <row r="108" spans="1:19">
      <c r="A108" s="7" t="s">
        <v>283</v>
      </c>
      <c r="B108" s="22">
        <v>114285</v>
      </c>
      <c r="C108" s="7">
        <v>4062</v>
      </c>
      <c r="D108" s="7" t="s">
        <v>552</v>
      </c>
      <c r="E108" s="7">
        <v>2007</v>
      </c>
      <c r="F108" s="7">
        <v>11</v>
      </c>
      <c r="G108" s="27">
        <v>0</v>
      </c>
      <c r="H108" s="7" t="s">
        <v>78</v>
      </c>
      <c r="I108" s="7">
        <v>7</v>
      </c>
      <c r="J108" s="7">
        <f t="shared" si="74"/>
        <v>2014</v>
      </c>
      <c r="K108" s="14">
        <f t="shared" si="75"/>
        <v>2014.9166666666667</v>
      </c>
      <c r="L108" s="79">
        <f>'Orig Trucks 2183'!P92</f>
        <v>130586.89599999999</v>
      </c>
      <c r="M108" s="79">
        <f>L108-L108*G108</f>
        <v>130586.89599999999</v>
      </c>
      <c r="N108" s="79">
        <f t="shared" si="76"/>
        <v>1554.6059047619046</v>
      </c>
      <c r="O108" s="79">
        <f t="shared" si="77"/>
        <v>18655.270857142856</v>
      </c>
      <c r="P108" s="79">
        <f t="shared" si="78"/>
        <v>0</v>
      </c>
      <c r="Q108" s="79">
        <f t="shared" si="79"/>
        <v>130586.89599999999</v>
      </c>
      <c r="R108" s="79">
        <f t="shared" si="80"/>
        <v>130586.89599999999</v>
      </c>
      <c r="S108" s="79">
        <f t="shared" si="81"/>
        <v>0</v>
      </c>
    </row>
    <row r="109" spans="1:19">
      <c r="A109" s="2"/>
      <c r="B109" s="61">
        <v>4062</v>
      </c>
      <c r="C109" s="2"/>
      <c r="D109" s="2" t="s">
        <v>682</v>
      </c>
      <c r="E109" s="2">
        <v>2018</v>
      </c>
      <c r="F109" s="2">
        <v>5</v>
      </c>
      <c r="G109" s="71">
        <v>0</v>
      </c>
      <c r="H109" s="2" t="s">
        <v>78</v>
      </c>
      <c r="I109" s="2">
        <f>+IF(J108-$M$4&gt;=3,J108-$M$4,3)</f>
        <v>3</v>
      </c>
      <c r="J109" s="2">
        <f t="shared" si="74"/>
        <v>2021</v>
      </c>
      <c r="K109" s="15">
        <f t="shared" si="75"/>
        <v>2021.4166666666667</v>
      </c>
      <c r="L109" s="114">
        <f>'Orig Trucks 2183'!N92-'Trucks 2183'!L108</f>
        <v>32646.724000000002</v>
      </c>
      <c r="M109" s="114">
        <f>L109-(L109*G109)</f>
        <v>32646.724000000002</v>
      </c>
      <c r="N109" s="114">
        <f t="shared" si="76"/>
        <v>906.85344444444445</v>
      </c>
      <c r="O109" s="114">
        <f>+N109*12</f>
        <v>10882.241333333333</v>
      </c>
      <c r="P109" s="114">
        <f t="shared" si="78"/>
        <v>10882.241333333333</v>
      </c>
      <c r="Q109" s="114">
        <f t="shared" si="79"/>
        <v>0</v>
      </c>
      <c r="R109" s="114">
        <f t="shared" si="80"/>
        <v>10882.241333333333</v>
      </c>
      <c r="S109" s="114">
        <f t="shared" si="81"/>
        <v>21764.48266666667</v>
      </c>
    </row>
    <row r="110" spans="1:19">
      <c r="A110" s="7" t="s">
        <v>283</v>
      </c>
      <c r="C110" s="7">
        <v>4068</v>
      </c>
      <c r="D110" s="7" t="s">
        <v>426</v>
      </c>
      <c r="E110" s="7">
        <v>2008</v>
      </c>
      <c r="F110" s="7">
        <v>10</v>
      </c>
      <c r="G110" s="27">
        <v>0</v>
      </c>
      <c r="H110" s="7" t="s">
        <v>78</v>
      </c>
      <c r="I110" s="7">
        <v>7</v>
      </c>
      <c r="J110" s="7">
        <f t="shared" si="74"/>
        <v>2015</v>
      </c>
      <c r="K110" s="14">
        <f t="shared" si="75"/>
        <v>2015.8333333333333</v>
      </c>
      <c r="L110" s="79">
        <f>'Orig Trucks 2183'!P93</f>
        <v>132388.56</v>
      </c>
      <c r="M110" s="79">
        <f>L110-L110*G110</f>
        <v>132388.56</v>
      </c>
      <c r="N110" s="79">
        <f t="shared" si="76"/>
        <v>1576.0542857142857</v>
      </c>
      <c r="O110" s="79">
        <f t="shared" si="77"/>
        <v>18912.651428571429</v>
      </c>
      <c r="P110" s="79">
        <f t="shared" si="78"/>
        <v>0</v>
      </c>
      <c r="Q110" s="79">
        <f t="shared" si="79"/>
        <v>132388.56</v>
      </c>
      <c r="R110" s="79">
        <f t="shared" si="80"/>
        <v>132388.56</v>
      </c>
      <c r="S110" s="79">
        <f t="shared" si="81"/>
        <v>0</v>
      </c>
    </row>
    <row r="111" spans="1:19">
      <c r="A111" s="2"/>
      <c r="B111" s="61">
        <v>4068</v>
      </c>
      <c r="C111" s="2"/>
      <c r="D111" s="2" t="s">
        <v>683</v>
      </c>
      <c r="E111" s="2">
        <v>2018</v>
      </c>
      <c r="F111" s="2">
        <v>5</v>
      </c>
      <c r="G111" s="71">
        <v>0</v>
      </c>
      <c r="H111" s="2" t="s">
        <v>78</v>
      </c>
      <c r="I111" s="2">
        <f>+IF(J110-$M$4&gt;=3,J110-$M$4,3)</f>
        <v>3</v>
      </c>
      <c r="J111" s="2">
        <f t="shared" si="74"/>
        <v>2021</v>
      </c>
      <c r="K111" s="15">
        <f t="shared" si="75"/>
        <v>2021.4166666666667</v>
      </c>
      <c r="L111" s="114">
        <f>'Orig Trucks 2183'!N93-'Trucks 2183'!L110</f>
        <v>33097.140000000014</v>
      </c>
      <c r="M111" s="114">
        <f>L111-(L111*G111)</f>
        <v>33097.140000000014</v>
      </c>
      <c r="N111" s="114">
        <f t="shared" si="76"/>
        <v>919.36500000000035</v>
      </c>
      <c r="O111" s="114">
        <f>+N111*12</f>
        <v>11032.380000000005</v>
      </c>
      <c r="P111" s="114">
        <f t="shared" si="78"/>
        <v>11032.380000000005</v>
      </c>
      <c r="Q111" s="114">
        <f t="shared" si="79"/>
        <v>0</v>
      </c>
      <c r="R111" s="114">
        <f t="shared" si="80"/>
        <v>11032.380000000005</v>
      </c>
      <c r="S111" s="114">
        <f t="shared" si="81"/>
        <v>22064.760000000009</v>
      </c>
    </row>
    <row r="112" spans="1:19">
      <c r="B112" s="22">
        <v>88721</v>
      </c>
      <c r="D112" t="s">
        <v>438</v>
      </c>
      <c r="E112">
        <v>2011</v>
      </c>
      <c r="F112">
        <v>12</v>
      </c>
      <c r="G112" s="27">
        <v>0</v>
      </c>
      <c r="H112" t="s">
        <v>78</v>
      </c>
      <c r="I112">
        <v>5</v>
      </c>
      <c r="J112">
        <f t="shared" si="74"/>
        <v>2016</v>
      </c>
      <c r="K112" s="14">
        <f t="shared" si="75"/>
        <v>2017</v>
      </c>
      <c r="L112" s="79">
        <f>487.65*11</f>
        <v>5364.15</v>
      </c>
      <c r="M112" s="79">
        <f t="shared" ref="M112:M127" si="82">L112-L112*G112</f>
        <v>5364.15</v>
      </c>
      <c r="N112" s="79">
        <f t="shared" si="76"/>
        <v>89.402499999999989</v>
      </c>
      <c r="O112" s="79">
        <f t="shared" si="77"/>
        <v>1072.83</v>
      </c>
      <c r="P112" s="79">
        <f t="shared" si="78"/>
        <v>0</v>
      </c>
      <c r="Q112" s="79">
        <f t="shared" si="79"/>
        <v>5364.15</v>
      </c>
      <c r="R112" s="79">
        <f t="shared" si="80"/>
        <v>5364.15</v>
      </c>
      <c r="S112" s="79">
        <f t="shared" si="81"/>
        <v>0</v>
      </c>
    </row>
    <row r="113" spans="1:19">
      <c r="B113" s="22">
        <v>114284</v>
      </c>
      <c r="C113">
        <v>4049</v>
      </c>
      <c r="D113" t="s">
        <v>554</v>
      </c>
      <c r="E113">
        <v>2013</v>
      </c>
      <c r="F113">
        <v>10</v>
      </c>
      <c r="G113" s="27">
        <v>0</v>
      </c>
      <c r="H113" t="s">
        <v>78</v>
      </c>
      <c r="I113">
        <v>3</v>
      </c>
      <c r="J113">
        <f t="shared" si="74"/>
        <v>2016</v>
      </c>
      <c r="K113" s="14">
        <f t="shared" si="75"/>
        <v>2016.8333333333333</v>
      </c>
      <c r="L113" s="79">
        <v>8837.86</v>
      </c>
      <c r="M113" s="79">
        <f t="shared" si="82"/>
        <v>8837.86</v>
      </c>
      <c r="N113" s="79">
        <f t="shared" si="76"/>
        <v>245.49611111111111</v>
      </c>
      <c r="O113" s="79">
        <f t="shared" si="77"/>
        <v>2945.9533333333334</v>
      </c>
      <c r="P113" s="79">
        <f t="shared" si="78"/>
        <v>0</v>
      </c>
      <c r="Q113" s="79">
        <f t="shared" si="79"/>
        <v>8837.86</v>
      </c>
      <c r="R113" s="79">
        <f t="shared" si="80"/>
        <v>8837.86</v>
      </c>
      <c r="S113" s="79">
        <f t="shared" si="81"/>
        <v>0</v>
      </c>
    </row>
    <row r="114" spans="1:19">
      <c r="B114" s="22">
        <v>114286</v>
      </c>
      <c r="C114">
        <v>4062</v>
      </c>
      <c r="D114" t="s">
        <v>553</v>
      </c>
      <c r="E114">
        <v>2013</v>
      </c>
      <c r="F114">
        <v>11</v>
      </c>
      <c r="G114" s="27">
        <v>0</v>
      </c>
      <c r="H114" t="s">
        <v>78</v>
      </c>
      <c r="I114">
        <v>3</v>
      </c>
      <c r="J114">
        <f t="shared" si="74"/>
        <v>2016</v>
      </c>
      <c r="K114" s="14">
        <f t="shared" si="75"/>
        <v>2016.9166666666667</v>
      </c>
      <c r="L114" s="79">
        <v>8837.86</v>
      </c>
      <c r="M114" s="79">
        <f t="shared" si="82"/>
        <v>8837.86</v>
      </c>
      <c r="N114" s="79">
        <f t="shared" si="76"/>
        <v>245.49611111111111</v>
      </c>
      <c r="O114" s="79">
        <f t="shared" si="77"/>
        <v>2945.9533333333334</v>
      </c>
      <c r="P114" s="79">
        <f t="shared" si="78"/>
        <v>0</v>
      </c>
      <c r="Q114" s="79">
        <f t="shared" si="79"/>
        <v>8837.86</v>
      </c>
      <c r="R114" s="79">
        <f t="shared" si="80"/>
        <v>8837.86</v>
      </c>
      <c r="S114" s="79">
        <f t="shared" si="81"/>
        <v>0</v>
      </c>
    </row>
    <row r="115" spans="1:19">
      <c r="B115" s="22">
        <v>109182</v>
      </c>
      <c r="C115">
        <v>4046</v>
      </c>
      <c r="D115" t="s">
        <v>495</v>
      </c>
      <c r="E115">
        <v>2013</v>
      </c>
      <c r="F115">
        <v>10</v>
      </c>
      <c r="G115" s="27">
        <v>0</v>
      </c>
      <c r="H115" t="s">
        <v>78</v>
      </c>
      <c r="I115">
        <v>3</v>
      </c>
      <c r="J115">
        <f t="shared" si="74"/>
        <v>2016</v>
      </c>
      <c r="K115" s="14">
        <f t="shared" si="75"/>
        <v>2016.8333333333333</v>
      </c>
      <c r="L115" s="79">
        <v>8837.86</v>
      </c>
      <c r="M115" s="79">
        <f t="shared" si="82"/>
        <v>8837.86</v>
      </c>
      <c r="N115" s="79">
        <f t="shared" si="76"/>
        <v>245.49611111111111</v>
      </c>
      <c r="O115" s="79">
        <f t="shared" si="77"/>
        <v>2945.9533333333334</v>
      </c>
      <c r="P115" s="79">
        <f t="shared" si="78"/>
        <v>0</v>
      </c>
      <c r="Q115" s="79">
        <f t="shared" si="79"/>
        <v>8837.86</v>
      </c>
      <c r="R115" s="79">
        <f t="shared" si="80"/>
        <v>8837.86</v>
      </c>
      <c r="S115" s="79">
        <f t="shared" si="81"/>
        <v>0</v>
      </c>
    </row>
    <row r="116" spans="1:19">
      <c r="B116" s="22">
        <v>109180</v>
      </c>
      <c r="C116">
        <v>4047</v>
      </c>
      <c r="D116" t="s">
        <v>496</v>
      </c>
      <c r="E116">
        <v>2013</v>
      </c>
      <c r="F116">
        <v>10</v>
      </c>
      <c r="G116" s="27">
        <v>0</v>
      </c>
      <c r="H116" t="s">
        <v>78</v>
      </c>
      <c r="I116">
        <v>3</v>
      </c>
      <c r="J116">
        <f t="shared" si="74"/>
        <v>2016</v>
      </c>
      <c r="K116" s="14">
        <f t="shared" si="75"/>
        <v>2016.8333333333333</v>
      </c>
      <c r="L116" s="79">
        <v>8837.86</v>
      </c>
      <c r="M116" s="79">
        <f t="shared" si="82"/>
        <v>8837.86</v>
      </c>
      <c r="N116" s="79">
        <f t="shared" si="76"/>
        <v>245.49611111111111</v>
      </c>
      <c r="O116" s="79">
        <f t="shared" si="77"/>
        <v>2945.9533333333334</v>
      </c>
      <c r="P116" s="79">
        <f t="shared" si="78"/>
        <v>0</v>
      </c>
      <c r="Q116" s="79">
        <f t="shared" si="79"/>
        <v>8837.86</v>
      </c>
      <c r="R116" s="79">
        <f t="shared" si="80"/>
        <v>8837.86</v>
      </c>
      <c r="S116" s="79">
        <f t="shared" si="81"/>
        <v>0</v>
      </c>
    </row>
    <row r="117" spans="1:19">
      <c r="B117" s="22">
        <v>109181</v>
      </c>
      <c r="C117">
        <v>4061</v>
      </c>
      <c r="D117" t="s">
        <v>497</v>
      </c>
      <c r="E117">
        <v>2013</v>
      </c>
      <c r="F117">
        <v>10</v>
      </c>
      <c r="G117" s="27">
        <v>0</v>
      </c>
      <c r="H117" t="s">
        <v>78</v>
      </c>
      <c r="I117">
        <v>3</v>
      </c>
      <c r="J117">
        <f t="shared" si="74"/>
        <v>2016</v>
      </c>
      <c r="K117" s="14">
        <f t="shared" si="75"/>
        <v>2016.8333333333333</v>
      </c>
      <c r="L117" s="79">
        <v>8837.86</v>
      </c>
      <c r="M117" s="79">
        <f t="shared" si="82"/>
        <v>8837.86</v>
      </c>
      <c r="N117" s="79">
        <f t="shared" si="76"/>
        <v>245.49611111111111</v>
      </c>
      <c r="O117" s="79">
        <f t="shared" si="77"/>
        <v>2945.9533333333334</v>
      </c>
      <c r="P117" s="79">
        <f t="shared" si="78"/>
        <v>0</v>
      </c>
      <c r="Q117" s="79">
        <f t="shared" si="79"/>
        <v>8837.86</v>
      </c>
      <c r="R117" s="79">
        <f t="shared" si="80"/>
        <v>8837.86</v>
      </c>
      <c r="S117" s="79">
        <f t="shared" si="81"/>
        <v>0</v>
      </c>
    </row>
    <row r="118" spans="1:19">
      <c r="B118" s="22">
        <v>108675</v>
      </c>
      <c r="C118">
        <v>4054</v>
      </c>
      <c r="D118" t="s">
        <v>499</v>
      </c>
      <c r="E118">
        <v>2013</v>
      </c>
      <c r="F118">
        <v>11</v>
      </c>
      <c r="G118" s="27">
        <v>0</v>
      </c>
      <c r="H118" t="s">
        <v>78</v>
      </c>
      <c r="I118">
        <v>3</v>
      </c>
      <c r="J118">
        <f t="shared" si="74"/>
        <v>2016</v>
      </c>
      <c r="K118" s="14">
        <f t="shared" si="75"/>
        <v>2016.9166666666667</v>
      </c>
      <c r="L118" s="79">
        <v>8837.86</v>
      </c>
      <c r="M118" s="79">
        <f t="shared" si="82"/>
        <v>8837.86</v>
      </c>
      <c r="N118" s="79">
        <f t="shared" si="76"/>
        <v>245.49611111111111</v>
      </c>
      <c r="O118" s="79">
        <f t="shared" si="77"/>
        <v>2945.9533333333334</v>
      </c>
      <c r="P118" s="79">
        <f t="shared" si="78"/>
        <v>0</v>
      </c>
      <c r="Q118" s="79">
        <f t="shared" si="79"/>
        <v>8837.86</v>
      </c>
      <c r="R118" s="79">
        <f t="shared" si="80"/>
        <v>8837.86</v>
      </c>
      <c r="S118" s="79">
        <f t="shared" si="81"/>
        <v>0</v>
      </c>
    </row>
    <row r="119" spans="1:19">
      <c r="B119" s="22">
        <v>108676</v>
      </c>
      <c r="C119">
        <v>4068</v>
      </c>
      <c r="D119" t="s">
        <v>498</v>
      </c>
      <c r="E119">
        <v>2013</v>
      </c>
      <c r="F119">
        <v>11</v>
      </c>
      <c r="G119" s="27">
        <v>0</v>
      </c>
      <c r="H119" t="s">
        <v>78</v>
      </c>
      <c r="I119">
        <v>3</v>
      </c>
      <c r="J119">
        <f t="shared" si="74"/>
        <v>2016</v>
      </c>
      <c r="K119" s="14">
        <f t="shared" si="75"/>
        <v>2016.9166666666667</v>
      </c>
      <c r="L119" s="79">
        <v>8837.86</v>
      </c>
      <c r="M119" s="79">
        <f t="shared" si="82"/>
        <v>8837.86</v>
      </c>
      <c r="N119" s="79">
        <f t="shared" si="76"/>
        <v>245.49611111111111</v>
      </c>
      <c r="O119" s="79">
        <f t="shared" si="77"/>
        <v>2945.9533333333334</v>
      </c>
      <c r="P119" s="79">
        <f t="shared" si="78"/>
        <v>0</v>
      </c>
      <c r="Q119" s="79">
        <f t="shared" si="79"/>
        <v>8837.86</v>
      </c>
      <c r="R119" s="79">
        <f t="shared" si="80"/>
        <v>8837.86</v>
      </c>
      <c r="S119" s="79">
        <f t="shared" si="81"/>
        <v>0</v>
      </c>
    </row>
    <row r="120" spans="1:19">
      <c r="B120" s="22">
        <v>122012</v>
      </c>
      <c r="C120">
        <v>4061</v>
      </c>
      <c r="D120" t="s">
        <v>572</v>
      </c>
      <c r="E120">
        <v>2015</v>
      </c>
      <c r="F120">
        <v>2</v>
      </c>
      <c r="G120" s="27">
        <v>0</v>
      </c>
      <c r="H120" t="s">
        <v>78</v>
      </c>
      <c r="I120">
        <v>3</v>
      </c>
      <c r="J120">
        <f t="shared" si="74"/>
        <v>2018</v>
      </c>
      <c r="K120" s="14">
        <f t="shared" si="75"/>
        <v>2018.1666666666667</v>
      </c>
      <c r="L120" s="79">
        <v>5574.98</v>
      </c>
      <c r="M120" s="79">
        <f t="shared" si="82"/>
        <v>5574.98</v>
      </c>
      <c r="N120" s="79">
        <f t="shared" si="76"/>
        <v>154.86055555555555</v>
      </c>
      <c r="O120" s="79">
        <f t="shared" si="77"/>
        <v>1858.3266666666666</v>
      </c>
      <c r="P120" s="79">
        <f t="shared" si="78"/>
        <v>0</v>
      </c>
      <c r="Q120" s="79">
        <f t="shared" si="79"/>
        <v>5574.98</v>
      </c>
      <c r="R120" s="79">
        <f t="shared" si="80"/>
        <v>5574.98</v>
      </c>
      <c r="S120" s="79">
        <f t="shared" si="81"/>
        <v>0</v>
      </c>
    </row>
    <row r="121" spans="1:19">
      <c r="B121" s="22" t="s">
        <v>594</v>
      </c>
      <c r="D121" t="s">
        <v>593</v>
      </c>
      <c r="E121">
        <v>2016</v>
      </c>
      <c r="F121">
        <v>4</v>
      </c>
      <c r="G121" s="27">
        <v>0</v>
      </c>
      <c r="H121" t="s">
        <v>78</v>
      </c>
      <c r="I121">
        <v>1</v>
      </c>
      <c r="J121">
        <f t="shared" si="74"/>
        <v>2017</v>
      </c>
      <c r="K121" s="14">
        <f t="shared" si="75"/>
        <v>2017.3333333333333</v>
      </c>
      <c r="L121" s="79">
        <f>((14612.94+16641.82+675)/75)*2</f>
        <v>851.46026666666671</v>
      </c>
      <c r="M121" s="79">
        <f t="shared" si="82"/>
        <v>851.46026666666671</v>
      </c>
      <c r="N121" s="79">
        <f t="shared" si="76"/>
        <v>70.955022222222226</v>
      </c>
      <c r="O121" s="79">
        <f t="shared" si="77"/>
        <v>851.46026666666671</v>
      </c>
      <c r="P121" s="79">
        <f t="shared" si="78"/>
        <v>0</v>
      </c>
      <c r="Q121" s="79">
        <f t="shared" si="79"/>
        <v>851.46026666666671</v>
      </c>
      <c r="R121" s="79">
        <f t="shared" si="80"/>
        <v>851.46026666666671</v>
      </c>
      <c r="S121" s="79">
        <f t="shared" si="81"/>
        <v>0</v>
      </c>
    </row>
    <row r="122" spans="1:19">
      <c r="B122" s="22">
        <v>169041</v>
      </c>
      <c r="C122">
        <v>4076</v>
      </c>
      <c r="D122" t="s">
        <v>598</v>
      </c>
      <c r="E122">
        <v>2016</v>
      </c>
      <c r="F122">
        <v>10</v>
      </c>
      <c r="G122" s="27">
        <v>0</v>
      </c>
      <c r="H122" t="s">
        <v>78</v>
      </c>
      <c r="I122">
        <v>10</v>
      </c>
      <c r="J122">
        <f t="shared" si="74"/>
        <v>2026</v>
      </c>
      <c r="K122" s="14">
        <f t="shared" si="75"/>
        <v>2026.8333333333333</v>
      </c>
      <c r="L122" s="79">
        <v>231607.35</v>
      </c>
      <c r="M122" s="79">
        <f t="shared" si="82"/>
        <v>231607.35</v>
      </c>
      <c r="N122" s="79">
        <f t="shared" si="76"/>
        <v>1930.06125</v>
      </c>
      <c r="O122" s="79">
        <f t="shared" si="77"/>
        <v>23160.735000000001</v>
      </c>
      <c r="P122" s="79">
        <f t="shared" si="78"/>
        <v>23160.735000000001</v>
      </c>
      <c r="Q122" s="79">
        <f t="shared" si="79"/>
        <v>46321.47</v>
      </c>
      <c r="R122" s="79">
        <f t="shared" si="80"/>
        <v>69482.205000000002</v>
      </c>
      <c r="S122" s="79">
        <f t="shared" si="81"/>
        <v>162125.14500000002</v>
      </c>
    </row>
    <row r="123" spans="1:19">
      <c r="B123" s="22">
        <v>186157</v>
      </c>
      <c r="C123">
        <v>4046</v>
      </c>
      <c r="D123" t="s">
        <v>632</v>
      </c>
      <c r="E123">
        <v>2017</v>
      </c>
      <c r="F123">
        <v>9</v>
      </c>
      <c r="G123" s="27">
        <v>0</v>
      </c>
      <c r="H123" t="s">
        <v>78</v>
      </c>
      <c r="I123">
        <v>3</v>
      </c>
      <c r="J123">
        <f t="shared" si="74"/>
        <v>2020</v>
      </c>
      <c r="K123" s="14">
        <f t="shared" si="75"/>
        <v>2020.75</v>
      </c>
      <c r="L123" s="79">
        <v>59424.88</v>
      </c>
      <c r="M123" s="79">
        <f t="shared" si="82"/>
        <v>59424.88</v>
      </c>
      <c r="N123" s="79">
        <f t="shared" si="76"/>
        <v>1650.691111111111</v>
      </c>
      <c r="O123" s="79">
        <f t="shared" si="77"/>
        <v>19808.293333333331</v>
      </c>
      <c r="P123" s="79">
        <f t="shared" si="78"/>
        <v>19808.293333333331</v>
      </c>
      <c r="Q123" s="79">
        <f t="shared" si="79"/>
        <v>19808.293333333331</v>
      </c>
      <c r="R123" s="79">
        <f t="shared" si="80"/>
        <v>39616.586666666662</v>
      </c>
      <c r="S123" s="79">
        <f t="shared" si="81"/>
        <v>19808.293333333335</v>
      </c>
    </row>
    <row r="124" spans="1:19">
      <c r="B124" s="22">
        <v>186158</v>
      </c>
      <c r="C124">
        <v>4047</v>
      </c>
      <c r="D124" t="s">
        <v>632</v>
      </c>
      <c r="E124">
        <v>2017</v>
      </c>
      <c r="F124">
        <v>9</v>
      </c>
      <c r="G124" s="27">
        <v>0</v>
      </c>
      <c r="H124" t="s">
        <v>78</v>
      </c>
      <c r="I124">
        <v>3</v>
      </c>
      <c r="J124">
        <f t="shared" si="74"/>
        <v>2020</v>
      </c>
      <c r="K124" s="14">
        <f t="shared" si="75"/>
        <v>2020.75</v>
      </c>
      <c r="L124" s="79">
        <v>59424.88</v>
      </c>
      <c r="M124" s="79">
        <f t="shared" si="82"/>
        <v>59424.88</v>
      </c>
      <c r="N124" s="79">
        <f t="shared" si="76"/>
        <v>1650.691111111111</v>
      </c>
      <c r="O124" s="79">
        <f t="shared" si="77"/>
        <v>19808.293333333331</v>
      </c>
      <c r="P124" s="79">
        <f t="shared" si="78"/>
        <v>19808.293333333331</v>
      </c>
      <c r="Q124" s="79">
        <f t="shared" si="79"/>
        <v>19808.293333333331</v>
      </c>
      <c r="R124" s="79">
        <f t="shared" si="80"/>
        <v>39616.586666666662</v>
      </c>
      <c r="S124" s="79">
        <f t="shared" si="81"/>
        <v>19808.293333333335</v>
      </c>
    </row>
    <row r="125" spans="1:19">
      <c r="A125" s="50"/>
      <c r="B125" s="62" t="s">
        <v>715</v>
      </c>
      <c r="C125" s="50"/>
      <c r="D125" s="50" t="s">
        <v>716</v>
      </c>
      <c r="E125" s="50">
        <v>2018</v>
      </c>
      <c r="F125" s="50">
        <v>1</v>
      </c>
      <c r="G125" s="73">
        <v>0</v>
      </c>
      <c r="H125" s="50" t="s">
        <v>78</v>
      </c>
      <c r="I125" s="50">
        <v>3</v>
      </c>
      <c r="J125" s="50">
        <f t="shared" si="74"/>
        <v>2021</v>
      </c>
      <c r="K125" s="51">
        <f t="shared" si="75"/>
        <v>2021.0833333333333</v>
      </c>
      <c r="L125" s="86">
        <v>60725.69</v>
      </c>
      <c r="M125" s="86">
        <f t="shared" si="82"/>
        <v>60725.69</v>
      </c>
      <c r="N125" s="86">
        <f t="shared" si="76"/>
        <v>1686.8247222222224</v>
      </c>
      <c r="O125" s="86">
        <f>+N125*12</f>
        <v>20241.896666666667</v>
      </c>
      <c r="P125" s="86">
        <f t="shared" si="78"/>
        <v>20241.896666666667</v>
      </c>
      <c r="Q125" s="86">
        <f t="shared" si="79"/>
        <v>0</v>
      </c>
      <c r="R125" s="86">
        <f t="shared" si="80"/>
        <v>20241.896666666667</v>
      </c>
      <c r="S125" s="86">
        <f t="shared" si="81"/>
        <v>40483.793333333335</v>
      </c>
    </row>
    <row r="126" spans="1:19">
      <c r="A126" s="50"/>
      <c r="B126" s="62">
        <v>207237</v>
      </c>
      <c r="C126" s="50">
        <v>4082</v>
      </c>
      <c r="D126" s="83" t="s">
        <v>750</v>
      </c>
      <c r="E126" s="50">
        <v>2018</v>
      </c>
      <c r="F126" s="50">
        <v>12</v>
      </c>
      <c r="G126" s="73">
        <v>0</v>
      </c>
      <c r="H126" s="83" t="s">
        <v>78</v>
      </c>
      <c r="I126" s="83">
        <v>10</v>
      </c>
      <c r="J126" s="50">
        <f t="shared" si="74"/>
        <v>2028</v>
      </c>
      <c r="K126" s="51">
        <f t="shared" si="75"/>
        <v>2029</v>
      </c>
      <c r="L126" s="86">
        <v>250296.54</v>
      </c>
      <c r="M126" s="86">
        <f t="shared" si="82"/>
        <v>250296.54</v>
      </c>
      <c r="N126" s="86">
        <f t="shared" si="76"/>
        <v>2085.8045000000002</v>
      </c>
      <c r="O126" s="86">
        <f>+N126*12</f>
        <v>25029.654000000002</v>
      </c>
      <c r="P126" s="86">
        <f>+IF(K126&lt;=$M$5,0,IF(J126&gt;$M$4,O126,N126*F126))</f>
        <v>25029.654000000002</v>
      </c>
      <c r="Q126" s="86">
        <f t="shared" si="79"/>
        <v>0</v>
      </c>
      <c r="R126" s="86">
        <f t="shared" si="80"/>
        <v>25029.654000000002</v>
      </c>
      <c r="S126" s="86">
        <f t="shared" si="81"/>
        <v>225266.886</v>
      </c>
    </row>
    <row r="127" spans="1:19" s="2" customFormat="1">
      <c r="B127" s="61"/>
      <c r="D127" s="2" t="s">
        <v>796</v>
      </c>
      <c r="E127" s="2">
        <v>2018</v>
      </c>
      <c r="F127" s="2">
        <v>5</v>
      </c>
      <c r="G127" s="71">
        <v>0</v>
      </c>
      <c r="H127" s="2" t="s">
        <v>78</v>
      </c>
      <c r="I127" s="2">
        <v>3</v>
      </c>
      <c r="J127" s="2">
        <f t="shared" si="74"/>
        <v>2021</v>
      </c>
      <c r="K127" s="15">
        <f t="shared" si="75"/>
        <v>2021.4166666666667</v>
      </c>
      <c r="L127" s="114">
        <f>+SUM(L258,L260,L268)</f>
        <v>62522.067999999999</v>
      </c>
      <c r="M127" s="114">
        <f t="shared" si="82"/>
        <v>62522.067999999999</v>
      </c>
      <c r="N127" s="114">
        <f t="shared" si="76"/>
        <v>1736.7241111111109</v>
      </c>
      <c r="O127" s="114">
        <f t="shared" ref="O127" si="83">+N127*12</f>
        <v>20840.689333333332</v>
      </c>
      <c r="P127" s="114">
        <f t="shared" ref="P127" si="84">+IF(K127&lt;=$M$5,0,IF(J127=$M$4,N127*F127,O127))</f>
        <v>20840.689333333332</v>
      </c>
      <c r="Q127" s="114">
        <f t="shared" si="79"/>
        <v>0</v>
      </c>
      <c r="R127" s="114">
        <f t="shared" si="80"/>
        <v>20840.689333333332</v>
      </c>
      <c r="S127" s="114">
        <f t="shared" si="81"/>
        <v>41681.378666666671</v>
      </c>
    </row>
    <row r="128" spans="1:19" s="59" customFormat="1">
      <c r="B128" s="95" t="s">
        <v>807</v>
      </c>
      <c r="C128" s="59">
        <v>4083</v>
      </c>
      <c r="D128" s="59" t="s">
        <v>809</v>
      </c>
      <c r="E128" s="59">
        <v>2019</v>
      </c>
      <c r="F128" s="59">
        <v>8</v>
      </c>
      <c r="G128" s="96">
        <v>0</v>
      </c>
      <c r="H128" s="59" t="s">
        <v>78</v>
      </c>
      <c r="I128" s="59">
        <v>10</v>
      </c>
      <c r="J128" s="59">
        <f t="shared" si="74"/>
        <v>2029</v>
      </c>
      <c r="K128" s="103">
        <f t="shared" si="75"/>
        <v>2029.6666666666667</v>
      </c>
      <c r="L128" s="115">
        <v>264945</v>
      </c>
      <c r="M128" s="80">
        <f t="shared" ref="M128:M129" si="85">L128-L128*G128</f>
        <v>264945</v>
      </c>
      <c r="N128" s="80">
        <f t="shared" ref="N128:N129" si="86">M128/I128/12</f>
        <v>2207.875</v>
      </c>
      <c r="O128" s="80">
        <f>+N128*12</f>
        <v>26494.5</v>
      </c>
      <c r="P128" s="80">
        <f>+IF(K128&lt;=$M$5,0,IF(J128&gt;$M$4,O128,N128*F128))</f>
        <v>26494.5</v>
      </c>
      <c r="Q128" s="80">
        <f t="shared" ref="Q128:Q129" si="87">+IF(P128=0,M128,IF($M$3-E128&lt;1,0,(($M$3-E128)*O128)))</f>
        <v>0</v>
      </c>
      <c r="R128" s="80">
        <f t="shared" ref="R128:R129" si="88">+IF(P128=0,Q128,Q128+P128)</f>
        <v>26494.5</v>
      </c>
      <c r="S128" s="80">
        <f t="shared" ref="S128:S129" si="89">+L128-R128</f>
        <v>238450.5</v>
      </c>
    </row>
    <row r="129" spans="1:19" s="59" customFormat="1">
      <c r="B129" s="95" t="s">
        <v>807</v>
      </c>
      <c r="D129" s="59" t="s">
        <v>809</v>
      </c>
      <c r="E129" s="59">
        <v>2019</v>
      </c>
      <c r="F129" s="59">
        <v>10</v>
      </c>
      <c r="G129" s="96">
        <v>0</v>
      </c>
      <c r="H129" s="59" t="s">
        <v>78</v>
      </c>
      <c r="I129" s="59">
        <v>10</v>
      </c>
      <c r="J129" s="59">
        <f t="shared" si="74"/>
        <v>2029</v>
      </c>
      <c r="K129" s="103">
        <f t="shared" si="75"/>
        <v>2029.8333333333333</v>
      </c>
      <c r="L129" s="115">
        <v>264945</v>
      </c>
      <c r="M129" s="115">
        <f t="shared" si="85"/>
        <v>264945</v>
      </c>
      <c r="N129" s="115">
        <f t="shared" si="86"/>
        <v>2207.875</v>
      </c>
      <c r="O129" s="115">
        <f>+N129*12</f>
        <v>26494.5</v>
      </c>
      <c r="P129" s="115">
        <f>+IF(K129&lt;=$M$5,0,IF(J129&gt;$M$4,O129,N129*F129))</f>
        <v>26494.5</v>
      </c>
      <c r="Q129" s="115">
        <f t="shared" si="87"/>
        <v>0</v>
      </c>
      <c r="R129" s="115">
        <f t="shared" si="88"/>
        <v>26494.5</v>
      </c>
      <c r="S129" s="115">
        <f t="shared" si="89"/>
        <v>238450.5</v>
      </c>
    </row>
    <row r="130" spans="1:19" s="59" customFormat="1">
      <c r="B130" s="57" t="s">
        <v>818</v>
      </c>
      <c r="D130" s="59" t="s">
        <v>809</v>
      </c>
      <c r="E130" s="59">
        <v>2019</v>
      </c>
      <c r="F130" s="59">
        <v>5</v>
      </c>
      <c r="G130" s="96">
        <v>0</v>
      </c>
      <c r="H130" s="59" t="s">
        <v>78</v>
      </c>
      <c r="I130" s="59">
        <v>10</v>
      </c>
      <c r="J130" s="59">
        <f t="shared" ref="J130" si="90">E130+I130</f>
        <v>2029</v>
      </c>
      <c r="K130" s="103">
        <f t="shared" ref="K130" si="91">+J130+(F130/12)</f>
        <v>2029.4166666666667</v>
      </c>
      <c r="L130" s="115">
        <v>264454</v>
      </c>
      <c r="M130" s="115">
        <f t="shared" ref="M130" si="92">L130-L130*G130</f>
        <v>264454</v>
      </c>
      <c r="N130" s="115">
        <f t="shared" ref="N130" si="93">M130/I130/12</f>
        <v>2203.7833333333333</v>
      </c>
      <c r="O130" s="115">
        <f>+N130*12</f>
        <v>26445.4</v>
      </c>
      <c r="P130" s="115">
        <f>+IF(K130&lt;=$M$5,0,IF(J130&gt;$M$4,O130,N130*F130))</f>
        <v>26445.4</v>
      </c>
      <c r="Q130" s="115">
        <f t="shared" ref="Q130" si="94">+IF(P130=0,M130,IF($M$3-E130&lt;1,0,(($M$3-E130)*O130)))</f>
        <v>0</v>
      </c>
      <c r="R130" s="115">
        <f t="shared" ref="R130" si="95">+IF(P130=0,Q130,Q130+P130)</f>
        <v>26445.4</v>
      </c>
      <c r="S130" s="115">
        <f t="shared" ref="S130" si="96">+L130-R130</f>
        <v>238008.6</v>
      </c>
    </row>
    <row r="131" spans="1:19">
      <c r="L131" s="79"/>
      <c r="M131" s="79"/>
      <c r="N131" s="79"/>
      <c r="O131" s="79"/>
      <c r="P131" s="79"/>
      <c r="Q131" s="79"/>
      <c r="R131" s="79"/>
      <c r="S131" s="79"/>
    </row>
    <row r="132" spans="1:19">
      <c r="C132" s="9">
        <v>11</v>
      </c>
      <c r="D132" s="9" t="s">
        <v>146</v>
      </c>
      <c r="L132" s="81">
        <f t="shared" ref="L132:S132" si="97">SUM(L94:L131)</f>
        <v>2677806.6882666671</v>
      </c>
      <c r="M132" s="81">
        <f t="shared" si="97"/>
        <v>2677806.6882666671</v>
      </c>
      <c r="N132" s="81">
        <f t="shared" si="97"/>
        <v>35767.281097619045</v>
      </c>
      <c r="O132" s="81">
        <f t="shared" si="97"/>
        <v>429207.37317142863</v>
      </c>
      <c r="P132" s="81">
        <f t="shared" si="97"/>
        <v>280711.00633333338</v>
      </c>
      <c r="Q132" s="81">
        <f t="shared" si="97"/>
        <v>1028238.2029333331</v>
      </c>
      <c r="R132" s="81">
        <f t="shared" si="97"/>
        <v>1308949.2092666666</v>
      </c>
      <c r="S132" s="81">
        <f t="shared" si="97"/>
        <v>1368857.4790000003</v>
      </c>
    </row>
    <row r="133" spans="1:19">
      <c r="K133" s="18"/>
      <c r="L133" s="79"/>
      <c r="M133" s="79"/>
      <c r="N133" s="79"/>
      <c r="O133" s="79"/>
      <c r="P133" s="79"/>
      <c r="Q133" s="79"/>
      <c r="R133" s="79"/>
      <c r="S133" s="79"/>
    </row>
    <row r="134" spans="1:19">
      <c r="K134" s="18"/>
      <c r="L134" s="79"/>
      <c r="M134" s="79"/>
      <c r="N134" s="79"/>
      <c r="O134" s="79"/>
      <c r="P134" s="79"/>
      <c r="Q134" s="79"/>
      <c r="R134" s="79"/>
      <c r="S134" s="79"/>
    </row>
    <row r="135" spans="1:19">
      <c r="D135" s="9" t="s">
        <v>386</v>
      </c>
      <c r="L135" s="79"/>
      <c r="M135" s="79"/>
      <c r="N135" s="79"/>
      <c r="O135" s="79"/>
      <c r="P135" s="79"/>
      <c r="Q135" s="79"/>
      <c r="R135" s="79"/>
      <c r="S135" s="79"/>
    </row>
    <row r="136" spans="1:19">
      <c r="A136" s="7" t="s">
        <v>288</v>
      </c>
      <c r="C136" s="7">
        <v>5041</v>
      </c>
      <c r="D136" s="7" t="s">
        <v>333</v>
      </c>
      <c r="E136" s="7">
        <v>2001</v>
      </c>
      <c r="F136" s="7">
        <v>11</v>
      </c>
      <c r="G136" s="27">
        <v>0</v>
      </c>
      <c r="H136" s="7" t="s">
        <v>78</v>
      </c>
      <c r="I136" s="7">
        <v>7</v>
      </c>
      <c r="J136" s="7">
        <f t="shared" ref="J136:J176" si="98">E136+I136</f>
        <v>2008</v>
      </c>
      <c r="K136" s="14">
        <f t="shared" ref="K136:K191" si="99">+J136+(F136/12)</f>
        <v>2008.9166666666667</v>
      </c>
      <c r="L136" s="79">
        <f>'Orig Trucks 2183'!P123</f>
        <v>50531.815999999999</v>
      </c>
      <c r="M136" s="79">
        <f>L136-L136*G136</f>
        <v>50531.815999999999</v>
      </c>
      <c r="N136" s="79">
        <f t="shared" ref="N136:N175" si="100">M136/I136/12</f>
        <v>601.56923809523812</v>
      </c>
      <c r="O136" s="79">
        <f t="shared" ref="O136:O174" si="101">+N136*12</f>
        <v>7218.830857142857</v>
      </c>
      <c r="P136" s="79">
        <f t="shared" ref="P136:P174" si="102">+IF(K136&lt;=$M$5,0,IF(J136&gt;$M$4,O136,N136*F136))</f>
        <v>0</v>
      </c>
      <c r="Q136" s="79">
        <f t="shared" ref="Q136:Q175" si="103">+IF(P136=0,M136,IF($M$3-E136&lt;1,0,(($M$3-E136)*O136)))</f>
        <v>50531.815999999999</v>
      </c>
      <c r="R136" s="79">
        <f t="shared" ref="R136:R175" si="104">+IF(P136=0,Q136,Q136+P136)</f>
        <v>50531.815999999999</v>
      </c>
      <c r="S136" s="79">
        <f t="shared" ref="S136:S175" si="105">+L136-R136</f>
        <v>0</v>
      </c>
    </row>
    <row r="137" spans="1:19">
      <c r="A137" s="2"/>
      <c r="B137" s="61">
        <v>5041</v>
      </c>
      <c r="C137" s="2"/>
      <c r="D137" s="2" t="s">
        <v>686</v>
      </c>
      <c r="E137" s="2">
        <v>2018</v>
      </c>
      <c r="F137" s="2">
        <v>5</v>
      </c>
      <c r="G137" s="71">
        <v>0</v>
      </c>
      <c r="H137" s="2" t="s">
        <v>78</v>
      </c>
      <c r="I137" s="2">
        <f>+IF(J136-$M$4&gt;=3,J136-$M$4,3)</f>
        <v>3</v>
      </c>
      <c r="J137" s="2">
        <f t="shared" si="98"/>
        <v>2021</v>
      </c>
      <c r="K137" s="15">
        <f t="shared" si="99"/>
        <v>2021.4166666666667</v>
      </c>
      <c r="L137" s="114">
        <f>'Orig Trucks 2183'!N123-'Trucks 2183'!L136</f>
        <v>12632.953999999998</v>
      </c>
      <c r="M137" s="114">
        <f>L137-(L137*G137)</f>
        <v>12632.953999999998</v>
      </c>
      <c r="N137" s="114">
        <f t="shared" si="100"/>
        <v>350.91538888888886</v>
      </c>
      <c r="O137" s="114">
        <f>+N137*12</f>
        <v>4210.9846666666663</v>
      </c>
      <c r="P137" s="114">
        <f t="shared" si="102"/>
        <v>4210.9846666666663</v>
      </c>
      <c r="Q137" s="114">
        <f t="shared" si="103"/>
        <v>0</v>
      </c>
      <c r="R137" s="114">
        <f t="shared" si="104"/>
        <v>4210.9846666666663</v>
      </c>
      <c r="S137" s="114">
        <f t="shared" si="105"/>
        <v>8421.9693333333307</v>
      </c>
    </row>
    <row r="138" spans="1:19">
      <c r="A138" s="7" t="s">
        <v>292</v>
      </c>
      <c r="C138" s="7">
        <v>5042</v>
      </c>
      <c r="D138" s="7" t="s">
        <v>453</v>
      </c>
      <c r="E138" s="7">
        <v>2002</v>
      </c>
      <c r="F138" s="7">
        <v>6</v>
      </c>
      <c r="G138" s="27">
        <v>0</v>
      </c>
      <c r="H138" s="7" t="s">
        <v>78</v>
      </c>
      <c r="I138" s="7">
        <v>7</v>
      </c>
      <c r="J138" s="7">
        <f t="shared" si="98"/>
        <v>2009</v>
      </c>
      <c r="K138" s="14">
        <f t="shared" si="99"/>
        <v>2009.5</v>
      </c>
      <c r="L138" s="79">
        <f>'Orig Trucks 2183'!P124</f>
        <v>60634.271999999997</v>
      </c>
      <c r="M138" s="79">
        <f>L138-L138*G138</f>
        <v>60634.271999999997</v>
      </c>
      <c r="N138" s="79">
        <f t="shared" si="100"/>
        <v>721.83657142857146</v>
      </c>
      <c r="O138" s="79">
        <f t="shared" si="101"/>
        <v>8662.0388571428575</v>
      </c>
      <c r="P138" s="79">
        <f t="shared" si="102"/>
        <v>0</v>
      </c>
      <c r="Q138" s="79">
        <f t="shared" si="103"/>
        <v>60634.271999999997</v>
      </c>
      <c r="R138" s="79">
        <f t="shared" si="104"/>
        <v>60634.271999999997</v>
      </c>
      <c r="S138" s="79">
        <f t="shared" si="105"/>
        <v>0</v>
      </c>
    </row>
    <row r="139" spans="1:19">
      <c r="A139" s="2"/>
      <c r="B139" s="61">
        <v>5042</v>
      </c>
      <c r="C139" s="2"/>
      <c r="D139" s="2" t="s">
        <v>687</v>
      </c>
      <c r="E139" s="2">
        <v>2018</v>
      </c>
      <c r="F139" s="2">
        <v>5</v>
      </c>
      <c r="G139" s="71">
        <v>0</v>
      </c>
      <c r="H139" s="2" t="s">
        <v>78</v>
      </c>
      <c r="I139" s="2">
        <f>+IF(J138-$M$4&gt;=3,J138-$M$4,3)</f>
        <v>3</v>
      </c>
      <c r="J139" s="2">
        <f t="shared" si="98"/>
        <v>2021</v>
      </c>
      <c r="K139" s="15">
        <f t="shared" si="99"/>
        <v>2021.4166666666667</v>
      </c>
      <c r="L139" s="114">
        <f>'Orig Trucks 2183'!N124-'Trucks 2183'!L138</f>
        <v>15158.567999999999</v>
      </c>
      <c r="M139" s="114">
        <f>L139-(L139*G139)</f>
        <v>15158.567999999999</v>
      </c>
      <c r="N139" s="114">
        <f t="shared" si="100"/>
        <v>421.07133333333331</v>
      </c>
      <c r="O139" s="114">
        <f>+N139*12</f>
        <v>5052.8559999999998</v>
      </c>
      <c r="P139" s="114">
        <f t="shared" si="102"/>
        <v>5052.8559999999998</v>
      </c>
      <c r="Q139" s="114">
        <f t="shared" si="103"/>
        <v>0</v>
      </c>
      <c r="R139" s="114">
        <f t="shared" si="104"/>
        <v>5052.8559999999998</v>
      </c>
      <c r="S139" s="114">
        <f t="shared" si="105"/>
        <v>10105.712</v>
      </c>
    </row>
    <row r="140" spans="1:19">
      <c r="A140" s="7" t="s">
        <v>292</v>
      </c>
      <c r="C140" s="7">
        <v>5045</v>
      </c>
      <c r="D140" s="7" t="s">
        <v>453</v>
      </c>
      <c r="E140" s="7">
        <v>2002</v>
      </c>
      <c r="F140" s="7">
        <v>6</v>
      </c>
      <c r="G140" s="27">
        <v>0</v>
      </c>
      <c r="H140" s="7" t="s">
        <v>78</v>
      </c>
      <c r="I140" s="7">
        <v>7</v>
      </c>
      <c r="J140" s="7">
        <f t="shared" si="98"/>
        <v>2009</v>
      </c>
      <c r="K140" s="14">
        <f t="shared" si="99"/>
        <v>2009.5</v>
      </c>
      <c r="L140" s="79">
        <f>'Orig Trucks 2183'!P126</f>
        <v>60111.784</v>
      </c>
      <c r="M140" s="79">
        <f>L140-L140*G140</f>
        <v>60111.784</v>
      </c>
      <c r="N140" s="79">
        <f t="shared" si="100"/>
        <v>715.61647619047619</v>
      </c>
      <c r="O140" s="79">
        <f t="shared" si="101"/>
        <v>8587.3977142857148</v>
      </c>
      <c r="P140" s="79">
        <f t="shared" si="102"/>
        <v>0</v>
      </c>
      <c r="Q140" s="79">
        <f t="shared" si="103"/>
        <v>60111.784</v>
      </c>
      <c r="R140" s="79">
        <f t="shared" si="104"/>
        <v>60111.784</v>
      </c>
      <c r="S140" s="79">
        <f t="shared" si="105"/>
        <v>0</v>
      </c>
    </row>
    <row r="141" spans="1:19">
      <c r="A141" s="2"/>
      <c r="B141" s="61">
        <v>5045</v>
      </c>
      <c r="C141" s="2"/>
      <c r="D141" s="2" t="s">
        <v>689</v>
      </c>
      <c r="E141" s="2">
        <v>2018</v>
      </c>
      <c r="F141" s="2">
        <v>5</v>
      </c>
      <c r="G141" s="71">
        <v>0</v>
      </c>
      <c r="H141" s="2" t="s">
        <v>78</v>
      </c>
      <c r="I141" s="2">
        <f>+IF(J140-$M$4&gt;=3,J140-$M$4,3)</f>
        <v>3</v>
      </c>
      <c r="J141" s="2">
        <f t="shared" si="98"/>
        <v>2021</v>
      </c>
      <c r="K141" s="15">
        <f t="shared" si="99"/>
        <v>2021.4166666666667</v>
      </c>
      <c r="L141" s="114">
        <f>'Orig Trucks 2183'!N126-'Trucks 2183'!L140</f>
        <v>15027.945999999996</v>
      </c>
      <c r="M141" s="114">
        <f>L141-(L141*G141)</f>
        <v>15027.945999999996</v>
      </c>
      <c r="N141" s="114">
        <f t="shared" si="100"/>
        <v>417.44294444444432</v>
      </c>
      <c r="O141" s="114">
        <f>+N141*12</f>
        <v>5009.3153333333321</v>
      </c>
      <c r="P141" s="114">
        <f t="shared" si="102"/>
        <v>5009.3153333333321</v>
      </c>
      <c r="Q141" s="114">
        <f t="shared" si="103"/>
        <v>0</v>
      </c>
      <c r="R141" s="114">
        <f t="shared" si="104"/>
        <v>5009.3153333333321</v>
      </c>
      <c r="S141" s="114">
        <f t="shared" si="105"/>
        <v>10018.630666666664</v>
      </c>
    </row>
    <row r="142" spans="1:19">
      <c r="A142" s="7" t="s">
        <v>284</v>
      </c>
      <c r="C142" s="7">
        <v>3598</v>
      </c>
      <c r="D142" s="7" t="s">
        <v>161</v>
      </c>
      <c r="E142" s="7">
        <v>2007</v>
      </c>
      <c r="F142" s="7">
        <v>3</v>
      </c>
      <c r="G142" s="27">
        <v>0</v>
      </c>
      <c r="H142" s="7" t="s">
        <v>78</v>
      </c>
      <c r="I142" s="7">
        <v>7</v>
      </c>
      <c r="J142" s="7">
        <f t="shared" si="98"/>
        <v>2014</v>
      </c>
      <c r="K142" s="14">
        <f t="shared" si="99"/>
        <v>2014.25</v>
      </c>
      <c r="L142" s="79">
        <f>'Orig Trucks 2183'!P127</f>
        <v>155764.03200000001</v>
      </c>
      <c r="M142" s="79">
        <f>L142-L142*G142</f>
        <v>155764.03200000001</v>
      </c>
      <c r="N142" s="79">
        <f t="shared" si="100"/>
        <v>1854.3337142857144</v>
      </c>
      <c r="O142" s="79">
        <f t="shared" si="101"/>
        <v>22252.004571428573</v>
      </c>
      <c r="P142" s="79">
        <f t="shared" si="102"/>
        <v>0</v>
      </c>
      <c r="Q142" s="79">
        <f t="shared" si="103"/>
        <v>155764.03200000001</v>
      </c>
      <c r="R142" s="79">
        <f t="shared" si="104"/>
        <v>155764.03200000001</v>
      </c>
      <c r="S142" s="79">
        <f t="shared" si="105"/>
        <v>0</v>
      </c>
    </row>
    <row r="143" spans="1:19">
      <c r="A143" s="2"/>
      <c r="B143" s="61">
        <v>3598</v>
      </c>
      <c r="C143" s="2"/>
      <c r="D143" s="2" t="s">
        <v>690</v>
      </c>
      <c r="E143" s="2">
        <v>2018</v>
      </c>
      <c r="F143" s="2">
        <v>5</v>
      </c>
      <c r="G143" s="71">
        <v>0</v>
      </c>
      <c r="H143" s="2" t="s">
        <v>78</v>
      </c>
      <c r="I143" s="2">
        <f>+IF(J142-$M$4&gt;=3,J142-$M$4,3)</f>
        <v>3</v>
      </c>
      <c r="J143" s="2">
        <f t="shared" si="98"/>
        <v>2021</v>
      </c>
      <c r="K143" s="15">
        <f t="shared" si="99"/>
        <v>2021.4166666666667</v>
      </c>
      <c r="L143" s="114">
        <f>'Orig Trucks 2183'!N127-'Trucks 2183'!L142</f>
        <v>38941.008000000002</v>
      </c>
      <c r="M143" s="114">
        <f>L143-(L143*G143)</f>
        <v>38941.008000000002</v>
      </c>
      <c r="N143" s="114">
        <f t="shared" si="100"/>
        <v>1081.6946666666668</v>
      </c>
      <c r="O143" s="114">
        <f>+N143*12</f>
        <v>12980.336000000001</v>
      </c>
      <c r="P143" s="114">
        <f t="shared" si="102"/>
        <v>12980.336000000001</v>
      </c>
      <c r="Q143" s="114">
        <f t="shared" si="103"/>
        <v>0</v>
      </c>
      <c r="R143" s="114">
        <f t="shared" si="104"/>
        <v>12980.336000000001</v>
      </c>
      <c r="S143" s="114">
        <f t="shared" si="105"/>
        <v>25960.671999999999</v>
      </c>
    </row>
    <row r="144" spans="1:19">
      <c r="A144" s="7" t="s">
        <v>284</v>
      </c>
      <c r="C144" s="7">
        <v>3599</v>
      </c>
      <c r="D144" s="7" t="s">
        <v>161</v>
      </c>
      <c r="E144" s="7">
        <v>2007</v>
      </c>
      <c r="F144" s="7">
        <v>3</v>
      </c>
      <c r="G144" s="27">
        <v>0</v>
      </c>
      <c r="H144" s="7" t="s">
        <v>78</v>
      </c>
      <c r="I144" s="7">
        <v>7</v>
      </c>
      <c r="J144" s="7">
        <f t="shared" si="98"/>
        <v>2014</v>
      </c>
      <c r="K144" s="14">
        <f t="shared" si="99"/>
        <v>2014.25</v>
      </c>
      <c r="L144" s="79">
        <f>'Orig Trucks 2183'!P128</f>
        <v>156190.52799999999</v>
      </c>
      <c r="M144" s="79">
        <f>L144-L144*G144</f>
        <v>156190.52799999999</v>
      </c>
      <c r="N144" s="79">
        <f t="shared" si="100"/>
        <v>1859.4110476190474</v>
      </c>
      <c r="O144" s="79">
        <f t="shared" si="101"/>
        <v>22312.93257142857</v>
      </c>
      <c r="P144" s="79">
        <f t="shared" si="102"/>
        <v>0</v>
      </c>
      <c r="Q144" s="79">
        <f t="shared" si="103"/>
        <v>156190.52799999999</v>
      </c>
      <c r="R144" s="79">
        <f t="shared" si="104"/>
        <v>156190.52799999999</v>
      </c>
      <c r="S144" s="79">
        <f t="shared" si="105"/>
        <v>0</v>
      </c>
    </row>
    <row r="145" spans="1:19">
      <c r="A145" s="2"/>
      <c r="B145" s="61">
        <v>3599</v>
      </c>
      <c r="C145" s="2"/>
      <c r="D145" s="2" t="s">
        <v>691</v>
      </c>
      <c r="E145" s="2">
        <v>2018</v>
      </c>
      <c r="F145" s="2">
        <v>5</v>
      </c>
      <c r="G145" s="71">
        <v>0</v>
      </c>
      <c r="H145" s="2" t="s">
        <v>78</v>
      </c>
      <c r="I145" s="2">
        <f>+IF(J144-$M$4&gt;=3,J144-$M$4,3)</f>
        <v>3</v>
      </c>
      <c r="J145" s="2">
        <f t="shared" si="98"/>
        <v>2021</v>
      </c>
      <c r="K145" s="15">
        <f t="shared" si="99"/>
        <v>2021.4166666666667</v>
      </c>
      <c r="L145" s="114">
        <f>'Orig Trucks 2183'!N128-'Trucks 2183'!L144</f>
        <v>39047.632000000012</v>
      </c>
      <c r="M145" s="114">
        <f>L145-(L145*G145)</f>
        <v>39047.632000000012</v>
      </c>
      <c r="N145" s="114">
        <f t="shared" si="100"/>
        <v>1084.6564444444448</v>
      </c>
      <c r="O145" s="114">
        <f>+N145*12</f>
        <v>13015.877333333337</v>
      </c>
      <c r="P145" s="114">
        <f t="shared" si="102"/>
        <v>13015.877333333337</v>
      </c>
      <c r="Q145" s="114">
        <f t="shared" si="103"/>
        <v>0</v>
      </c>
      <c r="R145" s="114">
        <f t="shared" si="104"/>
        <v>13015.877333333337</v>
      </c>
      <c r="S145" s="114">
        <f t="shared" si="105"/>
        <v>26031.754666666675</v>
      </c>
    </row>
    <row r="146" spans="1:19">
      <c r="A146" s="7" t="s">
        <v>284</v>
      </c>
      <c r="C146" s="7">
        <v>3600</v>
      </c>
      <c r="D146" s="7" t="s">
        <v>161</v>
      </c>
      <c r="E146" s="7">
        <v>2007</v>
      </c>
      <c r="F146" s="7">
        <v>3</v>
      </c>
      <c r="G146" s="27">
        <v>0</v>
      </c>
      <c r="H146" s="7" t="s">
        <v>78</v>
      </c>
      <c r="I146" s="7">
        <v>7</v>
      </c>
      <c r="J146" s="7">
        <f t="shared" si="98"/>
        <v>2014</v>
      </c>
      <c r="K146" s="14">
        <f t="shared" si="99"/>
        <v>2014.25</v>
      </c>
      <c r="L146" s="79">
        <f>'Orig Trucks 2183'!P129</f>
        <v>155764.03200000001</v>
      </c>
      <c r="M146" s="79">
        <f>L146-L146*G146</f>
        <v>155764.03200000001</v>
      </c>
      <c r="N146" s="79">
        <f t="shared" si="100"/>
        <v>1854.3337142857144</v>
      </c>
      <c r="O146" s="79">
        <f t="shared" si="101"/>
        <v>22252.004571428573</v>
      </c>
      <c r="P146" s="79">
        <f t="shared" si="102"/>
        <v>0</v>
      </c>
      <c r="Q146" s="79">
        <f t="shared" si="103"/>
        <v>155764.03200000001</v>
      </c>
      <c r="R146" s="79">
        <f t="shared" si="104"/>
        <v>155764.03200000001</v>
      </c>
      <c r="S146" s="79">
        <f t="shared" si="105"/>
        <v>0</v>
      </c>
    </row>
    <row r="147" spans="1:19">
      <c r="A147" s="2"/>
      <c r="B147" s="61">
        <v>3600</v>
      </c>
      <c r="C147" s="2"/>
      <c r="D147" s="2" t="s">
        <v>692</v>
      </c>
      <c r="E147" s="2">
        <v>2018</v>
      </c>
      <c r="F147" s="2">
        <v>5</v>
      </c>
      <c r="G147" s="71">
        <v>0</v>
      </c>
      <c r="H147" s="2" t="s">
        <v>78</v>
      </c>
      <c r="I147" s="2">
        <f>+IF(J146-$M$4&gt;=3,J146-$M$4,3)</f>
        <v>3</v>
      </c>
      <c r="J147" s="2">
        <f t="shared" si="98"/>
        <v>2021</v>
      </c>
      <c r="K147" s="15">
        <f t="shared" si="99"/>
        <v>2021.4166666666667</v>
      </c>
      <c r="L147" s="114">
        <f>'Orig Trucks 2183'!N129-'Trucks 2183'!L146</f>
        <v>38941.008000000002</v>
      </c>
      <c r="M147" s="114">
        <f>L147-(L147*G147)</f>
        <v>38941.008000000002</v>
      </c>
      <c r="N147" s="114">
        <f t="shared" si="100"/>
        <v>1081.6946666666668</v>
      </c>
      <c r="O147" s="114">
        <f>+N147*12</f>
        <v>12980.336000000001</v>
      </c>
      <c r="P147" s="114">
        <f t="shared" si="102"/>
        <v>12980.336000000001</v>
      </c>
      <c r="Q147" s="114">
        <f t="shared" si="103"/>
        <v>0</v>
      </c>
      <c r="R147" s="114">
        <f t="shared" si="104"/>
        <v>12980.336000000001</v>
      </c>
      <c r="S147" s="114">
        <f t="shared" si="105"/>
        <v>25960.671999999999</v>
      </c>
    </row>
    <row r="148" spans="1:19">
      <c r="A148" s="7" t="s">
        <v>284</v>
      </c>
      <c r="C148" s="7">
        <v>3601</v>
      </c>
      <c r="D148" s="7" t="s">
        <v>161</v>
      </c>
      <c r="E148" s="7">
        <v>2007</v>
      </c>
      <c r="F148" s="7">
        <v>3</v>
      </c>
      <c r="G148" s="27">
        <v>0</v>
      </c>
      <c r="H148" s="7" t="s">
        <v>78</v>
      </c>
      <c r="I148" s="7">
        <v>7</v>
      </c>
      <c r="J148" s="7">
        <f t="shared" si="98"/>
        <v>2014</v>
      </c>
      <c r="K148" s="14">
        <f t="shared" si="99"/>
        <v>2014.25</v>
      </c>
      <c r="L148" s="79">
        <f>'Orig Trucks 2183'!P130</f>
        <v>155764.03200000001</v>
      </c>
      <c r="M148" s="79">
        <f>L148-L148*G148</f>
        <v>155764.03200000001</v>
      </c>
      <c r="N148" s="79">
        <f t="shared" si="100"/>
        <v>1854.3337142857144</v>
      </c>
      <c r="O148" s="79">
        <f t="shared" si="101"/>
        <v>22252.004571428573</v>
      </c>
      <c r="P148" s="79">
        <f t="shared" si="102"/>
        <v>0</v>
      </c>
      <c r="Q148" s="79">
        <f t="shared" si="103"/>
        <v>155764.03200000001</v>
      </c>
      <c r="R148" s="79">
        <f t="shared" si="104"/>
        <v>155764.03200000001</v>
      </c>
      <c r="S148" s="79">
        <f t="shared" si="105"/>
        <v>0</v>
      </c>
    </row>
    <row r="149" spans="1:19">
      <c r="A149" s="2"/>
      <c r="B149" s="61">
        <v>3601</v>
      </c>
      <c r="C149" s="2"/>
      <c r="D149" s="2" t="s">
        <v>693</v>
      </c>
      <c r="E149" s="2">
        <v>2018</v>
      </c>
      <c r="F149" s="2">
        <v>5</v>
      </c>
      <c r="G149" s="71">
        <v>0</v>
      </c>
      <c r="H149" s="2" t="s">
        <v>78</v>
      </c>
      <c r="I149" s="2">
        <f>+IF(J148-$M$4&gt;=3,J148-$M$4,3)</f>
        <v>3</v>
      </c>
      <c r="J149" s="2">
        <f t="shared" si="98"/>
        <v>2021</v>
      </c>
      <c r="K149" s="15">
        <f t="shared" si="99"/>
        <v>2021.4166666666667</v>
      </c>
      <c r="L149" s="114">
        <f>'Orig Trucks 2183'!N130-'Trucks 2183'!L148</f>
        <v>38941.008000000002</v>
      </c>
      <c r="M149" s="114">
        <f>L149-(L149*G149)</f>
        <v>38941.008000000002</v>
      </c>
      <c r="N149" s="114">
        <f t="shared" si="100"/>
        <v>1081.6946666666668</v>
      </c>
      <c r="O149" s="114">
        <f>+N149*12</f>
        <v>12980.336000000001</v>
      </c>
      <c r="P149" s="114">
        <f t="shared" si="102"/>
        <v>12980.336000000001</v>
      </c>
      <c r="Q149" s="114">
        <f t="shared" si="103"/>
        <v>0</v>
      </c>
      <c r="R149" s="114">
        <f t="shared" si="104"/>
        <v>12980.336000000001</v>
      </c>
      <c r="S149" s="114">
        <f t="shared" si="105"/>
        <v>25960.671999999999</v>
      </c>
    </row>
    <row r="150" spans="1:19">
      <c r="A150" s="7" t="s">
        <v>284</v>
      </c>
      <c r="C150" s="7">
        <v>3602</v>
      </c>
      <c r="D150" s="7" t="s">
        <v>161</v>
      </c>
      <c r="E150" s="7">
        <v>2007</v>
      </c>
      <c r="F150" s="7">
        <v>3</v>
      </c>
      <c r="G150" s="27">
        <v>0</v>
      </c>
      <c r="H150" s="7" t="s">
        <v>78</v>
      </c>
      <c r="I150" s="7">
        <v>7</v>
      </c>
      <c r="J150" s="7">
        <f t="shared" si="98"/>
        <v>2014</v>
      </c>
      <c r="K150" s="14">
        <f t="shared" si="99"/>
        <v>2014.25</v>
      </c>
      <c r="L150" s="79">
        <f>'Orig Trucks 2183'!P131</f>
        <v>155764.03200000001</v>
      </c>
      <c r="M150" s="79">
        <f>L150-L150*G150</f>
        <v>155764.03200000001</v>
      </c>
      <c r="N150" s="79">
        <f t="shared" si="100"/>
        <v>1854.3337142857144</v>
      </c>
      <c r="O150" s="79">
        <f t="shared" si="101"/>
        <v>22252.004571428573</v>
      </c>
      <c r="P150" s="79">
        <f t="shared" si="102"/>
        <v>0</v>
      </c>
      <c r="Q150" s="79">
        <f t="shared" si="103"/>
        <v>155764.03200000001</v>
      </c>
      <c r="R150" s="79">
        <f t="shared" si="104"/>
        <v>155764.03200000001</v>
      </c>
      <c r="S150" s="79">
        <f t="shared" si="105"/>
        <v>0</v>
      </c>
    </row>
    <row r="151" spans="1:19">
      <c r="A151" s="2"/>
      <c r="B151" s="61">
        <v>3602</v>
      </c>
      <c r="C151" s="2"/>
      <c r="D151" s="2" t="s">
        <v>694</v>
      </c>
      <c r="E151" s="2">
        <v>2018</v>
      </c>
      <c r="F151" s="2">
        <v>5</v>
      </c>
      <c r="G151" s="71">
        <v>0</v>
      </c>
      <c r="H151" s="2" t="s">
        <v>78</v>
      </c>
      <c r="I151" s="2">
        <f>+IF(J150-$M$4&gt;=3,J150-$M$4,3)</f>
        <v>3</v>
      </c>
      <c r="J151" s="2">
        <f t="shared" si="98"/>
        <v>2021</v>
      </c>
      <c r="K151" s="15">
        <f t="shared" si="99"/>
        <v>2021.4166666666667</v>
      </c>
      <c r="L151" s="114">
        <f>'Orig Trucks 2183'!N131-'Trucks 2183'!L150</f>
        <v>38941.008000000002</v>
      </c>
      <c r="M151" s="114">
        <f>L151-(L151*G151)</f>
        <v>38941.008000000002</v>
      </c>
      <c r="N151" s="114">
        <f t="shared" si="100"/>
        <v>1081.6946666666668</v>
      </c>
      <c r="O151" s="114">
        <f>+N151*12</f>
        <v>12980.336000000001</v>
      </c>
      <c r="P151" s="114">
        <f t="shared" si="102"/>
        <v>12980.336000000001</v>
      </c>
      <c r="Q151" s="114">
        <f t="shared" si="103"/>
        <v>0</v>
      </c>
      <c r="R151" s="114">
        <f t="shared" si="104"/>
        <v>12980.336000000001</v>
      </c>
      <c r="S151" s="114">
        <f t="shared" si="105"/>
        <v>25960.671999999999</v>
      </c>
    </row>
    <row r="152" spans="1:19">
      <c r="A152" t="s">
        <v>284</v>
      </c>
      <c r="C152">
        <v>3603</v>
      </c>
      <c r="D152" t="s">
        <v>161</v>
      </c>
      <c r="E152">
        <v>2007</v>
      </c>
      <c r="F152">
        <v>3</v>
      </c>
      <c r="G152" s="27">
        <v>0</v>
      </c>
      <c r="H152" t="s">
        <v>78</v>
      </c>
      <c r="I152">
        <v>7</v>
      </c>
      <c r="J152">
        <f>E152+I152</f>
        <v>2014</v>
      </c>
      <c r="K152" s="14">
        <f>+J152+(F152/12)</f>
        <v>2014.25</v>
      </c>
      <c r="L152" s="79">
        <f>'Orig Trucks 2183'!P38</f>
        <v>155764.03200000001</v>
      </c>
      <c r="M152" s="79">
        <f>L152-L152*G152</f>
        <v>155764.03200000001</v>
      </c>
      <c r="N152" s="79">
        <f>M152/I152/12</f>
        <v>1854.3337142857144</v>
      </c>
      <c r="O152" s="79">
        <f>+N152*12</f>
        <v>22252.004571428573</v>
      </c>
      <c r="P152" s="79">
        <f>+IF(K152&lt;=$M$5,0,IF(J152=$M$4,N152*F152,O152))</f>
        <v>0</v>
      </c>
      <c r="Q152" s="79">
        <f>+IF(P152=0,M152,IF($M$3-E152&lt;1,0,(($M$3-E152)*O152)))</f>
        <v>155764.03200000001</v>
      </c>
      <c r="R152" s="79">
        <f>+IF(P152=0,Q152,Q152+P152)</f>
        <v>155764.03200000001</v>
      </c>
      <c r="S152" s="79">
        <f>+L152-R152</f>
        <v>0</v>
      </c>
    </row>
    <row r="153" spans="1:19">
      <c r="A153" s="2"/>
      <c r="B153" s="61">
        <v>3603</v>
      </c>
      <c r="C153" s="2"/>
      <c r="D153" s="2" t="s">
        <v>661</v>
      </c>
      <c r="E153" s="2">
        <v>2018</v>
      </c>
      <c r="F153" s="2">
        <v>5</v>
      </c>
      <c r="G153" s="71">
        <v>0</v>
      </c>
      <c r="H153" s="2" t="s">
        <v>78</v>
      </c>
      <c r="I153" s="2">
        <f>+IF(J152-$M$4&gt;=3,J152-$M$4,3)</f>
        <v>3</v>
      </c>
      <c r="J153" s="2">
        <f>E153+I153</f>
        <v>2021</v>
      </c>
      <c r="K153" s="15">
        <f>+J153+(F153/12)</f>
        <v>2021.4166666666667</v>
      </c>
      <c r="L153" s="114">
        <f>'Orig Trucks 2183'!N38-'Trucks 2183'!L152</f>
        <v>38941.008000000002</v>
      </c>
      <c r="M153" s="114">
        <f>L153-(L153*G153)</f>
        <v>38941.008000000002</v>
      </c>
      <c r="N153" s="114">
        <f>M153/I153/12</f>
        <v>1081.6946666666668</v>
      </c>
      <c r="O153" s="114">
        <f>+N153*12</f>
        <v>12980.336000000001</v>
      </c>
      <c r="P153" s="114">
        <f>+IF(K153&lt;=$M$5,0,IF(J153=$M$4,N153*F153,O153))</f>
        <v>12980.336000000001</v>
      </c>
      <c r="Q153" s="114">
        <f>+IF(P153=0,M153,IF($M$3-E153&lt;1,0,(($M$3-E153)*O153)))</f>
        <v>0</v>
      </c>
      <c r="R153" s="114">
        <f>+IF(P153=0,Q153,Q153+P153)</f>
        <v>12980.336000000001</v>
      </c>
      <c r="S153" s="114">
        <f>+L153-R153</f>
        <v>25960.671999999999</v>
      </c>
    </row>
    <row r="154" spans="1:19">
      <c r="A154" s="7" t="s">
        <v>284</v>
      </c>
      <c r="C154" s="7">
        <v>3604</v>
      </c>
      <c r="D154" s="7" t="s">
        <v>162</v>
      </c>
      <c r="E154" s="7">
        <v>2007</v>
      </c>
      <c r="F154" s="7">
        <v>4</v>
      </c>
      <c r="G154" s="27">
        <v>0</v>
      </c>
      <c r="H154" s="7" t="s">
        <v>78</v>
      </c>
      <c r="I154" s="7">
        <v>7</v>
      </c>
      <c r="J154" s="7">
        <f t="shared" si="98"/>
        <v>2014</v>
      </c>
      <c r="K154" s="14">
        <f t="shared" si="99"/>
        <v>2014.3333333333333</v>
      </c>
      <c r="L154" s="79">
        <f>'Orig Trucks 2183'!P132</f>
        <v>155764.03200000001</v>
      </c>
      <c r="M154" s="79">
        <f>L154-L154*G154</f>
        <v>155764.03200000001</v>
      </c>
      <c r="N154" s="79">
        <f t="shared" si="100"/>
        <v>1854.3337142857144</v>
      </c>
      <c r="O154" s="79">
        <f t="shared" si="101"/>
        <v>22252.004571428573</v>
      </c>
      <c r="P154" s="79">
        <f t="shared" si="102"/>
        <v>0</v>
      </c>
      <c r="Q154" s="79">
        <f t="shared" si="103"/>
        <v>155764.03200000001</v>
      </c>
      <c r="R154" s="79">
        <f t="shared" si="104"/>
        <v>155764.03200000001</v>
      </c>
      <c r="S154" s="79">
        <f t="shared" si="105"/>
        <v>0</v>
      </c>
    </row>
    <row r="155" spans="1:19">
      <c r="A155" s="2"/>
      <c r="B155" s="61">
        <v>3604</v>
      </c>
      <c r="C155" s="2"/>
      <c r="D155" s="2" t="s">
        <v>695</v>
      </c>
      <c r="E155" s="2">
        <v>2018</v>
      </c>
      <c r="F155" s="2">
        <v>5</v>
      </c>
      <c r="G155" s="71">
        <v>0</v>
      </c>
      <c r="H155" s="2" t="s">
        <v>78</v>
      </c>
      <c r="I155" s="2">
        <f>+IF(J154-$M$4&gt;=3,J154-$M$4,3)</f>
        <v>3</v>
      </c>
      <c r="J155" s="2">
        <f t="shared" si="98"/>
        <v>2021</v>
      </c>
      <c r="K155" s="15">
        <f t="shared" si="99"/>
        <v>2021.4166666666667</v>
      </c>
      <c r="L155" s="114">
        <f>'Orig Trucks 2183'!N132-'Trucks 2183'!L154</f>
        <v>38941.008000000002</v>
      </c>
      <c r="M155" s="114">
        <f>L155-(L155*G155)</f>
        <v>38941.008000000002</v>
      </c>
      <c r="N155" s="114">
        <f t="shared" si="100"/>
        <v>1081.6946666666668</v>
      </c>
      <c r="O155" s="114">
        <f>+N155*12</f>
        <v>12980.336000000001</v>
      </c>
      <c r="P155" s="114">
        <f t="shared" si="102"/>
        <v>12980.336000000001</v>
      </c>
      <c r="Q155" s="114">
        <f t="shared" si="103"/>
        <v>0</v>
      </c>
      <c r="R155" s="114">
        <f t="shared" si="104"/>
        <v>12980.336000000001</v>
      </c>
      <c r="S155" s="114">
        <f t="shared" si="105"/>
        <v>25960.671999999999</v>
      </c>
    </row>
    <row r="156" spans="1:19">
      <c r="A156" s="7" t="s">
        <v>284</v>
      </c>
      <c r="C156" s="7">
        <v>3605</v>
      </c>
      <c r="D156" s="7" t="s">
        <v>381</v>
      </c>
      <c r="E156" s="7">
        <v>2007</v>
      </c>
      <c r="F156" s="7">
        <v>7</v>
      </c>
      <c r="G156" s="27">
        <v>0</v>
      </c>
      <c r="H156" s="7" t="s">
        <v>78</v>
      </c>
      <c r="I156" s="7">
        <v>7</v>
      </c>
      <c r="J156" s="7">
        <f>E156+I156</f>
        <v>2014</v>
      </c>
      <c r="K156" s="14">
        <f>+J156+(F156/12)</f>
        <v>2014.5833333333333</v>
      </c>
      <c r="L156" s="79">
        <f>'Orig Trucks 2183'!P158</f>
        <v>155764.03200000001</v>
      </c>
      <c r="M156" s="79">
        <f>L156-L156*G156</f>
        <v>155764.03200000001</v>
      </c>
      <c r="N156" s="79">
        <f>M156/I156/12</f>
        <v>1854.3337142857144</v>
      </c>
      <c r="O156" s="79">
        <f>+N156*12</f>
        <v>22252.004571428573</v>
      </c>
      <c r="P156" s="79">
        <f>+IF(K156&lt;=$M$5,0,IF(J156&gt;$M$4,O156,N156*F156))</f>
        <v>0</v>
      </c>
      <c r="Q156" s="79">
        <f>+IF(P156=0,M156,IF($M$3-E156&lt;1,0,(($M$3-E156)*O156)))</f>
        <v>155764.03200000001</v>
      </c>
      <c r="R156" s="79">
        <f>+IF(P156=0,Q156,Q156+P156)</f>
        <v>155764.03200000001</v>
      </c>
      <c r="S156" s="79">
        <f>+L156-R156</f>
        <v>0</v>
      </c>
    </row>
    <row r="157" spans="1:19">
      <c r="A157" s="2"/>
      <c r="B157" s="61">
        <v>3605</v>
      </c>
      <c r="C157" s="2"/>
      <c r="D157" s="2" t="s">
        <v>700</v>
      </c>
      <c r="E157" s="2">
        <v>2018</v>
      </c>
      <c r="F157" s="2">
        <v>5</v>
      </c>
      <c r="G157" s="71">
        <v>0</v>
      </c>
      <c r="H157" s="2" t="s">
        <v>78</v>
      </c>
      <c r="I157" s="2">
        <f>+IF(J156-$M$4&gt;=3,J156-$M$4,3)</f>
        <v>3</v>
      </c>
      <c r="J157" s="2">
        <f>E157+I157</f>
        <v>2021</v>
      </c>
      <c r="K157" s="15">
        <f>+J157+(F157/12)</f>
        <v>2021.4166666666667</v>
      </c>
      <c r="L157" s="114">
        <f>'Orig Trucks 2183'!N158-'Trucks 2183'!L156</f>
        <v>38941.008000000002</v>
      </c>
      <c r="M157" s="114">
        <f>L157-(L157*G157)</f>
        <v>38941.008000000002</v>
      </c>
      <c r="N157" s="114">
        <f>M157/I157/12</f>
        <v>1081.6946666666668</v>
      </c>
      <c r="O157" s="114">
        <f>+N157*12</f>
        <v>12980.336000000001</v>
      </c>
      <c r="P157" s="114">
        <f>+IF(K157&lt;=$M$5,0,IF(J157&gt;$M$4,O157,N157*F157))</f>
        <v>12980.336000000001</v>
      </c>
      <c r="Q157" s="114">
        <f>+IF(P157=0,M157,IF($M$3-E157&lt;1,0,(($M$3-E157)*O157)))</f>
        <v>0</v>
      </c>
      <c r="R157" s="114">
        <f>+IF(P157=0,Q157,Q157+P157)</f>
        <v>12980.336000000001</v>
      </c>
      <c r="S157" s="114">
        <f>+L157-R157</f>
        <v>25960.671999999999</v>
      </c>
    </row>
    <row r="158" spans="1:19">
      <c r="A158" s="7" t="s">
        <v>288</v>
      </c>
      <c r="C158" s="7">
        <v>5041</v>
      </c>
      <c r="D158" s="7" t="s">
        <v>323</v>
      </c>
      <c r="E158" s="7">
        <v>2007</v>
      </c>
      <c r="F158" s="7">
        <v>7</v>
      </c>
      <c r="G158" s="27">
        <v>0</v>
      </c>
      <c r="H158" s="7" t="s">
        <v>78</v>
      </c>
      <c r="I158" s="7">
        <v>5</v>
      </c>
      <c r="J158" s="7">
        <f t="shared" si="98"/>
        <v>2012</v>
      </c>
      <c r="K158" s="14">
        <f t="shared" si="99"/>
        <v>2012.5833333333333</v>
      </c>
      <c r="L158" s="79">
        <f>'Orig Trucks 2183'!P133</f>
        <v>7989.08</v>
      </c>
      <c r="M158" s="79">
        <f>L158-L158*G158</f>
        <v>7989.08</v>
      </c>
      <c r="N158" s="79">
        <f t="shared" si="100"/>
        <v>133.15133333333333</v>
      </c>
      <c r="O158" s="79">
        <f t="shared" si="101"/>
        <v>1597.8159999999998</v>
      </c>
      <c r="P158" s="79">
        <f t="shared" si="102"/>
        <v>0</v>
      </c>
      <c r="Q158" s="79">
        <f t="shared" si="103"/>
        <v>7989.08</v>
      </c>
      <c r="R158" s="79">
        <f t="shared" si="104"/>
        <v>7989.08</v>
      </c>
      <c r="S158" s="79">
        <f t="shared" si="105"/>
        <v>0</v>
      </c>
    </row>
    <row r="159" spans="1:19">
      <c r="A159" s="2"/>
      <c r="B159" s="61">
        <v>5041</v>
      </c>
      <c r="C159" s="2"/>
      <c r="D159" s="2" t="s">
        <v>686</v>
      </c>
      <c r="E159" s="2">
        <v>2018</v>
      </c>
      <c r="F159" s="2">
        <v>5</v>
      </c>
      <c r="G159" s="71">
        <v>0</v>
      </c>
      <c r="H159" s="2" t="s">
        <v>78</v>
      </c>
      <c r="I159" s="2">
        <f>+IF(J158-$M$4&gt;=3,J158-$M$4,3)</f>
        <v>3</v>
      </c>
      <c r="J159" s="2">
        <f t="shared" si="98"/>
        <v>2021</v>
      </c>
      <c r="K159" s="15">
        <f t="shared" si="99"/>
        <v>2021.4166666666667</v>
      </c>
      <c r="L159" s="114">
        <f>'Orig Trucks 2183'!N133-'Trucks 2183'!L158</f>
        <v>3934.92</v>
      </c>
      <c r="M159" s="114">
        <f>L159-(L159*G159)</f>
        <v>3934.92</v>
      </c>
      <c r="N159" s="114">
        <f t="shared" si="100"/>
        <v>109.30333333333334</v>
      </c>
      <c r="O159" s="114">
        <f>+N159*12</f>
        <v>1311.64</v>
      </c>
      <c r="P159" s="114">
        <f t="shared" si="102"/>
        <v>1311.64</v>
      </c>
      <c r="Q159" s="114">
        <f t="shared" si="103"/>
        <v>0</v>
      </c>
      <c r="R159" s="114">
        <f t="shared" si="104"/>
        <v>1311.64</v>
      </c>
      <c r="S159" s="114">
        <f t="shared" si="105"/>
        <v>2623.2799999999997</v>
      </c>
    </row>
    <row r="160" spans="1:19">
      <c r="A160" s="7" t="s">
        <v>284</v>
      </c>
      <c r="C160" s="7">
        <v>3615</v>
      </c>
      <c r="D160" s="7" t="s">
        <v>162</v>
      </c>
      <c r="E160" s="7">
        <v>2007</v>
      </c>
      <c r="F160" s="7">
        <v>8</v>
      </c>
      <c r="G160" s="27">
        <v>0</v>
      </c>
      <c r="H160" s="7" t="s">
        <v>78</v>
      </c>
      <c r="I160" s="7">
        <v>7</v>
      </c>
      <c r="J160" s="7">
        <f t="shared" si="98"/>
        <v>2014</v>
      </c>
      <c r="K160" s="14">
        <f t="shared" si="99"/>
        <v>2014.6666666666667</v>
      </c>
      <c r="L160" s="79">
        <f>'Orig Trucks 2183'!P134</f>
        <v>155764.03200000001</v>
      </c>
      <c r="M160" s="79">
        <f>L160-L160*G160</f>
        <v>155764.03200000001</v>
      </c>
      <c r="N160" s="79">
        <f t="shared" si="100"/>
        <v>1854.3337142857144</v>
      </c>
      <c r="O160" s="79">
        <f t="shared" si="101"/>
        <v>22252.004571428573</v>
      </c>
      <c r="P160" s="79">
        <f t="shared" si="102"/>
        <v>0</v>
      </c>
      <c r="Q160" s="79">
        <f t="shared" si="103"/>
        <v>155764.03200000001</v>
      </c>
      <c r="R160" s="79">
        <f t="shared" si="104"/>
        <v>155764.03200000001</v>
      </c>
      <c r="S160" s="79">
        <f t="shared" si="105"/>
        <v>0</v>
      </c>
    </row>
    <row r="161" spans="1:19">
      <c r="A161" s="2"/>
      <c r="B161" s="61">
        <v>3615</v>
      </c>
      <c r="C161" s="2"/>
      <c r="D161" s="2" t="s">
        <v>696</v>
      </c>
      <c r="E161" s="2">
        <v>2018</v>
      </c>
      <c r="F161" s="2">
        <v>5</v>
      </c>
      <c r="G161" s="71">
        <v>0</v>
      </c>
      <c r="H161" s="2" t="s">
        <v>78</v>
      </c>
      <c r="I161" s="2">
        <f>+IF(J160-$M$4&gt;=3,J160-$M$4,3)</f>
        <v>3</v>
      </c>
      <c r="J161" s="2">
        <f t="shared" si="98"/>
        <v>2021</v>
      </c>
      <c r="K161" s="15">
        <f t="shared" si="99"/>
        <v>2021.4166666666667</v>
      </c>
      <c r="L161" s="114">
        <f>'Orig Trucks 2183'!N134-'Trucks 2183'!L160</f>
        <v>38941.008000000002</v>
      </c>
      <c r="M161" s="114">
        <f>L161-(L161*G161)</f>
        <v>38941.008000000002</v>
      </c>
      <c r="N161" s="114">
        <f t="shared" si="100"/>
        <v>1081.6946666666668</v>
      </c>
      <c r="O161" s="114">
        <f>+N161*12</f>
        <v>12980.336000000001</v>
      </c>
      <c r="P161" s="114">
        <f t="shared" si="102"/>
        <v>12980.336000000001</v>
      </c>
      <c r="Q161" s="114">
        <f t="shared" si="103"/>
        <v>0</v>
      </c>
      <c r="R161" s="114">
        <f t="shared" si="104"/>
        <v>12980.336000000001</v>
      </c>
      <c r="S161" s="114">
        <f t="shared" si="105"/>
        <v>25960.671999999999</v>
      </c>
    </row>
    <row r="162" spans="1:19">
      <c r="A162" t="s">
        <v>292</v>
      </c>
      <c r="C162">
        <v>5042</v>
      </c>
      <c r="D162" t="s">
        <v>334</v>
      </c>
      <c r="E162">
        <v>2009</v>
      </c>
      <c r="F162">
        <v>5</v>
      </c>
      <c r="G162" s="27">
        <v>0</v>
      </c>
      <c r="H162" t="s">
        <v>78</v>
      </c>
      <c r="I162">
        <v>3</v>
      </c>
      <c r="J162">
        <f t="shared" si="98"/>
        <v>2012</v>
      </c>
      <c r="K162" s="14">
        <f t="shared" si="99"/>
        <v>2012.4166666666667</v>
      </c>
      <c r="L162" s="79">
        <v>7094.74</v>
      </c>
      <c r="M162" s="79">
        <f>L162-L162*G162</f>
        <v>7094.74</v>
      </c>
      <c r="N162" s="79">
        <f t="shared" si="100"/>
        <v>197.07611111111112</v>
      </c>
      <c r="O162" s="79">
        <f t="shared" si="101"/>
        <v>2364.9133333333334</v>
      </c>
      <c r="P162" s="79">
        <f t="shared" si="102"/>
        <v>0</v>
      </c>
      <c r="Q162" s="79">
        <f t="shared" si="103"/>
        <v>7094.74</v>
      </c>
      <c r="R162" s="79">
        <f t="shared" si="104"/>
        <v>7094.74</v>
      </c>
      <c r="S162" s="79">
        <f t="shared" si="105"/>
        <v>0</v>
      </c>
    </row>
    <row r="163" spans="1:19">
      <c r="A163" s="7" t="s">
        <v>311</v>
      </c>
      <c r="C163" s="7">
        <v>68612</v>
      </c>
      <c r="D163" s="7" t="s">
        <v>325</v>
      </c>
      <c r="E163" s="7">
        <v>2009</v>
      </c>
      <c r="F163" s="7">
        <v>7</v>
      </c>
      <c r="G163" s="27">
        <v>0</v>
      </c>
      <c r="H163" s="7" t="s">
        <v>78</v>
      </c>
      <c r="I163" s="7">
        <v>5</v>
      </c>
      <c r="J163" s="7">
        <f t="shared" si="98"/>
        <v>2014</v>
      </c>
      <c r="K163" s="14">
        <f t="shared" si="99"/>
        <v>2014.5833333333333</v>
      </c>
      <c r="L163" s="79">
        <f>'Orig Trucks 2183'!P137</f>
        <v>9643.3502000000008</v>
      </c>
      <c r="M163" s="79">
        <f>L163-L163*G163</f>
        <v>9643.3502000000008</v>
      </c>
      <c r="N163" s="79">
        <f t="shared" si="100"/>
        <v>160.72250333333335</v>
      </c>
      <c r="O163" s="79">
        <f t="shared" si="101"/>
        <v>1928.6700400000002</v>
      </c>
      <c r="P163" s="79">
        <f t="shared" si="102"/>
        <v>0</v>
      </c>
      <c r="Q163" s="79">
        <f t="shared" si="103"/>
        <v>9643.3502000000008</v>
      </c>
      <c r="R163" s="79">
        <f t="shared" si="104"/>
        <v>9643.3502000000008</v>
      </c>
      <c r="S163" s="79">
        <f t="shared" si="105"/>
        <v>0</v>
      </c>
    </row>
    <row r="164" spans="1:19">
      <c r="A164" s="2"/>
      <c r="B164" s="61">
        <v>68612</v>
      </c>
      <c r="C164" s="2"/>
      <c r="D164" s="2" t="s">
        <v>697</v>
      </c>
      <c r="E164" s="2">
        <v>2018</v>
      </c>
      <c r="F164" s="2">
        <v>5</v>
      </c>
      <c r="G164" s="71">
        <v>0</v>
      </c>
      <c r="H164" s="2" t="s">
        <v>78</v>
      </c>
      <c r="I164" s="2">
        <f>+IF(J163-$M$4&gt;=3,J163-$M$4,3)</f>
        <v>3</v>
      </c>
      <c r="J164" s="2">
        <f t="shared" si="98"/>
        <v>2021</v>
      </c>
      <c r="K164" s="15">
        <f t="shared" si="99"/>
        <v>2021.4166666666667</v>
      </c>
      <c r="L164" s="114">
        <f>'Orig Trucks 2183'!N137-'Trucks 2183'!L163</f>
        <v>4749.7097999999987</v>
      </c>
      <c r="M164" s="114">
        <f>L164-(L164*G164)</f>
        <v>4749.7097999999987</v>
      </c>
      <c r="N164" s="114">
        <f t="shared" si="100"/>
        <v>131.93638333333328</v>
      </c>
      <c r="O164" s="114">
        <f>+N164*12</f>
        <v>1583.2365999999993</v>
      </c>
      <c r="P164" s="114">
        <f t="shared" si="102"/>
        <v>1583.2365999999993</v>
      </c>
      <c r="Q164" s="114">
        <f t="shared" si="103"/>
        <v>0</v>
      </c>
      <c r="R164" s="114">
        <f t="shared" si="104"/>
        <v>1583.2365999999993</v>
      </c>
      <c r="S164" s="114">
        <f t="shared" si="105"/>
        <v>3166.4731999999995</v>
      </c>
    </row>
    <row r="165" spans="1:19">
      <c r="B165" s="22">
        <v>88721</v>
      </c>
      <c r="D165" t="s">
        <v>439</v>
      </c>
      <c r="E165">
        <v>2011</v>
      </c>
      <c r="F165">
        <v>12</v>
      </c>
      <c r="G165" s="27">
        <v>0</v>
      </c>
      <c r="H165" t="s">
        <v>78</v>
      </c>
      <c r="I165">
        <v>5</v>
      </c>
      <c r="J165">
        <f t="shared" si="98"/>
        <v>2016</v>
      </c>
      <c r="K165" s="14">
        <f t="shared" si="99"/>
        <v>2017</v>
      </c>
      <c r="L165" s="79">
        <f>487.65*18</f>
        <v>8777.6999999999989</v>
      </c>
      <c r="M165" s="79">
        <f t="shared" ref="M165:M175" si="106">L165-L165*G165</f>
        <v>8777.6999999999989</v>
      </c>
      <c r="N165" s="79">
        <f t="shared" si="100"/>
        <v>146.29499999999999</v>
      </c>
      <c r="O165" s="79">
        <f t="shared" si="101"/>
        <v>1755.54</v>
      </c>
      <c r="P165" s="79">
        <f t="shared" si="102"/>
        <v>0</v>
      </c>
      <c r="Q165" s="79">
        <f t="shared" si="103"/>
        <v>8777.6999999999989</v>
      </c>
      <c r="R165" s="79">
        <f t="shared" si="104"/>
        <v>8777.6999999999989</v>
      </c>
      <c r="S165" s="79">
        <f t="shared" si="105"/>
        <v>0</v>
      </c>
    </row>
    <row r="166" spans="1:19">
      <c r="A166" t="s">
        <v>463</v>
      </c>
      <c r="B166" s="22" t="s">
        <v>464</v>
      </c>
      <c r="C166">
        <v>3632</v>
      </c>
      <c r="D166" t="s">
        <v>442</v>
      </c>
      <c r="E166">
        <v>2012</v>
      </c>
      <c r="F166">
        <v>8</v>
      </c>
      <c r="G166" s="27">
        <v>0</v>
      </c>
      <c r="H166" t="s">
        <v>78</v>
      </c>
      <c r="I166">
        <v>9</v>
      </c>
      <c r="J166">
        <f>E166+I166</f>
        <v>2021</v>
      </c>
      <c r="K166" s="14">
        <f>+J166+(F166/12)</f>
        <v>2021.6666666666667</v>
      </c>
      <c r="L166" s="79">
        <f>297122+8555+23411</f>
        <v>329088</v>
      </c>
      <c r="M166" s="79">
        <f>L166-L166*G166</f>
        <v>329088</v>
      </c>
      <c r="N166" s="79">
        <f>M166/I166/12</f>
        <v>3047.1111111111113</v>
      </c>
      <c r="O166" s="79">
        <f>+N166*12</f>
        <v>36565.333333333336</v>
      </c>
      <c r="P166" s="79">
        <f>+IF(K166&lt;=$M$5,0,IF(J166=$M$4,N166*F166,O166))</f>
        <v>36565.333333333336</v>
      </c>
      <c r="Q166" s="79">
        <f>+IF(P166=0,M166,IF($M$3-E166&lt;1,0,(($M$3-E166)*O166)))</f>
        <v>219392</v>
      </c>
      <c r="R166" s="79">
        <f>+IF(P166=0,Q166,Q166+P166)</f>
        <v>255957.33333333334</v>
      </c>
      <c r="S166" s="79">
        <f>+L166-R166</f>
        <v>73130.666666666657</v>
      </c>
    </row>
    <row r="167" spans="1:19">
      <c r="B167" s="22">
        <v>108086</v>
      </c>
      <c r="C167">
        <v>3604</v>
      </c>
      <c r="D167" t="s">
        <v>488</v>
      </c>
      <c r="E167">
        <v>2013</v>
      </c>
      <c r="F167">
        <v>10</v>
      </c>
      <c r="G167" s="27">
        <v>0</v>
      </c>
      <c r="H167" t="s">
        <v>78</v>
      </c>
      <c r="I167">
        <v>3</v>
      </c>
      <c r="J167">
        <f t="shared" si="98"/>
        <v>2016</v>
      </c>
      <c r="K167" s="14">
        <f t="shared" si="99"/>
        <v>2016.8333333333333</v>
      </c>
      <c r="L167" s="79">
        <v>23561.96</v>
      </c>
      <c r="M167" s="79">
        <f t="shared" si="106"/>
        <v>23561.96</v>
      </c>
      <c r="N167" s="79">
        <f t="shared" si="100"/>
        <v>654.49888888888893</v>
      </c>
      <c r="O167" s="79">
        <f t="shared" si="101"/>
        <v>7853.9866666666676</v>
      </c>
      <c r="P167" s="79">
        <f t="shared" si="102"/>
        <v>0</v>
      </c>
      <c r="Q167" s="79">
        <f t="shared" si="103"/>
        <v>23561.96</v>
      </c>
      <c r="R167" s="79">
        <f t="shared" si="104"/>
        <v>23561.96</v>
      </c>
      <c r="S167" s="79">
        <f t="shared" si="105"/>
        <v>0</v>
      </c>
    </row>
    <row r="168" spans="1:19">
      <c r="A168" t="s">
        <v>463</v>
      </c>
      <c r="B168" s="22">
        <v>109518</v>
      </c>
      <c r="C168">
        <v>3540</v>
      </c>
      <c r="D168" t="s">
        <v>493</v>
      </c>
      <c r="E168">
        <v>2013</v>
      </c>
      <c r="F168">
        <v>12</v>
      </c>
      <c r="G168" s="27">
        <v>0</v>
      </c>
      <c r="H168" t="s">
        <v>78</v>
      </c>
      <c r="I168">
        <v>9</v>
      </c>
      <c r="J168">
        <f>E168+I168</f>
        <v>2022</v>
      </c>
      <c r="K168" s="14">
        <f>+J168+(F168/12)</f>
        <v>2023</v>
      </c>
      <c r="L168" s="79">
        <v>334095.67</v>
      </c>
      <c r="M168" s="79">
        <f>L168-L168*G168</f>
        <v>334095.67</v>
      </c>
      <c r="N168" s="79">
        <f>M168/I168/12</f>
        <v>3093.4784259259254</v>
      </c>
      <c r="O168" s="79">
        <f>+N168*12</f>
        <v>37121.741111111107</v>
      </c>
      <c r="P168" s="79">
        <f>+IF(K168&lt;=$M$5,0,IF(J168=$M$4,N168*F168,O168))</f>
        <v>37121.741111111107</v>
      </c>
      <c r="Q168" s="79">
        <f>+IF(P168=0,M168,IF($M$3-E168&lt;1,0,(($M$3-E168)*O168)))</f>
        <v>185608.70555555553</v>
      </c>
      <c r="R168" s="79">
        <f>+IF(P168=0,Q168,Q168+P168)</f>
        <v>222730.44666666663</v>
      </c>
      <c r="S168" s="79">
        <f>+L168-R168</f>
        <v>111365.22333333336</v>
      </c>
    </row>
    <row r="169" spans="1:19">
      <c r="A169" t="s">
        <v>463</v>
      </c>
      <c r="B169" s="22">
        <v>109519</v>
      </c>
      <c r="C169">
        <v>3541</v>
      </c>
      <c r="D169" t="s">
        <v>492</v>
      </c>
      <c r="E169">
        <v>2013</v>
      </c>
      <c r="F169">
        <v>12</v>
      </c>
      <c r="G169" s="27">
        <v>0</v>
      </c>
      <c r="H169" t="s">
        <v>78</v>
      </c>
      <c r="I169">
        <v>10</v>
      </c>
      <c r="J169">
        <f>E169+I169</f>
        <v>2023</v>
      </c>
      <c r="K169" s="14">
        <f>+J169+(F169/12)</f>
        <v>2024</v>
      </c>
      <c r="L169" s="79">
        <v>332641.82</v>
      </c>
      <c r="M169" s="79">
        <f>L169-L169*G169</f>
        <v>332641.82</v>
      </c>
      <c r="N169" s="79">
        <f>M169/I169/12</f>
        <v>2772.0151666666666</v>
      </c>
      <c r="O169" s="79">
        <f>+N169*12</f>
        <v>33264.182000000001</v>
      </c>
      <c r="P169" s="79">
        <f>+IF(K169&lt;=$M$5,0,IF(J169=$M$4,N169*F169,O169))</f>
        <v>33264.182000000001</v>
      </c>
      <c r="Q169" s="79">
        <f>+IF(P169=0,M169,IF($M$3-E169&lt;1,0,(($M$3-E169)*O169)))</f>
        <v>166320.91</v>
      </c>
      <c r="R169" s="79">
        <f>+IF(P169=0,Q169,Q169+P169)</f>
        <v>199585.092</v>
      </c>
      <c r="S169" s="79">
        <f>+L169-R169</f>
        <v>133056.728</v>
      </c>
    </row>
    <row r="170" spans="1:19">
      <c r="A170" t="s">
        <v>463</v>
      </c>
      <c r="B170" s="22" t="s">
        <v>500</v>
      </c>
      <c r="C170">
        <v>3542</v>
      </c>
      <c r="D170" t="s">
        <v>492</v>
      </c>
      <c r="E170">
        <v>2013</v>
      </c>
      <c r="F170">
        <v>12</v>
      </c>
      <c r="G170" s="27">
        <v>0</v>
      </c>
      <c r="H170" t="s">
        <v>78</v>
      </c>
      <c r="I170">
        <v>10</v>
      </c>
      <c r="J170">
        <f>E170+I170</f>
        <v>2023</v>
      </c>
      <c r="K170" s="14">
        <f>+J170+(F170/12)</f>
        <v>2024</v>
      </c>
      <c r="L170" s="79">
        <f>323070.82+904.93</f>
        <v>323975.75</v>
      </c>
      <c r="M170" s="79">
        <f>L170-L170*G170</f>
        <v>323975.75</v>
      </c>
      <c r="N170" s="79">
        <f>M170/I170/12</f>
        <v>2699.7979166666669</v>
      </c>
      <c r="O170" s="79">
        <f>+N170*12</f>
        <v>32397.575000000004</v>
      </c>
      <c r="P170" s="79">
        <f>+IF(K170&lt;=$M$5,0,IF(J170=$M$4,N170*F170,O170))</f>
        <v>32397.575000000004</v>
      </c>
      <c r="Q170" s="79">
        <f>+IF(P170=0,M170,IF($M$3-E170&lt;1,0,(($M$3-E170)*O170)))</f>
        <v>161987.87500000003</v>
      </c>
      <c r="R170" s="79">
        <f>+IF(P170=0,Q170,Q170+P170)</f>
        <v>194385.45000000004</v>
      </c>
      <c r="S170" s="79">
        <f>+L170-R170</f>
        <v>129590.29999999996</v>
      </c>
    </row>
    <row r="171" spans="1:19">
      <c r="B171" s="22" t="s">
        <v>594</v>
      </c>
      <c r="D171" t="s">
        <v>590</v>
      </c>
      <c r="E171">
        <v>2016</v>
      </c>
      <c r="F171">
        <v>4</v>
      </c>
      <c r="G171" s="27">
        <v>0</v>
      </c>
      <c r="H171" t="s">
        <v>78</v>
      </c>
      <c r="I171">
        <v>1</v>
      </c>
      <c r="J171">
        <f t="shared" si="98"/>
        <v>2017</v>
      </c>
      <c r="K171" s="14">
        <f t="shared" si="99"/>
        <v>2017.3333333333333</v>
      </c>
      <c r="L171" s="79">
        <f>((14612.94+16641.82+675)/75)*14</f>
        <v>5960.2218666666668</v>
      </c>
      <c r="M171" s="79">
        <f t="shared" si="106"/>
        <v>5960.2218666666668</v>
      </c>
      <c r="N171" s="79">
        <f t="shared" si="100"/>
        <v>496.68515555555558</v>
      </c>
      <c r="O171" s="79">
        <f t="shared" si="101"/>
        <v>5960.2218666666668</v>
      </c>
      <c r="P171" s="79">
        <f t="shared" si="102"/>
        <v>0</v>
      </c>
      <c r="Q171" s="79">
        <f t="shared" si="103"/>
        <v>5960.2218666666668</v>
      </c>
      <c r="R171" s="79">
        <f t="shared" si="104"/>
        <v>5960.2218666666668</v>
      </c>
      <c r="S171" s="79">
        <f t="shared" si="105"/>
        <v>0</v>
      </c>
    </row>
    <row r="172" spans="1:19">
      <c r="B172" s="22" t="s">
        <v>600</v>
      </c>
      <c r="C172">
        <v>5049</v>
      </c>
      <c r="D172" t="s">
        <v>601</v>
      </c>
      <c r="E172">
        <v>2016</v>
      </c>
      <c r="F172">
        <v>11</v>
      </c>
      <c r="G172" s="27">
        <v>0</v>
      </c>
      <c r="H172" t="s">
        <v>78</v>
      </c>
      <c r="I172">
        <v>10</v>
      </c>
      <c r="J172">
        <f t="shared" si="98"/>
        <v>2026</v>
      </c>
      <c r="K172" s="14">
        <f t="shared" si="99"/>
        <v>2026.9166666666667</v>
      </c>
      <c r="L172" s="79">
        <f>230356.84+152.33</f>
        <v>230509.16999999998</v>
      </c>
      <c r="M172" s="79">
        <f t="shared" si="106"/>
        <v>230509.16999999998</v>
      </c>
      <c r="N172" s="79">
        <f t="shared" si="100"/>
        <v>1920.9097499999998</v>
      </c>
      <c r="O172" s="79">
        <f t="shared" si="101"/>
        <v>23050.916999999998</v>
      </c>
      <c r="P172" s="79">
        <f t="shared" si="102"/>
        <v>23050.916999999998</v>
      </c>
      <c r="Q172" s="79">
        <f t="shared" si="103"/>
        <v>46101.833999999995</v>
      </c>
      <c r="R172" s="79">
        <f t="shared" si="104"/>
        <v>69152.750999999989</v>
      </c>
      <c r="S172" s="79">
        <f t="shared" si="105"/>
        <v>161356.41899999999</v>
      </c>
    </row>
    <row r="173" spans="1:19">
      <c r="B173" s="22">
        <v>170000</v>
      </c>
      <c r="C173">
        <v>5048</v>
      </c>
      <c r="D173" t="s">
        <v>599</v>
      </c>
      <c r="E173">
        <v>2016</v>
      </c>
      <c r="F173">
        <v>11</v>
      </c>
      <c r="G173" s="27">
        <v>0</v>
      </c>
      <c r="H173" t="s">
        <v>78</v>
      </c>
      <c r="I173">
        <v>10</v>
      </c>
      <c r="J173">
        <f t="shared" si="98"/>
        <v>2026</v>
      </c>
      <c r="K173" s="14">
        <f t="shared" si="99"/>
        <v>2026.9166666666667</v>
      </c>
      <c r="L173" s="79">
        <v>230356.84</v>
      </c>
      <c r="M173" s="79">
        <f t="shared" si="106"/>
        <v>230356.84</v>
      </c>
      <c r="N173" s="79">
        <f t="shared" si="100"/>
        <v>1919.6403333333335</v>
      </c>
      <c r="O173" s="79">
        <f t="shared" si="101"/>
        <v>23035.684000000001</v>
      </c>
      <c r="P173" s="79">
        <f t="shared" si="102"/>
        <v>23035.684000000001</v>
      </c>
      <c r="Q173" s="79">
        <f t="shared" si="103"/>
        <v>46071.368000000002</v>
      </c>
      <c r="R173" s="79">
        <f t="shared" si="104"/>
        <v>69107.051999999996</v>
      </c>
      <c r="S173" s="79">
        <f t="shared" si="105"/>
        <v>161249.788</v>
      </c>
    </row>
    <row r="174" spans="1:19">
      <c r="B174" s="22" t="s">
        <v>602</v>
      </c>
      <c r="C174">
        <v>5047</v>
      </c>
      <c r="D174" t="s">
        <v>601</v>
      </c>
      <c r="E174">
        <v>2016</v>
      </c>
      <c r="F174">
        <v>11</v>
      </c>
      <c r="G174" s="27">
        <v>0</v>
      </c>
      <c r="H174" t="s">
        <v>78</v>
      </c>
      <c r="I174">
        <v>10</v>
      </c>
      <c r="J174">
        <f t="shared" si="98"/>
        <v>2026</v>
      </c>
      <c r="K174" s="14">
        <f t="shared" si="99"/>
        <v>2026.9166666666667</v>
      </c>
      <c r="L174" s="79">
        <f>230356.84+152.33</f>
        <v>230509.16999999998</v>
      </c>
      <c r="M174" s="79">
        <f t="shared" si="106"/>
        <v>230509.16999999998</v>
      </c>
      <c r="N174" s="79">
        <f t="shared" si="100"/>
        <v>1920.9097499999998</v>
      </c>
      <c r="O174" s="79">
        <f t="shared" si="101"/>
        <v>23050.916999999998</v>
      </c>
      <c r="P174" s="79">
        <f t="shared" si="102"/>
        <v>23050.916999999998</v>
      </c>
      <c r="Q174" s="79">
        <f t="shared" si="103"/>
        <v>46101.833999999995</v>
      </c>
      <c r="R174" s="79">
        <f t="shared" si="104"/>
        <v>69152.750999999989</v>
      </c>
      <c r="S174" s="79">
        <f t="shared" si="105"/>
        <v>161356.41899999999</v>
      </c>
    </row>
    <row r="175" spans="1:19">
      <c r="A175" s="50"/>
      <c r="B175" s="62" t="s">
        <v>763</v>
      </c>
      <c r="C175" s="50">
        <v>5050</v>
      </c>
      <c r="D175" s="50" t="s">
        <v>727</v>
      </c>
      <c r="E175" s="50">
        <v>2018</v>
      </c>
      <c r="F175" s="50">
        <v>8</v>
      </c>
      <c r="G175" s="73">
        <v>0</v>
      </c>
      <c r="H175" s="50" t="s">
        <v>78</v>
      </c>
      <c r="I175" s="50">
        <v>10</v>
      </c>
      <c r="J175" s="50">
        <f t="shared" si="98"/>
        <v>2028</v>
      </c>
      <c r="K175" s="51">
        <f t="shared" si="99"/>
        <v>2028.6666666666667</v>
      </c>
      <c r="L175" s="86">
        <f>235481.69+811.22</f>
        <v>236292.91</v>
      </c>
      <c r="M175" s="86">
        <f t="shared" si="106"/>
        <v>236292.91</v>
      </c>
      <c r="N175" s="86">
        <f t="shared" si="100"/>
        <v>1969.1075833333334</v>
      </c>
      <c r="O175" s="86">
        <f>+N175*12</f>
        <v>23629.291000000001</v>
      </c>
      <c r="P175" s="86">
        <f>+IF(K175&lt;=$M$5,0,IF(J175&gt;$M$4,O175,N175*F175))</f>
        <v>23629.291000000001</v>
      </c>
      <c r="Q175" s="86">
        <f t="shared" si="103"/>
        <v>0</v>
      </c>
      <c r="R175" s="86">
        <f t="shared" si="104"/>
        <v>23629.291000000001</v>
      </c>
      <c r="S175" s="86">
        <f t="shared" si="105"/>
        <v>212663.61900000001</v>
      </c>
    </row>
    <row r="176" spans="1:19">
      <c r="A176" s="50" t="s">
        <v>775</v>
      </c>
      <c r="B176" s="62"/>
      <c r="C176" s="50">
        <v>5050</v>
      </c>
      <c r="D176" s="50" t="s">
        <v>770</v>
      </c>
      <c r="E176" s="50">
        <v>2018</v>
      </c>
      <c r="F176" s="50">
        <v>8</v>
      </c>
      <c r="G176" s="73">
        <v>0</v>
      </c>
      <c r="H176" s="50" t="s">
        <v>78</v>
      </c>
      <c r="I176" s="50">
        <v>5</v>
      </c>
      <c r="J176" s="50">
        <f t="shared" si="98"/>
        <v>2023</v>
      </c>
      <c r="K176" s="51">
        <f t="shared" si="99"/>
        <v>2023.6666666666667</v>
      </c>
      <c r="L176" s="86">
        <f>519.47+731.05</f>
        <v>1250.52</v>
      </c>
      <c r="M176" s="86">
        <f t="shared" ref="M176" si="107">L176-L176*G176</f>
        <v>1250.52</v>
      </c>
      <c r="N176" s="86">
        <f t="shared" ref="N176" si="108">M176/I176/12</f>
        <v>20.841999999999999</v>
      </c>
      <c r="O176" s="86">
        <f>+N176*12</f>
        <v>250.10399999999998</v>
      </c>
      <c r="P176" s="86">
        <f>+IF(K176&lt;=$M$5,0,IF(J176&gt;$M$4,O176,N176*F176))</f>
        <v>250.10399999999998</v>
      </c>
      <c r="Q176" s="86">
        <f t="shared" ref="Q176" si="109">+IF(P176=0,M176,IF($M$3-E176&lt;1,0,(($M$3-E176)*O176)))</f>
        <v>0</v>
      </c>
      <c r="R176" s="86">
        <f t="shared" ref="R176" si="110">+IF(P176=0,Q176,Q176+P176)</f>
        <v>250.10399999999998</v>
      </c>
      <c r="S176" s="86">
        <f t="shared" ref="S176" si="111">+L176-R176</f>
        <v>1000.4159999999999</v>
      </c>
    </row>
    <row r="177" spans="1:16384">
      <c r="A177" s="50"/>
      <c r="B177" s="62" t="s">
        <v>762</v>
      </c>
      <c r="C177" s="50">
        <v>3674</v>
      </c>
      <c r="D177" s="50" t="s">
        <v>724</v>
      </c>
      <c r="E177" s="50">
        <v>2018</v>
      </c>
      <c r="F177" s="50">
        <v>8</v>
      </c>
      <c r="G177" s="73">
        <v>0</v>
      </c>
      <c r="H177" s="50" t="s">
        <v>78</v>
      </c>
      <c r="I177" s="50">
        <v>10</v>
      </c>
      <c r="J177" s="50">
        <f>E177+I177</f>
        <v>2028</v>
      </c>
      <c r="K177" s="51">
        <f>+J177+(F177/12)</f>
        <v>2028.6666666666667</v>
      </c>
      <c r="L177" s="86">
        <f>339272.41+1523.41</f>
        <v>340795.81999999995</v>
      </c>
      <c r="M177" s="86">
        <f>L177-L177*G177</f>
        <v>340795.81999999995</v>
      </c>
      <c r="N177" s="86">
        <f>M177/I177/12</f>
        <v>2839.9651666666664</v>
      </c>
      <c r="O177" s="86">
        <f>+N177*12</f>
        <v>34079.581999999995</v>
      </c>
      <c r="P177" s="86">
        <f>+IF(K177&lt;=$M$5,0,IF(J177=$M$4,N177*F177,O177))</f>
        <v>34079.581999999995</v>
      </c>
      <c r="Q177" s="86">
        <f>+IF(P177=0,M177,IF($M$3-E177&lt;1,0,(($M$3-E177)*O177)))</f>
        <v>0</v>
      </c>
      <c r="R177" s="86">
        <f>+IF(P177=0,Q177,Q177+P177)</f>
        <v>34079.581999999995</v>
      </c>
      <c r="S177" s="86">
        <f>+L177-R177</f>
        <v>306716.23799999995</v>
      </c>
    </row>
    <row r="178" spans="1:16384">
      <c r="A178" s="50"/>
      <c r="B178" s="62" t="s">
        <v>784</v>
      </c>
      <c r="C178" s="50">
        <v>3674</v>
      </c>
      <c r="D178" s="50" t="s">
        <v>785</v>
      </c>
      <c r="E178" s="50">
        <v>2018</v>
      </c>
      <c r="F178" s="50">
        <v>8</v>
      </c>
      <c r="G178" s="73">
        <v>0</v>
      </c>
      <c r="H178" s="50" t="s">
        <v>78</v>
      </c>
      <c r="I178" s="50">
        <v>5</v>
      </c>
      <c r="J178" s="50">
        <f>E178+I178</f>
        <v>2023</v>
      </c>
      <c r="K178" s="51">
        <f>+J178+(F178/12)</f>
        <v>2023.6666666666667</v>
      </c>
      <c r="L178" s="86">
        <f>731.05+519.47</f>
        <v>1250.52</v>
      </c>
      <c r="M178" s="86">
        <f>L178-L178*G178</f>
        <v>1250.52</v>
      </c>
      <c r="N178" s="86">
        <f>M178/I178/12</f>
        <v>20.841999999999999</v>
      </c>
      <c r="O178" s="86">
        <f>+N178*12</f>
        <v>250.10399999999998</v>
      </c>
      <c r="P178" s="86">
        <f>+IF(K178&lt;=$M$5,0,IF(J178=$M$4,N178*F178,O178))</f>
        <v>250.10399999999998</v>
      </c>
      <c r="Q178" s="86">
        <f>+IF(P178=0,M178,IF($M$3-E178&lt;1,0,(($M$3-E178)*O178)))</f>
        <v>0</v>
      </c>
      <c r="R178" s="86">
        <f>+IF(P178=0,Q178,Q178+P178)</f>
        <v>250.10399999999998</v>
      </c>
      <c r="S178" s="86">
        <f>+L178-R178</f>
        <v>1000.4159999999999</v>
      </c>
    </row>
    <row r="179" spans="1:16384" s="2" customFormat="1">
      <c r="B179" s="61"/>
      <c r="D179" s="2" t="s">
        <v>796</v>
      </c>
      <c r="E179" s="2">
        <v>2018</v>
      </c>
      <c r="F179" s="2">
        <v>5</v>
      </c>
      <c r="G179" s="71">
        <v>0</v>
      </c>
      <c r="H179" s="2" t="s">
        <v>78</v>
      </c>
      <c r="I179" s="2">
        <v>3</v>
      </c>
      <c r="J179" s="2">
        <f t="shared" ref="J179" si="112">E179+I179</f>
        <v>2021</v>
      </c>
      <c r="K179" s="15">
        <f t="shared" ref="K179" si="113">+J179+(F179/12)</f>
        <v>2021.4166666666667</v>
      </c>
      <c r="L179" s="114">
        <f>+SUM(L240,L242,L251,L255,L275)</f>
        <v>41077.266000000003</v>
      </c>
      <c r="M179" s="114">
        <f t="shared" ref="M179" si="114">L179-L179*G179</f>
        <v>41077.266000000003</v>
      </c>
      <c r="N179" s="114">
        <f t="shared" ref="N179" si="115">M179/I179/12</f>
        <v>1141.0351666666668</v>
      </c>
      <c r="O179" s="114">
        <f t="shared" ref="O179" si="116">+N179*12</f>
        <v>13692.422000000002</v>
      </c>
      <c r="P179" s="114">
        <f t="shared" ref="P179" si="117">+IF(K179&lt;=$M$5,0,IF(J179=$M$4,N179*F179,O179))</f>
        <v>13692.422000000002</v>
      </c>
      <c r="Q179" s="114">
        <f t="shared" ref="Q179" si="118">+IF(P179=0,M179,IF($M$3-E179&lt;1,0,(($M$3-E179)*O179)))</f>
        <v>0</v>
      </c>
      <c r="R179" s="114">
        <f t="shared" ref="R179" si="119">+IF(P179=0,Q179,Q179+P179)</f>
        <v>13692.422000000002</v>
      </c>
      <c r="S179" s="114">
        <f t="shared" ref="S179" si="120">+L179-R179</f>
        <v>27384.844000000001</v>
      </c>
    </row>
    <row r="180" spans="1:16384">
      <c r="L180" s="79"/>
      <c r="M180" s="79"/>
      <c r="N180" s="79"/>
      <c r="O180" s="79"/>
      <c r="P180" s="79"/>
      <c r="Q180" s="79"/>
      <c r="R180" s="79"/>
      <c r="S180" s="79"/>
    </row>
    <row r="181" spans="1:16384">
      <c r="C181" s="9">
        <v>18</v>
      </c>
      <c r="D181" s="9" t="s">
        <v>405</v>
      </c>
      <c r="L181" s="81">
        <f t="shared" ref="L181:S181" si="121">SUM(L136:L180)</f>
        <v>4670530.9578666659</v>
      </c>
      <c r="M181" s="81">
        <f t="shared" si="121"/>
        <v>4670530.9578666659</v>
      </c>
      <c r="N181" s="81">
        <f t="shared" si="121"/>
        <v>55056.069571322754</v>
      </c>
      <c r="O181" s="81">
        <f t="shared" si="121"/>
        <v>660672.83485587314</v>
      </c>
      <c r="P181" s="81">
        <f t="shared" si="121"/>
        <v>414414.45037777786</v>
      </c>
      <c r="Q181" s="81">
        <f t="shared" si="121"/>
        <v>2508192.2346222224</v>
      </c>
      <c r="R181" s="81">
        <f t="shared" si="121"/>
        <v>2922606.6849999996</v>
      </c>
      <c r="S181" s="81">
        <f t="shared" si="121"/>
        <v>1747924.2728666663</v>
      </c>
    </row>
    <row r="182" spans="1:16384">
      <c r="K182" s="18"/>
      <c r="L182" s="79"/>
      <c r="M182" s="79"/>
      <c r="N182" s="79"/>
      <c r="O182" s="79"/>
      <c r="P182" s="79"/>
      <c r="Q182" s="79"/>
      <c r="R182" s="79"/>
      <c r="S182" s="79"/>
    </row>
    <row r="183" spans="1:16384">
      <c r="L183" s="79"/>
      <c r="M183" s="79"/>
      <c r="N183" s="79"/>
      <c r="O183" s="79"/>
      <c r="P183" s="79"/>
      <c r="Q183" s="79"/>
      <c r="R183" s="79"/>
      <c r="S183" s="79"/>
    </row>
    <row r="184" spans="1:16384">
      <c r="D184" s="9" t="s">
        <v>295</v>
      </c>
      <c r="L184" s="79"/>
      <c r="M184" s="79"/>
      <c r="N184" s="79"/>
      <c r="O184" s="79"/>
      <c r="P184" s="79"/>
      <c r="Q184" s="79"/>
      <c r="R184" s="79"/>
      <c r="S184" s="79"/>
    </row>
    <row r="185" spans="1:16384">
      <c r="L185" s="79"/>
      <c r="M185" s="79"/>
      <c r="N185" s="79"/>
      <c r="O185" s="79"/>
      <c r="P185" s="79"/>
      <c r="Q185" s="79"/>
      <c r="R185" s="79"/>
      <c r="S185" s="79"/>
    </row>
    <row r="186" spans="1:16384">
      <c r="A186" t="s">
        <v>463</v>
      </c>
      <c r="B186" s="22">
        <v>109517</v>
      </c>
      <c r="C186">
        <v>3539</v>
      </c>
      <c r="D186" t="s">
        <v>493</v>
      </c>
      <c r="E186">
        <v>2013</v>
      </c>
      <c r="F186">
        <v>12</v>
      </c>
      <c r="G186" s="27">
        <v>0</v>
      </c>
      <c r="H186" t="s">
        <v>78</v>
      </c>
      <c r="I186">
        <v>9</v>
      </c>
      <c r="J186">
        <f>E186+I186</f>
        <v>2022</v>
      </c>
      <c r="K186" s="14">
        <f>+J186+(F186/12)</f>
        <v>2023</v>
      </c>
      <c r="L186" s="79">
        <v>331758.37</v>
      </c>
      <c r="M186" s="79">
        <f>L186-L186*G186</f>
        <v>331758.37</v>
      </c>
      <c r="N186" s="79">
        <f>M186/I186/12</f>
        <v>3071.836759259259</v>
      </c>
      <c r="O186" s="79">
        <f>+N186*12</f>
        <v>36862.04111111111</v>
      </c>
      <c r="P186" s="79">
        <f>+IF(K186&lt;=$M$5,0,IF(J186=$M$4,N186*F186,O186))</f>
        <v>36862.04111111111</v>
      </c>
      <c r="Q186" s="79">
        <f>+IF(P186=0,M186,IF($M$3-E186&lt;1,0,(($M$3-E186)*O186)))</f>
        <v>184310.20555555556</v>
      </c>
      <c r="R186" s="79">
        <f>+IF(P186=0,Q186,Q186+P186)</f>
        <v>221172.24666666667</v>
      </c>
      <c r="S186" s="79">
        <f>+L186-R186</f>
        <v>110586.12333333332</v>
      </c>
    </row>
    <row r="187" spans="1:16384">
      <c r="A187" t="s">
        <v>284</v>
      </c>
      <c r="C187">
        <v>3591</v>
      </c>
      <c r="D187" t="s">
        <v>376</v>
      </c>
      <c r="E187">
        <v>2006</v>
      </c>
      <c r="F187">
        <v>5</v>
      </c>
      <c r="G187" s="27">
        <v>0</v>
      </c>
      <c r="H187" t="s">
        <v>78</v>
      </c>
      <c r="I187">
        <v>7</v>
      </c>
      <c r="J187">
        <f>E187+I187</f>
        <v>2013</v>
      </c>
      <c r="K187" s="14">
        <f>+J187+(F187/12)</f>
        <v>2013.4166666666667</v>
      </c>
      <c r="L187" s="79">
        <f>'Orig Trucks 2183'!P33</f>
        <v>146842.576</v>
      </c>
      <c r="M187" s="79">
        <f>L187-L187*G187</f>
        <v>146842.576</v>
      </c>
      <c r="N187" s="79">
        <f>M187/I187/12</f>
        <v>1748.1259047619048</v>
      </c>
      <c r="O187" s="79">
        <f>+N187*12</f>
        <v>20977.510857142857</v>
      </c>
      <c r="P187" s="79">
        <f>+IF(K187&lt;=$M$5,0,IF(J187=$M$4,N187*F187,O187))</f>
        <v>0</v>
      </c>
      <c r="Q187" s="79">
        <f>+IF(P187=0,M187,IF($M$3-E187&lt;1,0,(($M$3-E187)*O187)))</f>
        <v>146842.576</v>
      </c>
      <c r="R187" s="79">
        <f>+IF(P187=0,Q187,Q187+P187)</f>
        <v>146842.576</v>
      </c>
      <c r="S187" s="79">
        <f>+L187-R187</f>
        <v>0</v>
      </c>
    </row>
    <row r="188" spans="1:16384">
      <c r="A188" s="2"/>
      <c r="B188" s="61">
        <v>3591</v>
      </c>
      <c r="C188" s="2"/>
      <c r="D188" s="2" t="s">
        <v>658</v>
      </c>
      <c r="E188" s="2">
        <v>2018</v>
      </c>
      <c r="F188" s="2">
        <v>5</v>
      </c>
      <c r="G188" s="71">
        <v>0</v>
      </c>
      <c r="H188" s="2" t="s">
        <v>78</v>
      </c>
      <c r="I188" s="2">
        <f>+IF(J187-$M$4&gt;=3,J187-$M$4,3)</f>
        <v>3</v>
      </c>
      <c r="J188" s="2">
        <f>E188+I188</f>
        <v>2021</v>
      </c>
      <c r="K188" s="15">
        <f>+J188+(F188/12)</f>
        <v>2021.4166666666667</v>
      </c>
      <c r="L188" s="114">
        <f>'Orig Trucks 2183'!N33-'Trucks 2183'!L187</f>
        <v>36710.644</v>
      </c>
      <c r="M188" s="114">
        <f>L188-(L188*G188)</f>
        <v>36710.644</v>
      </c>
      <c r="N188" s="114">
        <f>M188/I188/12</f>
        <v>1019.7401111111111</v>
      </c>
      <c r="O188" s="114">
        <f>+N188*12</f>
        <v>12236.881333333333</v>
      </c>
      <c r="P188" s="114">
        <f>+IF(K188&lt;=$M$5,0,IF(J188=$M$4,N188*F188,O188))</f>
        <v>12236.881333333333</v>
      </c>
      <c r="Q188" s="114">
        <f>+IF(P188=0,M188,IF($M$3-E188&lt;1,0,(($M$3-E188)*O188)))</f>
        <v>0</v>
      </c>
      <c r="R188" s="114">
        <f>+IF(P188=0,Q188,Q188+P188)</f>
        <v>12236.881333333333</v>
      </c>
      <c r="S188" s="114">
        <f>+L188-R188</f>
        <v>24473.762666666669</v>
      </c>
    </row>
    <row r="189" spans="1:16384">
      <c r="B189" s="22">
        <v>88721</v>
      </c>
      <c r="D189" t="s">
        <v>441</v>
      </c>
      <c r="E189">
        <v>2011</v>
      </c>
      <c r="F189">
        <v>12</v>
      </c>
      <c r="G189" s="27">
        <v>0</v>
      </c>
      <c r="H189" t="s">
        <v>78</v>
      </c>
      <c r="I189">
        <v>5</v>
      </c>
      <c r="J189">
        <f t="shared" ref="J189:J191" si="122">E189+I189</f>
        <v>2016</v>
      </c>
      <c r="K189" s="14">
        <f t="shared" si="99"/>
        <v>2017</v>
      </c>
      <c r="L189" s="79">
        <f>487.65*3</f>
        <v>1462.9499999999998</v>
      </c>
      <c r="M189" s="79">
        <f>L189-L189*G189</f>
        <v>1462.9499999999998</v>
      </c>
      <c r="N189" s="79">
        <f t="shared" ref="N189:N191" si="123">M189/I189/12</f>
        <v>24.382499999999997</v>
      </c>
      <c r="O189" s="79">
        <f t="shared" ref="O189:O191" si="124">+N189*12</f>
        <v>292.58999999999997</v>
      </c>
      <c r="P189" s="79">
        <f t="shared" ref="P189:P190" si="125">+IF(K189&lt;=$M$5,0,IF(J189&gt;$M$4,O189,N189*F189))</f>
        <v>0</v>
      </c>
      <c r="Q189" s="79">
        <f t="shared" ref="Q189:Q191" si="126">+IF(P189=0,M189,IF($M$3-E189&lt;1,0,(($M$3-E189)*O189)))</f>
        <v>1462.9499999999998</v>
      </c>
      <c r="R189" s="79">
        <f t="shared" ref="R189:R191" si="127">+IF(P189=0,Q189,Q189+P189)</f>
        <v>1462.9499999999998</v>
      </c>
      <c r="S189" s="79">
        <f t="shared" ref="S189:S191" si="128">+L189-R189</f>
        <v>0</v>
      </c>
    </row>
    <row r="190" spans="1:16384">
      <c r="B190" s="22" t="s">
        <v>594</v>
      </c>
      <c r="D190" t="s">
        <v>591</v>
      </c>
      <c r="E190">
        <v>2016</v>
      </c>
      <c r="F190">
        <v>4</v>
      </c>
      <c r="G190" s="27">
        <v>0</v>
      </c>
      <c r="H190" t="s">
        <v>78</v>
      </c>
      <c r="I190">
        <v>1</v>
      </c>
      <c r="J190">
        <f t="shared" si="122"/>
        <v>2017</v>
      </c>
      <c r="K190" s="14">
        <f t="shared" si="99"/>
        <v>2017.3333333333333</v>
      </c>
      <c r="L190" s="79">
        <f>((14612.94+16641.82+675)/75)*3</f>
        <v>1277.1904</v>
      </c>
      <c r="M190" s="79">
        <f>L190-L190*G190</f>
        <v>1277.1904</v>
      </c>
      <c r="N190" s="79">
        <f t="shared" si="123"/>
        <v>106.43253333333332</v>
      </c>
      <c r="O190" s="79">
        <f t="shared" si="124"/>
        <v>1277.1904</v>
      </c>
      <c r="P190" s="79">
        <f t="shared" si="125"/>
        <v>0</v>
      </c>
      <c r="Q190" s="79">
        <f t="shared" si="126"/>
        <v>1277.1904</v>
      </c>
      <c r="R190" s="79">
        <f t="shared" si="127"/>
        <v>1277.1904</v>
      </c>
      <c r="S190" s="79">
        <f t="shared" si="128"/>
        <v>0</v>
      </c>
    </row>
    <row r="191" spans="1:16384" s="2" customFormat="1">
      <c r="B191" s="61"/>
      <c r="D191" s="2" t="s">
        <v>796</v>
      </c>
      <c r="E191" s="2">
        <v>2018</v>
      </c>
      <c r="F191" s="2">
        <v>5</v>
      </c>
      <c r="G191" s="71">
        <v>0</v>
      </c>
      <c r="H191" s="2" t="s">
        <v>78</v>
      </c>
      <c r="I191" s="2">
        <v>3</v>
      </c>
      <c r="J191" s="2">
        <f t="shared" si="122"/>
        <v>2021</v>
      </c>
      <c r="K191" s="15">
        <f t="shared" si="99"/>
        <v>2021.4166666666667</v>
      </c>
      <c r="L191" s="114">
        <f>+L282</f>
        <v>32124.851999999999</v>
      </c>
      <c r="M191" s="114">
        <f t="shared" ref="M191" si="129">L191-L191*G191</f>
        <v>32124.851999999999</v>
      </c>
      <c r="N191" s="114">
        <f t="shared" si="123"/>
        <v>892.35699999999997</v>
      </c>
      <c r="O191" s="114">
        <f t="shared" si="124"/>
        <v>10708.284</v>
      </c>
      <c r="P191" s="114">
        <f t="shared" ref="P191" si="130">+IF(K191&lt;=$M$5,0,IF(J191=$M$4,N191*F191,O191))</f>
        <v>10708.284</v>
      </c>
      <c r="Q191" s="114">
        <f t="shared" si="126"/>
        <v>0</v>
      </c>
      <c r="R191" s="114">
        <f t="shared" si="127"/>
        <v>10708.284</v>
      </c>
      <c r="S191" s="114">
        <f t="shared" si="128"/>
        <v>21416.567999999999</v>
      </c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  <c r="IT191" s="50"/>
      <c r="IU191" s="50"/>
      <c r="IV191" s="50"/>
      <c r="IW191" s="50"/>
      <c r="IX191" s="50"/>
      <c r="IY191" s="50"/>
      <c r="IZ191" s="50"/>
      <c r="JA191" s="50"/>
      <c r="JB191" s="50"/>
      <c r="JC191" s="50"/>
      <c r="JD191" s="50"/>
      <c r="JE191" s="50"/>
      <c r="JF191" s="50"/>
      <c r="JG191" s="50"/>
      <c r="JH191" s="50"/>
      <c r="JI191" s="50"/>
      <c r="JJ191" s="50"/>
      <c r="JK191" s="50"/>
      <c r="JL191" s="50"/>
      <c r="JM191" s="50"/>
      <c r="JN191" s="50"/>
      <c r="JO191" s="50"/>
      <c r="JP191" s="50"/>
      <c r="JQ191" s="50"/>
      <c r="JR191" s="50"/>
      <c r="JS191" s="50"/>
      <c r="JT191" s="50"/>
      <c r="JU191" s="50"/>
      <c r="JV191" s="50"/>
      <c r="JW191" s="50"/>
      <c r="JX191" s="50"/>
      <c r="JY191" s="50"/>
      <c r="JZ191" s="50"/>
      <c r="KA191" s="50"/>
      <c r="KB191" s="50"/>
      <c r="KC191" s="50"/>
      <c r="KD191" s="50"/>
      <c r="KE191" s="50"/>
      <c r="KF191" s="50"/>
      <c r="KG191" s="50"/>
      <c r="KH191" s="50"/>
      <c r="KI191" s="50"/>
      <c r="KJ191" s="50"/>
      <c r="KK191" s="50"/>
      <c r="KL191" s="50"/>
      <c r="KM191" s="50"/>
      <c r="KN191" s="50"/>
      <c r="KO191" s="50"/>
      <c r="KP191" s="50"/>
      <c r="KQ191" s="50"/>
      <c r="KR191" s="50"/>
      <c r="KS191" s="50"/>
      <c r="KT191" s="50"/>
      <c r="KU191" s="50"/>
      <c r="KV191" s="50"/>
      <c r="KW191" s="50"/>
      <c r="KX191" s="50"/>
      <c r="KY191" s="50"/>
      <c r="KZ191" s="50"/>
      <c r="LA191" s="50"/>
      <c r="LB191" s="50"/>
      <c r="LC191" s="50"/>
      <c r="LD191" s="50"/>
      <c r="LE191" s="50"/>
      <c r="LF191" s="50"/>
      <c r="LG191" s="50"/>
      <c r="LH191" s="50"/>
      <c r="LI191" s="50"/>
      <c r="LJ191" s="50"/>
      <c r="LK191" s="50"/>
      <c r="LL191" s="50"/>
      <c r="LM191" s="50"/>
      <c r="LN191" s="50"/>
      <c r="LO191" s="50"/>
      <c r="LP191" s="50"/>
      <c r="LQ191" s="50"/>
      <c r="LR191" s="50"/>
      <c r="LS191" s="50"/>
      <c r="LT191" s="50"/>
      <c r="LU191" s="50"/>
      <c r="LV191" s="50"/>
      <c r="LW191" s="50"/>
      <c r="LX191" s="50"/>
      <c r="LY191" s="50"/>
      <c r="LZ191" s="50"/>
      <c r="MA191" s="50"/>
      <c r="MB191" s="50"/>
      <c r="MC191" s="50"/>
      <c r="MD191" s="50"/>
      <c r="ME191" s="50"/>
      <c r="MF191" s="50"/>
      <c r="MG191" s="50"/>
      <c r="MH191" s="50"/>
      <c r="MI191" s="50"/>
      <c r="MJ191" s="50"/>
      <c r="MK191" s="50"/>
      <c r="ML191" s="50"/>
      <c r="MM191" s="50"/>
      <c r="MN191" s="50"/>
      <c r="MO191" s="50"/>
      <c r="MP191" s="50"/>
      <c r="MQ191" s="50"/>
      <c r="MR191" s="50"/>
      <c r="MS191" s="50"/>
      <c r="MT191" s="50"/>
      <c r="MU191" s="50"/>
      <c r="MV191" s="50"/>
      <c r="MW191" s="50"/>
      <c r="MX191" s="50"/>
      <c r="MY191" s="50"/>
      <c r="MZ191" s="50"/>
      <c r="NA191" s="50"/>
      <c r="NB191" s="50"/>
      <c r="NC191" s="50"/>
      <c r="ND191" s="50"/>
      <c r="NE191" s="50"/>
      <c r="NF191" s="50"/>
      <c r="NG191" s="50"/>
      <c r="NH191" s="50"/>
      <c r="NI191" s="50"/>
      <c r="NJ191" s="50"/>
      <c r="NK191" s="50"/>
      <c r="NL191" s="50"/>
      <c r="NM191" s="50"/>
      <c r="NN191" s="50"/>
      <c r="NO191" s="50"/>
      <c r="NP191" s="50"/>
      <c r="NQ191" s="50"/>
      <c r="NR191" s="50"/>
      <c r="NS191" s="50"/>
      <c r="NT191" s="50"/>
      <c r="NU191" s="50"/>
      <c r="NV191" s="50"/>
      <c r="NW191" s="50"/>
      <c r="NX191" s="50"/>
      <c r="NY191" s="50"/>
      <c r="NZ191" s="50"/>
      <c r="OA191" s="50"/>
      <c r="OB191" s="50"/>
      <c r="OC191" s="50"/>
      <c r="OD191" s="50"/>
      <c r="OE191" s="50"/>
      <c r="OF191" s="50"/>
      <c r="OG191" s="50"/>
      <c r="OH191" s="50"/>
      <c r="OI191" s="50"/>
      <c r="OJ191" s="50"/>
      <c r="OK191" s="50"/>
      <c r="OL191" s="50"/>
      <c r="OM191" s="50"/>
      <c r="ON191" s="50"/>
      <c r="OO191" s="50"/>
      <c r="OP191" s="50"/>
      <c r="OQ191" s="50"/>
      <c r="OR191" s="50"/>
      <c r="OS191" s="50"/>
      <c r="OT191" s="50"/>
      <c r="OU191" s="50"/>
      <c r="OV191" s="50"/>
      <c r="OW191" s="50"/>
      <c r="OX191" s="50"/>
      <c r="OY191" s="50"/>
      <c r="OZ191" s="50"/>
      <c r="PA191" s="50"/>
      <c r="PB191" s="50"/>
      <c r="PC191" s="50"/>
      <c r="PD191" s="50"/>
      <c r="PE191" s="50"/>
      <c r="PF191" s="50"/>
      <c r="PG191" s="50"/>
      <c r="PH191" s="50"/>
      <c r="PI191" s="50"/>
      <c r="PJ191" s="50"/>
      <c r="PK191" s="50"/>
      <c r="PL191" s="50"/>
      <c r="PM191" s="50"/>
      <c r="PN191" s="50"/>
      <c r="PO191" s="50"/>
      <c r="PP191" s="50"/>
      <c r="PQ191" s="50"/>
      <c r="PR191" s="50"/>
      <c r="PS191" s="50"/>
      <c r="PT191" s="50"/>
      <c r="PU191" s="50"/>
      <c r="PV191" s="50"/>
      <c r="PW191" s="50"/>
      <c r="PX191" s="50"/>
      <c r="PY191" s="50"/>
      <c r="PZ191" s="50"/>
      <c r="QA191" s="50"/>
      <c r="QB191" s="50"/>
      <c r="QC191" s="50"/>
      <c r="QD191" s="50"/>
      <c r="QE191" s="50"/>
      <c r="QF191" s="50"/>
      <c r="QG191" s="50"/>
      <c r="QH191" s="50"/>
      <c r="QI191" s="50"/>
      <c r="QJ191" s="50"/>
      <c r="QK191" s="50"/>
      <c r="QL191" s="50"/>
      <c r="QM191" s="50"/>
      <c r="QN191" s="50"/>
      <c r="QO191" s="50"/>
      <c r="QP191" s="50"/>
      <c r="QQ191" s="50"/>
      <c r="QR191" s="50"/>
      <c r="QS191" s="50"/>
      <c r="QT191" s="50"/>
      <c r="QU191" s="50"/>
      <c r="QV191" s="50"/>
      <c r="QW191" s="50"/>
      <c r="QX191" s="50"/>
      <c r="QY191" s="50"/>
      <c r="QZ191" s="50"/>
      <c r="RA191" s="50"/>
      <c r="RB191" s="50"/>
      <c r="RC191" s="50"/>
      <c r="RD191" s="50"/>
      <c r="RE191" s="50"/>
      <c r="RF191" s="50"/>
      <c r="RG191" s="50"/>
      <c r="RH191" s="50"/>
      <c r="RI191" s="50"/>
      <c r="RJ191" s="50"/>
      <c r="RK191" s="50"/>
      <c r="RL191" s="50"/>
      <c r="RM191" s="50"/>
      <c r="RN191" s="50"/>
      <c r="RO191" s="50"/>
      <c r="RP191" s="50"/>
      <c r="RQ191" s="50"/>
      <c r="RR191" s="50"/>
      <c r="RS191" s="50"/>
      <c r="RT191" s="50"/>
      <c r="RU191" s="50"/>
      <c r="RV191" s="50"/>
      <c r="RW191" s="50"/>
      <c r="RX191" s="50"/>
      <c r="RY191" s="50"/>
      <c r="RZ191" s="50"/>
      <c r="SA191" s="50"/>
      <c r="SB191" s="50"/>
      <c r="SC191" s="50"/>
      <c r="SD191" s="50"/>
      <c r="SE191" s="50"/>
      <c r="SF191" s="50"/>
      <c r="SG191" s="50"/>
      <c r="SH191" s="50"/>
      <c r="SI191" s="50"/>
      <c r="SJ191" s="50"/>
      <c r="SK191" s="50"/>
      <c r="SL191" s="50"/>
      <c r="SM191" s="50"/>
      <c r="SN191" s="50"/>
      <c r="SO191" s="50"/>
      <c r="SP191" s="50"/>
      <c r="SQ191" s="50"/>
      <c r="SR191" s="50"/>
      <c r="SS191" s="50"/>
      <c r="ST191" s="50"/>
      <c r="SU191" s="50"/>
      <c r="SV191" s="50"/>
      <c r="SW191" s="50"/>
      <c r="SX191" s="50"/>
      <c r="SY191" s="50"/>
      <c r="SZ191" s="50"/>
      <c r="TA191" s="50"/>
      <c r="TB191" s="50"/>
      <c r="TC191" s="50"/>
      <c r="TD191" s="50"/>
      <c r="TE191" s="50"/>
      <c r="TF191" s="50"/>
      <c r="TG191" s="50"/>
      <c r="TH191" s="50"/>
      <c r="TI191" s="50"/>
      <c r="TJ191" s="50"/>
      <c r="TK191" s="50"/>
      <c r="TL191" s="50"/>
      <c r="TM191" s="50"/>
      <c r="TN191" s="50"/>
      <c r="TO191" s="50"/>
      <c r="TP191" s="50"/>
      <c r="TQ191" s="50"/>
      <c r="TR191" s="50"/>
      <c r="TS191" s="50"/>
      <c r="TT191" s="50"/>
      <c r="TU191" s="50"/>
      <c r="TV191" s="50"/>
      <c r="TW191" s="50"/>
      <c r="TX191" s="50"/>
      <c r="TY191" s="50"/>
      <c r="TZ191" s="50"/>
      <c r="UA191" s="50"/>
      <c r="UB191" s="50"/>
      <c r="UC191" s="50"/>
      <c r="UD191" s="50"/>
      <c r="UE191" s="50"/>
      <c r="UF191" s="50"/>
      <c r="UG191" s="50"/>
      <c r="UH191" s="50"/>
      <c r="UI191" s="50"/>
      <c r="UJ191" s="50"/>
      <c r="UK191" s="50"/>
      <c r="UL191" s="50"/>
      <c r="UM191" s="50"/>
      <c r="UN191" s="50"/>
      <c r="UO191" s="50"/>
      <c r="UP191" s="50"/>
      <c r="UQ191" s="50"/>
      <c r="UR191" s="50"/>
      <c r="US191" s="50"/>
      <c r="UT191" s="50"/>
      <c r="UU191" s="50"/>
      <c r="UV191" s="50"/>
      <c r="UW191" s="50"/>
      <c r="UX191" s="50"/>
      <c r="UY191" s="50"/>
      <c r="UZ191" s="50"/>
      <c r="VA191" s="50"/>
      <c r="VB191" s="50"/>
      <c r="VC191" s="50"/>
      <c r="VD191" s="50"/>
      <c r="VE191" s="50"/>
      <c r="VF191" s="50"/>
      <c r="VG191" s="50"/>
      <c r="VH191" s="50"/>
      <c r="VI191" s="50"/>
      <c r="VJ191" s="50"/>
      <c r="VK191" s="50"/>
      <c r="VL191" s="50"/>
      <c r="VM191" s="50"/>
      <c r="VN191" s="50"/>
      <c r="VO191" s="50"/>
      <c r="VP191" s="50"/>
      <c r="VQ191" s="50"/>
      <c r="VR191" s="50"/>
      <c r="VS191" s="50"/>
      <c r="VT191" s="50"/>
      <c r="VU191" s="50"/>
      <c r="VV191" s="50"/>
      <c r="VW191" s="50"/>
      <c r="VX191" s="50"/>
      <c r="VY191" s="50"/>
      <c r="VZ191" s="50"/>
      <c r="WA191" s="50"/>
      <c r="WB191" s="50"/>
      <c r="WC191" s="50"/>
      <c r="WD191" s="50"/>
      <c r="WE191" s="50"/>
      <c r="WF191" s="50"/>
      <c r="WG191" s="50"/>
      <c r="WH191" s="50"/>
      <c r="WI191" s="50"/>
      <c r="WJ191" s="50"/>
      <c r="WK191" s="50"/>
      <c r="WL191" s="50"/>
      <c r="WM191" s="50"/>
      <c r="WN191" s="50"/>
      <c r="WO191" s="50"/>
      <c r="WP191" s="50"/>
      <c r="WQ191" s="50"/>
      <c r="WR191" s="50"/>
      <c r="WS191" s="50"/>
      <c r="WT191" s="50"/>
      <c r="WU191" s="50"/>
      <c r="WV191" s="50"/>
      <c r="WW191" s="50"/>
      <c r="WX191" s="50"/>
      <c r="WY191" s="50"/>
      <c r="WZ191" s="50"/>
      <c r="XA191" s="50"/>
      <c r="XB191" s="50"/>
      <c r="XC191" s="50"/>
      <c r="XD191" s="50"/>
      <c r="XE191" s="50"/>
      <c r="XF191" s="50"/>
      <c r="XG191" s="50"/>
      <c r="XH191" s="50"/>
      <c r="XI191" s="50"/>
      <c r="XJ191" s="50"/>
      <c r="XK191" s="50"/>
      <c r="XL191" s="50"/>
      <c r="XM191" s="50"/>
      <c r="XN191" s="50"/>
      <c r="XO191" s="50"/>
      <c r="XP191" s="50"/>
      <c r="XQ191" s="50"/>
      <c r="XR191" s="50"/>
      <c r="XS191" s="50"/>
      <c r="XT191" s="50"/>
      <c r="XU191" s="50"/>
      <c r="XV191" s="50"/>
      <c r="XW191" s="50"/>
      <c r="XX191" s="50"/>
      <c r="XY191" s="50"/>
      <c r="XZ191" s="50"/>
      <c r="YA191" s="50"/>
      <c r="YB191" s="50"/>
      <c r="YC191" s="50"/>
      <c r="YD191" s="50"/>
      <c r="YE191" s="50"/>
      <c r="YF191" s="50"/>
      <c r="YG191" s="50"/>
      <c r="YH191" s="50"/>
      <c r="YI191" s="50"/>
      <c r="YJ191" s="50"/>
      <c r="YK191" s="50"/>
      <c r="YL191" s="50"/>
      <c r="YM191" s="50"/>
      <c r="YN191" s="50"/>
      <c r="YO191" s="50"/>
      <c r="YP191" s="50"/>
      <c r="YQ191" s="50"/>
      <c r="YR191" s="50"/>
      <c r="YS191" s="50"/>
      <c r="YT191" s="50"/>
      <c r="YU191" s="50"/>
      <c r="YV191" s="50"/>
      <c r="YW191" s="50"/>
      <c r="YX191" s="50"/>
      <c r="YY191" s="50"/>
      <c r="YZ191" s="50"/>
      <c r="ZA191" s="50"/>
      <c r="ZB191" s="50"/>
      <c r="ZC191" s="50"/>
      <c r="ZD191" s="50"/>
      <c r="ZE191" s="50"/>
      <c r="ZF191" s="50"/>
      <c r="ZG191" s="50"/>
      <c r="ZH191" s="50"/>
      <c r="ZI191" s="50"/>
      <c r="ZJ191" s="50"/>
      <c r="ZK191" s="50"/>
      <c r="ZL191" s="50"/>
      <c r="ZM191" s="50"/>
      <c r="ZN191" s="50"/>
      <c r="ZO191" s="50"/>
      <c r="ZP191" s="50"/>
      <c r="ZQ191" s="50"/>
      <c r="ZR191" s="50"/>
      <c r="ZS191" s="50"/>
      <c r="ZT191" s="50"/>
      <c r="ZU191" s="50"/>
      <c r="ZV191" s="50"/>
      <c r="ZW191" s="50"/>
      <c r="ZX191" s="50"/>
      <c r="ZY191" s="50"/>
      <c r="ZZ191" s="50"/>
      <c r="AAA191" s="50"/>
      <c r="AAB191" s="50"/>
      <c r="AAC191" s="50"/>
      <c r="AAD191" s="50"/>
      <c r="AAE191" s="50"/>
      <c r="AAF191" s="50"/>
      <c r="AAG191" s="50"/>
      <c r="AAH191" s="50"/>
      <c r="AAI191" s="50"/>
      <c r="AAJ191" s="50"/>
      <c r="AAK191" s="50"/>
      <c r="AAL191" s="50"/>
      <c r="AAM191" s="50"/>
      <c r="AAN191" s="50"/>
      <c r="AAO191" s="50"/>
      <c r="AAP191" s="50"/>
      <c r="AAQ191" s="50"/>
      <c r="AAR191" s="50"/>
      <c r="AAS191" s="50"/>
      <c r="AAT191" s="50"/>
      <c r="AAU191" s="50"/>
      <c r="AAV191" s="50"/>
      <c r="AAW191" s="50"/>
      <c r="AAX191" s="50"/>
      <c r="AAY191" s="50"/>
      <c r="AAZ191" s="50"/>
      <c r="ABA191" s="50"/>
      <c r="ABB191" s="50"/>
      <c r="ABC191" s="50"/>
      <c r="ABD191" s="50"/>
      <c r="ABE191" s="50"/>
      <c r="ABF191" s="50"/>
      <c r="ABG191" s="50"/>
      <c r="ABH191" s="50"/>
      <c r="ABI191" s="50"/>
      <c r="ABJ191" s="50"/>
      <c r="ABK191" s="50"/>
      <c r="ABL191" s="50"/>
      <c r="ABM191" s="50"/>
      <c r="ABN191" s="50"/>
      <c r="ABO191" s="50"/>
      <c r="ABP191" s="50"/>
      <c r="ABQ191" s="50"/>
      <c r="ABR191" s="50"/>
      <c r="ABS191" s="50"/>
      <c r="ABT191" s="50"/>
      <c r="ABU191" s="50"/>
      <c r="ABV191" s="50"/>
      <c r="ABW191" s="50"/>
      <c r="ABX191" s="50"/>
      <c r="ABY191" s="50"/>
      <c r="ABZ191" s="50"/>
      <c r="ACA191" s="50"/>
      <c r="ACB191" s="50"/>
      <c r="ACC191" s="50"/>
      <c r="ACD191" s="50"/>
      <c r="ACE191" s="50"/>
      <c r="ACF191" s="50"/>
      <c r="ACG191" s="50"/>
      <c r="ACH191" s="50"/>
      <c r="ACI191" s="50"/>
      <c r="ACJ191" s="50"/>
      <c r="ACK191" s="50"/>
      <c r="ACL191" s="50"/>
      <c r="ACM191" s="50"/>
      <c r="ACN191" s="50"/>
      <c r="ACO191" s="50"/>
      <c r="ACP191" s="50"/>
      <c r="ACQ191" s="50"/>
      <c r="ACR191" s="50"/>
      <c r="ACS191" s="50"/>
      <c r="ACT191" s="50"/>
      <c r="ACU191" s="50"/>
      <c r="ACV191" s="50"/>
      <c r="ACW191" s="50"/>
      <c r="ACX191" s="50"/>
      <c r="ACY191" s="50"/>
      <c r="ACZ191" s="50"/>
      <c r="ADA191" s="50"/>
      <c r="ADB191" s="50"/>
      <c r="ADC191" s="50"/>
      <c r="ADD191" s="50"/>
      <c r="ADE191" s="50"/>
      <c r="ADF191" s="50"/>
      <c r="ADG191" s="50"/>
      <c r="ADH191" s="50"/>
      <c r="ADI191" s="50"/>
      <c r="ADJ191" s="50"/>
      <c r="ADK191" s="50"/>
      <c r="ADL191" s="50"/>
      <c r="ADM191" s="50"/>
      <c r="ADN191" s="50"/>
      <c r="ADO191" s="50"/>
      <c r="ADP191" s="50"/>
      <c r="ADQ191" s="50"/>
      <c r="ADR191" s="50"/>
      <c r="ADS191" s="50"/>
      <c r="ADT191" s="50"/>
      <c r="ADU191" s="50"/>
      <c r="ADV191" s="50"/>
      <c r="ADW191" s="50"/>
      <c r="ADX191" s="50"/>
      <c r="ADY191" s="50"/>
      <c r="ADZ191" s="50"/>
      <c r="AEA191" s="50"/>
      <c r="AEB191" s="50"/>
      <c r="AEC191" s="50"/>
      <c r="AED191" s="50"/>
      <c r="AEE191" s="50"/>
      <c r="AEF191" s="50"/>
      <c r="AEG191" s="50"/>
      <c r="AEH191" s="50"/>
      <c r="AEI191" s="50"/>
      <c r="AEJ191" s="50"/>
      <c r="AEK191" s="50"/>
      <c r="AEL191" s="50"/>
      <c r="AEM191" s="50"/>
      <c r="AEN191" s="50"/>
      <c r="AEO191" s="50"/>
      <c r="AEP191" s="50"/>
      <c r="AEQ191" s="50"/>
      <c r="AER191" s="50"/>
      <c r="AES191" s="50"/>
      <c r="AET191" s="50"/>
      <c r="AEU191" s="50"/>
      <c r="AEV191" s="50"/>
      <c r="AEW191" s="50"/>
      <c r="AEX191" s="50"/>
      <c r="AEY191" s="50"/>
      <c r="AEZ191" s="50"/>
      <c r="AFA191" s="50"/>
      <c r="AFB191" s="50"/>
      <c r="AFC191" s="50"/>
      <c r="AFD191" s="50"/>
      <c r="AFE191" s="50"/>
      <c r="AFF191" s="50"/>
      <c r="AFG191" s="50"/>
      <c r="AFH191" s="50"/>
      <c r="AFI191" s="50"/>
      <c r="AFJ191" s="50"/>
      <c r="AFK191" s="50"/>
      <c r="AFL191" s="50"/>
      <c r="AFM191" s="50"/>
      <c r="AFN191" s="50"/>
      <c r="AFO191" s="50"/>
      <c r="AFP191" s="50"/>
      <c r="AFQ191" s="50"/>
      <c r="AFR191" s="50"/>
      <c r="AFS191" s="50"/>
      <c r="AFT191" s="50"/>
      <c r="AFU191" s="50"/>
      <c r="AFV191" s="50"/>
      <c r="AFW191" s="50"/>
      <c r="AFX191" s="50"/>
      <c r="AFY191" s="50"/>
      <c r="AFZ191" s="50"/>
      <c r="AGA191" s="50"/>
      <c r="AGB191" s="50"/>
      <c r="AGC191" s="50"/>
      <c r="AGD191" s="50"/>
      <c r="AGE191" s="50"/>
      <c r="AGF191" s="50"/>
      <c r="AGG191" s="50"/>
      <c r="AGH191" s="50"/>
      <c r="AGI191" s="50"/>
      <c r="AGJ191" s="50"/>
      <c r="AGK191" s="50"/>
      <c r="AGL191" s="50"/>
      <c r="AGM191" s="50"/>
      <c r="AGN191" s="50"/>
      <c r="AGO191" s="50"/>
      <c r="AGP191" s="50"/>
      <c r="AGQ191" s="50"/>
      <c r="AGR191" s="50"/>
      <c r="AGS191" s="50"/>
      <c r="AGT191" s="50"/>
      <c r="AGU191" s="50"/>
      <c r="AGV191" s="50"/>
      <c r="AGW191" s="50"/>
      <c r="AGX191" s="50"/>
      <c r="AGY191" s="50"/>
      <c r="AGZ191" s="50"/>
      <c r="AHA191" s="50"/>
      <c r="AHB191" s="50"/>
      <c r="AHC191" s="50"/>
      <c r="AHD191" s="50"/>
      <c r="AHE191" s="50"/>
      <c r="AHF191" s="50"/>
      <c r="AHG191" s="50"/>
      <c r="AHH191" s="50"/>
      <c r="AHI191" s="50"/>
      <c r="AHJ191" s="50"/>
      <c r="AHK191" s="50"/>
      <c r="AHL191" s="50"/>
      <c r="AHM191" s="50"/>
      <c r="AHN191" s="50"/>
      <c r="AHO191" s="50"/>
      <c r="AHP191" s="50"/>
      <c r="AHQ191" s="50"/>
      <c r="AHR191" s="50"/>
      <c r="AHS191" s="50"/>
      <c r="AHT191" s="50"/>
      <c r="AHU191" s="50"/>
      <c r="AHV191" s="50"/>
      <c r="AHW191" s="50"/>
      <c r="AHX191" s="50"/>
      <c r="AHY191" s="50"/>
      <c r="AHZ191" s="50"/>
      <c r="AIA191" s="50"/>
      <c r="AIB191" s="50"/>
      <c r="AIC191" s="50"/>
      <c r="AID191" s="50"/>
      <c r="AIE191" s="50"/>
      <c r="AIF191" s="50"/>
      <c r="AIG191" s="50"/>
      <c r="AIH191" s="50"/>
      <c r="AII191" s="50"/>
      <c r="AIJ191" s="50"/>
      <c r="AIK191" s="50"/>
      <c r="AIL191" s="50"/>
      <c r="AIM191" s="50"/>
      <c r="AIN191" s="50"/>
      <c r="AIO191" s="50"/>
      <c r="AIP191" s="50"/>
      <c r="AIQ191" s="50"/>
      <c r="AIR191" s="50"/>
      <c r="AIS191" s="50"/>
      <c r="AIT191" s="50"/>
      <c r="AIU191" s="50"/>
      <c r="AIV191" s="50"/>
      <c r="AIW191" s="50"/>
      <c r="AIX191" s="50"/>
      <c r="AIY191" s="50"/>
      <c r="AIZ191" s="50"/>
      <c r="AJA191" s="50"/>
      <c r="AJB191" s="50"/>
      <c r="AJC191" s="50"/>
      <c r="AJD191" s="50"/>
      <c r="AJE191" s="50"/>
      <c r="AJF191" s="50"/>
      <c r="AJG191" s="50"/>
      <c r="AJH191" s="50"/>
      <c r="AJI191" s="50"/>
      <c r="AJJ191" s="50"/>
      <c r="AJK191" s="50"/>
      <c r="AJL191" s="50"/>
      <c r="AJM191" s="50"/>
      <c r="AJN191" s="50"/>
      <c r="AJO191" s="50"/>
      <c r="AJP191" s="50"/>
      <c r="AJQ191" s="50"/>
      <c r="AJR191" s="50"/>
      <c r="AJS191" s="50"/>
      <c r="AJT191" s="50"/>
      <c r="AJU191" s="50"/>
      <c r="AJV191" s="50"/>
      <c r="AJW191" s="50"/>
      <c r="AJX191" s="50"/>
      <c r="AJY191" s="50"/>
      <c r="AJZ191" s="50"/>
      <c r="AKA191" s="50"/>
      <c r="AKB191" s="50"/>
      <c r="AKC191" s="50"/>
      <c r="AKD191" s="50"/>
      <c r="AKE191" s="50"/>
      <c r="AKF191" s="50"/>
      <c r="AKG191" s="50"/>
      <c r="AKH191" s="50"/>
      <c r="AKI191" s="50"/>
      <c r="AKJ191" s="50"/>
      <c r="AKK191" s="50"/>
      <c r="AKL191" s="50"/>
      <c r="AKM191" s="50"/>
      <c r="AKN191" s="50"/>
      <c r="AKO191" s="50"/>
      <c r="AKP191" s="50"/>
      <c r="AKQ191" s="50"/>
      <c r="AKR191" s="50"/>
      <c r="AKS191" s="50"/>
      <c r="AKT191" s="50"/>
      <c r="AKU191" s="50"/>
      <c r="AKV191" s="50"/>
      <c r="AKW191" s="50"/>
      <c r="AKX191" s="50"/>
      <c r="AKY191" s="50"/>
      <c r="AKZ191" s="50"/>
      <c r="ALA191" s="50"/>
      <c r="ALB191" s="50"/>
      <c r="ALC191" s="50"/>
      <c r="ALD191" s="50"/>
      <c r="ALE191" s="50"/>
      <c r="ALF191" s="50"/>
      <c r="ALG191" s="50"/>
      <c r="ALH191" s="50"/>
      <c r="ALI191" s="50"/>
      <c r="ALJ191" s="50"/>
      <c r="ALK191" s="50"/>
      <c r="ALL191" s="50"/>
      <c r="ALM191" s="50"/>
      <c r="ALN191" s="50"/>
      <c r="ALO191" s="50"/>
      <c r="ALP191" s="50"/>
      <c r="ALQ191" s="50"/>
      <c r="ALR191" s="50"/>
      <c r="ALS191" s="50"/>
      <c r="ALT191" s="50"/>
      <c r="ALU191" s="50"/>
      <c r="ALV191" s="50"/>
      <c r="ALW191" s="50"/>
      <c r="ALX191" s="50"/>
      <c r="ALY191" s="50"/>
      <c r="ALZ191" s="50"/>
      <c r="AMA191" s="50"/>
      <c r="AMB191" s="50"/>
      <c r="AMC191" s="50"/>
      <c r="AMD191" s="50"/>
      <c r="AME191" s="50"/>
      <c r="AMF191" s="50"/>
      <c r="AMG191" s="50"/>
      <c r="AMH191" s="50"/>
      <c r="AMI191" s="50"/>
      <c r="AMJ191" s="50"/>
      <c r="AMK191" s="50"/>
      <c r="AML191" s="50"/>
      <c r="AMM191" s="50"/>
      <c r="AMN191" s="50"/>
      <c r="AMO191" s="50"/>
      <c r="AMP191" s="50"/>
      <c r="AMQ191" s="50"/>
      <c r="AMR191" s="50"/>
      <c r="AMS191" s="50"/>
      <c r="AMT191" s="50"/>
      <c r="AMU191" s="50"/>
      <c r="AMV191" s="50"/>
      <c r="AMW191" s="50"/>
      <c r="AMX191" s="50"/>
      <c r="AMY191" s="50"/>
      <c r="AMZ191" s="50"/>
      <c r="ANA191" s="50"/>
      <c r="ANB191" s="50"/>
      <c r="ANC191" s="50"/>
      <c r="AND191" s="50"/>
      <c r="ANE191" s="50"/>
      <c r="ANF191" s="50"/>
      <c r="ANG191" s="50"/>
      <c r="ANH191" s="50"/>
      <c r="ANI191" s="50"/>
      <c r="ANJ191" s="50"/>
      <c r="ANK191" s="50"/>
      <c r="ANL191" s="50"/>
      <c r="ANM191" s="50"/>
      <c r="ANN191" s="50"/>
      <c r="ANO191" s="50"/>
      <c r="ANP191" s="50"/>
      <c r="ANQ191" s="50"/>
      <c r="ANR191" s="50"/>
      <c r="ANS191" s="50"/>
      <c r="ANT191" s="50"/>
      <c r="ANU191" s="50"/>
      <c r="ANV191" s="50"/>
      <c r="ANW191" s="50"/>
      <c r="ANX191" s="50"/>
      <c r="ANY191" s="50"/>
      <c r="ANZ191" s="50"/>
      <c r="AOA191" s="50"/>
      <c r="AOB191" s="50"/>
      <c r="AOC191" s="50"/>
      <c r="AOD191" s="50"/>
      <c r="AOE191" s="50"/>
      <c r="AOF191" s="50"/>
      <c r="AOG191" s="50"/>
      <c r="AOH191" s="50"/>
      <c r="AOI191" s="50"/>
      <c r="AOJ191" s="50"/>
      <c r="AOK191" s="50"/>
      <c r="AOL191" s="50"/>
      <c r="AOM191" s="50"/>
      <c r="AON191" s="50"/>
      <c r="AOO191" s="50"/>
      <c r="AOP191" s="50"/>
      <c r="AOQ191" s="50"/>
      <c r="AOR191" s="50"/>
      <c r="AOS191" s="50"/>
      <c r="AOT191" s="50"/>
      <c r="AOU191" s="50"/>
      <c r="AOV191" s="50"/>
      <c r="AOW191" s="50"/>
      <c r="AOX191" s="50"/>
      <c r="AOY191" s="50"/>
      <c r="AOZ191" s="50"/>
      <c r="APA191" s="50"/>
      <c r="APB191" s="50"/>
      <c r="APC191" s="50"/>
      <c r="APD191" s="50"/>
      <c r="APE191" s="50"/>
      <c r="APF191" s="50"/>
      <c r="APG191" s="50"/>
      <c r="APH191" s="50"/>
      <c r="API191" s="50"/>
      <c r="APJ191" s="50"/>
      <c r="APK191" s="50"/>
      <c r="APL191" s="50"/>
      <c r="APM191" s="50"/>
      <c r="APN191" s="50"/>
      <c r="APO191" s="50"/>
      <c r="APP191" s="50"/>
      <c r="APQ191" s="50"/>
      <c r="APR191" s="50"/>
      <c r="APS191" s="50"/>
      <c r="APT191" s="50"/>
      <c r="APU191" s="50"/>
      <c r="APV191" s="50"/>
      <c r="APW191" s="50"/>
      <c r="APX191" s="50"/>
      <c r="APY191" s="50"/>
      <c r="APZ191" s="50"/>
      <c r="AQA191" s="50"/>
      <c r="AQB191" s="50"/>
      <c r="AQC191" s="50"/>
      <c r="AQD191" s="50"/>
      <c r="AQE191" s="50"/>
      <c r="AQF191" s="50"/>
      <c r="AQG191" s="50"/>
      <c r="AQH191" s="50"/>
      <c r="AQI191" s="50"/>
      <c r="AQJ191" s="50"/>
      <c r="AQK191" s="50"/>
      <c r="AQL191" s="50"/>
      <c r="AQM191" s="50"/>
      <c r="AQN191" s="50"/>
      <c r="AQO191" s="50"/>
      <c r="AQP191" s="50"/>
      <c r="AQQ191" s="50"/>
      <c r="AQR191" s="50"/>
      <c r="AQS191" s="50"/>
      <c r="AQT191" s="50"/>
      <c r="AQU191" s="50"/>
      <c r="AQV191" s="50"/>
      <c r="AQW191" s="50"/>
      <c r="AQX191" s="50"/>
      <c r="AQY191" s="50"/>
      <c r="AQZ191" s="50"/>
      <c r="ARA191" s="50"/>
      <c r="ARB191" s="50"/>
      <c r="ARC191" s="50"/>
      <c r="ARD191" s="50"/>
      <c r="ARE191" s="50"/>
      <c r="ARF191" s="50"/>
      <c r="ARG191" s="50"/>
      <c r="ARH191" s="50"/>
      <c r="ARI191" s="50"/>
      <c r="ARJ191" s="50"/>
      <c r="ARK191" s="50"/>
      <c r="ARL191" s="50"/>
      <c r="ARM191" s="50"/>
      <c r="ARN191" s="50"/>
      <c r="ARO191" s="50"/>
      <c r="ARP191" s="50"/>
      <c r="ARQ191" s="50"/>
      <c r="ARR191" s="50"/>
      <c r="ARS191" s="50"/>
      <c r="ART191" s="50"/>
      <c r="ARU191" s="50"/>
      <c r="ARV191" s="50"/>
      <c r="ARW191" s="50"/>
      <c r="ARX191" s="50"/>
      <c r="ARY191" s="50"/>
      <c r="ARZ191" s="50"/>
      <c r="ASA191" s="50"/>
      <c r="ASB191" s="50"/>
      <c r="ASC191" s="50"/>
      <c r="ASD191" s="50"/>
      <c r="ASE191" s="50"/>
      <c r="ASF191" s="50"/>
      <c r="ASG191" s="50"/>
      <c r="ASH191" s="50"/>
      <c r="ASI191" s="50"/>
      <c r="ASJ191" s="50"/>
      <c r="ASK191" s="50"/>
      <c r="ASL191" s="50"/>
      <c r="ASM191" s="50"/>
      <c r="ASN191" s="50"/>
      <c r="ASO191" s="50"/>
      <c r="ASP191" s="50"/>
      <c r="ASQ191" s="50"/>
      <c r="ASR191" s="50"/>
      <c r="ASS191" s="50"/>
      <c r="AST191" s="50"/>
      <c r="ASU191" s="50"/>
      <c r="ASV191" s="50"/>
      <c r="ASW191" s="50"/>
      <c r="ASX191" s="50"/>
      <c r="ASY191" s="50"/>
      <c r="ASZ191" s="50"/>
      <c r="ATA191" s="50"/>
      <c r="ATB191" s="50"/>
      <c r="ATC191" s="50"/>
      <c r="ATD191" s="50"/>
      <c r="ATE191" s="50"/>
      <c r="ATF191" s="50"/>
      <c r="ATG191" s="50"/>
      <c r="ATH191" s="50"/>
      <c r="ATI191" s="50"/>
      <c r="ATJ191" s="50"/>
      <c r="ATK191" s="50"/>
      <c r="ATL191" s="50"/>
      <c r="ATM191" s="50"/>
      <c r="ATN191" s="50"/>
      <c r="ATO191" s="50"/>
      <c r="ATP191" s="50"/>
      <c r="ATQ191" s="50"/>
      <c r="ATR191" s="50"/>
      <c r="ATS191" s="50"/>
      <c r="ATT191" s="50"/>
      <c r="ATU191" s="50"/>
      <c r="ATV191" s="50"/>
      <c r="ATW191" s="50"/>
      <c r="ATX191" s="50"/>
      <c r="ATY191" s="50"/>
      <c r="ATZ191" s="50"/>
      <c r="AUA191" s="50"/>
      <c r="AUB191" s="50"/>
      <c r="AUC191" s="50"/>
      <c r="AUD191" s="50"/>
      <c r="AUE191" s="50"/>
      <c r="AUF191" s="50"/>
      <c r="AUG191" s="50"/>
      <c r="AUH191" s="50"/>
      <c r="AUI191" s="50"/>
      <c r="AUJ191" s="50"/>
      <c r="AUK191" s="50"/>
      <c r="AUL191" s="50"/>
      <c r="AUM191" s="50"/>
      <c r="AUN191" s="50"/>
      <c r="AUO191" s="50"/>
      <c r="AUP191" s="50"/>
      <c r="AUQ191" s="50"/>
      <c r="AUR191" s="50"/>
      <c r="AUS191" s="50"/>
      <c r="AUT191" s="50"/>
      <c r="AUU191" s="50"/>
      <c r="AUV191" s="50"/>
      <c r="AUW191" s="50"/>
      <c r="AUX191" s="50"/>
      <c r="AUY191" s="50"/>
      <c r="AUZ191" s="50"/>
      <c r="AVA191" s="50"/>
      <c r="AVB191" s="50"/>
      <c r="AVC191" s="50"/>
      <c r="AVD191" s="50"/>
      <c r="AVE191" s="50"/>
      <c r="AVF191" s="50"/>
      <c r="AVG191" s="50"/>
      <c r="AVH191" s="50"/>
      <c r="AVI191" s="50"/>
      <c r="AVJ191" s="50"/>
      <c r="AVK191" s="50"/>
      <c r="AVL191" s="50"/>
      <c r="AVM191" s="50"/>
      <c r="AVN191" s="50"/>
      <c r="AVO191" s="50"/>
      <c r="AVP191" s="50"/>
      <c r="AVQ191" s="50"/>
      <c r="AVR191" s="50"/>
      <c r="AVS191" s="50"/>
      <c r="AVT191" s="50"/>
      <c r="AVU191" s="50"/>
      <c r="AVV191" s="50"/>
      <c r="AVW191" s="50"/>
      <c r="AVX191" s="50"/>
      <c r="AVY191" s="50"/>
      <c r="AVZ191" s="50"/>
      <c r="AWA191" s="50"/>
      <c r="AWB191" s="50"/>
      <c r="AWC191" s="50"/>
      <c r="AWD191" s="50"/>
      <c r="AWE191" s="50"/>
      <c r="AWF191" s="50"/>
      <c r="AWG191" s="50"/>
      <c r="AWH191" s="50"/>
      <c r="AWI191" s="50"/>
      <c r="AWJ191" s="50"/>
      <c r="AWK191" s="50"/>
      <c r="AWL191" s="50"/>
      <c r="AWM191" s="50"/>
      <c r="AWN191" s="50"/>
      <c r="AWO191" s="50"/>
      <c r="AWP191" s="50"/>
      <c r="AWQ191" s="50"/>
      <c r="AWR191" s="50"/>
      <c r="AWS191" s="50"/>
      <c r="AWT191" s="50"/>
      <c r="AWU191" s="50"/>
      <c r="AWV191" s="50"/>
      <c r="AWW191" s="50"/>
      <c r="AWX191" s="50"/>
      <c r="AWY191" s="50"/>
      <c r="AWZ191" s="50"/>
      <c r="AXA191" s="50"/>
      <c r="AXB191" s="50"/>
      <c r="AXC191" s="50"/>
      <c r="AXD191" s="50"/>
      <c r="AXE191" s="50"/>
      <c r="AXF191" s="50"/>
      <c r="AXG191" s="50"/>
      <c r="AXH191" s="50"/>
      <c r="AXI191" s="50"/>
      <c r="AXJ191" s="50"/>
      <c r="AXK191" s="50"/>
      <c r="AXL191" s="50"/>
      <c r="AXM191" s="50"/>
      <c r="AXN191" s="50"/>
      <c r="AXO191" s="50"/>
      <c r="AXP191" s="50"/>
      <c r="AXQ191" s="50"/>
      <c r="AXR191" s="50"/>
      <c r="AXS191" s="50"/>
      <c r="AXT191" s="50"/>
      <c r="AXU191" s="50"/>
      <c r="AXV191" s="50"/>
      <c r="AXW191" s="50"/>
      <c r="AXX191" s="50"/>
      <c r="AXY191" s="50"/>
      <c r="AXZ191" s="50"/>
      <c r="AYA191" s="50"/>
      <c r="AYB191" s="50"/>
      <c r="AYC191" s="50"/>
      <c r="AYD191" s="50"/>
      <c r="AYE191" s="50"/>
      <c r="AYF191" s="50"/>
      <c r="AYG191" s="50"/>
      <c r="AYH191" s="50"/>
      <c r="AYI191" s="50"/>
      <c r="AYJ191" s="50"/>
      <c r="AYK191" s="50"/>
      <c r="AYL191" s="50"/>
      <c r="AYM191" s="50"/>
      <c r="AYN191" s="50"/>
      <c r="AYO191" s="50"/>
      <c r="AYP191" s="50"/>
      <c r="AYQ191" s="50"/>
      <c r="AYR191" s="50"/>
      <c r="AYS191" s="50"/>
      <c r="AYT191" s="50"/>
      <c r="AYU191" s="50"/>
      <c r="AYV191" s="50"/>
      <c r="AYW191" s="50"/>
      <c r="AYX191" s="50"/>
      <c r="AYY191" s="50"/>
      <c r="AYZ191" s="50"/>
      <c r="AZA191" s="50"/>
      <c r="AZB191" s="50"/>
      <c r="AZC191" s="50"/>
      <c r="AZD191" s="50"/>
      <c r="AZE191" s="50"/>
      <c r="AZF191" s="50"/>
      <c r="AZG191" s="50"/>
      <c r="AZH191" s="50"/>
      <c r="AZI191" s="50"/>
      <c r="AZJ191" s="50"/>
      <c r="AZK191" s="50"/>
      <c r="AZL191" s="50"/>
      <c r="AZM191" s="50"/>
      <c r="AZN191" s="50"/>
      <c r="AZO191" s="50"/>
      <c r="AZP191" s="50"/>
      <c r="AZQ191" s="50"/>
      <c r="AZR191" s="50"/>
      <c r="AZS191" s="50"/>
      <c r="AZT191" s="50"/>
      <c r="AZU191" s="50"/>
      <c r="AZV191" s="50"/>
      <c r="AZW191" s="50"/>
      <c r="AZX191" s="50"/>
      <c r="AZY191" s="50"/>
      <c r="AZZ191" s="50"/>
      <c r="BAA191" s="50"/>
      <c r="BAB191" s="50"/>
      <c r="BAC191" s="50"/>
      <c r="BAD191" s="50"/>
      <c r="BAE191" s="50"/>
      <c r="BAF191" s="50"/>
      <c r="BAG191" s="50"/>
      <c r="BAH191" s="50"/>
      <c r="BAI191" s="50"/>
      <c r="BAJ191" s="50"/>
      <c r="BAK191" s="50"/>
      <c r="BAL191" s="50"/>
      <c r="BAM191" s="50"/>
      <c r="BAN191" s="50"/>
      <c r="BAO191" s="50"/>
      <c r="BAP191" s="50"/>
      <c r="BAQ191" s="50"/>
      <c r="BAR191" s="50"/>
      <c r="BAS191" s="50"/>
      <c r="BAT191" s="50"/>
      <c r="BAU191" s="50"/>
      <c r="BAV191" s="50"/>
      <c r="BAW191" s="50"/>
      <c r="BAX191" s="50"/>
      <c r="BAY191" s="50"/>
      <c r="BAZ191" s="50"/>
      <c r="BBA191" s="50"/>
      <c r="BBB191" s="50"/>
      <c r="BBC191" s="50"/>
      <c r="BBD191" s="50"/>
      <c r="BBE191" s="50"/>
      <c r="BBF191" s="50"/>
      <c r="BBG191" s="50"/>
      <c r="BBH191" s="50"/>
      <c r="BBI191" s="50"/>
      <c r="BBJ191" s="50"/>
      <c r="BBK191" s="50"/>
      <c r="BBL191" s="50"/>
      <c r="BBM191" s="50"/>
      <c r="BBN191" s="50"/>
      <c r="BBO191" s="50"/>
      <c r="BBP191" s="50"/>
      <c r="BBQ191" s="50"/>
      <c r="BBR191" s="50"/>
      <c r="BBS191" s="50"/>
      <c r="BBT191" s="50"/>
      <c r="BBU191" s="50"/>
      <c r="BBV191" s="50"/>
      <c r="BBW191" s="50"/>
      <c r="BBX191" s="50"/>
      <c r="BBY191" s="50"/>
      <c r="BBZ191" s="50"/>
      <c r="BCA191" s="50"/>
      <c r="BCB191" s="50"/>
      <c r="BCC191" s="50"/>
      <c r="BCD191" s="50"/>
      <c r="BCE191" s="50"/>
      <c r="BCF191" s="50"/>
      <c r="BCG191" s="50"/>
      <c r="BCH191" s="50"/>
      <c r="BCI191" s="50"/>
      <c r="BCJ191" s="50"/>
      <c r="BCK191" s="50"/>
      <c r="BCL191" s="50"/>
      <c r="BCM191" s="50"/>
      <c r="BCN191" s="50"/>
      <c r="BCO191" s="50"/>
      <c r="BCP191" s="50"/>
      <c r="BCQ191" s="50"/>
      <c r="BCR191" s="50"/>
      <c r="BCS191" s="50"/>
      <c r="BCT191" s="50"/>
      <c r="BCU191" s="50"/>
      <c r="BCV191" s="50"/>
      <c r="BCW191" s="50"/>
      <c r="BCX191" s="50"/>
      <c r="BCY191" s="50"/>
      <c r="BCZ191" s="50"/>
      <c r="BDA191" s="50"/>
      <c r="BDB191" s="50"/>
      <c r="BDC191" s="50"/>
      <c r="BDD191" s="50"/>
      <c r="BDE191" s="50"/>
      <c r="BDF191" s="50"/>
      <c r="BDG191" s="50"/>
      <c r="BDH191" s="50"/>
      <c r="BDI191" s="50"/>
      <c r="BDJ191" s="50"/>
      <c r="BDK191" s="50"/>
      <c r="BDL191" s="50"/>
      <c r="BDM191" s="50"/>
      <c r="BDN191" s="50"/>
      <c r="BDO191" s="50"/>
      <c r="BDP191" s="50"/>
      <c r="BDQ191" s="50"/>
      <c r="BDR191" s="50"/>
      <c r="BDS191" s="50"/>
      <c r="BDT191" s="50"/>
      <c r="BDU191" s="50"/>
      <c r="BDV191" s="50"/>
      <c r="BDW191" s="50"/>
      <c r="BDX191" s="50"/>
      <c r="BDY191" s="50"/>
      <c r="BDZ191" s="50"/>
      <c r="BEA191" s="50"/>
      <c r="BEB191" s="50"/>
      <c r="BEC191" s="50"/>
      <c r="BED191" s="50"/>
      <c r="BEE191" s="50"/>
      <c r="BEF191" s="50"/>
      <c r="BEG191" s="50"/>
      <c r="BEH191" s="50"/>
      <c r="BEI191" s="50"/>
      <c r="BEJ191" s="50"/>
      <c r="BEK191" s="50"/>
      <c r="BEL191" s="50"/>
      <c r="BEM191" s="50"/>
      <c r="BEN191" s="50"/>
      <c r="BEO191" s="50"/>
      <c r="BEP191" s="50"/>
      <c r="BEQ191" s="50"/>
      <c r="BER191" s="50"/>
      <c r="BES191" s="50"/>
      <c r="BET191" s="50"/>
      <c r="BEU191" s="50"/>
      <c r="BEV191" s="50"/>
      <c r="BEW191" s="50"/>
      <c r="BEX191" s="50"/>
      <c r="BEY191" s="50"/>
      <c r="BEZ191" s="50"/>
      <c r="BFA191" s="50"/>
      <c r="BFB191" s="50"/>
      <c r="BFC191" s="50"/>
      <c r="BFD191" s="50"/>
      <c r="BFE191" s="50"/>
      <c r="BFF191" s="50"/>
      <c r="BFG191" s="50"/>
      <c r="BFH191" s="50"/>
      <c r="BFI191" s="50"/>
      <c r="BFJ191" s="50"/>
      <c r="BFK191" s="50"/>
      <c r="BFL191" s="50"/>
      <c r="BFM191" s="50"/>
      <c r="BFN191" s="50"/>
      <c r="BFO191" s="50"/>
      <c r="BFP191" s="50"/>
      <c r="BFQ191" s="50"/>
      <c r="BFR191" s="50"/>
      <c r="BFS191" s="50"/>
      <c r="BFT191" s="50"/>
      <c r="BFU191" s="50"/>
      <c r="BFV191" s="50"/>
      <c r="BFW191" s="50"/>
      <c r="BFX191" s="50"/>
      <c r="BFY191" s="50"/>
      <c r="BFZ191" s="50"/>
      <c r="BGA191" s="50"/>
      <c r="BGB191" s="50"/>
      <c r="BGC191" s="50"/>
      <c r="BGD191" s="50"/>
      <c r="BGE191" s="50"/>
      <c r="BGF191" s="50"/>
      <c r="BGG191" s="50"/>
      <c r="BGH191" s="50"/>
      <c r="BGI191" s="50"/>
      <c r="BGJ191" s="50"/>
      <c r="BGK191" s="50"/>
      <c r="BGL191" s="50"/>
      <c r="BGM191" s="50"/>
      <c r="BGN191" s="50"/>
      <c r="BGO191" s="50"/>
      <c r="BGP191" s="50"/>
      <c r="BGQ191" s="50"/>
      <c r="BGR191" s="50"/>
      <c r="BGS191" s="50"/>
      <c r="BGT191" s="50"/>
      <c r="BGU191" s="50"/>
      <c r="BGV191" s="50"/>
      <c r="BGW191" s="50"/>
      <c r="BGX191" s="50"/>
      <c r="BGY191" s="50"/>
      <c r="BGZ191" s="50"/>
      <c r="BHA191" s="50"/>
      <c r="BHB191" s="50"/>
      <c r="BHC191" s="50"/>
      <c r="BHD191" s="50"/>
      <c r="BHE191" s="50"/>
      <c r="BHF191" s="50"/>
      <c r="BHG191" s="50"/>
      <c r="BHH191" s="50"/>
      <c r="BHI191" s="50"/>
      <c r="BHJ191" s="50"/>
      <c r="BHK191" s="50"/>
      <c r="BHL191" s="50"/>
      <c r="BHM191" s="50"/>
      <c r="BHN191" s="50"/>
      <c r="BHO191" s="50"/>
      <c r="BHP191" s="50"/>
      <c r="BHQ191" s="50"/>
      <c r="BHR191" s="50"/>
      <c r="BHS191" s="50"/>
      <c r="BHT191" s="50"/>
      <c r="BHU191" s="50"/>
      <c r="BHV191" s="50"/>
      <c r="BHW191" s="50"/>
      <c r="BHX191" s="50"/>
      <c r="BHY191" s="50"/>
      <c r="BHZ191" s="50"/>
      <c r="BIA191" s="50"/>
      <c r="BIB191" s="50"/>
      <c r="BIC191" s="50"/>
      <c r="BID191" s="50"/>
      <c r="BIE191" s="50"/>
      <c r="BIF191" s="50"/>
      <c r="BIG191" s="50"/>
      <c r="BIH191" s="50"/>
      <c r="BII191" s="50"/>
      <c r="BIJ191" s="50"/>
      <c r="BIK191" s="50"/>
      <c r="BIL191" s="50"/>
      <c r="BIM191" s="50"/>
      <c r="BIN191" s="50"/>
      <c r="BIO191" s="50"/>
      <c r="BIP191" s="50"/>
      <c r="BIQ191" s="50"/>
      <c r="BIR191" s="50"/>
      <c r="BIS191" s="50"/>
      <c r="BIT191" s="50"/>
      <c r="BIU191" s="50"/>
      <c r="BIV191" s="50"/>
      <c r="BIW191" s="50"/>
      <c r="BIX191" s="50"/>
      <c r="BIY191" s="50"/>
      <c r="BIZ191" s="50"/>
      <c r="BJA191" s="50"/>
      <c r="BJB191" s="50"/>
      <c r="BJC191" s="50"/>
      <c r="BJD191" s="50"/>
      <c r="BJE191" s="50"/>
      <c r="BJF191" s="50"/>
      <c r="BJG191" s="50"/>
      <c r="BJH191" s="50"/>
      <c r="BJI191" s="50"/>
      <c r="BJJ191" s="50"/>
      <c r="BJK191" s="50"/>
      <c r="BJL191" s="50"/>
      <c r="BJM191" s="50"/>
      <c r="BJN191" s="50"/>
      <c r="BJO191" s="50"/>
      <c r="BJP191" s="50"/>
      <c r="BJQ191" s="50"/>
      <c r="BJR191" s="50"/>
      <c r="BJS191" s="50"/>
      <c r="BJT191" s="50"/>
      <c r="BJU191" s="50"/>
      <c r="BJV191" s="50"/>
      <c r="BJW191" s="50"/>
      <c r="BJX191" s="50"/>
      <c r="BJY191" s="50"/>
      <c r="BJZ191" s="50"/>
      <c r="BKA191" s="50"/>
      <c r="BKB191" s="50"/>
      <c r="BKC191" s="50"/>
      <c r="BKD191" s="50"/>
      <c r="BKE191" s="50"/>
      <c r="BKF191" s="50"/>
      <c r="BKG191" s="50"/>
      <c r="BKH191" s="50"/>
      <c r="BKI191" s="50"/>
      <c r="BKJ191" s="50"/>
      <c r="BKK191" s="50"/>
      <c r="BKL191" s="50"/>
      <c r="BKM191" s="50"/>
      <c r="BKN191" s="50"/>
      <c r="BKO191" s="50"/>
      <c r="BKP191" s="50"/>
      <c r="BKQ191" s="50"/>
      <c r="BKR191" s="50"/>
      <c r="BKS191" s="50"/>
      <c r="BKT191" s="50"/>
      <c r="BKU191" s="50"/>
      <c r="BKV191" s="50"/>
      <c r="BKW191" s="50"/>
      <c r="BKX191" s="50"/>
      <c r="BKY191" s="50"/>
      <c r="BKZ191" s="50"/>
      <c r="BLA191" s="50"/>
      <c r="BLB191" s="50"/>
      <c r="BLC191" s="50"/>
      <c r="BLD191" s="50"/>
      <c r="BLE191" s="50"/>
      <c r="BLF191" s="50"/>
      <c r="BLG191" s="50"/>
      <c r="BLH191" s="50"/>
      <c r="BLI191" s="50"/>
      <c r="BLJ191" s="50"/>
      <c r="BLK191" s="50"/>
      <c r="BLL191" s="50"/>
      <c r="BLM191" s="50"/>
      <c r="BLN191" s="50"/>
      <c r="BLO191" s="50"/>
      <c r="BLP191" s="50"/>
      <c r="BLQ191" s="50"/>
      <c r="BLR191" s="50"/>
      <c r="BLS191" s="50"/>
      <c r="BLT191" s="50"/>
      <c r="BLU191" s="50"/>
      <c r="BLV191" s="50"/>
      <c r="BLW191" s="50"/>
      <c r="BLX191" s="50"/>
      <c r="BLY191" s="50"/>
      <c r="BLZ191" s="50"/>
      <c r="BMA191" s="50"/>
      <c r="BMB191" s="50"/>
      <c r="BMC191" s="50"/>
      <c r="BMD191" s="50"/>
      <c r="BME191" s="50"/>
      <c r="BMF191" s="50"/>
      <c r="BMG191" s="50"/>
      <c r="BMH191" s="50"/>
      <c r="BMI191" s="50"/>
      <c r="BMJ191" s="50"/>
      <c r="BMK191" s="50"/>
      <c r="BML191" s="50"/>
      <c r="BMM191" s="50"/>
      <c r="BMN191" s="50"/>
      <c r="BMO191" s="50"/>
      <c r="BMP191" s="50"/>
      <c r="BMQ191" s="50"/>
      <c r="BMR191" s="50"/>
      <c r="BMS191" s="50"/>
      <c r="BMT191" s="50"/>
      <c r="BMU191" s="50"/>
      <c r="BMV191" s="50"/>
      <c r="BMW191" s="50"/>
      <c r="BMX191" s="50"/>
      <c r="BMY191" s="50"/>
      <c r="BMZ191" s="50"/>
      <c r="BNA191" s="50"/>
      <c r="BNB191" s="50"/>
      <c r="BNC191" s="50"/>
      <c r="BND191" s="50"/>
      <c r="BNE191" s="50"/>
      <c r="BNF191" s="50"/>
      <c r="BNG191" s="50"/>
      <c r="BNH191" s="50"/>
      <c r="BNI191" s="50"/>
      <c r="BNJ191" s="50"/>
      <c r="BNK191" s="50"/>
      <c r="BNL191" s="50"/>
      <c r="BNM191" s="50"/>
      <c r="BNN191" s="50"/>
      <c r="BNO191" s="50"/>
      <c r="BNP191" s="50"/>
      <c r="BNQ191" s="50"/>
      <c r="BNR191" s="50"/>
      <c r="BNS191" s="50"/>
      <c r="BNT191" s="50"/>
      <c r="BNU191" s="50"/>
      <c r="BNV191" s="50"/>
      <c r="BNW191" s="50"/>
      <c r="BNX191" s="50"/>
      <c r="BNY191" s="50"/>
      <c r="BNZ191" s="50"/>
      <c r="BOA191" s="50"/>
      <c r="BOB191" s="50"/>
      <c r="BOC191" s="50"/>
      <c r="BOD191" s="50"/>
      <c r="BOE191" s="50"/>
      <c r="BOF191" s="50"/>
      <c r="BOG191" s="50"/>
      <c r="BOH191" s="50"/>
      <c r="BOI191" s="50"/>
      <c r="BOJ191" s="50"/>
      <c r="BOK191" s="50"/>
      <c r="BOL191" s="50"/>
      <c r="BOM191" s="50"/>
      <c r="BON191" s="50"/>
      <c r="BOO191" s="50"/>
      <c r="BOP191" s="50"/>
      <c r="BOQ191" s="50"/>
      <c r="BOR191" s="50"/>
      <c r="BOS191" s="50"/>
      <c r="BOT191" s="50"/>
      <c r="BOU191" s="50"/>
      <c r="BOV191" s="50"/>
      <c r="BOW191" s="50"/>
      <c r="BOX191" s="50"/>
      <c r="BOY191" s="50"/>
      <c r="BOZ191" s="50"/>
      <c r="BPA191" s="50"/>
      <c r="BPB191" s="50"/>
      <c r="BPC191" s="50"/>
      <c r="BPD191" s="50"/>
      <c r="BPE191" s="50"/>
      <c r="BPF191" s="50"/>
      <c r="BPG191" s="50"/>
      <c r="BPH191" s="50"/>
      <c r="BPI191" s="50"/>
      <c r="BPJ191" s="50"/>
      <c r="BPK191" s="50"/>
      <c r="BPL191" s="50"/>
      <c r="BPM191" s="50"/>
      <c r="BPN191" s="50"/>
      <c r="BPO191" s="50"/>
      <c r="BPP191" s="50"/>
      <c r="BPQ191" s="50"/>
      <c r="BPR191" s="50"/>
      <c r="BPS191" s="50"/>
      <c r="BPT191" s="50"/>
      <c r="BPU191" s="50"/>
      <c r="BPV191" s="50"/>
      <c r="BPW191" s="50"/>
      <c r="BPX191" s="50"/>
      <c r="BPY191" s="50"/>
      <c r="BPZ191" s="50"/>
      <c r="BQA191" s="50"/>
      <c r="BQB191" s="50"/>
      <c r="BQC191" s="50"/>
      <c r="BQD191" s="50"/>
      <c r="BQE191" s="50"/>
      <c r="BQF191" s="50"/>
      <c r="BQG191" s="50"/>
      <c r="BQH191" s="50"/>
      <c r="BQI191" s="50"/>
      <c r="BQJ191" s="50"/>
      <c r="BQK191" s="50"/>
      <c r="BQL191" s="50"/>
      <c r="BQM191" s="50"/>
      <c r="BQN191" s="50"/>
      <c r="BQO191" s="50"/>
      <c r="BQP191" s="50"/>
      <c r="BQQ191" s="50"/>
      <c r="BQR191" s="50"/>
      <c r="BQS191" s="50"/>
      <c r="BQT191" s="50"/>
      <c r="BQU191" s="50"/>
      <c r="BQV191" s="50"/>
      <c r="BQW191" s="50"/>
      <c r="BQX191" s="50"/>
      <c r="BQY191" s="50"/>
      <c r="BQZ191" s="50"/>
      <c r="BRA191" s="50"/>
      <c r="BRB191" s="50"/>
      <c r="BRC191" s="50"/>
      <c r="BRD191" s="50"/>
      <c r="BRE191" s="50"/>
      <c r="BRF191" s="50"/>
      <c r="BRG191" s="50"/>
      <c r="BRH191" s="50"/>
      <c r="BRI191" s="50"/>
      <c r="BRJ191" s="50"/>
      <c r="BRK191" s="50"/>
      <c r="BRL191" s="50"/>
      <c r="BRM191" s="50"/>
      <c r="BRN191" s="50"/>
      <c r="BRO191" s="50"/>
      <c r="BRP191" s="50"/>
      <c r="BRQ191" s="50"/>
      <c r="BRR191" s="50"/>
      <c r="BRS191" s="50"/>
      <c r="BRT191" s="50"/>
      <c r="BRU191" s="50"/>
      <c r="BRV191" s="50"/>
      <c r="BRW191" s="50"/>
      <c r="BRX191" s="50"/>
      <c r="BRY191" s="50"/>
      <c r="BRZ191" s="50"/>
      <c r="BSA191" s="50"/>
      <c r="BSB191" s="50"/>
      <c r="BSC191" s="50"/>
      <c r="BSD191" s="50"/>
      <c r="BSE191" s="50"/>
      <c r="BSF191" s="50"/>
      <c r="BSG191" s="50"/>
      <c r="BSH191" s="50"/>
      <c r="BSI191" s="50"/>
      <c r="BSJ191" s="50"/>
      <c r="BSK191" s="50"/>
      <c r="BSL191" s="50"/>
      <c r="BSM191" s="50"/>
      <c r="BSN191" s="50"/>
      <c r="BSO191" s="50"/>
      <c r="BSP191" s="50"/>
      <c r="BSQ191" s="50"/>
      <c r="BSR191" s="50"/>
      <c r="BSS191" s="50"/>
      <c r="BST191" s="50"/>
      <c r="BSU191" s="50"/>
      <c r="BSV191" s="50"/>
      <c r="BSW191" s="50"/>
      <c r="BSX191" s="50"/>
      <c r="BSY191" s="50"/>
      <c r="BSZ191" s="50"/>
      <c r="BTA191" s="50"/>
      <c r="BTB191" s="50"/>
      <c r="BTC191" s="50"/>
      <c r="BTD191" s="50"/>
      <c r="BTE191" s="50"/>
      <c r="BTF191" s="50"/>
      <c r="BTG191" s="50"/>
      <c r="BTH191" s="50"/>
      <c r="BTI191" s="50"/>
      <c r="BTJ191" s="50"/>
      <c r="BTK191" s="50"/>
      <c r="BTL191" s="50"/>
      <c r="BTM191" s="50"/>
      <c r="BTN191" s="50"/>
      <c r="BTO191" s="50"/>
      <c r="BTP191" s="50"/>
      <c r="BTQ191" s="50"/>
      <c r="BTR191" s="50"/>
      <c r="BTS191" s="50"/>
      <c r="BTT191" s="50"/>
      <c r="BTU191" s="50"/>
      <c r="BTV191" s="50"/>
      <c r="BTW191" s="50"/>
      <c r="BTX191" s="50"/>
      <c r="BTY191" s="50"/>
      <c r="BTZ191" s="50"/>
      <c r="BUA191" s="50"/>
      <c r="BUB191" s="50"/>
      <c r="BUC191" s="50"/>
      <c r="BUD191" s="50"/>
      <c r="BUE191" s="50"/>
      <c r="BUF191" s="50"/>
      <c r="BUG191" s="50"/>
      <c r="BUH191" s="50"/>
      <c r="BUI191" s="50"/>
      <c r="BUJ191" s="50"/>
      <c r="BUK191" s="50"/>
      <c r="BUL191" s="50"/>
      <c r="BUM191" s="50"/>
      <c r="BUN191" s="50"/>
      <c r="BUO191" s="50"/>
      <c r="BUP191" s="50"/>
      <c r="BUQ191" s="50"/>
      <c r="BUR191" s="50"/>
      <c r="BUS191" s="50"/>
      <c r="BUT191" s="50"/>
      <c r="BUU191" s="50"/>
      <c r="BUV191" s="50"/>
      <c r="BUW191" s="50"/>
      <c r="BUX191" s="50"/>
      <c r="BUY191" s="50"/>
      <c r="BUZ191" s="50"/>
      <c r="BVA191" s="50"/>
      <c r="BVB191" s="50"/>
      <c r="BVC191" s="50"/>
      <c r="BVD191" s="50"/>
      <c r="BVE191" s="50"/>
      <c r="BVF191" s="50"/>
      <c r="BVG191" s="50"/>
      <c r="BVH191" s="50"/>
      <c r="BVI191" s="50"/>
      <c r="BVJ191" s="50"/>
      <c r="BVK191" s="50"/>
      <c r="BVL191" s="50"/>
      <c r="BVM191" s="50"/>
      <c r="BVN191" s="50"/>
      <c r="BVO191" s="50"/>
      <c r="BVP191" s="50"/>
      <c r="BVQ191" s="50"/>
      <c r="BVR191" s="50"/>
      <c r="BVS191" s="50"/>
      <c r="BVT191" s="50"/>
      <c r="BVU191" s="50"/>
      <c r="BVV191" s="50"/>
      <c r="BVW191" s="50"/>
      <c r="BVX191" s="50"/>
      <c r="BVY191" s="50"/>
      <c r="BVZ191" s="50"/>
      <c r="BWA191" s="50"/>
      <c r="BWB191" s="50"/>
      <c r="BWC191" s="50"/>
      <c r="BWD191" s="50"/>
      <c r="BWE191" s="50"/>
      <c r="BWF191" s="50"/>
      <c r="BWG191" s="50"/>
      <c r="BWH191" s="50"/>
      <c r="BWI191" s="50"/>
      <c r="BWJ191" s="50"/>
      <c r="BWK191" s="50"/>
      <c r="BWL191" s="50"/>
      <c r="BWM191" s="50"/>
      <c r="BWN191" s="50"/>
      <c r="BWO191" s="50"/>
      <c r="BWP191" s="50"/>
      <c r="BWQ191" s="50"/>
      <c r="BWR191" s="50"/>
      <c r="BWS191" s="50"/>
      <c r="BWT191" s="50"/>
      <c r="BWU191" s="50"/>
      <c r="BWV191" s="50"/>
      <c r="BWW191" s="50"/>
      <c r="BWX191" s="50"/>
      <c r="BWY191" s="50"/>
      <c r="BWZ191" s="50"/>
      <c r="BXA191" s="50"/>
      <c r="BXB191" s="50"/>
      <c r="BXC191" s="50"/>
      <c r="BXD191" s="50"/>
      <c r="BXE191" s="50"/>
      <c r="BXF191" s="50"/>
      <c r="BXG191" s="50"/>
      <c r="BXH191" s="50"/>
      <c r="BXI191" s="50"/>
      <c r="BXJ191" s="50"/>
      <c r="BXK191" s="50"/>
      <c r="BXL191" s="50"/>
      <c r="BXM191" s="50"/>
      <c r="BXN191" s="50"/>
      <c r="BXO191" s="50"/>
      <c r="BXP191" s="50"/>
      <c r="BXQ191" s="50"/>
      <c r="BXR191" s="50"/>
      <c r="BXS191" s="50"/>
      <c r="BXT191" s="50"/>
      <c r="BXU191" s="50"/>
      <c r="BXV191" s="50"/>
      <c r="BXW191" s="50"/>
      <c r="BXX191" s="50"/>
      <c r="BXY191" s="50"/>
      <c r="BXZ191" s="50"/>
      <c r="BYA191" s="50"/>
      <c r="BYB191" s="50"/>
      <c r="BYC191" s="50"/>
      <c r="BYD191" s="50"/>
      <c r="BYE191" s="50"/>
      <c r="BYF191" s="50"/>
      <c r="BYG191" s="50"/>
      <c r="BYH191" s="50"/>
      <c r="BYI191" s="50"/>
      <c r="BYJ191" s="50"/>
      <c r="BYK191" s="50"/>
      <c r="BYL191" s="50"/>
      <c r="BYM191" s="50"/>
      <c r="BYN191" s="50"/>
      <c r="BYO191" s="50"/>
      <c r="BYP191" s="50"/>
      <c r="BYQ191" s="50"/>
      <c r="BYR191" s="50"/>
      <c r="BYS191" s="50"/>
      <c r="BYT191" s="50"/>
      <c r="BYU191" s="50"/>
      <c r="BYV191" s="50"/>
      <c r="BYW191" s="50"/>
      <c r="BYX191" s="50"/>
      <c r="BYY191" s="50"/>
      <c r="BYZ191" s="50"/>
      <c r="BZA191" s="50"/>
      <c r="BZB191" s="50"/>
      <c r="BZC191" s="50"/>
      <c r="BZD191" s="50"/>
      <c r="BZE191" s="50"/>
      <c r="BZF191" s="50"/>
      <c r="BZG191" s="50"/>
      <c r="BZH191" s="50"/>
      <c r="BZI191" s="50"/>
      <c r="BZJ191" s="50"/>
      <c r="BZK191" s="50"/>
      <c r="BZL191" s="50"/>
      <c r="BZM191" s="50"/>
      <c r="BZN191" s="50"/>
      <c r="BZO191" s="50"/>
      <c r="BZP191" s="50"/>
      <c r="BZQ191" s="50"/>
      <c r="BZR191" s="50"/>
      <c r="BZS191" s="50"/>
      <c r="BZT191" s="50"/>
      <c r="BZU191" s="50"/>
      <c r="BZV191" s="50"/>
      <c r="BZW191" s="50"/>
      <c r="BZX191" s="50"/>
      <c r="BZY191" s="50"/>
      <c r="BZZ191" s="50"/>
      <c r="CAA191" s="50"/>
      <c r="CAB191" s="50"/>
      <c r="CAC191" s="50"/>
      <c r="CAD191" s="50"/>
      <c r="CAE191" s="50"/>
      <c r="CAF191" s="50"/>
      <c r="CAG191" s="50"/>
      <c r="CAH191" s="50"/>
      <c r="CAI191" s="50"/>
      <c r="CAJ191" s="50"/>
      <c r="CAK191" s="50"/>
      <c r="CAL191" s="50"/>
      <c r="CAM191" s="50"/>
      <c r="CAN191" s="50"/>
      <c r="CAO191" s="50"/>
      <c r="CAP191" s="50"/>
      <c r="CAQ191" s="50"/>
      <c r="CAR191" s="50"/>
      <c r="CAS191" s="50"/>
      <c r="CAT191" s="50"/>
      <c r="CAU191" s="50"/>
      <c r="CAV191" s="50"/>
      <c r="CAW191" s="50"/>
      <c r="CAX191" s="50"/>
      <c r="CAY191" s="50"/>
      <c r="CAZ191" s="50"/>
      <c r="CBA191" s="50"/>
      <c r="CBB191" s="50"/>
      <c r="CBC191" s="50"/>
      <c r="CBD191" s="50"/>
      <c r="CBE191" s="50"/>
      <c r="CBF191" s="50"/>
      <c r="CBG191" s="50"/>
      <c r="CBH191" s="50"/>
      <c r="CBI191" s="50"/>
      <c r="CBJ191" s="50"/>
      <c r="CBK191" s="50"/>
      <c r="CBL191" s="50"/>
      <c r="CBM191" s="50"/>
      <c r="CBN191" s="50"/>
      <c r="CBO191" s="50"/>
      <c r="CBP191" s="50"/>
      <c r="CBQ191" s="50"/>
      <c r="CBR191" s="50"/>
      <c r="CBS191" s="50"/>
      <c r="CBT191" s="50"/>
      <c r="CBU191" s="50"/>
      <c r="CBV191" s="50"/>
      <c r="CBW191" s="50"/>
      <c r="CBX191" s="50"/>
      <c r="CBY191" s="50"/>
      <c r="CBZ191" s="50"/>
      <c r="CCA191" s="50"/>
      <c r="CCB191" s="50"/>
      <c r="CCC191" s="50"/>
      <c r="CCD191" s="50"/>
      <c r="CCE191" s="50"/>
      <c r="CCF191" s="50"/>
      <c r="CCG191" s="50"/>
      <c r="CCH191" s="50"/>
      <c r="CCI191" s="50"/>
      <c r="CCJ191" s="50"/>
      <c r="CCK191" s="50"/>
      <c r="CCL191" s="50"/>
      <c r="CCM191" s="50"/>
      <c r="CCN191" s="50"/>
      <c r="CCO191" s="50"/>
      <c r="CCP191" s="50"/>
      <c r="CCQ191" s="50"/>
      <c r="CCR191" s="50"/>
      <c r="CCS191" s="50"/>
      <c r="CCT191" s="50"/>
      <c r="CCU191" s="50"/>
      <c r="CCV191" s="50"/>
      <c r="CCW191" s="50"/>
      <c r="CCX191" s="50"/>
      <c r="CCY191" s="50"/>
      <c r="CCZ191" s="50"/>
      <c r="CDA191" s="50"/>
      <c r="CDB191" s="50"/>
      <c r="CDC191" s="50"/>
      <c r="CDD191" s="50"/>
      <c r="CDE191" s="50"/>
      <c r="CDF191" s="50"/>
      <c r="CDG191" s="50"/>
      <c r="CDH191" s="50"/>
      <c r="CDI191" s="50"/>
      <c r="CDJ191" s="50"/>
      <c r="CDK191" s="50"/>
      <c r="CDL191" s="50"/>
      <c r="CDM191" s="50"/>
      <c r="CDN191" s="50"/>
      <c r="CDO191" s="50"/>
      <c r="CDP191" s="50"/>
      <c r="CDQ191" s="50"/>
      <c r="CDR191" s="50"/>
      <c r="CDS191" s="50"/>
      <c r="CDT191" s="50"/>
      <c r="CDU191" s="50"/>
      <c r="CDV191" s="50"/>
      <c r="CDW191" s="50"/>
      <c r="CDX191" s="50"/>
      <c r="CDY191" s="50"/>
      <c r="CDZ191" s="50"/>
      <c r="CEA191" s="50"/>
      <c r="CEB191" s="50"/>
      <c r="CEC191" s="50"/>
      <c r="CED191" s="50"/>
      <c r="CEE191" s="50"/>
      <c r="CEF191" s="50"/>
      <c r="CEG191" s="50"/>
      <c r="CEH191" s="50"/>
      <c r="CEI191" s="50"/>
      <c r="CEJ191" s="50"/>
      <c r="CEK191" s="50"/>
      <c r="CEL191" s="50"/>
      <c r="CEM191" s="50"/>
      <c r="CEN191" s="50"/>
      <c r="CEO191" s="50"/>
      <c r="CEP191" s="50"/>
      <c r="CEQ191" s="50"/>
      <c r="CER191" s="50"/>
      <c r="CES191" s="50"/>
      <c r="CET191" s="50"/>
      <c r="CEU191" s="50"/>
      <c r="CEV191" s="50"/>
      <c r="CEW191" s="50"/>
      <c r="CEX191" s="50"/>
      <c r="CEY191" s="50"/>
      <c r="CEZ191" s="50"/>
      <c r="CFA191" s="50"/>
      <c r="CFB191" s="50"/>
      <c r="CFC191" s="50"/>
      <c r="CFD191" s="50"/>
      <c r="CFE191" s="50"/>
      <c r="CFF191" s="50"/>
      <c r="CFG191" s="50"/>
      <c r="CFH191" s="50"/>
      <c r="CFI191" s="50"/>
      <c r="CFJ191" s="50"/>
      <c r="CFK191" s="50"/>
      <c r="CFL191" s="50"/>
      <c r="CFM191" s="50"/>
      <c r="CFN191" s="50"/>
      <c r="CFO191" s="50"/>
      <c r="CFP191" s="50"/>
      <c r="CFQ191" s="50"/>
      <c r="CFR191" s="50"/>
      <c r="CFS191" s="50"/>
      <c r="CFT191" s="50"/>
      <c r="CFU191" s="50"/>
      <c r="CFV191" s="50"/>
      <c r="CFW191" s="50"/>
      <c r="CFX191" s="50"/>
      <c r="CFY191" s="50"/>
      <c r="CFZ191" s="50"/>
      <c r="CGA191" s="50"/>
      <c r="CGB191" s="50"/>
      <c r="CGC191" s="50"/>
      <c r="CGD191" s="50"/>
      <c r="CGE191" s="50"/>
      <c r="CGF191" s="50"/>
      <c r="CGG191" s="50"/>
      <c r="CGH191" s="50"/>
      <c r="CGI191" s="50"/>
      <c r="CGJ191" s="50"/>
      <c r="CGK191" s="50"/>
      <c r="CGL191" s="50"/>
      <c r="CGM191" s="50"/>
      <c r="CGN191" s="50"/>
      <c r="CGO191" s="50"/>
      <c r="CGP191" s="50"/>
      <c r="CGQ191" s="50"/>
      <c r="CGR191" s="50"/>
      <c r="CGS191" s="50"/>
      <c r="CGT191" s="50"/>
      <c r="CGU191" s="50"/>
      <c r="CGV191" s="50"/>
      <c r="CGW191" s="50"/>
      <c r="CGX191" s="50"/>
      <c r="CGY191" s="50"/>
      <c r="CGZ191" s="50"/>
      <c r="CHA191" s="50"/>
      <c r="CHB191" s="50"/>
      <c r="CHC191" s="50"/>
      <c r="CHD191" s="50"/>
      <c r="CHE191" s="50"/>
      <c r="CHF191" s="50"/>
      <c r="CHG191" s="50"/>
      <c r="CHH191" s="50"/>
      <c r="CHI191" s="50"/>
      <c r="CHJ191" s="50"/>
      <c r="CHK191" s="50"/>
      <c r="CHL191" s="50"/>
      <c r="CHM191" s="50"/>
      <c r="CHN191" s="50"/>
      <c r="CHO191" s="50"/>
      <c r="CHP191" s="50"/>
      <c r="CHQ191" s="50"/>
      <c r="CHR191" s="50"/>
      <c r="CHS191" s="50"/>
      <c r="CHT191" s="50"/>
      <c r="CHU191" s="50"/>
      <c r="CHV191" s="50"/>
      <c r="CHW191" s="50"/>
      <c r="CHX191" s="50"/>
      <c r="CHY191" s="50"/>
      <c r="CHZ191" s="50"/>
      <c r="CIA191" s="50"/>
      <c r="CIB191" s="50"/>
      <c r="CIC191" s="50"/>
      <c r="CID191" s="50"/>
      <c r="CIE191" s="50"/>
      <c r="CIF191" s="50"/>
      <c r="CIG191" s="50"/>
      <c r="CIH191" s="50"/>
      <c r="CII191" s="50"/>
      <c r="CIJ191" s="50"/>
      <c r="CIK191" s="50"/>
      <c r="CIL191" s="50"/>
      <c r="CIM191" s="50"/>
      <c r="CIN191" s="50"/>
      <c r="CIO191" s="50"/>
      <c r="CIP191" s="50"/>
      <c r="CIQ191" s="50"/>
      <c r="CIR191" s="50"/>
      <c r="CIS191" s="50"/>
      <c r="CIT191" s="50"/>
      <c r="CIU191" s="50"/>
      <c r="CIV191" s="50"/>
      <c r="CIW191" s="50"/>
      <c r="CIX191" s="50"/>
      <c r="CIY191" s="50"/>
      <c r="CIZ191" s="50"/>
      <c r="CJA191" s="50"/>
      <c r="CJB191" s="50"/>
      <c r="CJC191" s="50"/>
      <c r="CJD191" s="50"/>
      <c r="CJE191" s="50"/>
      <c r="CJF191" s="50"/>
      <c r="CJG191" s="50"/>
      <c r="CJH191" s="50"/>
      <c r="CJI191" s="50"/>
      <c r="CJJ191" s="50"/>
      <c r="CJK191" s="50"/>
      <c r="CJL191" s="50"/>
      <c r="CJM191" s="50"/>
      <c r="CJN191" s="50"/>
      <c r="CJO191" s="50"/>
      <c r="CJP191" s="50"/>
      <c r="CJQ191" s="50"/>
      <c r="CJR191" s="50"/>
      <c r="CJS191" s="50"/>
      <c r="CJT191" s="50"/>
      <c r="CJU191" s="50"/>
      <c r="CJV191" s="50"/>
      <c r="CJW191" s="50"/>
      <c r="CJX191" s="50"/>
      <c r="CJY191" s="50"/>
      <c r="CJZ191" s="50"/>
      <c r="CKA191" s="50"/>
      <c r="CKB191" s="50"/>
      <c r="CKC191" s="50"/>
      <c r="CKD191" s="50"/>
      <c r="CKE191" s="50"/>
      <c r="CKF191" s="50"/>
      <c r="CKG191" s="50"/>
      <c r="CKH191" s="50"/>
      <c r="CKI191" s="50"/>
      <c r="CKJ191" s="50"/>
      <c r="CKK191" s="50"/>
      <c r="CKL191" s="50"/>
      <c r="CKM191" s="50"/>
      <c r="CKN191" s="50"/>
      <c r="CKO191" s="50"/>
      <c r="CKP191" s="50"/>
      <c r="CKQ191" s="50"/>
      <c r="CKR191" s="50"/>
      <c r="CKS191" s="50"/>
      <c r="CKT191" s="50"/>
      <c r="CKU191" s="50"/>
      <c r="CKV191" s="50"/>
      <c r="CKW191" s="50"/>
      <c r="CKX191" s="50"/>
      <c r="CKY191" s="50"/>
      <c r="CKZ191" s="50"/>
      <c r="CLA191" s="50"/>
      <c r="CLB191" s="50"/>
      <c r="CLC191" s="50"/>
      <c r="CLD191" s="50"/>
      <c r="CLE191" s="50"/>
      <c r="CLF191" s="50"/>
      <c r="CLG191" s="50"/>
      <c r="CLH191" s="50"/>
      <c r="CLI191" s="50"/>
      <c r="CLJ191" s="50"/>
      <c r="CLK191" s="50"/>
      <c r="CLL191" s="50"/>
      <c r="CLM191" s="50"/>
      <c r="CLN191" s="50"/>
      <c r="CLO191" s="50"/>
      <c r="CLP191" s="50"/>
      <c r="CLQ191" s="50"/>
      <c r="CLR191" s="50"/>
      <c r="CLS191" s="50"/>
      <c r="CLT191" s="50"/>
      <c r="CLU191" s="50"/>
      <c r="CLV191" s="50"/>
      <c r="CLW191" s="50"/>
      <c r="CLX191" s="50"/>
      <c r="CLY191" s="50"/>
      <c r="CLZ191" s="50"/>
      <c r="CMA191" s="50"/>
      <c r="CMB191" s="50"/>
      <c r="CMC191" s="50"/>
      <c r="CMD191" s="50"/>
      <c r="CME191" s="50"/>
      <c r="CMF191" s="50"/>
      <c r="CMG191" s="50"/>
      <c r="CMH191" s="50"/>
      <c r="CMI191" s="50"/>
      <c r="CMJ191" s="50"/>
      <c r="CMK191" s="50"/>
      <c r="CML191" s="50"/>
      <c r="CMM191" s="50"/>
      <c r="CMN191" s="50"/>
      <c r="CMO191" s="50"/>
      <c r="CMP191" s="50"/>
      <c r="CMQ191" s="50"/>
      <c r="CMR191" s="50"/>
      <c r="CMS191" s="50"/>
      <c r="CMT191" s="50"/>
      <c r="CMU191" s="50"/>
      <c r="CMV191" s="50"/>
      <c r="CMW191" s="50"/>
      <c r="CMX191" s="50"/>
      <c r="CMY191" s="50"/>
      <c r="CMZ191" s="50"/>
      <c r="CNA191" s="50"/>
      <c r="CNB191" s="50"/>
      <c r="CNC191" s="50"/>
      <c r="CND191" s="50"/>
      <c r="CNE191" s="50"/>
      <c r="CNF191" s="50"/>
      <c r="CNG191" s="50"/>
      <c r="CNH191" s="50"/>
      <c r="CNI191" s="50"/>
      <c r="CNJ191" s="50"/>
      <c r="CNK191" s="50"/>
      <c r="CNL191" s="50"/>
      <c r="CNM191" s="50"/>
      <c r="CNN191" s="50"/>
      <c r="CNO191" s="50"/>
      <c r="CNP191" s="50"/>
      <c r="CNQ191" s="50"/>
      <c r="CNR191" s="50"/>
      <c r="CNS191" s="50"/>
      <c r="CNT191" s="50"/>
      <c r="CNU191" s="50"/>
      <c r="CNV191" s="50"/>
      <c r="CNW191" s="50"/>
      <c r="CNX191" s="50"/>
      <c r="CNY191" s="50"/>
      <c r="CNZ191" s="50"/>
      <c r="COA191" s="50"/>
      <c r="COB191" s="50"/>
      <c r="COC191" s="50"/>
      <c r="COD191" s="50"/>
      <c r="COE191" s="50"/>
      <c r="COF191" s="50"/>
      <c r="COG191" s="50"/>
      <c r="COH191" s="50"/>
      <c r="COI191" s="50"/>
      <c r="COJ191" s="50"/>
      <c r="COK191" s="50"/>
      <c r="COL191" s="50"/>
      <c r="COM191" s="50"/>
      <c r="CON191" s="50"/>
      <c r="COO191" s="50"/>
      <c r="COP191" s="50"/>
      <c r="COQ191" s="50"/>
      <c r="COR191" s="50"/>
      <c r="COS191" s="50"/>
      <c r="COT191" s="50"/>
      <c r="COU191" s="50"/>
      <c r="COV191" s="50"/>
      <c r="COW191" s="50"/>
      <c r="COX191" s="50"/>
      <c r="COY191" s="50"/>
      <c r="COZ191" s="50"/>
      <c r="CPA191" s="50"/>
      <c r="CPB191" s="50"/>
      <c r="CPC191" s="50"/>
      <c r="CPD191" s="50"/>
      <c r="CPE191" s="50"/>
      <c r="CPF191" s="50"/>
      <c r="CPG191" s="50"/>
      <c r="CPH191" s="50"/>
      <c r="CPI191" s="50"/>
      <c r="CPJ191" s="50"/>
      <c r="CPK191" s="50"/>
      <c r="CPL191" s="50"/>
      <c r="CPM191" s="50"/>
      <c r="CPN191" s="50"/>
      <c r="CPO191" s="50"/>
      <c r="CPP191" s="50"/>
      <c r="CPQ191" s="50"/>
      <c r="CPR191" s="50"/>
      <c r="CPS191" s="50"/>
      <c r="CPT191" s="50"/>
      <c r="CPU191" s="50"/>
      <c r="CPV191" s="50"/>
      <c r="CPW191" s="50"/>
      <c r="CPX191" s="50"/>
      <c r="CPY191" s="50"/>
      <c r="CPZ191" s="50"/>
      <c r="CQA191" s="50"/>
      <c r="CQB191" s="50"/>
      <c r="CQC191" s="50"/>
      <c r="CQD191" s="50"/>
      <c r="CQE191" s="50"/>
      <c r="CQF191" s="50"/>
      <c r="CQG191" s="50"/>
      <c r="CQH191" s="50"/>
      <c r="CQI191" s="50"/>
      <c r="CQJ191" s="50"/>
      <c r="CQK191" s="50"/>
      <c r="CQL191" s="50"/>
      <c r="CQM191" s="50"/>
      <c r="CQN191" s="50"/>
      <c r="CQO191" s="50"/>
      <c r="CQP191" s="50"/>
      <c r="CQQ191" s="50"/>
      <c r="CQR191" s="50"/>
      <c r="CQS191" s="50"/>
      <c r="CQT191" s="50"/>
      <c r="CQU191" s="50"/>
      <c r="CQV191" s="50"/>
      <c r="CQW191" s="50"/>
      <c r="CQX191" s="50"/>
      <c r="CQY191" s="50"/>
      <c r="CQZ191" s="50"/>
      <c r="CRA191" s="50"/>
      <c r="CRB191" s="50"/>
      <c r="CRC191" s="50"/>
      <c r="CRD191" s="50"/>
      <c r="CRE191" s="50"/>
      <c r="CRF191" s="50"/>
      <c r="CRG191" s="50"/>
      <c r="CRH191" s="50"/>
      <c r="CRI191" s="50"/>
      <c r="CRJ191" s="50"/>
      <c r="CRK191" s="50"/>
      <c r="CRL191" s="50"/>
      <c r="CRM191" s="50"/>
      <c r="CRN191" s="50"/>
      <c r="CRO191" s="50"/>
      <c r="CRP191" s="50"/>
      <c r="CRQ191" s="50"/>
      <c r="CRR191" s="50"/>
      <c r="CRS191" s="50"/>
      <c r="CRT191" s="50"/>
      <c r="CRU191" s="50"/>
      <c r="CRV191" s="50"/>
      <c r="CRW191" s="50"/>
      <c r="CRX191" s="50"/>
      <c r="CRY191" s="50"/>
      <c r="CRZ191" s="50"/>
      <c r="CSA191" s="50"/>
      <c r="CSB191" s="50"/>
      <c r="CSC191" s="50"/>
      <c r="CSD191" s="50"/>
      <c r="CSE191" s="50"/>
      <c r="CSF191" s="50"/>
      <c r="CSG191" s="50"/>
      <c r="CSH191" s="50"/>
      <c r="CSI191" s="50"/>
      <c r="CSJ191" s="50"/>
      <c r="CSK191" s="50"/>
      <c r="CSL191" s="50"/>
      <c r="CSM191" s="50"/>
      <c r="CSN191" s="50"/>
      <c r="CSO191" s="50"/>
      <c r="CSP191" s="50"/>
      <c r="CSQ191" s="50"/>
      <c r="CSR191" s="50"/>
      <c r="CSS191" s="50"/>
      <c r="CST191" s="50"/>
      <c r="CSU191" s="50"/>
      <c r="CSV191" s="50"/>
      <c r="CSW191" s="50"/>
      <c r="CSX191" s="50"/>
      <c r="CSY191" s="50"/>
      <c r="CSZ191" s="50"/>
      <c r="CTA191" s="50"/>
      <c r="CTB191" s="50"/>
      <c r="CTC191" s="50"/>
      <c r="CTD191" s="50"/>
      <c r="CTE191" s="50"/>
      <c r="CTF191" s="50"/>
      <c r="CTG191" s="50"/>
      <c r="CTH191" s="50"/>
      <c r="CTI191" s="50"/>
      <c r="CTJ191" s="50"/>
      <c r="CTK191" s="50"/>
      <c r="CTL191" s="50"/>
      <c r="CTM191" s="50"/>
      <c r="CTN191" s="50"/>
      <c r="CTO191" s="50"/>
      <c r="CTP191" s="50"/>
      <c r="CTQ191" s="50"/>
      <c r="CTR191" s="50"/>
      <c r="CTS191" s="50"/>
      <c r="CTT191" s="50"/>
      <c r="CTU191" s="50"/>
      <c r="CTV191" s="50"/>
      <c r="CTW191" s="50"/>
      <c r="CTX191" s="50"/>
      <c r="CTY191" s="50"/>
      <c r="CTZ191" s="50"/>
      <c r="CUA191" s="50"/>
      <c r="CUB191" s="50"/>
      <c r="CUC191" s="50"/>
      <c r="CUD191" s="50"/>
      <c r="CUE191" s="50"/>
      <c r="CUF191" s="50"/>
      <c r="CUG191" s="50"/>
      <c r="CUH191" s="50"/>
      <c r="CUI191" s="50"/>
      <c r="CUJ191" s="50"/>
      <c r="CUK191" s="50"/>
      <c r="CUL191" s="50"/>
      <c r="CUM191" s="50"/>
      <c r="CUN191" s="50"/>
      <c r="CUO191" s="50"/>
      <c r="CUP191" s="50"/>
      <c r="CUQ191" s="50"/>
      <c r="CUR191" s="50"/>
      <c r="CUS191" s="50"/>
      <c r="CUT191" s="50"/>
      <c r="CUU191" s="50"/>
      <c r="CUV191" s="50"/>
      <c r="CUW191" s="50"/>
      <c r="CUX191" s="50"/>
      <c r="CUY191" s="50"/>
      <c r="CUZ191" s="50"/>
      <c r="CVA191" s="50"/>
      <c r="CVB191" s="50"/>
      <c r="CVC191" s="50"/>
      <c r="CVD191" s="50"/>
      <c r="CVE191" s="50"/>
      <c r="CVF191" s="50"/>
      <c r="CVG191" s="50"/>
      <c r="CVH191" s="50"/>
      <c r="CVI191" s="50"/>
      <c r="CVJ191" s="50"/>
      <c r="CVK191" s="50"/>
      <c r="CVL191" s="50"/>
      <c r="CVM191" s="50"/>
      <c r="CVN191" s="50"/>
      <c r="CVO191" s="50"/>
      <c r="CVP191" s="50"/>
      <c r="CVQ191" s="50"/>
      <c r="CVR191" s="50"/>
      <c r="CVS191" s="50"/>
      <c r="CVT191" s="50"/>
      <c r="CVU191" s="50"/>
      <c r="CVV191" s="50"/>
      <c r="CVW191" s="50"/>
      <c r="CVX191" s="50"/>
      <c r="CVY191" s="50"/>
      <c r="CVZ191" s="50"/>
      <c r="CWA191" s="50"/>
      <c r="CWB191" s="50"/>
      <c r="CWC191" s="50"/>
      <c r="CWD191" s="50"/>
      <c r="CWE191" s="50"/>
      <c r="CWF191" s="50"/>
      <c r="CWG191" s="50"/>
      <c r="CWH191" s="50"/>
      <c r="CWI191" s="50"/>
      <c r="CWJ191" s="50"/>
      <c r="CWK191" s="50"/>
      <c r="CWL191" s="50"/>
      <c r="CWM191" s="50"/>
      <c r="CWN191" s="50"/>
      <c r="CWO191" s="50"/>
      <c r="CWP191" s="50"/>
      <c r="CWQ191" s="50"/>
      <c r="CWR191" s="50"/>
      <c r="CWS191" s="50"/>
      <c r="CWT191" s="50"/>
      <c r="CWU191" s="50"/>
      <c r="CWV191" s="50"/>
      <c r="CWW191" s="50"/>
      <c r="CWX191" s="50"/>
      <c r="CWY191" s="50"/>
      <c r="CWZ191" s="50"/>
      <c r="CXA191" s="50"/>
      <c r="CXB191" s="50"/>
      <c r="CXC191" s="50"/>
      <c r="CXD191" s="50"/>
      <c r="CXE191" s="50"/>
      <c r="CXF191" s="50"/>
      <c r="CXG191" s="50"/>
      <c r="CXH191" s="50"/>
      <c r="CXI191" s="50"/>
      <c r="CXJ191" s="50"/>
      <c r="CXK191" s="50"/>
      <c r="CXL191" s="50"/>
      <c r="CXM191" s="50"/>
      <c r="CXN191" s="50"/>
      <c r="CXO191" s="50"/>
      <c r="CXP191" s="50"/>
      <c r="CXQ191" s="50"/>
      <c r="CXR191" s="50"/>
      <c r="CXS191" s="50"/>
      <c r="CXT191" s="50"/>
      <c r="CXU191" s="50"/>
      <c r="CXV191" s="50"/>
      <c r="CXW191" s="50"/>
      <c r="CXX191" s="50"/>
      <c r="CXY191" s="50"/>
      <c r="CXZ191" s="50"/>
      <c r="CYA191" s="50"/>
      <c r="CYB191" s="50"/>
      <c r="CYC191" s="50"/>
      <c r="CYD191" s="50"/>
      <c r="CYE191" s="50"/>
      <c r="CYF191" s="50"/>
      <c r="CYG191" s="50"/>
      <c r="CYH191" s="50"/>
      <c r="CYI191" s="50"/>
      <c r="CYJ191" s="50"/>
      <c r="CYK191" s="50"/>
      <c r="CYL191" s="50"/>
      <c r="CYM191" s="50"/>
      <c r="CYN191" s="50"/>
      <c r="CYO191" s="50"/>
      <c r="CYP191" s="50"/>
      <c r="CYQ191" s="50"/>
      <c r="CYR191" s="50"/>
      <c r="CYS191" s="50"/>
      <c r="CYT191" s="50"/>
      <c r="CYU191" s="50"/>
      <c r="CYV191" s="50"/>
      <c r="CYW191" s="50"/>
      <c r="CYX191" s="50"/>
      <c r="CYY191" s="50"/>
      <c r="CYZ191" s="50"/>
      <c r="CZA191" s="50"/>
      <c r="CZB191" s="50"/>
      <c r="CZC191" s="50"/>
      <c r="CZD191" s="50"/>
      <c r="CZE191" s="50"/>
      <c r="CZF191" s="50"/>
      <c r="CZG191" s="50"/>
      <c r="CZH191" s="50"/>
      <c r="CZI191" s="50"/>
      <c r="CZJ191" s="50"/>
      <c r="CZK191" s="50"/>
      <c r="CZL191" s="50"/>
      <c r="CZM191" s="50"/>
      <c r="CZN191" s="50"/>
      <c r="CZO191" s="50"/>
      <c r="CZP191" s="50"/>
      <c r="CZQ191" s="50"/>
      <c r="CZR191" s="50"/>
      <c r="CZS191" s="50"/>
      <c r="CZT191" s="50"/>
      <c r="CZU191" s="50"/>
      <c r="CZV191" s="50"/>
      <c r="CZW191" s="50"/>
      <c r="CZX191" s="50"/>
      <c r="CZY191" s="50"/>
      <c r="CZZ191" s="50"/>
      <c r="DAA191" s="50"/>
      <c r="DAB191" s="50"/>
      <c r="DAC191" s="50"/>
      <c r="DAD191" s="50"/>
      <c r="DAE191" s="50"/>
      <c r="DAF191" s="50"/>
      <c r="DAG191" s="50"/>
      <c r="DAH191" s="50"/>
      <c r="DAI191" s="50"/>
      <c r="DAJ191" s="50"/>
      <c r="DAK191" s="50"/>
      <c r="DAL191" s="50"/>
      <c r="DAM191" s="50"/>
      <c r="DAN191" s="50"/>
      <c r="DAO191" s="50"/>
      <c r="DAP191" s="50"/>
      <c r="DAQ191" s="50"/>
      <c r="DAR191" s="50"/>
      <c r="DAS191" s="50"/>
      <c r="DAT191" s="50"/>
      <c r="DAU191" s="50"/>
      <c r="DAV191" s="50"/>
      <c r="DAW191" s="50"/>
      <c r="DAX191" s="50"/>
      <c r="DAY191" s="50"/>
      <c r="DAZ191" s="50"/>
      <c r="DBA191" s="50"/>
      <c r="DBB191" s="50"/>
      <c r="DBC191" s="50"/>
      <c r="DBD191" s="50"/>
      <c r="DBE191" s="50"/>
      <c r="DBF191" s="50"/>
      <c r="DBG191" s="50"/>
      <c r="DBH191" s="50"/>
      <c r="DBI191" s="50"/>
      <c r="DBJ191" s="50"/>
      <c r="DBK191" s="50"/>
      <c r="DBL191" s="50"/>
      <c r="DBM191" s="50"/>
      <c r="DBN191" s="50"/>
      <c r="DBO191" s="50"/>
      <c r="DBP191" s="50"/>
      <c r="DBQ191" s="50"/>
      <c r="DBR191" s="50"/>
      <c r="DBS191" s="50"/>
      <c r="DBT191" s="50"/>
      <c r="DBU191" s="50"/>
      <c r="DBV191" s="50"/>
      <c r="DBW191" s="50"/>
      <c r="DBX191" s="50"/>
      <c r="DBY191" s="50"/>
      <c r="DBZ191" s="50"/>
      <c r="DCA191" s="50"/>
      <c r="DCB191" s="50"/>
      <c r="DCC191" s="50"/>
      <c r="DCD191" s="50"/>
      <c r="DCE191" s="50"/>
      <c r="DCF191" s="50"/>
      <c r="DCG191" s="50"/>
      <c r="DCH191" s="50"/>
      <c r="DCI191" s="50"/>
      <c r="DCJ191" s="50"/>
      <c r="DCK191" s="50"/>
      <c r="DCL191" s="50"/>
      <c r="DCM191" s="50"/>
      <c r="DCN191" s="50"/>
      <c r="DCO191" s="50"/>
      <c r="DCP191" s="50"/>
      <c r="DCQ191" s="50"/>
      <c r="DCR191" s="50"/>
      <c r="DCS191" s="50"/>
      <c r="DCT191" s="50"/>
      <c r="DCU191" s="50"/>
      <c r="DCV191" s="50"/>
      <c r="DCW191" s="50"/>
      <c r="DCX191" s="50"/>
      <c r="DCY191" s="50"/>
      <c r="DCZ191" s="50"/>
      <c r="DDA191" s="50"/>
      <c r="DDB191" s="50"/>
      <c r="DDC191" s="50"/>
      <c r="DDD191" s="50"/>
      <c r="DDE191" s="50"/>
      <c r="DDF191" s="50"/>
      <c r="DDG191" s="50"/>
      <c r="DDH191" s="50"/>
      <c r="DDI191" s="50"/>
      <c r="DDJ191" s="50"/>
      <c r="DDK191" s="50"/>
      <c r="DDL191" s="50"/>
      <c r="DDM191" s="50"/>
      <c r="DDN191" s="50"/>
      <c r="DDO191" s="50"/>
      <c r="DDP191" s="50"/>
      <c r="DDQ191" s="50"/>
      <c r="DDR191" s="50"/>
      <c r="DDS191" s="50"/>
      <c r="DDT191" s="50"/>
      <c r="DDU191" s="50"/>
      <c r="DDV191" s="50"/>
      <c r="DDW191" s="50"/>
      <c r="DDX191" s="50"/>
      <c r="DDY191" s="50"/>
      <c r="DDZ191" s="50"/>
      <c r="DEA191" s="50"/>
      <c r="DEB191" s="50"/>
      <c r="DEC191" s="50"/>
      <c r="DED191" s="50"/>
      <c r="DEE191" s="50"/>
      <c r="DEF191" s="50"/>
      <c r="DEG191" s="50"/>
      <c r="DEH191" s="50"/>
      <c r="DEI191" s="50"/>
      <c r="DEJ191" s="50"/>
      <c r="DEK191" s="50"/>
      <c r="DEL191" s="50"/>
      <c r="DEM191" s="50"/>
      <c r="DEN191" s="50"/>
      <c r="DEO191" s="50"/>
      <c r="DEP191" s="50"/>
      <c r="DEQ191" s="50"/>
      <c r="DER191" s="50"/>
      <c r="DES191" s="50"/>
      <c r="DET191" s="50"/>
      <c r="DEU191" s="50"/>
      <c r="DEV191" s="50"/>
      <c r="DEW191" s="50"/>
      <c r="DEX191" s="50"/>
      <c r="DEY191" s="50"/>
      <c r="DEZ191" s="50"/>
      <c r="DFA191" s="50"/>
      <c r="DFB191" s="50"/>
      <c r="DFC191" s="50"/>
      <c r="DFD191" s="50"/>
      <c r="DFE191" s="50"/>
      <c r="DFF191" s="50"/>
      <c r="DFG191" s="50"/>
      <c r="DFH191" s="50"/>
      <c r="DFI191" s="50"/>
      <c r="DFJ191" s="50"/>
      <c r="DFK191" s="50"/>
      <c r="DFL191" s="50"/>
      <c r="DFM191" s="50"/>
      <c r="DFN191" s="50"/>
      <c r="DFO191" s="50"/>
      <c r="DFP191" s="50"/>
      <c r="DFQ191" s="50"/>
      <c r="DFR191" s="50"/>
      <c r="DFS191" s="50"/>
      <c r="DFT191" s="50"/>
      <c r="DFU191" s="50"/>
      <c r="DFV191" s="50"/>
      <c r="DFW191" s="50"/>
      <c r="DFX191" s="50"/>
      <c r="DFY191" s="50"/>
      <c r="DFZ191" s="50"/>
      <c r="DGA191" s="50"/>
      <c r="DGB191" s="50"/>
      <c r="DGC191" s="50"/>
      <c r="DGD191" s="50"/>
      <c r="DGE191" s="50"/>
      <c r="DGF191" s="50"/>
      <c r="DGG191" s="50"/>
      <c r="DGH191" s="50"/>
      <c r="DGI191" s="50"/>
      <c r="DGJ191" s="50"/>
      <c r="DGK191" s="50"/>
      <c r="DGL191" s="50"/>
      <c r="DGM191" s="50"/>
      <c r="DGN191" s="50"/>
      <c r="DGO191" s="50"/>
      <c r="DGP191" s="50"/>
      <c r="DGQ191" s="50"/>
      <c r="DGR191" s="50"/>
      <c r="DGS191" s="50"/>
      <c r="DGT191" s="50"/>
      <c r="DGU191" s="50"/>
      <c r="DGV191" s="50"/>
      <c r="DGW191" s="50"/>
      <c r="DGX191" s="50"/>
      <c r="DGY191" s="50"/>
      <c r="DGZ191" s="50"/>
      <c r="DHA191" s="50"/>
      <c r="DHB191" s="50"/>
      <c r="DHC191" s="50"/>
      <c r="DHD191" s="50"/>
      <c r="DHE191" s="50"/>
      <c r="DHF191" s="50"/>
      <c r="DHG191" s="50"/>
      <c r="DHH191" s="50"/>
      <c r="DHI191" s="50"/>
      <c r="DHJ191" s="50"/>
      <c r="DHK191" s="50"/>
      <c r="DHL191" s="50"/>
      <c r="DHM191" s="50"/>
      <c r="DHN191" s="50"/>
      <c r="DHO191" s="50"/>
      <c r="DHP191" s="50"/>
      <c r="DHQ191" s="50"/>
      <c r="DHR191" s="50"/>
      <c r="DHS191" s="50"/>
      <c r="DHT191" s="50"/>
      <c r="DHU191" s="50"/>
      <c r="DHV191" s="50"/>
      <c r="DHW191" s="50"/>
      <c r="DHX191" s="50"/>
      <c r="DHY191" s="50"/>
      <c r="DHZ191" s="50"/>
      <c r="DIA191" s="50"/>
      <c r="DIB191" s="50"/>
      <c r="DIC191" s="50"/>
      <c r="DID191" s="50"/>
      <c r="DIE191" s="50"/>
      <c r="DIF191" s="50"/>
      <c r="DIG191" s="50"/>
      <c r="DIH191" s="50"/>
      <c r="DII191" s="50"/>
      <c r="DIJ191" s="50"/>
      <c r="DIK191" s="50"/>
      <c r="DIL191" s="50"/>
      <c r="DIM191" s="50"/>
      <c r="DIN191" s="50"/>
      <c r="DIO191" s="50"/>
      <c r="DIP191" s="50"/>
      <c r="DIQ191" s="50"/>
      <c r="DIR191" s="50"/>
      <c r="DIS191" s="50"/>
      <c r="DIT191" s="50"/>
      <c r="DIU191" s="50"/>
      <c r="DIV191" s="50"/>
      <c r="DIW191" s="50"/>
      <c r="DIX191" s="50"/>
      <c r="DIY191" s="50"/>
      <c r="DIZ191" s="50"/>
      <c r="DJA191" s="50"/>
      <c r="DJB191" s="50"/>
      <c r="DJC191" s="50"/>
      <c r="DJD191" s="50"/>
      <c r="DJE191" s="50"/>
      <c r="DJF191" s="50"/>
      <c r="DJG191" s="50"/>
      <c r="DJH191" s="50"/>
      <c r="DJI191" s="50"/>
      <c r="DJJ191" s="50"/>
      <c r="DJK191" s="50"/>
      <c r="DJL191" s="50"/>
      <c r="DJM191" s="50"/>
      <c r="DJN191" s="50"/>
      <c r="DJO191" s="50"/>
      <c r="DJP191" s="50"/>
      <c r="DJQ191" s="50"/>
      <c r="DJR191" s="50"/>
      <c r="DJS191" s="50"/>
      <c r="DJT191" s="50"/>
      <c r="DJU191" s="50"/>
      <c r="DJV191" s="50"/>
      <c r="DJW191" s="50"/>
      <c r="DJX191" s="50"/>
      <c r="DJY191" s="50"/>
      <c r="DJZ191" s="50"/>
      <c r="DKA191" s="50"/>
      <c r="DKB191" s="50"/>
      <c r="DKC191" s="50"/>
      <c r="DKD191" s="50"/>
      <c r="DKE191" s="50"/>
      <c r="DKF191" s="50"/>
      <c r="DKG191" s="50"/>
      <c r="DKH191" s="50"/>
      <c r="DKI191" s="50"/>
      <c r="DKJ191" s="50"/>
      <c r="DKK191" s="50"/>
      <c r="DKL191" s="50"/>
      <c r="DKM191" s="50"/>
      <c r="DKN191" s="50"/>
      <c r="DKO191" s="50"/>
      <c r="DKP191" s="50"/>
      <c r="DKQ191" s="50"/>
      <c r="DKR191" s="50"/>
      <c r="DKS191" s="50"/>
      <c r="DKT191" s="50"/>
      <c r="DKU191" s="50"/>
      <c r="DKV191" s="50"/>
      <c r="DKW191" s="50"/>
      <c r="DKX191" s="50"/>
      <c r="DKY191" s="50"/>
      <c r="DKZ191" s="50"/>
      <c r="DLA191" s="50"/>
      <c r="DLB191" s="50"/>
      <c r="DLC191" s="50"/>
      <c r="DLD191" s="50"/>
      <c r="DLE191" s="50"/>
      <c r="DLF191" s="50"/>
      <c r="DLG191" s="50"/>
      <c r="DLH191" s="50"/>
      <c r="DLI191" s="50"/>
      <c r="DLJ191" s="50"/>
      <c r="DLK191" s="50"/>
      <c r="DLL191" s="50"/>
      <c r="DLM191" s="50"/>
      <c r="DLN191" s="50"/>
      <c r="DLO191" s="50"/>
      <c r="DLP191" s="50"/>
      <c r="DLQ191" s="50"/>
      <c r="DLR191" s="50"/>
      <c r="DLS191" s="50"/>
      <c r="DLT191" s="50"/>
      <c r="DLU191" s="50"/>
      <c r="DLV191" s="50"/>
      <c r="DLW191" s="50"/>
      <c r="DLX191" s="50"/>
      <c r="DLY191" s="50"/>
      <c r="DLZ191" s="50"/>
      <c r="DMA191" s="50"/>
      <c r="DMB191" s="50"/>
      <c r="DMC191" s="50"/>
      <c r="DMD191" s="50"/>
      <c r="DME191" s="50"/>
      <c r="DMF191" s="50"/>
      <c r="DMG191" s="50"/>
      <c r="DMH191" s="50"/>
      <c r="DMI191" s="50"/>
      <c r="DMJ191" s="50"/>
      <c r="DMK191" s="50"/>
      <c r="DML191" s="50"/>
      <c r="DMM191" s="50"/>
      <c r="DMN191" s="50"/>
      <c r="DMO191" s="50"/>
      <c r="DMP191" s="50"/>
      <c r="DMQ191" s="50"/>
      <c r="DMR191" s="50"/>
      <c r="DMS191" s="50"/>
      <c r="DMT191" s="50"/>
      <c r="DMU191" s="50"/>
      <c r="DMV191" s="50"/>
      <c r="DMW191" s="50"/>
      <c r="DMX191" s="50"/>
      <c r="DMY191" s="50"/>
      <c r="DMZ191" s="50"/>
      <c r="DNA191" s="50"/>
      <c r="DNB191" s="50"/>
      <c r="DNC191" s="50"/>
      <c r="DND191" s="50"/>
      <c r="DNE191" s="50"/>
      <c r="DNF191" s="50"/>
      <c r="DNG191" s="50"/>
      <c r="DNH191" s="50"/>
      <c r="DNI191" s="50"/>
      <c r="DNJ191" s="50"/>
      <c r="DNK191" s="50"/>
      <c r="DNL191" s="50"/>
      <c r="DNM191" s="50"/>
      <c r="DNN191" s="50"/>
      <c r="DNO191" s="50"/>
      <c r="DNP191" s="50"/>
      <c r="DNQ191" s="50"/>
      <c r="DNR191" s="50"/>
      <c r="DNS191" s="50"/>
      <c r="DNT191" s="50"/>
      <c r="DNU191" s="50"/>
      <c r="DNV191" s="50"/>
      <c r="DNW191" s="50"/>
      <c r="DNX191" s="50"/>
      <c r="DNY191" s="50"/>
      <c r="DNZ191" s="50"/>
      <c r="DOA191" s="50"/>
      <c r="DOB191" s="50"/>
      <c r="DOC191" s="50"/>
      <c r="DOD191" s="50"/>
      <c r="DOE191" s="50"/>
      <c r="DOF191" s="50"/>
      <c r="DOG191" s="50"/>
      <c r="DOH191" s="50"/>
      <c r="DOI191" s="50"/>
      <c r="DOJ191" s="50"/>
      <c r="DOK191" s="50"/>
      <c r="DOL191" s="50"/>
      <c r="DOM191" s="50"/>
      <c r="DON191" s="50"/>
      <c r="DOO191" s="50"/>
      <c r="DOP191" s="50"/>
      <c r="DOQ191" s="50"/>
      <c r="DOR191" s="50"/>
      <c r="DOS191" s="50"/>
      <c r="DOT191" s="50"/>
      <c r="DOU191" s="50"/>
      <c r="DOV191" s="50"/>
      <c r="DOW191" s="50"/>
      <c r="DOX191" s="50"/>
      <c r="DOY191" s="50"/>
      <c r="DOZ191" s="50"/>
      <c r="DPA191" s="50"/>
      <c r="DPB191" s="50"/>
      <c r="DPC191" s="50"/>
      <c r="DPD191" s="50"/>
      <c r="DPE191" s="50"/>
      <c r="DPF191" s="50"/>
      <c r="DPG191" s="50"/>
      <c r="DPH191" s="50"/>
      <c r="DPI191" s="50"/>
      <c r="DPJ191" s="50"/>
      <c r="DPK191" s="50"/>
      <c r="DPL191" s="50"/>
      <c r="DPM191" s="50"/>
      <c r="DPN191" s="50"/>
      <c r="DPO191" s="50"/>
      <c r="DPP191" s="50"/>
      <c r="DPQ191" s="50"/>
      <c r="DPR191" s="50"/>
      <c r="DPS191" s="50"/>
      <c r="DPT191" s="50"/>
      <c r="DPU191" s="50"/>
      <c r="DPV191" s="50"/>
      <c r="DPW191" s="50"/>
      <c r="DPX191" s="50"/>
      <c r="DPY191" s="50"/>
      <c r="DPZ191" s="50"/>
      <c r="DQA191" s="50"/>
      <c r="DQB191" s="50"/>
      <c r="DQC191" s="50"/>
      <c r="DQD191" s="50"/>
      <c r="DQE191" s="50"/>
      <c r="DQF191" s="50"/>
      <c r="DQG191" s="50"/>
      <c r="DQH191" s="50"/>
      <c r="DQI191" s="50"/>
      <c r="DQJ191" s="50"/>
      <c r="DQK191" s="50"/>
      <c r="DQL191" s="50"/>
      <c r="DQM191" s="50"/>
      <c r="DQN191" s="50"/>
      <c r="DQO191" s="50"/>
      <c r="DQP191" s="50"/>
      <c r="DQQ191" s="50"/>
      <c r="DQR191" s="50"/>
      <c r="DQS191" s="50"/>
      <c r="DQT191" s="50"/>
      <c r="DQU191" s="50"/>
      <c r="DQV191" s="50"/>
      <c r="DQW191" s="50"/>
      <c r="DQX191" s="50"/>
      <c r="DQY191" s="50"/>
      <c r="DQZ191" s="50"/>
      <c r="DRA191" s="50"/>
      <c r="DRB191" s="50"/>
      <c r="DRC191" s="50"/>
      <c r="DRD191" s="50"/>
      <c r="DRE191" s="50"/>
      <c r="DRF191" s="50"/>
      <c r="DRG191" s="50"/>
      <c r="DRH191" s="50"/>
      <c r="DRI191" s="50"/>
      <c r="DRJ191" s="50"/>
      <c r="DRK191" s="50"/>
      <c r="DRL191" s="50"/>
      <c r="DRM191" s="50"/>
      <c r="DRN191" s="50"/>
      <c r="DRO191" s="50"/>
      <c r="DRP191" s="50"/>
      <c r="DRQ191" s="50"/>
      <c r="DRR191" s="50"/>
      <c r="DRS191" s="50"/>
      <c r="DRT191" s="50"/>
      <c r="DRU191" s="50"/>
      <c r="DRV191" s="50"/>
      <c r="DRW191" s="50"/>
      <c r="DRX191" s="50"/>
      <c r="DRY191" s="50"/>
      <c r="DRZ191" s="50"/>
      <c r="DSA191" s="50"/>
      <c r="DSB191" s="50"/>
      <c r="DSC191" s="50"/>
      <c r="DSD191" s="50"/>
      <c r="DSE191" s="50"/>
      <c r="DSF191" s="50"/>
      <c r="DSG191" s="50"/>
      <c r="DSH191" s="50"/>
      <c r="DSI191" s="50"/>
      <c r="DSJ191" s="50"/>
      <c r="DSK191" s="50"/>
      <c r="DSL191" s="50"/>
      <c r="DSM191" s="50"/>
      <c r="DSN191" s="50"/>
      <c r="DSO191" s="50"/>
      <c r="DSP191" s="50"/>
      <c r="DSQ191" s="50"/>
      <c r="DSR191" s="50"/>
      <c r="DSS191" s="50"/>
      <c r="DST191" s="50"/>
      <c r="DSU191" s="50"/>
      <c r="DSV191" s="50"/>
      <c r="DSW191" s="50"/>
      <c r="DSX191" s="50"/>
      <c r="DSY191" s="50"/>
      <c r="DSZ191" s="50"/>
      <c r="DTA191" s="50"/>
      <c r="DTB191" s="50"/>
      <c r="DTC191" s="50"/>
      <c r="DTD191" s="50"/>
      <c r="DTE191" s="50"/>
      <c r="DTF191" s="50"/>
      <c r="DTG191" s="50"/>
      <c r="DTH191" s="50"/>
      <c r="DTI191" s="50"/>
      <c r="DTJ191" s="50"/>
      <c r="DTK191" s="50"/>
      <c r="DTL191" s="50"/>
      <c r="DTM191" s="50"/>
      <c r="DTN191" s="50"/>
      <c r="DTO191" s="50"/>
      <c r="DTP191" s="50"/>
      <c r="DTQ191" s="50"/>
      <c r="DTR191" s="50"/>
      <c r="DTS191" s="50"/>
      <c r="DTT191" s="50"/>
      <c r="DTU191" s="50"/>
      <c r="DTV191" s="50"/>
      <c r="DTW191" s="50"/>
      <c r="DTX191" s="50"/>
      <c r="DTY191" s="50"/>
      <c r="DTZ191" s="50"/>
      <c r="DUA191" s="50"/>
      <c r="DUB191" s="50"/>
      <c r="DUC191" s="50"/>
      <c r="DUD191" s="50"/>
      <c r="DUE191" s="50"/>
      <c r="DUF191" s="50"/>
      <c r="DUG191" s="50"/>
      <c r="DUH191" s="50"/>
      <c r="DUI191" s="50"/>
      <c r="DUJ191" s="50"/>
      <c r="DUK191" s="50"/>
      <c r="DUL191" s="50"/>
      <c r="DUM191" s="50"/>
      <c r="DUN191" s="50"/>
      <c r="DUO191" s="50"/>
      <c r="DUP191" s="50"/>
      <c r="DUQ191" s="50"/>
      <c r="DUR191" s="50"/>
      <c r="DUS191" s="50"/>
      <c r="DUT191" s="50"/>
      <c r="DUU191" s="50"/>
      <c r="DUV191" s="50"/>
      <c r="DUW191" s="50"/>
      <c r="DUX191" s="50"/>
      <c r="DUY191" s="50"/>
      <c r="DUZ191" s="50"/>
      <c r="DVA191" s="50"/>
      <c r="DVB191" s="50"/>
      <c r="DVC191" s="50"/>
      <c r="DVD191" s="50"/>
      <c r="DVE191" s="50"/>
      <c r="DVF191" s="50"/>
      <c r="DVG191" s="50"/>
      <c r="DVH191" s="50"/>
      <c r="DVI191" s="50"/>
      <c r="DVJ191" s="50"/>
      <c r="DVK191" s="50"/>
      <c r="DVL191" s="50"/>
      <c r="DVM191" s="50"/>
      <c r="DVN191" s="50"/>
      <c r="DVO191" s="50"/>
      <c r="DVP191" s="50"/>
      <c r="DVQ191" s="50"/>
      <c r="DVR191" s="50"/>
      <c r="DVS191" s="50"/>
      <c r="DVT191" s="50"/>
      <c r="DVU191" s="50"/>
      <c r="DVV191" s="50"/>
      <c r="DVW191" s="50"/>
      <c r="DVX191" s="50"/>
      <c r="DVY191" s="50"/>
      <c r="DVZ191" s="50"/>
      <c r="DWA191" s="50"/>
      <c r="DWB191" s="50"/>
      <c r="DWC191" s="50"/>
      <c r="DWD191" s="50"/>
      <c r="DWE191" s="50"/>
      <c r="DWF191" s="50"/>
      <c r="DWG191" s="50"/>
      <c r="DWH191" s="50"/>
      <c r="DWI191" s="50"/>
      <c r="DWJ191" s="50"/>
      <c r="DWK191" s="50"/>
      <c r="DWL191" s="50"/>
      <c r="DWM191" s="50"/>
      <c r="DWN191" s="50"/>
      <c r="DWO191" s="50"/>
      <c r="DWP191" s="50"/>
      <c r="DWQ191" s="50"/>
      <c r="DWR191" s="50"/>
      <c r="DWS191" s="50"/>
      <c r="DWT191" s="50"/>
      <c r="DWU191" s="50"/>
      <c r="DWV191" s="50"/>
      <c r="DWW191" s="50"/>
      <c r="DWX191" s="50"/>
      <c r="DWY191" s="50"/>
      <c r="DWZ191" s="50"/>
      <c r="DXA191" s="50"/>
      <c r="DXB191" s="50"/>
      <c r="DXC191" s="50"/>
      <c r="DXD191" s="50"/>
      <c r="DXE191" s="50"/>
      <c r="DXF191" s="50"/>
      <c r="DXG191" s="50"/>
      <c r="DXH191" s="50"/>
      <c r="DXI191" s="50"/>
      <c r="DXJ191" s="50"/>
      <c r="DXK191" s="50"/>
      <c r="DXL191" s="50"/>
      <c r="DXM191" s="50"/>
      <c r="DXN191" s="50"/>
      <c r="DXO191" s="50"/>
      <c r="DXP191" s="50"/>
      <c r="DXQ191" s="50"/>
      <c r="DXR191" s="50"/>
      <c r="DXS191" s="50"/>
      <c r="DXT191" s="50"/>
      <c r="DXU191" s="50"/>
      <c r="DXV191" s="50"/>
      <c r="DXW191" s="50"/>
      <c r="DXX191" s="50"/>
      <c r="DXY191" s="50"/>
      <c r="DXZ191" s="50"/>
      <c r="DYA191" s="50"/>
      <c r="DYB191" s="50"/>
      <c r="DYC191" s="50"/>
      <c r="DYD191" s="50"/>
      <c r="DYE191" s="50"/>
      <c r="DYF191" s="50"/>
      <c r="DYG191" s="50"/>
      <c r="DYH191" s="50"/>
      <c r="DYI191" s="50"/>
      <c r="DYJ191" s="50"/>
      <c r="DYK191" s="50"/>
      <c r="DYL191" s="50"/>
      <c r="DYM191" s="50"/>
      <c r="DYN191" s="50"/>
      <c r="DYO191" s="50"/>
      <c r="DYP191" s="50"/>
      <c r="DYQ191" s="50"/>
      <c r="DYR191" s="50"/>
      <c r="DYS191" s="50"/>
      <c r="DYT191" s="50"/>
      <c r="DYU191" s="50"/>
      <c r="DYV191" s="50"/>
      <c r="DYW191" s="50"/>
      <c r="DYX191" s="50"/>
      <c r="DYY191" s="50"/>
      <c r="DYZ191" s="50"/>
      <c r="DZA191" s="50"/>
      <c r="DZB191" s="50"/>
      <c r="DZC191" s="50"/>
      <c r="DZD191" s="50"/>
      <c r="DZE191" s="50"/>
      <c r="DZF191" s="50"/>
      <c r="DZG191" s="50"/>
      <c r="DZH191" s="50"/>
      <c r="DZI191" s="50"/>
      <c r="DZJ191" s="50"/>
      <c r="DZK191" s="50"/>
      <c r="DZL191" s="50"/>
      <c r="DZM191" s="50"/>
      <c r="DZN191" s="50"/>
      <c r="DZO191" s="50"/>
      <c r="DZP191" s="50"/>
      <c r="DZQ191" s="50"/>
      <c r="DZR191" s="50"/>
      <c r="DZS191" s="50"/>
      <c r="DZT191" s="50"/>
      <c r="DZU191" s="50"/>
      <c r="DZV191" s="50"/>
      <c r="DZW191" s="50"/>
      <c r="DZX191" s="50"/>
      <c r="DZY191" s="50"/>
      <c r="DZZ191" s="50"/>
      <c r="EAA191" s="50"/>
      <c r="EAB191" s="50"/>
      <c r="EAC191" s="50"/>
      <c r="EAD191" s="50"/>
      <c r="EAE191" s="50"/>
      <c r="EAF191" s="50"/>
      <c r="EAG191" s="50"/>
      <c r="EAH191" s="50"/>
      <c r="EAI191" s="50"/>
      <c r="EAJ191" s="50"/>
      <c r="EAK191" s="50"/>
      <c r="EAL191" s="50"/>
      <c r="EAM191" s="50"/>
      <c r="EAN191" s="50"/>
      <c r="EAO191" s="50"/>
      <c r="EAP191" s="50"/>
      <c r="EAQ191" s="50"/>
      <c r="EAR191" s="50"/>
      <c r="EAS191" s="50"/>
      <c r="EAT191" s="50"/>
      <c r="EAU191" s="50"/>
      <c r="EAV191" s="50"/>
      <c r="EAW191" s="50"/>
      <c r="EAX191" s="50"/>
      <c r="EAY191" s="50"/>
      <c r="EAZ191" s="50"/>
      <c r="EBA191" s="50"/>
      <c r="EBB191" s="50"/>
      <c r="EBC191" s="50"/>
      <c r="EBD191" s="50"/>
      <c r="EBE191" s="50"/>
      <c r="EBF191" s="50"/>
      <c r="EBG191" s="50"/>
      <c r="EBH191" s="50"/>
      <c r="EBI191" s="50"/>
      <c r="EBJ191" s="50"/>
      <c r="EBK191" s="50"/>
      <c r="EBL191" s="50"/>
      <c r="EBM191" s="50"/>
      <c r="EBN191" s="50"/>
      <c r="EBO191" s="50"/>
      <c r="EBP191" s="50"/>
      <c r="EBQ191" s="50"/>
      <c r="EBR191" s="50"/>
      <c r="EBS191" s="50"/>
      <c r="EBT191" s="50"/>
      <c r="EBU191" s="50"/>
      <c r="EBV191" s="50"/>
      <c r="EBW191" s="50"/>
      <c r="EBX191" s="50"/>
      <c r="EBY191" s="50"/>
      <c r="EBZ191" s="50"/>
      <c r="ECA191" s="50"/>
      <c r="ECB191" s="50"/>
      <c r="ECC191" s="50"/>
      <c r="ECD191" s="50"/>
      <c r="ECE191" s="50"/>
      <c r="ECF191" s="50"/>
      <c r="ECG191" s="50"/>
      <c r="ECH191" s="50"/>
      <c r="ECI191" s="50"/>
      <c r="ECJ191" s="50"/>
      <c r="ECK191" s="50"/>
      <c r="ECL191" s="50"/>
      <c r="ECM191" s="50"/>
      <c r="ECN191" s="50"/>
      <c r="ECO191" s="50"/>
      <c r="ECP191" s="50"/>
      <c r="ECQ191" s="50"/>
      <c r="ECR191" s="50"/>
      <c r="ECS191" s="50"/>
      <c r="ECT191" s="50"/>
      <c r="ECU191" s="50"/>
      <c r="ECV191" s="50"/>
      <c r="ECW191" s="50"/>
      <c r="ECX191" s="50"/>
      <c r="ECY191" s="50"/>
      <c r="ECZ191" s="50"/>
      <c r="EDA191" s="50"/>
      <c r="EDB191" s="50"/>
      <c r="EDC191" s="50"/>
      <c r="EDD191" s="50"/>
      <c r="EDE191" s="50"/>
      <c r="EDF191" s="50"/>
      <c r="EDG191" s="50"/>
      <c r="EDH191" s="50"/>
      <c r="EDI191" s="50"/>
      <c r="EDJ191" s="50"/>
      <c r="EDK191" s="50"/>
      <c r="EDL191" s="50"/>
      <c r="EDM191" s="50"/>
      <c r="EDN191" s="50"/>
      <c r="EDO191" s="50"/>
      <c r="EDP191" s="50"/>
      <c r="EDQ191" s="50"/>
      <c r="EDR191" s="50"/>
      <c r="EDS191" s="50"/>
      <c r="EDT191" s="50"/>
      <c r="EDU191" s="50"/>
      <c r="EDV191" s="50"/>
      <c r="EDW191" s="50"/>
      <c r="EDX191" s="50"/>
      <c r="EDY191" s="50"/>
      <c r="EDZ191" s="50"/>
      <c r="EEA191" s="50"/>
      <c r="EEB191" s="50"/>
      <c r="EEC191" s="50"/>
      <c r="EED191" s="50"/>
      <c r="EEE191" s="50"/>
      <c r="EEF191" s="50"/>
      <c r="EEG191" s="50"/>
      <c r="EEH191" s="50"/>
      <c r="EEI191" s="50"/>
      <c r="EEJ191" s="50"/>
      <c r="EEK191" s="50"/>
      <c r="EEL191" s="50"/>
      <c r="EEM191" s="50"/>
      <c r="EEN191" s="50"/>
      <c r="EEO191" s="50"/>
      <c r="EEP191" s="50"/>
      <c r="EEQ191" s="50"/>
      <c r="EER191" s="50"/>
      <c r="EES191" s="50"/>
      <c r="EET191" s="50"/>
      <c r="EEU191" s="50"/>
      <c r="EEV191" s="50"/>
      <c r="EEW191" s="50"/>
      <c r="EEX191" s="50"/>
      <c r="EEY191" s="50"/>
      <c r="EEZ191" s="50"/>
      <c r="EFA191" s="50"/>
      <c r="EFB191" s="50"/>
      <c r="EFC191" s="50"/>
      <c r="EFD191" s="50"/>
      <c r="EFE191" s="50"/>
      <c r="EFF191" s="50"/>
      <c r="EFG191" s="50"/>
      <c r="EFH191" s="50"/>
      <c r="EFI191" s="50"/>
      <c r="EFJ191" s="50"/>
      <c r="EFK191" s="50"/>
      <c r="EFL191" s="50"/>
      <c r="EFM191" s="50"/>
      <c r="EFN191" s="50"/>
      <c r="EFO191" s="50"/>
      <c r="EFP191" s="50"/>
      <c r="EFQ191" s="50"/>
      <c r="EFR191" s="50"/>
      <c r="EFS191" s="50"/>
      <c r="EFT191" s="50"/>
      <c r="EFU191" s="50"/>
      <c r="EFV191" s="50"/>
      <c r="EFW191" s="50"/>
      <c r="EFX191" s="50"/>
      <c r="EFY191" s="50"/>
      <c r="EFZ191" s="50"/>
      <c r="EGA191" s="50"/>
      <c r="EGB191" s="50"/>
      <c r="EGC191" s="50"/>
      <c r="EGD191" s="50"/>
      <c r="EGE191" s="50"/>
      <c r="EGF191" s="50"/>
      <c r="EGG191" s="50"/>
      <c r="EGH191" s="50"/>
      <c r="EGI191" s="50"/>
      <c r="EGJ191" s="50"/>
      <c r="EGK191" s="50"/>
      <c r="EGL191" s="50"/>
      <c r="EGM191" s="50"/>
      <c r="EGN191" s="50"/>
      <c r="EGO191" s="50"/>
      <c r="EGP191" s="50"/>
      <c r="EGQ191" s="50"/>
      <c r="EGR191" s="50"/>
      <c r="EGS191" s="50"/>
      <c r="EGT191" s="50"/>
      <c r="EGU191" s="50"/>
      <c r="EGV191" s="50"/>
      <c r="EGW191" s="50"/>
      <c r="EGX191" s="50"/>
      <c r="EGY191" s="50"/>
      <c r="EGZ191" s="50"/>
      <c r="EHA191" s="50"/>
      <c r="EHB191" s="50"/>
      <c r="EHC191" s="50"/>
      <c r="EHD191" s="50"/>
      <c r="EHE191" s="50"/>
      <c r="EHF191" s="50"/>
      <c r="EHG191" s="50"/>
      <c r="EHH191" s="50"/>
      <c r="EHI191" s="50"/>
      <c r="EHJ191" s="50"/>
      <c r="EHK191" s="50"/>
      <c r="EHL191" s="50"/>
      <c r="EHM191" s="50"/>
      <c r="EHN191" s="50"/>
      <c r="EHO191" s="50"/>
      <c r="EHP191" s="50"/>
      <c r="EHQ191" s="50"/>
      <c r="EHR191" s="50"/>
      <c r="EHS191" s="50"/>
      <c r="EHT191" s="50"/>
      <c r="EHU191" s="50"/>
      <c r="EHV191" s="50"/>
      <c r="EHW191" s="50"/>
      <c r="EHX191" s="50"/>
      <c r="EHY191" s="50"/>
      <c r="EHZ191" s="50"/>
      <c r="EIA191" s="50"/>
      <c r="EIB191" s="50"/>
      <c r="EIC191" s="50"/>
      <c r="EID191" s="50"/>
      <c r="EIE191" s="50"/>
      <c r="EIF191" s="50"/>
      <c r="EIG191" s="50"/>
      <c r="EIH191" s="50"/>
      <c r="EII191" s="50"/>
      <c r="EIJ191" s="50"/>
      <c r="EIK191" s="50"/>
      <c r="EIL191" s="50"/>
      <c r="EIM191" s="50"/>
      <c r="EIN191" s="50"/>
      <c r="EIO191" s="50"/>
      <c r="EIP191" s="50"/>
      <c r="EIQ191" s="50"/>
      <c r="EIR191" s="50"/>
      <c r="EIS191" s="50"/>
      <c r="EIT191" s="50"/>
      <c r="EIU191" s="50"/>
      <c r="EIV191" s="50"/>
      <c r="EIW191" s="50"/>
      <c r="EIX191" s="50"/>
      <c r="EIY191" s="50"/>
      <c r="EIZ191" s="50"/>
      <c r="EJA191" s="50"/>
      <c r="EJB191" s="50"/>
      <c r="EJC191" s="50"/>
      <c r="EJD191" s="50"/>
      <c r="EJE191" s="50"/>
      <c r="EJF191" s="50"/>
      <c r="EJG191" s="50"/>
      <c r="EJH191" s="50"/>
      <c r="EJI191" s="50"/>
      <c r="EJJ191" s="50"/>
      <c r="EJK191" s="50"/>
      <c r="EJL191" s="50"/>
      <c r="EJM191" s="50"/>
      <c r="EJN191" s="50"/>
      <c r="EJO191" s="50"/>
      <c r="EJP191" s="50"/>
      <c r="EJQ191" s="50"/>
      <c r="EJR191" s="50"/>
      <c r="EJS191" s="50"/>
      <c r="EJT191" s="50"/>
      <c r="EJU191" s="50"/>
      <c r="EJV191" s="50"/>
      <c r="EJW191" s="50"/>
      <c r="EJX191" s="50"/>
      <c r="EJY191" s="50"/>
      <c r="EJZ191" s="50"/>
      <c r="EKA191" s="50"/>
      <c r="EKB191" s="50"/>
      <c r="EKC191" s="50"/>
      <c r="EKD191" s="50"/>
      <c r="EKE191" s="50"/>
      <c r="EKF191" s="50"/>
      <c r="EKG191" s="50"/>
      <c r="EKH191" s="50"/>
      <c r="EKI191" s="50"/>
      <c r="EKJ191" s="50"/>
      <c r="EKK191" s="50"/>
      <c r="EKL191" s="50"/>
      <c r="EKM191" s="50"/>
      <c r="EKN191" s="50"/>
      <c r="EKO191" s="50"/>
      <c r="EKP191" s="50"/>
      <c r="EKQ191" s="50"/>
      <c r="EKR191" s="50"/>
      <c r="EKS191" s="50"/>
      <c r="EKT191" s="50"/>
      <c r="EKU191" s="50"/>
      <c r="EKV191" s="50"/>
      <c r="EKW191" s="50"/>
      <c r="EKX191" s="50"/>
      <c r="EKY191" s="50"/>
      <c r="EKZ191" s="50"/>
      <c r="ELA191" s="50"/>
      <c r="ELB191" s="50"/>
      <c r="ELC191" s="50"/>
      <c r="ELD191" s="50"/>
      <c r="ELE191" s="50"/>
      <c r="ELF191" s="50"/>
      <c r="ELG191" s="50"/>
      <c r="ELH191" s="50"/>
      <c r="ELI191" s="50"/>
      <c r="ELJ191" s="50"/>
      <c r="ELK191" s="50"/>
      <c r="ELL191" s="50"/>
      <c r="ELM191" s="50"/>
      <c r="ELN191" s="50"/>
      <c r="ELO191" s="50"/>
      <c r="ELP191" s="50"/>
      <c r="ELQ191" s="50"/>
      <c r="ELR191" s="50"/>
      <c r="ELS191" s="50"/>
      <c r="ELT191" s="50"/>
      <c r="ELU191" s="50"/>
      <c r="ELV191" s="50"/>
      <c r="ELW191" s="50"/>
      <c r="ELX191" s="50"/>
      <c r="ELY191" s="50"/>
      <c r="ELZ191" s="50"/>
      <c r="EMA191" s="50"/>
      <c r="EMB191" s="50"/>
      <c r="EMC191" s="50"/>
      <c r="EMD191" s="50"/>
      <c r="EME191" s="50"/>
      <c r="EMF191" s="50"/>
      <c r="EMG191" s="50"/>
      <c r="EMH191" s="50"/>
      <c r="EMI191" s="50"/>
      <c r="EMJ191" s="50"/>
      <c r="EMK191" s="50"/>
      <c r="EML191" s="50"/>
      <c r="EMM191" s="50"/>
      <c r="EMN191" s="50"/>
      <c r="EMO191" s="50"/>
      <c r="EMP191" s="50"/>
      <c r="EMQ191" s="50"/>
      <c r="EMR191" s="50"/>
      <c r="EMS191" s="50"/>
      <c r="EMT191" s="50"/>
      <c r="EMU191" s="50"/>
      <c r="EMV191" s="50"/>
      <c r="EMW191" s="50"/>
      <c r="EMX191" s="50"/>
      <c r="EMY191" s="50"/>
      <c r="EMZ191" s="50"/>
      <c r="ENA191" s="50"/>
      <c r="ENB191" s="50"/>
      <c r="ENC191" s="50"/>
      <c r="END191" s="50"/>
      <c r="ENE191" s="50"/>
      <c r="ENF191" s="50"/>
      <c r="ENG191" s="50"/>
      <c r="ENH191" s="50"/>
      <c r="ENI191" s="50"/>
      <c r="ENJ191" s="50"/>
      <c r="ENK191" s="50"/>
      <c r="ENL191" s="50"/>
      <c r="ENM191" s="50"/>
      <c r="ENN191" s="50"/>
      <c r="ENO191" s="50"/>
      <c r="ENP191" s="50"/>
      <c r="ENQ191" s="50"/>
      <c r="ENR191" s="50"/>
      <c r="ENS191" s="50"/>
      <c r="ENT191" s="50"/>
      <c r="ENU191" s="50"/>
      <c r="ENV191" s="50"/>
      <c r="ENW191" s="50"/>
      <c r="ENX191" s="50"/>
      <c r="ENY191" s="50"/>
      <c r="ENZ191" s="50"/>
      <c r="EOA191" s="50"/>
      <c r="EOB191" s="50"/>
      <c r="EOC191" s="50"/>
      <c r="EOD191" s="50"/>
      <c r="EOE191" s="50"/>
      <c r="EOF191" s="50"/>
      <c r="EOG191" s="50"/>
      <c r="EOH191" s="50"/>
      <c r="EOI191" s="50"/>
      <c r="EOJ191" s="50"/>
      <c r="EOK191" s="50"/>
      <c r="EOL191" s="50"/>
      <c r="EOM191" s="50"/>
      <c r="EON191" s="50"/>
      <c r="EOO191" s="50"/>
      <c r="EOP191" s="50"/>
      <c r="EOQ191" s="50"/>
      <c r="EOR191" s="50"/>
      <c r="EOS191" s="50"/>
      <c r="EOT191" s="50"/>
      <c r="EOU191" s="50"/>
      <c r="EOV191" s="50"/>
      <c r="EOW191" s="50"/>
      <c r="EOX191" s="50"/>
      <c r="EOY191" s="50"/>
      <c r="EOZ191" s="50"/>
      <c r="EPA191" s="50"/>
      <c r="EPB191" s="50"/>
      <c r="EPC191" s="50"/>
      <c r="EPD191" s="50"/>
      <c r="EPE191" s="50"/>
      <c r="EPF191" s="50"/>
      <c r="EPG191" s="50"/>
      <c r="EPH191" s="50"/>
      <c r="EPI191" s="50"/>
      <c r="EPJ191" s="50"/>
      <c r="EPK191" s="50"/>
      <c r="EPL191" s="50"/>
      <c r="EPM191" s="50"/>
      <c r="EPN191" s="50"/>
      <c r="EPO191" s="50"/>
      <c r="EPP191" s="50"/>
      <c r="EPQ191" s="50"/>
      <c r="EPR191" s="50"/>
      <c r="EPS191" s="50"/>
      <c r="EPT191" s="50"/>
      <c r="EPU191" s="50"/>
      <c r="EPV191" s="50"/>
      <c r="EPW191" s="50"/>
      <c r="EPX191" s="50"/>
      <c r="EPY191" s="50"/>
      <c r="EPZ191" s="50"/>
      <c r="EQA191" s="50"/>
      <c r="EQB191" s="50"/>
      <c r="EQC191" s="50"/>
      <c r="EQD191" s="50"/>
      <c r="EQE191" s="50"/>
      <c r="EQF191" s="50"/>
      <c r="EQG191" s="50"/>
      <c r="EQH191" s="50"/>
      <c r="EQI191" s="50"/>
      <c r="EQJ191" s="50"/>
      <c r="EQK191" s="50"/>
      <c r="EQL191" s="50"/>
      <c r="EQM191" s="50"/>
      <c r="EQN191" s="50"/>
      <c r="EQO191" s="50"/>
      <c r="EQP191" s="50"/>
      <c r="EQQ191" s="50"/>
      <c r="EQR191" s="50"/>
      <c r="EQS191" s="50"/>
      <c r="EQT191" s="50"/>
      <c r="EQU191" s="50"/>
      <c r="EQV191" s="50"/>
      <c r="EQW191" s="50"/>
      <c r="EQX191" s="50"/>
      <c r="EQY191" s="50"/>
      <c r="EQZ191" s="50"/>
      <c r="ERA191" s="50"/>
      <c r="ERB191" s="50"/>
      <c r="ERC191" s="50"/>
      <c r="ERD191" s="50"/>
      <c r="ERE191" s="50"/>
      <c r="ERF191" s="50"/>
      <c r="ERG191" s="50"/>
      <c r="ERH191" s="50"/>
      <c r="ERI191" s="50"/>
      <c r="ERJ191" s="50"/>
      <c r="ERK191" s="50"/>
      <c r="ERL191" s="50"/>
      <c r="ERM191" s="50"/>
      <c r="ERN191" s="50"/>
      <c r="ERO191" s="50"/>
      <c r="ERP191" s="50"/>
      <c r="ERQ191" s="50"/>
      <c r="ERR191" s="50"/>
      <c r="ERS191" s="50"/>
      <c r="ERT191" s="50"/>
      <c r="ERU191" s="50"/>
      <c r="ERV191" s="50"/>
      <c r="ERW191" s="50"/>
      <c r="ERX191" s="50"/>
      <c r="ERY191" s="50"/>
      <c r="ERZ191" s="50"/>
      <c r="ESA191" s="50"/>
      <c r="ESB191" s="50"/>
      <c r="ESC191" s="50"/>
      <c r="ESD191" s="50"/>
      <c r="ESE191" s="50"/>
      <c r="ESF191" s="50"/>
      <c r="ESG191" s="50"/>
      <c r="ESH191" s="50"/>
      <c r="ESI191" s="50"/>
      <c r="ESJ191" s="50"/>
      <c r="ESK191" s="50"/>
      <c r="ESL191" s="50"/>
      <c r="ESM191" s="50"/>
      <c r="ESN191" s="50"/>
      <c r="ESO191" s="50"/>
      <c r="ESP191" s="50"/>
      <c r="ESQ191" s="50"/>
      <c r="ESR191" s="50"/>
      <c r="ESS191" s="50"/>
      <c r="EST191" s="50"/>
      <c r="ESU191" s="50"/>
      <c r="ESV191" s="50"/>
      <c r="ESW191" s="50"/>
      <c r="ESX191" s="50"/>
      <c r="ESY191" s="50"/>
      <c r="ESZ191" s="50"/>
      <c r="ETA191" s="50"/>
      <c r="ETB191" s="50"/>
      <c r="ETC191" s="50"/>
      <c r="ETD191" s="50"/>
      <c r="ETE191" s="50"/>
      <c r="ETF191" s="50"/>
      <c r="ETG191" s="50"/>
      <c r="ETH191" s="50"/>
      <c r="ETI191" s="50"/>
      <c r="ETJ191" s="50"/>
      <c r="ETK191" s="50"/>
      <c r="ETL191" s="50"/>
      <c r="ETM191" s="50"/>
      <c r="ETN191" s="50"/>
      <c r="ETO191" s="50"/>
      <c r="ETP191" s="50"/>
      <c r="ETQ191" s="50"/>
      <c r="ETR191" s="50"/>
      <c r="ETS191" s="50"/>
      <c r="ETT191" s="50"/>
      <c r="ETU191" s="50"/>
      <c r="ETV191" s="50"/>
      <c r="ETW191" s="50"/>
      <c r="ETX191" s="50"/>
      <c r="ETY191" s="50"/>
      <c r="ETZ191" s="50"/>
      <c r="EUA191" s="50"/>
      <c r="EUB191" s="50"/>
      <c r="EUC191" s="50"/>
      <c r="EUD191" s="50"/>
      <c r="EUE191" s="50"/>
      <c r="EUF191" s="50"/>
      <c r="EUG191" s="50"/>
      <c r="EUH191" s="50"/>
      <c r="EUI191" s="50"/>
      <c r="EUJ191" s="50"/>
      <c r="EUK191" s="50"/>
      <c r="EUL191" s="50"/>
      <c r="EUM191" s="50"/>
      <c r="EUN191" s="50"/>
      <c r="EUO191" s="50"/>
      <c r="EUP191" s="50"/>
      <c r="EUQ191" s="50"/>
      <c r="EUR191" s="50"/>
      <c r="EUS191" s="50"/>
      <c r="EUT191" s="50"/>
      <c r="EUU191" s="50"/>
      <c r="EUV191" s="50"/>
      <c r="EUW191" s="50"/>
      <c r="EUX191" s="50"/>
      <c r="EUY191" s="50"/>
      <c r="EUZ191" s="50"/>
      <c r="EVA191" s="50"/>
      <c r="EVB191" s="50"/>
      <c r="EVC191" s="50"/>
      <c r="EVD191" s="50"/>
      <c r="EVE191" s="50"/>
      <c r="EVF191" s="50"/>
      <c r="EVG191" s="50"/>
      <c r="EVH191" s="50"/>
      <c r="EVI191" s="50"/>
      <c r="EVJ191" s="50"/>
      <c r="EVK191" s="50"/>
      <c r="EVL191" s="50"/>
      <c r="EVM191" s="50"/>
      <c r="EVN191" s="50"/>
      <c r="EVO191" s="50"/>
      <c r="EVP191" s="50"/>
      <c r="EVQ191" s="50"/>
      <c r="EVR191" s="50"/>
      <c r="EVS191" s="50"/>
      <c r="EVT191" s="50"/>
      <c r="EVU191" s="50"/>
      <c r="EVV191" s="50"/>
      <c r="EVW191" s="50"/>
      <c r="EVX191" s="50"/>
      <c r="EVY191" s="50"/>
      <c r="EVZ191" s="50"/>
      <c r="EWA191" s="50"/>
      <c r="EWB191" s="50"/>
      <c r="EWC191" s="50"/>
      <c r="EWD191" s="50"/>
      <c r="EWE191" s="50"/>
      <c r="EWF191" s="50"/>
      <c r="EWG191" s="50"/>
      <c r="EWH191" s="50"/>
      <c r="EWI191" s="50"/>
      <c r="EWJ191" s="50"/>
      <c r="EWK191" s="50"/>
      <c r="EWL191" s="50"/>
      <c r="EWM191" s="50"/>
      <c r="EWN191" s="50"/>
      <c r="EWO191" s="50"/>
      <c r="EWP191" s="50"/>
      <c r="EWQ191" s="50"/>
      <c r="EWR191" s="50"/>
      <c r="EWS191" s="50"/>
      <c r="EWT191" s="50"/>
      <c r="EWU191" s="50"/>
      <c r="EWV191" s="50"/>
      <c r="EWW191" s="50"/>
      <c r="EWX191" s="50"/>
      <c r="EWY191" s="50"/>
      <c r="EWZ191" s="50"/>
      <c r="EXA191" s="50"/>
      <c r="EXB191" s="50"/>
      <c r="EXC191" s="50"/>
      <c r="EXD191" s="50"/>
      <c r="EXE191" s="50"/>
      <c r="EXF191" s="50"/>
      <c r="EXG191" s="50"/>
      <c r="EXH191" s="50"/>
      <c r="EXI191" s="50"/>
      <c r="EXJ191" s="50"/>
      <c r="EXK191" s="50"/>
      <c r="EXL191" s="50"/>
      <c r="EXM191" s="50"/>
      <c r="EXN191" s="50"/>
      <c r="EXO191" s="50"/>
      <c r="EXP191" s="50"/>
      <c r="EXQ191" s="50"/>
      <c r="EXR191" s="50"/>
      <c r="EXS191" s="50"/>
      <c r="EXT191" s="50"/>
      <c r="EXU191" s="50"/>
      <c r="EXV191" s="50"/>
      <c r="EXW191" s="50"/>
      <c r="EXX191" s="50"/>
      <c r="EXY191" s="50"/>
      <c r="EXZ191" s="50"/>
      <c r="EYA191" s="50"/>
      <c r="EYB191" s="50"/>
      <c r="EYC191" s="50"/>
      <c r="EYD191" s="50"/>
      <c r="EYE191" s="50"/>
      <c r="EYF191" s="50"/>
      <c r="EYG191" s="50"/>
      <c r="EYH191" s="50"/>
      <c r="EYI191" s="50"/>
      <c r="EYJ191" s="50"/>
      <c r="EYK191" s="50"/>
      <c r="EYL191" s="50"/>
      <c r="EYM191" s="50"/>
      <c r="EYN191" s="50"/>
      <c r="EYO191" s="50"/>
      <c r="EYP191" s="50"/>
      <c r="EYQ191" s="50"/>
      <c r="EYR191" s="50"/>
      <c r="EYS191" s="50"/>
      <c r="EYT191" s="50"/>
      <c r="EYU191" s="50"/>
      <c r="EYV191" s="50"/>
      <c r="EYW191" s="50"/>
      <c r="EYX191" s="50"/>
      <c r="EYY191" s="50"/>
      <c r="EYZ191" s="50"/>
      <c r="EZA191" s="50"/>
      <c r="EZB191" s="50"/>
      <c r="EZC191" s="50"/>
      <c r="EZD191" s="50"/>
      <c r="EZE191" s="50"/>
      <c r="EZF191" s="50"/>
      <c r="EZG191" s="50"/>
      <c r="EZH191" s="50"/>
      <c r="EZI191" s="50"/>
      <c r="EZJ191" s="50"/>
      <c r="EZK191" s="50"/>
      <c r="EZL191" s="50"/>
      <c r="EZM191" s="50"/>
      <c r="EZN191" s="50"/>
      <c r="EZO191" s="50"/>
      <c r="EZP191" s="50"/>
      <c r="EZQ191" s="50"/>
      <c r="EZR191" s="50"/>
      <c r="EZS191" s="50"/>
      <c r="EZT191" s="50"/>
      <c r="EZU191" s="50"/>
      <c r="EZV191" s="50"/>
      <c r="EZW191" s="50"/>
      <c r="EZX191" s="50"/>
      <c r="EZY191" s="50"/>
      <c r="EZZ191" s="50"/>
      <c r="FAA191" s="50"/>
      <c r="FAB191" s="50"/>
      <c r="FAC191" s="50"/>
      <c r="FAD191" s="50"/>
      <c r="FAE191" s="50"/>
      <c r="FAF191" s="50"/>
      <c r="FAG191" s="50"/>
      <c r="FAH191" s="50"/>
      <c r="FAI191" s="50"/>
      <c r="FAJ191" s="50"/>
      <c r="FAK191" s="50"/>
      <c r="FAL191" s="50"/>
      <c r="FAM191" s="50"/>
      <c r="FAN191" s="50"/>
      <c r="FAO191" s="50"/>
      <c r="FAP191" s="50"/>
      <c r="FAQ191" s="50"/>
      <c r="FAR191" s="50"/>
      <c r="FAS191" s="50"/>
      <c r="FAT191" s="50"/>
      <c r="FAU191" s="50"/>
      <c r="FAV191" s="50"/>
      <c r="FAW191" s="50"/>
      <c r="FAX191" s="50"/>
      <c r="FAY191" s="50"/>
      <c r="FAZ191" s="50"/>
      <c r="FBA191" s="50"/>
      <c r="FBB191" s="50"/>
      <c r="FBC191" s="50"/>
      <c r="FBD191" s="50"/>
      <c r="FBE191" s="50"/>
      <c r="FBF191" s="50"/>
      <c r="FBG191" s="50"/>
      <c r="FBH191" s="50"/>
      <c r="FBI191" s="50"/>
      <c r="FBJ191" s="50"/>
      <c r="FBK191" s="50"/>
      <c r="FBL191" s="50"/>
      <c r="FBM191" s="50"/>
      <c r="FBN191" s="50"/>
      <c r="FBO191" s="50"/>
      <c r="FBP191" s="50"/>
      <c r="FBQ191" s="50"/>
      <c r="FBR191" s="50"/>
      <c r="FBS191" s="50"/>
      <c r="FBT191" s="50"/>
      <c r="FBU191" s="50"/>
      <c r="FBV191" s="50"/>
      <c r="FBW191" s="50"/>
      <c r="FBX191" s="50"/>
      <c r="FBY191" s="50"/>
      <c r="FBZ191" s="50"/>
      <c r="FCA191" s="50"/>
      <c r="FCB191" s="50"/>
      <c r="FCC191" s="50"/>
      <c r="FCD191" s="50"/>
      <c r="FCE191" s="50"/>
      <c r="FCF191" s="50"/>
      <c r="FCG191" s="50"/>
      <c r="FCH191" s="50"/>
      <c r="FCI191" s="50"/>
      <c r="FCJ191" s="50"/>
      <c r="FCK191" s="50"/>
      <c r="FCL191" s="50"/>
      <c r="FCM191" s="50"/>
      <c r="FCN191" s="50"/>
      <c r="FCO191" s="50"/>
      <c r="FCP191" s="50"/>
      <c r="FCQ191" s="50"/>
      <c r="FCR191" s="50"/>
      <c r="FCS191" s="50"/>
      <c r="FCT191" s="50"/>
      <c r="FCU191" s="50"/>
      <c r="FCV191" s="50"/>
      <c r="FCW191" s="50"/>
      <c r="FCX191" s="50"/>
      <c r="FCY191" s="50"/>
      <c r="FCZ191" s="50"/>
      <c r="FDA191" s="50"/>
      <c r="FDB191" s="50"/>
      <c r="FDC191" s="50"/>
      <c r="FDD191" s="50"/>
      <c r="FDE191" s="50"/>
      <c r="FDF191" s="50"/>
      <c r="FDG191" s="50"/>
      <c r="FDH191" s="50"/>
      <c r="FDI191" s="50"/>
      <c r="FDJ191" s="50"/>
      <c r="FDK191" s="50"/>
      <c r="FDL191" s="50"/>
      <c r="FDM191" s="50"/>
      <c r="FDN191" s="50"/>
      <c r="FDO191" s="50"/>
      <c r="FDP191" s="50"/>
      <c r="FDQ191" s="50"/>
      <c r="FDR191" s="50"/>
      <c r="FDS191" s="50"/>
      <c r="FDT191" s="50"/>
      <c r="FDU191" s="50"/>
      <c r="FDV191" s="50"/>
      <c r="FDW191" s="50"/>
      <c r="FDX191" s="50"/>
      <c r="FDY191" s="50"/>
      <c r="FDZ191" s="50"/>
      <c r="FEA191" s="50"/>
      <c r="FEB191" s="50"/>
      <c r="FEC191" s="50"/>
      <c r="FED191" s="50"/>
      <c r="FEE191" s="50"/>
      <c r="FEF191" s="50"/>
      <c r="FEG191" s="50"/>
      <c r="FEH191" s="50"/>
      <c r="FEI191" s="50"/>
      <c r="FEJ191" s="50"/>
      <c r="FEK191" s="50"/>
      <c r="FEL191" s="50"/>
      <c r="FEM191" s="50"/>
      <c r="FEN191" s="50"/>
      <c r="FEO191" s="50"/>
      <c r="FEP191" s="50"/>
      <c r="FEQ191" s="50"/>
      <c r="FER191" s="50"/>
      <c r="FES191" s="50"/>
      <c r="FET191" s="50"/>
      <c r="FEU191" s="50"/>
      <c r="FEV191" s="50"/>
      <c r="FEW191" s="50"/>
      <c r="FEX191" s="50"/>
      <c r="FEY191" s="50"/>
      <c r="FEZ191" s="50"/>
      <c r="FFA191" s="50"/>
      <c r="FFB191" s="50"/>
      <c r="FFC191" s="50"/>
      <c r="FFD191" s="50"/>
      <c r="FFE191" s="50"/>
      <c r="FFF191" s="50"/>
      <c r="FFG191" s="50"/>
      <c r="FFH191" s="50"/>
      <c r="FFI191" s="50"/>
      <c r="FFJ191" s="50"/>
      <c r="FFK191" s="50"/>
      <c r="FFL191" s="50"/>
      <c r="FFM191" s="50"/>
      <c r="FFN191" s="50"/>
      <c r="FFO191" s="50"/>
      <c r="FFP191" s="50"/>
      <c r="FFQ191" s="50"/>
      <c r="FFR191" s="50"/>
      <c r="FFS191" s="50"/>
      <c r="FFT191" s="50"/>
      <c r="FFU191" s="50"/>
      <c r="FFV191" s="50"/>
      <c r="FFW191" s="50"/>
      <c r="FFX191" s="50"/>
      <c r="FFY191" s="50"/>
      <c r="FFZ191" s="50"/>
      <c r="FGA191" s="50"/>
      <c r="FGB191" s="50"/>
      <c r="FGC191" s="50"/>
      <c r="FGD191" s="50"/>
      <c r="FGE191" s="50"/>
      <c r="FGF191" s="50"/>
      <c r="FGG191" s="50"/>
      <c r="FGH191" s="50"/>
      <c r="FGI191" s="50"/>
      <c r="FGJ191" s="50"/>
      <c r="FGK191" s="50"/>
      <c r="FGL191" s="50"/>
      <c r="FGM191" s="50"/>
      <c r="FGN191" s="50"/>
      <c r="FGO191" s="50"/>
      <c r="FGP191" s="50"/>
      <c r="FGQ191" s="50"/>
      <c r="FGR191" s="50"/>
      <c r="FGS191" s="50"/>
      <c r="FGT191" s="50"/>
      <c r="FGU191" s="50"/>
      <c r="FGV191" s="50"/>
      <c r="FGW191" s="50"/>
      <c r="FGX191" s="50"/>
      <c r="FGY191" s="50"/>
      <c r="FGZ191" s="50"/>
      <c r="FHA191" s="50"/>
      <c r="FHB191" s="50"/>
      <c r="FHC191" s="50"/>
      <c r="FHD191" s="50"/>
      <c r="FHE191" s="50"/>
      <c r="FHF191" s="50"/>
      <c r="FHG191" s="50"/>
      <c r="FHH191" s="50"/>
      <c r="FHI191" s="50"/>
      <c r="FHJ191" s="50"/>
      <c r="FHK191" s="50"/>
      <c r="FHL191" s="50"/>
      <c r="FHM191" s="50"/>
      <c r="FHN191" s="50"/>
      <c r="FHO191" s="50"/>
      <c r="FHP191" s="50"/>
      <c r="FHQ191" s="50"/>
      <c r="FHR191" s="50"/>
      <c r="FHS191" s="50"/>
      <c r="FHT191" s="50"/>
      <c r="FHU191" s="50"/>
      <c r="FHV191" s="50"/>
      <c r="FHW191" s="50"/>
      <c r="FHX191" s="50"/>
      <c r="FHY191" s="50"/>
      <c r="FHZ191" s="50"/>
      <c r="FIA191" s="50"/>
      <c r="FIB191" s="50"/>
      <c r="FIC191" s="50"/>
      <c r="FID191" s="50"/>
      <c r="FIE191" s="50"/>
      <c r="FIF191" s="50"/>
      <c r="FIG191" s="50"/>
      <c r="FIH191" s="50"/>
      <c r="FII191" s="50"/>
      <c r="FIJ191" s="50"/>
      <c r="FIK191" s="50"/>
      <c r="FIL191" s="50"/>
      <c r="FIM191" s="50"/>
      <c r="FIN191" s="50"/>
      <c r="FIO191" s="50"/>
      <c r="FIP191" s="50"/>
      <c r="FIQ191" s="50"/>
      <c r="FIR191" s="50"/>
      <c r="FIS191" s="50"/>
      <c r="FIT191" s="50"/>
      <c r="FIU191" s="50"/>
      <c r="FIV191" s="50"/>
      <c r="FIW191" s="50"/>
      <c r="FIX191" s="50"/>
      <c r="FIY191" s="50"/>
      <c r="FIZ191" s="50"/>
      <c r="FJA191" s="50"/>
      <c r="FJB191" s="50"/>
      <c r="FJC191" s="50"/>
      <c r="FJD191" s="50"/>
      <c r="FJE191" s="50"/>
      <c r="FJF191" s="50"/>
      <c r="FJG191" s="50"/>
      <c r="FJH191" s="50"/>
      <c r="FJI191" s="50"/>
      <c r="FJJ191" s="50"/>
      <c r="FJK191" s="50"/>
      <c r="FJL191" s="50"/>
      <c r="FJM191" s="50"/>
      <c r="FJN191" s="50"/>
      <c r="FJO191" s="50"/>
      <c r="FJP191" s="50"/>
      <c r="FJQ191" s="50"/>
      <c r="FJR191" s="50"/>
      <c r="FJS191" s="50"/>
      <c r="FJT191" s="50"/>
      <c r="FJU191" s="50"/>
      <c r="FJV191" s="50"/>
      <c r="FJW191" s="50"/>
      <c r="FJX191" s="50"/>
      <c r="FJY191" s="50"/>
      <c r="FJZ191" s="50"/>
      <c r="FKA191" s="50"/>
      <c r="FKB191" s="50"/>
      <c r="FKC191" s="50"/>
      <c r="FKD191" s="50"/>
      <c r="FKE191" s="50"/>
      <c r="FKF191" s="50"/>
      <c r="FKG191" s="50"/>
      <c r="FKH191" s="50"/>
      <c r="FKI191" s="50"/>
      <c r="FKJ191" s="50"/>
      <c r="FKK191" s="50"/>
      <c r="FKL191" s="50"/>
      <c r="FKM191" s="50"/>
      <c r="FKN191" s="50"/>
      <c r="FKO191" s="50"/>
      <c r="FKP191" s="50"/>
      <c r="FKQ191" s="50"/>
      <c r="FKR191" s="50"/>
      <c r="FKS191" s="50"/>
      <c r="FKT191" s="50"/>
      <c r="FKU191" s="50"/>
      <c r="FKV191" s="50"/>
      <c r="FKW191" s="50"/>
      <c r="FKX191" s="50"/>
      <c r="FKY191" s="50"/>
      <c r="FKZ191" s="50"/>
      <c r="FLA191" s="50"/>
      <c r="FLB191" s="50"/>
      <c r="FLC191" s="50"/>
      <c r="FLD191" s="50"/>
      <c r="FLE191" s="50"/>
      <c r="FLF191" s="50"/>
      <c r="FLG191" s="50"/>
      <c r="FLH191" s="50"/>
      <c r="FLI191" s="50"/>
      <c r="FLJ191" s="50"/>
      <c r="FLK191" s="50"/>
      <c r="FLL191" s="50"/>
      <c r="FLM191" s="50"/>
      <c r="FLN191" s="50"/>
      <c r="FLO191" s="50"/>
      <c r="FLP191" s="50"/>
      <c r="FLQ191" s="50"/>
      <c r="FLR191" s="50"/>
      <c r="FLS191" s="50"/>
      <c r="FLT191" s="50"/>
      <c r="FLU191" s="50"/>
      <c r="FLV191" s="50"/>
      <c r="FLW191" s="50"/>
      <c r="FLX191" s="50"/>
      <c r="FLY191" s="50"/>
      <c r="FLZ191" s="50"/>
      <c r="FMA191" s="50"/>
      <c r="FMB191" s="50"/>
      <c r="FMC191" s="50"/>
      <c r="FMD191" s="50"/>
      <c r="FME191" s="50"/>
      <c r="FMF191" s="50"/>
      <c r="FMG191" s="50"/>
      <c r="FMH191" s="50"/>
      <c r="FMI191" s="50"/>
      <c r="FMJ191" s="50"/>
      <c r="FMK191" s="50"/>
      <c r="FML191" s="50"/>
      <c r="FMM191" s="50"/>
      <c r="FMN191" s="50"/>
      <c r="FMO191" s="50"/>
      <c r="FMP191" s="50"/>
      <c r="FMQ191" s="50"/>
      <c r="FMR191" s="50"/>
      <c r="FMS191" s="50"/>
      <c r="FMT191" s="50"/>
      <c r="FMU191" s="50"/>
      <c r="FMV191" s="50"/>
      <c r="FMW191" s="50"/>
      <c r="FMX191" s="50"/>
      <c r="FMY191" s="50"/>
      <c r="FMZ191" s="50"/>
      <c r="FNA191" s="50"/>
      <c r="FNB191" s="50"/>
      <c r="FNC191" s="50"/>
      <c r="FND191" s="50"/>
      <c r="FNE191" s="50"/>
      <c r="FNF191" s="50"/>
      <c r="FNG191" s="50"/>
      <c r="FNH191" s="50"/>
      <c r="FNI191" s="50"/>
      <c r="FNJ191" s="50"/>
      <c r="FNK191" s="50"/>
      <c r="FNL191" s="50"/>
      <c r="FNM191" s="50"/>
      <c r="FNN191" s="50"/>
      <c r="FNO191" s="50"/>
      <c r="FNP191" s="50"/>
      <c r="FNQ191" s="50"/>
      <c r="FNR191" s="50"/>
      <c r="FNS191" s="50"/>
      <c r="FNT191" s="50"/>
      <c r="FNU191" s="50"/>
      <c r="FNV191" s="50"/>
      <c r="FNW191" s="50"/>
      <c r="FNX191" s="50"/>
      <c r="FNY191" s="50"/>
      <c r="FNZ191" s="50"/>
      <c r="FOA191" s="50"/>
      <c r="FOB191" s="50"/>
      <c r="FOC191" s="50"/>
      <c r="FOD191" s="50"/>
      <c r="FOE191" s="50"/>
      <c r="FOF191" s="50"/>
      <c r="FOG191" s="50"/>
      <c r="FOH191" s="50"/>
      <c r="FOI191" s="50"/>
      <c r="FOJ191" s="50"/>
      <c r="FOK191" s="50"/>
      <c r="FOL191" s="50"/>
      <c r="FOM191" s="50"/>
      <c r="FON191" s="50"/>
      <c r="FOO191" s="50"/>
      <c r="FOP191" s="50"/>
      <c r="FOQ191" s="50"/>
      <c r="FOR191" s="50"/>
      <c r="FOS191" s="50"/>
      <c r="FOT191" s="50"/>
      <c r="FOU191" s="50"/>
      <c r="FOV191" s="50"/>
      <c r="FOW191" s="50"/>
      <c r="FOX191" s="50"/>
      <c r="FOY191" s="50"/>
      <c r="FOZ191" s="50"/>
      <c r="FPA191" s="50"/>
      <c r="FPB191" s="50"/>
      <c r="FPC191" s="50"/>
      <c r="FPD191" s="50"/>
      <c r="FPE191" s="50"/>
      <c r="FPF191" s="50"/>
      <c r="FPG191" s="50"/>
      <c r="FPH191" s="50"/>
      <c r="FPI191" s="50"/>
      <c r="FPJ191" s="50"/>
      <c r="FPK191" s="50"/>
      <c r="FPL191" s="50"/>
      <c r="FPM191" s="50"/>
      <c r="FPN191" s="50"/>
      <c r="FPO191" s="50"/>
      <c r="FPP191" s="50"/>
      <c r="FPQ191" s="50"/>
      <c r="FPR191" s="50"/>
      <c r="FPS191" s="50"/>
      <c r="FPT191" s="50"/>
      <c r="FPU191" s="50"/>
      <c r="FPV191" s="50"/>
      <c r="FPW191" s="50"/>
      <c r="FPX191" s="50"/>
      <c r="FPY191" s="50"/>
      <c r="FPZ191" s="50"/>
      <c r="FQA191" s="50"/>
      <c r="FQB191" s="50"/>
      <c r="FQC191" s="50"/>
      <c r="FQD191" s="50"/>
      <c r="FQE191" s="50"/>
      <c r="FQF191" s="50"/>
      <c r="FQG191" s="50"/>
      <c r="FQH191" s="50"/>
      <c r="FQI191" s="50"/>
      <c r="FQJ191" s="50"/>
      <c r="FQK191" s="50"/>
      <c r="FQL191" s="50"/>
      <c r="FQM191" s="50"/>
      <c r="FQN191" s="50"/>
      <c r="FQO191" s="50"/>
      <c r="FQP191" s="50"/>
      <c r="FQQ191" s="50"/>
      <c r="FQR191" s="50"/>
      <c r="FQS191" s="50"/>
      <c r="FQT191" s="50"/>
      <c r="FQU191" s="50"/>
      <c r="FQV191" s="50"/>
      <c r="FQW191" s="50"/>
      <c r="FQX191" s="50"/>
      <c r="FQY191" s="50"/>
      <c r="FQZ191" s="50"/>
      <c r="FRA191" s="50"/>
      <c r="FRB191" s="50"/>
      <c r="FRC191" s="50"/>
      <c r="FRD191" s="50"/>
      <c r="FRE191" s="50"/>
      <c r="FRF191" s="50"/>
      <c r="FRG191" s="50"/>
      <c r="FRH191" s="50"/>
      <c r="FRI191" s="50"/>
      <c r="FRJ191" s="50"/>
      <c r="FRK191" s="50"/>
      <c r="FRL191" s="50"/>
      <c r="FRM191" s="50"/>
      <c r="FRN191" s="50"/>
      <c r="FRO191" s="50"/>
      <c r="FRP191" s="50"/>
      <c r="FRQ191" s="50"/>
      <c r="FRR191" s="50"/>
      <c r="FRS191" s="50"/>
      <c r="FRT191" s="50"/>
      <c r="FRU191" s="50"/>
      <c r="FRV191" s="50"/>
      <c r="FRW191" s="50"/>
      <c r="FRX191" s="50"/>
      <c r="FRY191" s="50"/>
      <c r="FRZ191" s="50"/>
      <c r="FSA191" s="50"/>
      <c r="FSB191" s="50"/>
      <c r="FSC191" s="50"/>
      <c r="FSD191" s="50"/>
      <c r="FSE191" s="50"/>
      <c r="FSF191" s="50"/>
      <c r="FSG191" s="50"/>
      <c r="FSH191" s="50"/>
      <c r="FSI191" s="50"/>
      <c r="FSJ191" s="50"/>
      <c r="FSK191" s="50"/>
      <c r="FSL191" s="50"/>
      <c r="FSM191" s="50"/>
      <c r="FSN191" s="50"/>
      <c r="FSO191" s="50"/>
      <c r="FSP191" s="50"/>
      <c r="FSQ191" s="50"/>
      <c r="FSR191" s="50"/>
      <c r="FSS191" s="50"/>
      <c r="FST191" s="50"/>
      <c r="FSU191" s="50"/>
      <c r="FSV191" s="50"/>
      <c r="FSW191" s="50"/>
      <c r="FSX191" s="50"/>
      <c r="FSY191" s="50"/>
      <c r="FSZ191" s="50"/>
      <c r="FTA191" s="50"/>
      <c r="FTB191" s="50"/>
      <c r="FTC191" s="50"/>
      <c r="FTD191" s="50"/>
      <c r="FTE191" s="50"/>
      <c r="FTF191" s="50"/>
      <c r="FTG191" s="50"/>
      <c r="FTH191" s="50"/>
      <c r="FTI191" s="50"/>
      <c r="FTJ191" s="50"/>
      <c r="FTK191" s="50"/>
      <c r="FTL191" s="50"/>
      <c r="FTM191" s="50"/>
      <c r="FTN191" s="50"/>
      <c r="FTO191" s="50"/>
      <c r="FTP191" s="50"/>
      <c r="FTQ191" s="50"/>
      <c r="FTR191" s="50"/>
      <c r="FTS191" s="50"/>
      <c r="FTT191" s="50"/>
      <c r="FTU191" s="50"/>
      <c r="FTV191" s="50"/>
      <c r="FTW191" s="50"/>
      <c r="FTX191" s="50"/>
      <c r="FTY191" s="50"/>
      <c r="FTZ191" s="50"/>
      <c r="FUA191" s="50"/>
      <c r="FUB191" s="50"/>
      <c r="FUC191" s="50"/>
      <c r="FUD191" s="50"/>
      <c r="FUE191" s="50"/>
      <c r="FUF191" s="50"/>
      <c r="FUG191" s="50"/>
      <c r="FUH191" s="50"/>
      <c r="FUI191" s="50"/>
      <c r="FUJ191" s="50"/>
      <c r="FUK191" s="50"/>
      <c r="FUL191" s="50"/>
      <c r="FUM191" s="50"/>
      <c r="FUN191" s="50"/>
      <c r="FUO191" s="50"/>
      <c r="FUP191" s="50"/>
      <c r="FUQ191" s="50"/>
      <c r="FUR191" s="50"/>
      <c r="FUS191" s="50"/>
      <c r="FUT191" s="50"/>
      <c r="FUU191" s="50"/>
      <c r="FUV191" s="50"/>
      <c r="FUW191" s="50"/>
      <c r="FUX191" s="50"/>
      <c r="FUY191" s="50"/>
      <c r="FUZ191" s="50"/>
      <c r="FVA191" s="50"/>
      <c r="FVB191" s="50"/>
      <c r="FVC191" s="50"/>
      <c r="FVD191" s="50"/>
      <c r="FVE191" s="50"/>
      <c r="FVF191" s="50"/>
      <c r="FVG191" s="50"/>
      <c r="FVH191" s="50"/>
      <c r="FVI191" s="50"/>
      <c r="FVJ191" s="50"/>
      <c r="FVK191" s="50"/>
      <c r="FVL191" s="50"/>
      <c r="FVM191" s="50"/>
      <c r="FVN191" s="50"/>
      <c r="FVO191" s="50"/>
      <c r="FVP191" s="50"/>
      <c r="FVQ191" s="50"/>
      <c r="FVR191" s="50"/>
      <c r="FVS191" s="50"/>
      <c r="FVT191" s="50"/>
      <c r="FVU191" s="50"/>
      <c r="FVV191" s="50"/>
      <c r="FVW191" s="50"/>
      <c r="FVX191" s="50"/>
      <c r="FVY191" s="50"/>
      <c r="FVZ191" s="50"/>
      <c r="FWA191" s="50"/>
      <c r="FWB191" s="50"/>
      <c r="FWC191" s="50"/>
      <c r="FWD191" s="50"/>
      <c r="FWE191" s="50"/>
      <c r="FWF191" s="50"/>
      <c r="FWG191" s="50"/>
      <c r="FWH191" s="50"/>
      <c r="FWI191" s="50"/>
      <c r="FWJ191" s="50"/>
      <c r="FWK191" s="50"/>
      <c r="FWL191" s="50"/>
      <c r="FWM191" s="50"/>
      <c r="FWN191" s="50"/>
      <c r="FWO191" s="50"/>
      <c r="FWP191" s="50"/>
      <c r="FWQ191" s="50"/>
      <c r="FWR191" s="50"/>
      <c r="FWS191" s="50"/>
      <c r="FWT191" s="50"/>
      <c r="FWU191" s="50"/>
      <c r="FWV191" s="50"/>
      <c r="FWW191" s="50"/>
      <c r="FWX191" s="50"/>
      <c r="FWY191" s="50"/>
      <c r="FWZ191" s="50"/>
      <c r="FXA191" s="50"/>
      <c r="FXB191" s="50"/>
      <c r="FXC191" s="50"/>
      <c r="FXD191" s="50"/>
      <c r="FXE191" s="50"/>
      <c r="FXF191" s="50"/>
      <c r="FXG191" s="50"/>
      <c r="FXH191" s="50"/>
      <c r="FXI191" s="50"/>
      <c r="FXJ191" s="50"/>
      <c r="FXK191" s="50"/>
      <c r="FXL191" s="50"/>
      <c r="FXM191" s="50"/>
      <c r="FXN191" s="50"/>
      <c r="FXO191" s="50"/>
      <c r="FXP191" s="50"/>
      <c r="FXQ191" s="50"/>
      <c r="FXR191" s="50"/>
      <c r="FXS191" s="50"/>
      <c r="FXT191" s="50"/>
      <c r="FXU191" s="50"/>
      <c r="FXV191" s="50"/>
      <c r="FXW191" s="50"/>
      <c r="FXX191" s="50"/>
      <c r="FXY191" s="50"/>
      <c r="FXZ191" s="50"/>
      <c r="FYA191" s="50"/>
      <c r="FYB191" s="50"/>
      <c r="FYC191" s="50"/>
      <c r="FYD191" s="50"/>
      <c r="FYE191" s="50"/>
      <c r="FYF191" s="50"/>
      <c r="FYG191" s="50"/>
      <c r="FYH191" s="50"/>
      <c r="FYI191" s="50"/>
      <c r="FYJ191" s="50"/>
      <c r="FYK191" s="50"/>
      <c r="FYL191" s="50"/>
      <c r="FYM191" s="50"/>
      <c r="FYN191" s="50"/>
      <c r="FYO191" s="50"/>
      <c r="FYP191" s="50"/>
      <c r="FYQ191" s="50"/>
      <c r="FYR191" s="50"/>
      <c r="FYS191" s="50"/>
      <c r="FYT191" s="50"/>
      <c r="FYU191" s="50"/>
      <c r="FYV191" s="50"/>
      <c r="FYW191" s="50"/>
      <c r="FYX191" s="50"/>
      <c r="FYY191" s="50"/>
      <c r="FYZ191" s="50"/>
      <c r="FZA191" s="50"/>
      <c r="FZB191" s="50"/>
      <c r="FZC191" s="50"/>
      <c r="FZD191" s="50"/>
      <c r="FZE191" s="50"/>
      <c r="FZF191" s="50"/>
      <c r="FZG191" s="50"/>
      <c r="FZH191" s="50"/>
      <c r="FZI191" s="50"/>
      <c r="FZJ191" s="50"/>
      <c r="FZK191" s="50"/>
      <c r="FZL191" s="50"/>
      <c r="FZM191" s="50"/>
      <c r="FZN191" s="50"/>
      <c r="FZO191" s="50"/>
      <c r="FZP191" s="50"/>
      <c r="FZQ191" s="50"/>
      <c r="FZR191" s="50"/>
      <c r="FZS191" s="50"/>
      <c r="FZT191" s="50"/>
      <c r="FZU191" s="50"/>
      <c r="FZV191" s="50"/>
      <c r="FZW191" s="50"/>
      <c r="FZX191" s="50"/>
      <c r="FZY191" s="50"/>
      <c r="FZZ191" s="50"/>
      <c r="GAA191" s="50"/>
      <c r="GAB191" s="50"/>
      <c r="GAC191" s="50"/>
      <c r="GAD191" s="50"/>
      <c r="GAE191" s="50"/>
      <c r="GAF191" s="50"/>
      <c r="GAG191" s="50"/>
      <c r="GAH191" s="50"/>
      <c r="GAI191" s="50"/>
      <c r="GAJ191" s="50"/>
      <c r="GAK191" s="50"/>
      <c r="GAL191" s="50"/>
      <c r="GAM191" s="50"/>
      <c r="GAN191" s="50"/>
      <c r="GAO191" s="50"/>
      <c r="GAP191" s="50"/>
      <c r="GAQ191" s="50"/>
      <c r="GAR191" s="50"/>
      <c r="GAS191" s="50"/>
      <c r="GAT191" s="50"/>
      <c r="GAU191" s="50"/>
      <c r="GAV191" s="50"/>
      <c r="GAW191" s="50"/>
      <c r="GAX191" s="50"/>
      <c r="GAY191" s="50"/>
      <c r="GAZ191" s="50"/>
      <c r="GBA191" s="50"/>
      <c r="GBB191" s="50"/>
      <c r="GBC191" s="50"/>
      <c r="GBD191" s="50"/>
      <c r="GBE191" s="50"/>
      <c r="GBF191" s="50"/>
      <c r="GBG191" s="50"/>
      <c r="GBH191" s="50"/>
      <c r="GBI191" s="50"/>
      <c r="GBJ191" s="50"/>
      <c r="GBK191" s="50"/>
      <c r="GBL191" s="50"/>
      <c r="GBM191" s="50"/>
      <c r="GBN191" s="50"/>
      <c r="GBO191" s="50"/>
      <c r="GBP191" s="50"/>
      <c r="GBQ191" s="50"/>
      <c r="GBR191" s="50"/>
      <c r="GBS191" s="50"/>
      <c r="GBT191" s="50"/>
      <c r="GBU191" s="50"/>
      <c r="GBV191" s="50"/>
      <c r="GBW191" s="50"/>
      <c r="GBX191" s="50"/>
      <c r="GBY191" s="50"/>
      <c r="GBZ191" s="50"/>
      <c r="GCA191" s="50"/>
      <c r="GCB191" s="50"/>
      <c r="GCC191" s="50"/>
      <c r="GCD191" s="50"/>
      <c r="GCE191" s="50"/>
      <c r="GCF191" s="50"/>
      <c r="GCG191" s="50"/>
      <c r="GCH191" s="50"/>
      <c r="GCI191" s="50"/>
      <c r="GCJ191" s="50"/>
      <c r="GCK191" s="50"/>
      <c r="GCL191" s="50"/>
      <c r="GCM191" s="50"/>
      <c r="GCN191" s="50"/>
      <c r="GCO191" s="50"/>
      <c r="GCP191" s="50"/>
      <c r="GCQ191" s="50"/>
      <c r="GCR191" s="50"/>
      <c r="GCS191" s="50"/>
      <c r="GCT191" s="50"/>
      <c r="GCU191" s="50"/>
      <c r="GCV191" s="50"/>
      <c r="GCW191" s="50"/>
      <c r="GCX191" s="50"/>
      <c r="GCY191" s="50"/>
      <c r="GCZ191" s="50"/>
      <c r="GDA191" s="50"/>
      <c r="GDB191" s="50"/>
      <c r="GDC191" s="50"/>
      <c r="GDD191" s="50"/>
      <c r="GDE191" s="50"/>
      <c r="GDF191" s="50"/>
      <c r="GDG191" s="50"/>
      <c r="GDH191" s="50"/>
      <c r="GDI191" s="50"/>
      <c r="GDJ191" s="50"/>
      <c r="GDK191" s="50"/>
      <c r="GDL191" s="50"/>
      <c r="GDM191" s="50"/>
      <c r="GDN191" s="50"/>
      <c r="GDO191" s="50"/>
      <c r="GDP191" s="50"/>
      <c r="GDQ191" s="50"/>
      <c r="GDR191" s="50"/>
      <c r="GDS191" s="50"/>
      <c r="GDT191" s="50"/>
      <c r="GDU191" s="50"/>
      <c r="GDV191" s="50"/>
      <c r="GDW191" s="50"/>
      <c r="GDX191" s="50"/>
      <c r="GDY191" s="50"/>
      <c r="GDZ191" s="50"/>
      <c r="GEA191" s="50"/>
      <c r="GEB191" s="50"/>
      <c r="GEC191" s="50"/>
      <c r="GED191" s="50"/>
      <c r="GEE191" s="50"/>
      <c r="GEF191" s="50"/>
      <c r="GEG191" s="50"/>
      <c r="GEH191" s="50"/>
      <c r="GEI191" s="50"/>
      <c r="GEJ191" s="50"/>
      <c r="GEK191" s="50"/>
      <c r="GEL191" s="50"/>
      <c r="GEM191" s="50"/>
      <c r="GEN191" s="50"/>
      <c r="GEO191" s="50"/>
      <c r="GEP191" s="50"/>
      <c r="GEQ191" s="50"/>
      <c r="GER191" s="50"/>
      <c r="GES191" s="50"/>
      <c r="GET191" s="50"/>
      <c r="GEU191" s="50"/>
      <c r="GEV191" s="50"/>
      <c r="GEW191" s="50"/>
      <c r="GEX191" s="50"/>
      <c r="GEY191" s="50"/>
      <c r="GEZ191" s="50"/>
      <c r="GFA191" s="50"/>
      <c r="GFB191" s="50"/>
      <c r="GFC191" s="50"/>
      <c r="GFD191" s="50"/>
      <c r="GFE191" s="50"/>
      <c r="GFF191" s="50"/>
      <c r="GFG191" s="50"/>
      <c r="GFH191" s="50"/>
      <c r="GFI191" s="50"/>
      <c r="GFJ191" s="50"/>
      <c r="GFK191" s="50"/>
      <c r="GFL191" s="50"/>
      <c r="GFM191" s="50"/>
      <c r="GFN191" s="50"/>
      <c r="GFO191" s="50"/>
      <c r="GFP191" s="50"/>
      <c r="GFQ191" s="50"/>
      <c r="GFR191" s="50"/>
      <c r="GFS191" s="50"/>
      <c r="GFT191" s="50"/>
      <c r="GFU191" s="50"/>
      <c r="GFV191" s="50"/>
      <c r="GFW191" s="50"/>
      <c r="GFX191" s="50"/>
      <c r="GFY191" s="50"/>
      <c r="GFZ191" s="50"/>
      <c r="GGA191" s="50"/>
      <c r="GGB191" s="50"/>
      <c r="GGC191" s="50"/>
      <c r="GGD191" s="50"/>
      <c r="GGE191" s="50"/>
      <c r="GGF191" s="50"/>
      <c r="GGG191" s="50"/>
      <c r="GGH191" s="50"/>
      <c r="GGI191" s="50"/>
      <c r="GGJ191" s="50"/>
      <c r="GGK191" s="50"/>
      <c r="GGL191" s="50"/>
      <c r="GGM191" s="50"/>
      <c r="GGN191" s="50"/>
      <c r="GGO191" s="50"/>
      <c r="GGP191" s="50"/>
      <c r="GGQ191" s="50"/>
      <c r="GGR191" s="50"/>
      <c r="GGS191" s="50"/>
      <c r="GGT191" s="50"/>
      <c r="GGU191" s="50"/>
      <c r="GGV191" s="50"/>
      <c r="GGW191" s="50"/>
      <c r="GGX191" s="50"/>
      <c r="GGY191" s="50"/>
      <c r="GGZ191" s="50"/>
      <c r="GHA191" s="50"/>
      <c r="GHB191" s="50"/>
      <c r="GHC191" s="50"/>
      <c r="GHD191" s="50"/>
      <c r="GHE191" s="50"/>
      <c r="GHF191" s="50"/>
      <c r="GHG191" s="50"/>
      <c r="GHH191" s="50"/>
      <c r="GHI191" s="50"/>
      <c r="GHJ191" s="50"/>
      <c r="GHK191" s="50"/>
      <c r="GHL191" s="50"/>
      <c r="GHM191" s="50"/>
      <c r="GHN191" s="50"/>
      <c r="GHO191" s="50"/>
      <c r="GHP191" s="50"/>
      <c r="GHQ191" s="50"/>
      <c r="GHR191" s="50"/>
      <c r="GHS191" s="50"/>
      <c r="GHT191" s="50"/>
      <c r="GHU191" s="50"/>
      <c r="GHV191" s="50"/>
      <c r="GHW191" s="50"/>
      <c r="GHX191" s="50"/>
      <c r="GHY191" s="50"/>
      <c r="GHZ191" s="50"/>
      <c r="GIA191" s="50"/>
      <c r="GIB191" s="50"/>
      <c r="GIC191" s="50"/>
      <c r="GID191" s="50"/>
      <c r="GIE191" s="50"/>
      <c r="GIF191" s="50"/>
      <c r="GIG191" s="50"/>
      <c r="GIH191" s="50"/>
      <c r="GII191" s="50"/>
      <c r="GIJ191" s="50"/>
      <c r="GIK191" s="50"/>
      <c r="GIL191" s="50"/>
      <c r="GIM191" s="50"/>
      <c r="GIN191" s="50"/>
      <c r="GIO191" s="50"/>
      <c r="GIP191" s="50"/>
      <c r="GIQ191" s="50"/>
      <c r="GIR191" s="50"/>
      <c r="GIS191" s="50"/>
      <c r="GIT191" s="50"/>
      <c r="GIU191" s="50"/>
      <c r="GIV191" s="50"/>
      <c r="GIW191" s="50"/>
      <c r="GIX191" s="50"/>
      <c r="GIY191" s="50"/>
      <c r="GIZ191" s="50"/>
      <c r="GJA191" s="50"/>
      <c r="GJB191" s="50"/>
      <c r="GJC191" s="50"/>
      <c r="GJD191" s="50"/>
      <c r="GJE191" s="50"/>
      <c r="GJF191" s="50"/>
      <c r="GJG191" s="50"/>
      <c r="GJH191" s="50"/>
      <c r="GJI191" s="50"/>
      <c r="GJJ191" s="50"/>
      <c r="GJK191" s="50"/>
      <c r="GJL191" s="50"/>
      <c r="GJM191" s="50"/>
      <c r="GJN191" s="50"/>
      <c r="GJO191" s="50"/>
      <c r="GJP191" s="50"/>
      <c r="GJQ191" s="50"/>
      <c r="GJR191" s="50"/>
      <c r="GJS191" s="50"/>
      <c r="GJT191" s="50"/>
      <c r="GJU191" s="50"/>
      <c r="GJV191" s="50"/>
      <c r="GJW191" s="50"/>
      <c r="GJX191" s="50"/>
      <c r="GJY191" s="50"/>
      <c r="GJZ191" s="50"/>
      <c r="GKA191" s="50"/>
      <c r="GKB191" s="50"/>
      <c r="GKC191" s="50"/>
      <c r="GKD191" s="50"/>
      <c r="GKE191" s="50"/>
      <c r="GKF191" s="50"/>
      <c r="GKG191" s="50"/>
      <c r="GKH191" s="50"/>
      <c r="GKI191" s="50"/>
      <c r="GKJ191" s="50"/>
      <c r="GKK191" s="50"/>
      <c r="GKL191" s="50"/>
      <c r="GKM191" s="50"/>
      <c r="GKN191" s="50"/>
      <c r="GKO191" s="50"/>
      <c r="GKP191" s="50"/>
      <c r="GKQ191" s="50"/>
      <c r="GKR191" s="50"/>
      <c r="GKS191" s="50"/>
      <c r="GKT191" s="50"/>
      <c r="GKU191" s="50"/>
      <c r="GKV191" s="50"/>
      <c r="GKW191" s="50"/>
      <c r="GKX191" s="50"/>
      <c r="GKY191" s="50"/>
      <c r="GKZ191" s="50"/>
      <c r="GLA191" s="50"/>
      <c r="GLB191" s="50"/>
      <c r="GLC191" s="50"/>
      <c r="GLD191" s="50"/>
      <c r="GLE191" s="50"/>
      <c r="GLF191" s="50"/>
      <c r="GLG191" s="50"/>
      <c r="GLH191" s="50"/>
      <c r="GLI191" s="50"/>
      <c r="GLJ191" s="50"/>
      <c r="GLK191" s="50"/>
      <c r="GLL191" s="50"/>
      <c r="GLM191" s="50"/>
      <c r="GLN191" s="50"/>
      <c r="GLO191" s="50"/>
      <c r="GLP191" s="50"/>
      <c r="GLQ191" s="50"/>
      <c r="GLR191" s="50"/>
      <c r="GLS191" s="50"/>
      <c r="GLT191" s="50"/>
      <c r="GLU191" s="50"/>
      <c r="GLV191" s="50"/>
      <c r="GLW191" s="50"/>
      <c r="GLX191" s="50"/>
      <c r="GLY191" s="50"/>
      <c r="GLZ191" s="50"/>
      <c r="GMA191" s="50"/>
      <c r="GMB191" s="50"/>
      <c r="GMC191" s="50"/>
      <c r="GMD191" s="50"/>
      <c r="GME191" s="50"/>
      <c r="GMF191" s="50"/>
      <c r="GMG191" s="50"/>
      <c r="GMH191" s="50"/>
      <c r="GMI191" s="50"/>
      <c r="GMJ191" s="50"/>
      <c r="GMK191" s="50"/>
      <c r="GML191" s="50"/>
      <c r="GMM191" s="50"/>
      <c r="GMN191" s="50"/>
      <c r="GMO191" s="50"/>
      <c r="GMP191" s="50"/>
      <c r="GMQ191" s="50"/>
      <c r="GMR191" s="50"/>
      <c r="GMS191" s="50"/>
      <c r="GMT191" s="50"/>
      <c r="GMU191" s="50"/>
      <c r="GMV191" s="50"/>
      <c r="GMW191" s="50"/>
      <c r="GMX191" s="50"/>
      <c r="GMY191" s="50"/>
      <c r="GMZ191" s="50"/>
      <c r="GNA191" s="50"/>
      <c r="GNB191" s="50"/>
      <c r="GNC191" s="50"/>
      <c r="GND191" s="50"/>
      <c r="GNE191" s="50"/>
      <c r="GNF191" s="50"/>
      <c r="GNG191" s="50"/>
      <c r="GNH191" s="50"/>
      <c r="GNI191" s="50"/>
      <c r="GNJ191" s="50"/>
      <c r="GNK191" s="50"/>
      <c r="GNL191" s="50"/>
      <c r="GNM191" s="50"/>
      <c r="GNN191" s="50"/>
      <c r="GNO191" s="50"/>
      <c r="GNP191" s="50"/>
      <c r="GNQ191" s="50"/>
      <c r="GNR191" s="50"/>
      <c r="GNS191" s="50"/>
      <c r="GNT191" s="50"/>
      <c r="GNU191" s="50"/>
      <c r="GNV191" s="50"/>
      <c r="GNW191" s="50"/>
      <c r="GNX191" s="50"/>
      <c r="GNY191" s="50"/>
      <c r="GNZ191" s="50"/>
      <c r="GOA191" s="50"/>
      <c r="GOB191" s="50"/>
      <c r="GOC191" s="50"/>
      <c r="GOD191" s="50"/>
      <c r="GOE191" s="50"/>
      <c r="GOF191" s="50"/>
      <c r="GOG191" s="50"/>
      <c r="GOH191" s="50"/>
      <c r="GOI191" s="50"/>
      <c r="GOJ191" s="50"/>
      <c r="GOK191" s="50"/>
      <c r="GOL191" s="50"/>
      <c r="GOM191" s="50"/>
      <c r="GON191" s="50"/>
      <c r="GOO191" s="50"/>
      <c r="GOP191" s="50"/>
      <c r="GOQ191" s="50"/>
      <c r="GOR191" s="50"/>
      <c r="GOS191" s="50"/>
      <c r="GOT191" s="50"/>
      <c r="GOU191" s="50"/>
      <c r="GOV191" s="50"/>
      <c r="GOW191" s="50"/>
      <c r="GOX191" s="50"/>
      <c r="GOY191" s="50"/>
      <c r="GOZ191" s="50"/>
      <c r="GPA191" s="50"/>
      <c r="GPB191" s="50"/>
      <c r="GPC191" s="50"/>
      <c r="GPD191" s="50"/>
      <c r="GPE191" s="50"/>
      <c r="GPF191" s="50"/>
      <c r="GPG191" s="50"/>
      <c r="GPH191" s="50"/>
      <c r="GPI191" s="50"/>
      <c r="GPJ191" s="50"/>
      <c r="GPK191" s="50"/>
      <c r="GPL191" s="50"/>
      <c r="GPM191" s="50"/>
      <c r="GPN191" s="50"/>
      <c r="GPO191" s="50"/>
      <c r="GPP191" s="50"/>
      <c r="GPQ191" s="50"/>
      <c r="GPR191" s="50"/>
      <c r="GPS191" s="50"/>
      <c r="GPT191" s="50"/>
      <c r="GPU191" s="50"/>
      <c r="GPV191" s="50"/>
      <c r="GPW191" s="50"/>
      <c r="GPX191" s="50"/>
      <c r="GPY191" s="50"/>
      <c r="GPZ191" s="50"/>
      <c r="GQA191" s="50"/>
      <c r="GQB191" s="50"/>
      <c r="GQC191" s="50"/>
      <c r="GQD191" s="50"/>
      <c r="GQE191" s="50"/>
      <c r="GQF191" s="50"/>
      <c r="GQG191" s="50"/>
      <c r="GQH191" s="50"/>
      <c r="GQI191" s="50"/>
      <c r="GQJ191" s="50"/>
      <c r="GQK191" s="50"/>
      <c r="GQL191" s="50"/>
      <c r="GQM191" s="50"/>
      <c r="GQN191" s="50"/>
      <c r="GQO191" s="50"/>
      <c r="GQP191" s="50"/>
      <c r="GQQ191" s="50"/>
      <c r="GQR191" s="50"/>
      <c r="GQS191" s="50"/>
      <c r="GQT191" s="50"/>
      <c r="GQU191" s="50"/>
      <c r="GQV191" s="50"/>
      <c r="GQW191" s="50"/>
      <c r="GQX191" s="50"/>
      <c r="GQY191" s="50"/>
      <c r="GQZ191" s="50"/>
      <c r="GRA191" s="50"/>
      <c r="GRB191" s="50"/>
      <c r="GRC191" s="50"/>
      <c r="GRD191" s="50"/>
      <c r="GRE191" s="50"/>
      <c r="GRF191" s="50"/>
      <c r="GRG191" s="50"/>
      <c r="GRH191" s="50"/>
      <c r="GRI191" s="50"/>
      <c r="GRJ191" s="50"/>
      <c r="GRK191" s="50"/>
      <c r="GRL191" s="50"/>
      <c r="GRM191" s="50"/>
      <c r="GRN191" s="50"/>
      <c r="GRO191" s="50"/>
      <c r="GRP191" s="50"/>
      <c r="GRQ191" s="50"/>
      <c r="GRR191" s="50"/>
      <c r="GRS191" s="50"/>
      <c r="GRT191" s="50"/>
      <c r="GRU191" s="50"/>
      <c r="GRV191" s="50"/>
      <c r="GRW191" s="50"/>
      <c r="GRX191" s="50"/>
      <c r="GRY191" s="50"/>
      <c r="GRZ191" s="50"/>
      <c r="GSA191" s="50"/>
      <c r="GSB191" s="50"/>
      <c r="GSC191" s="50"/>
      <c r="GSD191" s="50"/>
      <c r="GSE191" s="50"/>
      <c r="GSF191" s="50"/>
      <c r="GSG191" s="50"/>
      <c r="GSH191" s="50"/>
      <c r="GSI191" s="50"/>
      <c r="GSJ191" s="50"/>
      <c r="GSK191" s="50"/>
      <c r="GSL191" s="50"/>
      <c r="GSM191" s="50"/>
      <c r="GSN191" s="50"/>
      <c r="GSO191" s="50"/>
      <c r="GSP191" s="50"/>
      <c r="GSQ191" s="50"/>
      <c r="GSR191" s="50"/>
      <c r="GSS191" s="50"/>
      <c r="GST191" s="50"/>
      <c r="GSU191" s="50"/>
      <c r="GSV191" s="50"/>
      <c r="GSW191" s="50"/>
      <c r="GSX191" s="50"/>
      <c r="GSY191" s="50"/>
      <c r="GSZ191" s="50"/>
      <c r="GTA191" s="50"/>
      <c r="GTB191" s="50"/>
      <c r="GTC191" s="50"/>
      <c r="GTD191" s="50"/>
      <c r="GTE191" s="50"/>
      <c r="GTF191" s="50"/>
      <c r="GTG191" s="50"/>
      <c r="GTH191" s="50"/>
      <c r="GTI191" s="50"/>
      <c r="GTJ191" s="50"/>
      <c r="GTK191" s="50"/>
      <c r="GTL191" s="50"/>
      <c r="GTM191" s="50"/>
      <c r="GTN191" s="50"/>
      <c r="GTO191" s="50"/>
      <c r="GTP191" s="50"/>
      <c r="GTQ191" s="50"/>
      <c r="GTR191" s="50"/>
      <c r="GTS191" s="50"/>
      <c r="GTT191" s="50"/>
      <c r="GTU191" s="50"/>
      <c r="GTV191" s="50"/>
      <c r="GTW191" s="50"/>
      <c r="GTX191" s="50"/>
      <c r="GTY191" s="50"/>
      <c r="GTZ191" s="50"/>
      <c r="GUA191" s="50"/>
      <c r="GUB191" s="50"/>
      <c r="GUC191" s="50"/>
      <c r="GUD191" s="50"/>
      <c r="GUE191" s="50"/>
      <c r="GUF191" s="50"/>
      <c r="GUG191" s="50"/>
      <c r="GUH191" s="50"/>
      <c r="GUI191" s="50"/>
      <c r="GUJ191" s="50"/>
      <c r="GUK191" s="50"/>
      <c r="GUL191" s="50"/>
      <c r="GUM191" s="50"/>
      <c r="GUN191" s="50"/>
      <c r="GUO191" s="50"/>
      <c r="GUP191" s="50"/>
      <c r="GUQ191" s="50"/>
      <c r="GUR191" s="50"/>
      <c r="GUS191" s="50"/>
      <c r="GUT191" s="50"/>
      <c r="GUU191" s="50"/>
      <c r="GUV191" s="50"/>
      <c r="GUW191" s="50"/>
      <c r="GUX191" s="50"/>
      <c r="GUY191" s="50"/>
      <c r="GUZ191" s="50"/>
      <c r="GVA191" s="50"/>
      <c r="GVB191" s="50"/>
      <c r="GVC191" s="50"/>
      <c r="GVD191" s="50"/>
      <c r="GVE191" s="50"/>
      <c r="GVF191" s="50"/>
      <c r="GVG191" s="50"/>
      <c r="GVH191" s="50"/>
      <c r="GVI191" s="50"/>
      <c r="GVJ191" s="50"/>
      <c r="GVK191" s="50"/>
      <c r="GVL191" s="50"/>
      <c r="GVM191" s="50"/>
      <c r="GVN191" s="50"/>
      <c r="GVO191" s="50"/>
      <c r="GVP191" s="50"/>
      <c r="GVQ191" s="50"/>
      <c r="GVR191" s="50"/>
      <c r="GVS191" s="50"/>
      <c r="GVT191" s="50"/>
      <c r="GVU191" s="50"/>
      <c r="GVV191" s="50"/>
      <c r="GVW191" s="50"/>
      <c r="GVX191" s="50"/>
      <c r="GVY191" s="50"/>
      <c r="GVZ191" s="50"/>
      <c r="GWA191" s="50"/>
      <c r="GWB191" s="50"/>
      <c r="GWC191" s="50"/>
      <c r="GWD191" s="50"/>
      <c r="GWE191" s="50"/>
      <c r="GWF191" s="50"/>
      <c r="GWG191" s="50"/>
      <c r="GWH191" s="50"/>
      <c r="GWI191" s="50"/>
      <c r="GWJ191" s="50"/>
      <c r="GWK191" s="50"/>
      <c r="GWL191" s="50"/>
      <c r="GWM191" s="50"/>
      <c r="GWN191" s="50"/>
      <c r="GWO191" s="50"/>
      <c r="GWP191" s="50"/>
      <c r="GWQ191" s="50"/>
      <c r="GWR191" s="50"/>
      <c r="GWS191" s="50"/>
      <c r="GWT191" s="50"/>
      <c r="GWU191" s="50"/>
      <c r="GWV191" s="50"/>
      <c r="GWW191" s="50"/>
      <c r="GWX191" s="50"/>
      <c r="GWY191" s="50"/>
      <c r="GWZ191" s="50"/>
      <c r="GXA191" s="50"/>
      <c r="GXB191" s="50"/>
      <c r="GXC191" s="50"/>
      <c r="GXD191" s="50"/>
      <c r="GXE191" s="50"/>
      <c r="GXF191" s="50"/>
      <c r="GXG191" s="50"/>
      <c r="GXH191" s="50"/>
      <c r="GXI191" s="50"/>
      <c r="GXJ191" s="50"/>
      <c r="GXK191" s="50"/>
      <c r="GXL191" s="50"/>
      <c r="GXM191" s="50"/>
      <c r="GXN191" s="50"/>
      <c r="GXO191" s="50"/>
      <c r="GXP191" s="50"/>
      <c r="GXQ191" s="50"/>
      <c r="GXR191" s="50"/>
      <c r="GXS191" s="50"/>
      <c r="GXT191" s="50"/>
      <c r="GXU191" s="50"/>
      <c r="GXV191" s="50"/>
      <c r="GXW191" s="50"/>
      <c r="GXX191" s="50"/>
      <c r="GXY191" s="50"/>
      <c r="GXZ191" s="50"/>
      <c r="GYA191" s="50"/>
      <c r="GYB191" s="50"/>
      <c r="GYC191" s="50"/>
      <c r="GYD191" s="50"/>
      <c r="GYE191" s="50"/>
      <c r="GYF191" s="50"/>
      <c r="GYG191" s="50"/>
      <c r="GYH191" s="50"/>
      <c r="GYI191" s="50"/>
      <c r="GYJ191" s="50"/>
      <c r="GYK191" s="50"/>
      <c r="GYL191" s="50"/>
      <c r="GYM191" s="50"/>
      <c r="GYN191" s="50"/>
      <c r="GYO191" s="50"/>
      <c r="GYP191" s="50"/>
      <c r="GYQ191" s="50"/>
      <c r="GYR191" s="50"/>
      <c r="GYS191" s="50"/>
      <c r="GYT191" s="50"/>
      <c r="GYU191" s="50"/>
      <c r="GYV191" s="50"/>
      <c r="GYW191" s="50"/>
      <c r="GYX191" s="50"/>
      <c r="GYY191" s="50"/>
      <c r="GYZ191" s="50"/>
      <c r="GZA191" s="50"/>
      <c r="GZB191" s="50"/>
      <c r="GZC191" s="50"/>
      <c r="GZD191" s="50"/>
      <c r="GZE191" s="50"/>
      <c r="GZF191" s="50"/>
      <c r="GZG191" s="50"/>
      <c r="GZH191" s="50"/>
      <c r="GZI191" s="50"/>
      <c r="GZJ191" s="50"/>
      <c r="GZK191" s="50"/>
      <c r="GZL191" s="50"/>
      <c r="GZM191" s="50"/>
      <c r="GZN191" s="50"/>
      <c r="GZO191" s="50"/>
      <c r="GZP191" s="50"/>
      <c r="GZQ191" s="50"/>
      <c r="GZR191" s="50"/>
      <c r="GZS191" s="50"/>
      <c r="GZT191" s="50"/>
      <c r="GZU191" s="50"/>
      <c r="GZV191" s="50"/>
      <c r="GZW191" s="50"/>
      <c r="GZX191" s="50"/>
      <c r="GZY191" s="50"/>
      <c r="GZZ191" s="50"/>
      <c r="HAA191" s="50"/>
      <c r="HAB191" s="50"/>
      <c r="HAC191" s="50"/>
      <c r="HAD191" s="50"/>
      <c r="HAE191" s="50"/>
      <c r="HAF191" s="50"/>
      <c r="HAG191" s="50"/>
      <c r="HAH191" s="50"/>
      <c r="HAI191" s="50"/>
      <c r="HAJ191" s="50"/>
      <c r="HAK191" s="50"/>
      <c r="HAL191" s="50"/>
      <c r="HAM191" s="50"/>
      <c r="HAN191" s="50"/>
      <c r="HAO191" s="50"/>
      <c r="HAP191" s="50"/>
      <c r="HAQ191" s="50"/>
      <c r="HAR191" s="50"/>
      <c r="HAS191" s="50"/>
      <c r="HAT191" s="50"/>
      <c r="HAU191" s="50"/>
      <c r="HAV191" s="50"/>
      <c r="HAW191" s="50"/>
      <c r="HAX191" s="50"/>
      <c r="HAY191" s="50"/>
      <c r="HAZ191" s="50"/>
      <c r="HBA191" s="50"/>
      <c r="HBB191" s="50"/>
      <c r="HBC191" s="50"/>
      <c r="HBD191" s="50"/>
      <c r="HBE191" s="50"/>
      <c r="HBF191" s="50"/>
      <c r="HBG191" s="50"/>
      <c r="HBH191" s="50"/>
      <c r="HBI191" s="50"/>
      <c r="HBJ191" s="50"/>
      <c r="HBK191" s="50"/>
      <c r="HBL191" s="50"/>
      <c r="HBM191" s="50"/>
      <c r="HBN191" s="50"/>
      <c r="HBO191" s="50"/>
      <c r="HBP191" s="50"/>
      <c r="HBQ191" s="50"/>
      <c r="HBR191" s="50"/>
      <c r="HBS191" s="50"/>
      <c r="HBT191" s="50"/>
      <c r="HBU191" s="50"/>
      <c r="HBV191" s="50"/>
      <c r="HBW191" s="50"/>
      <c r="HBX191" s="50"/>
      <c r="HBY191" s="50"/>
      <c r="HBZ191" s="50"/>
      <c r="HCA191" s="50"/>
      <c r="HCB191" s="50"/>
      <c r="HCC191" s="50"/>
      <c r="HCD191" s="50"/>
      <c r="HCE191" s="50"/>
      <c r="HCF191" s="50"/>
      <c r="HCG191" s="50"/>
      <c r="HCH191" s="50"/>
      <c r="HCI191" s="50"/>
      <c r="HCJ191" s="50"/>
      <c r="HCK191" s="50"/>
      <c r="HCL191" s="50"/>
      <c r="HCM191" s="50"/>
      <c r="HCN191" s="50"/>
      <c r="HCO191" s="50"/>
      <c r="HCP191" s="50"/>
      <c r="HCQ191" s="50"/>
      <c r="HCR191" s="50"/>
      <c r="HCS191" s="50"/>
      <c r="HCT191" s="50"/>
      <c r="HCU191" s="50"/>
      <c r="HCV191" s="50"/>
      <c r="HCW191" s="50"/>
      <c r="HCX191" s="50"/>
      <c r="HCY191" s="50"/>
      <c r="HCZ191" s="50"/>
      <c r="HDA191" s="50"/>
      <c r="HDB191" s="50"/>
      <c r="HDC191" s="50"/>
      <c r="HDD191" s="50"/>
      <c r="HDE191" s="50"/>
      <c r="HDF191" s="50"/>
      <c r="HDG191" s="50"/>
      <c r="HDH191" s="50"/>
      <c r="HDI191" s="50"/>
      <c r="HDJ191" s="50"/>
      <c r="HDK191" s="50"/>
      <c r="HDL191" s="50"/>
      <c r="HDM191" s="50"/>
      <c r="HDN191" s="50"/>
      <c r="HDO191" s="50"/>
      <c r="HDP191" s="50"/>
      <c r="HDQ191" s="50"/>
      <c r="HDR191" s="50"/>
      <c r="HDS191" s="50"/>
      <c r="HDT191" s="50"/>
      <c r="HDU191" s="50"/>
      <c r="HDV191" s="50"/>
      <c r="HDW191" s="50"/>
      <c r="HDX191" s="50"/>
      <c r="HDY191" s="50"/>
      <c r="HDZ191" s="50"/>
      <c r="HEA191" s="50"/>
      <c r="HEB191" s="50"/>
      <c r="HEC191" s="50"/>
      <c r="HED191" s="50"/>
      <c r="HEE191" s="50"/>
      <c r="HEF191" s="50"/>
      <c r="HEG191" s="50"/>
      <c r="HEH191" s="50"/>
      <c r="HEI191" s="50"/>
      <c r="HEJ191" s="50"/>
      <c r="HEK191" s="50"/>
      <c r="HEL191" s="50"/>
      <c r="HEM191" s="50"/>
      <c r="HEN191" s="50"/>
      <c r="HEO191" s="50"/>
      <c r="HEP191" s="50"/>
      <c r="HEQ191" s="50"/>
      <c r="HER191" s="50"/>
      <c r="HES191" s="50"/>
      <c r="HET191" s="50"/>
      <c r="HEU191" s="50"/>
      <c r="HEV191" s="50"/>
      <c r="HEW191" s="50"/>
      <c r="HEX191" s="50"/>
      <c r="HEY191" s="50"/>
      <c r="HEZ191" s="50"/>
      <c r="HFA191" s="50"/>
      <c r="HFB191" s="50"/>
      <c r="HFC191" s="50"/>
      <c r="HFD191" s="50"/>
      <c r="HFE191" s="50"/>
      <c r="HFF191" s="50"/>
      <c r="HFG191" s="50"/>
      <c r="HFH191" s="50"/>
      <c r="HFI191" s="50"/>
      <c r="HFJ191" s="50"/>
      <c r="HFK191" s="50"/>
      <c r="HFL191" s="50"/>
      <c r="HFM191" s="50"/>
      <c r="HFN191" s="50"/>
      <c r="HFO191" s="50"/>
      <c r="HFP191" s="50"/>
      <c r="HFQ191" s="50"/>
      <c r="HFR191" s="50"/>
      <c r="HFS191" s="50"/>
      <c r="HFT191" s="50"/>
      <c r="HFU191" s="50"/>
      <c r="HFV191" s="50"/>
      <c r="HFW191" s="50"/>
      <c r="HFX191" s="50"/>
      <c r="HFY191" s="50"/>
      <c r="HFZ191" s="50"/>
      <c r="HGA191" s="50"/>
      <c r="HGB191" s="50"/>
      <c r="HGC191" s="50"/>
      <c r="HGD191" s="50"/>
      <c r="HGE191" s="50"/>
      <c r="HGF191" s="50"/>
      <c r="HGG191" s="50"/>
      <c r="HGH191" s="50"/>
      <c r="HGI191" s="50"/>
      <c r="HGJ191" s="50"/>
      <c r="HGK191" s="50"/>
      <c r="HGL191" s="50"/>
      <c r="HGM191" s="50"/>
      <c r="HGN191" s="50"/>
      <c r="HGO191" s="50"/>
      <c r="HGP191" s="50"/>
      <c r="HGQ191" s="50"/>
      <c r="HGR191" s="50"/>
      <c r="HGS191" s="50"/>
      <c r="HGT191" s="50"/>
      <c r="HGU191" s="50"/>
      <c r="HGV191" s="50"/>
      <c r="HGW191" s="50"/>
      <c r="HGX191" s="50"/>
      <c r="HGY191" s="50"/>
      <c r="HGZ191" s="50"/>
      <c r="HHA191" s="50"/>
      <c r="HHB191" s="50"/>
      <c r="HHC191" s="50"/>
      <c r="HHD191" s="50"/>
      <c r="HHE191" s="50"/>
      <c r="HHF191" s="50"/>
      <c r="HHG191" s="50"/>
      <c r="HHH191" s="50"/>
      <c r="HHI191" s="50"/>
      <c r="HHJ191" s="50"/>
      <c r="HHK191" s="50"/>
      <c r="HHL191" s="50"/>
      <c r="HHM191" s="50"/>
      <c r="HHN191" s="50"/>
      <c r="HHO191" s="50"/>
      <c r="HHP191" s="50"/>
      <c r="HHQ191" s="50"/>
      <c r="HHR191" s="50"/>
      <c r="HHS191" s="50"/>
      <c r="HHT191" s="50"/>
      <c r="HHU191" s="50"/>
      <c r="HHV191" s="50"/>
      <c r="HHW191" s="50"/>
      <c r="HHX191" s="50"/>
      <c r="HHY191" s="50"/>
      <c r="HHZ191" s="50"/>
      <c r="HIA191" s="50"/>
      <c r="HIB191" s="50"/>
      <c r="HIC191" s="50"/>
      <c r="HID191" s="50"/>
      <c r="HIE191" s="50"/>
      <c r="HIF191" s="50"/>
      <c r="HIG191" s="50"/>
      <c r="HIH191" s="50"/>
      <c r="HII191" s="50"/>
      <c r="HIJ191" s="50"/>
      <c r="HIK191" s="50"/>
      <c r="HIL191" s="50"/>
      <c r="HIM191" s="50"/>
      <c r="HIN191" s="50"/>
      <c r="HIO191" s="50"/>
      <c r="HIP191" s="50"/>
      <c r="HIQ191" s="50"/>
      <c r="HIR191" s="50"/>
      <c r="HIS191" s="50"/>
      <c r="HIT191" s="50"/>
      <c r="HIU191" s="50"/>
      <c r="HIV191" s="50"/>
      <c r="HIW191" s="50"/>
      <c r="HIX191" s="50"/>
      <c r="HIY191" s="50"/>
      <c r="HIZ191" s="50"/>
      <c r="HJA191" s="50"/>
      <c r="HJB191" s="50"/>
      <c r="HJC191" s="50"/>
      <c r="HJD191" s="50"/>
      <c r="HJE191" s="50"/>
      <c r="HJF191" s="50"/>
      <c r="HJG191" s="50"/>
      <c r="HJH191" s="50"/>
      <c r="HJI191" s="50"/>
      <c r="HJJ191" s="50"/>
      <c r="HJK191" s="50"/>
      <c r="HJL191" s="50"/>
      <c r="HJM191" s="50"/>
      <c r="HJN191" s="50"/>
      <c r="HJO191" s="50"/>
      <c r="HJP191" s="50"/>
      <c r="HJQ191" s="50"/>
      <c r="HJR191" s="50"/>
      <c r="HJS191" s="50"/>
      <c r="HJT191" s="50"/>
      <c r="HJU191" s="50"/>
      <c r="HJV191" s="50"/>
      <c r="HJW191" s="50"/>
      <c r="HJX191" s="50"/>
      <c r="HJY191" s="50"/>
      <c r="HJZ191" s="50"/>
      <c r="HKA191" s="50"/>
      <c r="HKB191" s="50"/>
      <c r="HKC191" s="50"/>
      <c r="HKD191" s="50"/>
      <c r="HKE191" s="50"/>
      <c r="HKF191" s="50"/>
      <c r="HKG191" s="50"/>
      <c r="HKH191" s="50"/>
      <c r="HKI191" s="50"/>
      <c r="HKJ191" s="50"/>
      <c r="HKK191" s="50"/>
      <c r="HKL191" s="50"/>
      <c r="HKM191" s="50"/>
      <c r="HKN191" s="50"/>
      <c r="HKO191" s="50"/>
      <c r="HKP191" s="50"/>
      <c r="HKQ191" s="50"/>
      <c r="HKR191" s="50"/>
      <c r="HKS191" s="50"/>
      <c r="HKT191" s="50"/>
      <c r="HKU191" s="50"/>
      <c r="HKV191" s="50"/>
      <c r="HKW191" s="50"/>
      <c r="HKX191" s="50"/>
      <c r="HKY191" s="50"/>
      <c r="HKZ191" s="50"/>
      <c r="HLA191" s="50"/>
      <c r="HLB191" s="50"/>
      <c r="HLC191" s="50"/>
      <c r="HLD191" s="50"/>
      <c r="HLE191" s="50"/>
      <c r="HLF191" s="50"/>
      <c r="HLG191" s="50"/>
      <c r="HLH191" s="50"/>
      <c r="HLI191" s="50"/>
      <c r="HLJ191" s="50"/>
      <c r="HLK191" s="50"/>
      <c r="HLL191" s="50"/>
      <c r="HLM191" s="50"/>
      <c r="HLN191" s="50"/>
      <c r="HLO191" s="50"/>
      <c r="HLP191" s="50"/>
      <c r="HLQ191" s="50"/>
      <c r="HLR191" s="50"/>
      <c r="HLS191" s="50"/>
      <c r="HLT191" s="50"/>
      <c r="HLU191" s="50"/>
      <c r="HLV191" s="50"/>
      <c r="HLW191" s="50"/>
      <c r="HLX191" s="50"/>
      <c r="HLY191" s="50"/>
      <c r="HLZ191" s="50"/>
      <c r="HMA191" s="50"/>
      <c r="HMB191" s="50"/>
      <c r="HMC191" s="50"/>
      <c r="HMD191" s="50"/>
      <c r="HME191" s="50"/>
      <c r="HMF191" s="50"/>
      <c r="HMG191" s="50"/>
      <c r="HMH191" s="50"/>
      <c r="HMI191" s="50"/>
      <c r="HMJ191" s="50"/>
      <c r="HMK191" s="50"/>
      <c r="HML191" s="50"/>
      <c r="HMM191" s="50"/>
      <c r="HMN191" s="50"/>
      <c r="HMO191" s="50"/>
      <c r="HMP191" s="50"/>
      <c r="HMQ191" s="50"/>
      <c r="HMR191" s="50"/>
      <c r="HMS191" s="50"/>
      <c r="HMT191" s="50"/>
      <c r="HMU191" s="50"/>
      <c r="HMV191" s="50"/>
      <c r="HMW191" s="50"/>
      <c r="HMX191" s="50"/>
      <c r="HMY191" s="50"/>
      <c r="HMZ191" s="50"/>
      <c r="HNA191" s="50"/>
      <c r="HNB191" s="50"/>
      <c r="HNC191" s="50"/>
      <c r="HND191" s="50"/>
      <c r="HNE191" s="50"/>
      <c r="HNF191" s="50"/>
      <c r="HNG191" s="50"/>
      <c r="HNH191" s="50"/>
      <c r="HNI191" s="50"/>
      <c r="HNJ191" s="50"/>
      <c r="HNK191" s="50"/>
      <c r="HNL191" s="50"/>
      <c r="HNM191" s="50"/>
      <c r="HNN191" s="50"/>
      <c r="HNO191" s="50"/>
      <c r="HNP191" s="50"/>
      <c r="HNQ191" s="50"/>
      <c r="HNR191" s="50"/>
      <c r="HNS191" s="50"/>
      <c r="HNT191" s="50"/>
      <c r="HNU191" s="50"/>
      <c r="HNV191" s="50"/>
      <c r="HNW191" s="50"/>
      <c r="HNX191" s="50"/>
      <c r="HNY191" s="50"/>
      <c r="HNZ191" s="50"/>
      <c r="HOA191" s="50"/>
      <c r="HOB191" s="50"/>
      <c r="HOC191" s="50"/>
      <c r="HOD191" s="50"/>
      <c r="HOE191" s="50"/>
      <c r="HOF191" s="50"/>
      <c r="HOG191" s="50"/>
      <c r="HOH191" s="50"/>
      <c r="HOI191" s="50"/>
      <c r="HOJ191" s="50"/>
      <c r="HOK191" s="50"/>
      <c r="HOL191" s="50"/>
      <c r="HOM191" s="50"/>
      <c r="HON191" s="50"/>
      <c r="HOO191" s="50"/>
      <c r="HOP191" s="50"/>
      <c r="HOQ191" s="50"/>
      <c r="HOR191" s="50"/>
      <c r="HOS191" s="50"/>
      <c r="HOT191" s="50"/>
      <c r="HOU191" s="50"/>
      <c r="HOV191" s="50"/>
      <c r="HOW191" s="50"/>
      <c r="HOX191" s="50"/>
      <c r="HOY191" s="50"/>
      <c r="HOZ191" s="50"/>
      <c r="HPA191" s="50"/>
      <c r="HPB191" s="50"/>
      <c r="HPC191" s="50"/>
      <c r="HPD191" s="50"/>
      <c r="HPE191" s="50"/>
      <c r="HPF191" s="50"/>
      <c r="HPG191" s="50"/>
      <c r="HPH191" s="50"/>
      <c r="HPI191" s="50"/>
      <c r="HPJ191" s="50"/>
      <c r="HPK191" s="50"/>
      <c r="HPL191" s="50"/>
      <c r="HPM191" s="50"/>
      <c r="HPN191" s="50"/>
      <c r="HPO191" s="50"/>
      <c r="HPP191" s="50"/>
      <c r="HPQ191" s="50"/>
      <c r="HPR191" s="50"/>
      <c r="HPS191" s="50"/>
      <c r="HPT191" s="50"/>
      <c r="HPU191" s="50"/>
      <c r="HPV191" s="50"/>
      <c r="HPW191" s="50"/>
      <c r="HPX191" s="50"/>
      <c r="HPY191" s="50"/>
      <c r="HPZ191" s="50"/>
      <c r="HQA191" s="50"/>
      <c r="HQB191" s="50"/>
      <c r="HQC191" s="50"/>
      <c r="HQD191" s="50"/>
      <c r="HQE191" s="50"/>
      <c r="HQF191" s="50"/>
      <c r="HQG191" s="50"/>
      <c r="HQH191" s="50"/>
      <c r="HQI191" s="50"/>
      <c r="HQJ191" s="50"/>
      <c r="HQK191" s="50"/>
      <c r="HQL191" s="50"/>
      <c r="HQM191" s="50"/>
      <c r="HQN191" s="50"/>
      <c r="HQO191" s="50"/>
      <c r="HQP191" s="50"/>
      <c r="HQQ191" s="50"/>
      <c r="HQR191" s="50"/>
      <c r="HQS191" s="50"/>
      <c r="HQT191" s="50"/>
      <c r="HQU191" s="50"/>
      <c r="HQV191" s="50"/>
      <c r="HQW191" s="50"/>
      <c r="HQX191" s="50"/>
      <c r="HQY191" s="50"/>
      <c r="HQZ191" s="50"/>
      <c r="HRA191" s="50"/>
      <c r="HRB191" s="50"/>
      <c r="HRC191" s="50"/>
      <c r="HRD191" s="50"/>
      <c r="HRE191" s="50"/>
      <c r="HRF191" s="50"/>
      <c r="HRG191" s="50"/>
      <c r="HRH191" s="50"/>
      <c r="HRI191" s="50"/>
      <c r="HRJ191" s="50"/>
      <c r="HRK191" s="50"/>
      <c r="HRL191" s="50"/>
      <c r="HRM191" s="50"/>
      <c r="HRN191" s="50"/>
      <c r="HRO191" s="50"/>
      <c r="HRP191" s="50"/>
      <c r="HRQ191" s="50"/>
      <c r="HRR191" s="50"/>
      <c r="HRS191" s="50"/>
      <c r="HRT191" s="50"/>
      <c r="HRU191" s="50"/>
      <c r="HRV191" s="50"/>
      <c r="HRW191" s="50"/>
      <c r="HRX191" s="50"/>
      <c r="HRY191" s="50"/>
      <c r="HRZ191" s="50"/>
      <c r="HSA191" s="50"/>
      <c r="HSB191" s="50"/>
      <c r="HSC191" s="50"/>
      <c r="HSD191" s="50"/>
      <c r="HSE191" s="50"/>
      <c r="HSF191" s="50"/>
      <c r="HSG191" s="50"/>
      <c r="HSH191" s="50"/>
      <c r="HSI191" s="50"/>
      <c r="HSJ191" s="50"/>
      <c r="HSK191" s="50"/>
      <c r="HSL191" s="50"/>
      <c r="HSM191" s="50"/>
      <c r="HSN191" s="50"/>
      <c r="HSO191" s="50"/>
      <c r="HSP191" s="50"/>
      <c r="HSQ191" s="50"/>
      <c r="HSR191" s="50"/>
      <c r="HSS191" s="50"/>
      <c r="HST191" s="50"/>
      <c r="HSU191" s="50"/>
      <c r="HSV191" s="50"/>
      <c r="HSW191" s="50"/>
      <c r="HSX191" s="50"/>
      <c r="HSY191" s="50"/>
      <c r="HSZ191" s="50"/>
      <c r="HTA191" s="50"/>
      <c r="HTB191" s="50"/>
      <c r="HTC191" s="50"/>
      <c r="HTD191" s="50"/>
      <c r="HTE191" s="50"/>
      <c r="HTF191" s="50"/>
      <c r="HTG191" s="50"/>
      <c r="HTH191" s="50"/>
      <c r="HTI191" s="50"/>
      <c r="HTJ191" s="50"/>
      <c r="HTK191" s="50"/>
      <c r="HTL191" s="50"/>
      <c r="HTM191" s="50"/>
      <c r="HTN191" s="50"/>
      <c r="HTO191" s="50"/>
      <c r="HTP191" s="50"/>
      <c r="HTQ191" s="50"/>
      <c r="HTR191" s="50"/>
      <c r="HTS191" s="50"/>
      <c r="HTT191" s="50"/>
      <c r="HTU191" s="50"/>
      <c r="HTV191" s="50"/>
      <c r="HTW191" s="50"/>
      <c r="HTX191" s="50"/>
      <c r="HTY191" s="50"/>
      <c r="HTZ191" s="50"/>
      <c r="HUA191" s="50"/>
      <c r="HUB191" s="50"/>
      <c r="HUC191" s="50"/>
      <c r="HUD191" s="50"/>
      <c r="HUE191" s="50"/>
      <c r="HUF191" s="50"/>
      <c r="HUG191" s="50"/>
      <c r="HUH191" s="50"/>
      <c r="HUI191" s="50"/>
      <c r="HUJ191" s="50"/>
      <c r="HUK191" s="50"/>
      <c r="HUL191" s="50"/>
      <c r="HUM191" s="50"/>
      <c r="HUN191" s="50"/>
      <c r="HUO191" s="50"/>
      <c r="HUP191" s="50"/>
      <c r="HUQ191" s="50"/>
      <c r="HUR191" s="50"/>
      <c r="HUS191" s="50"/>
      <c r="HUT191" s="50"/>
      <c r="HUU191" s="50"/>
      <c r="HUV191" s="50"/>
      <c r="HUW191" s="50"/>
      <c r="HUX191" s="50"/>
      <c r="HUY191" s="50"/>
      <c r="HUZ191" s="50"/>
      <c r="HVA191" s="50"/>
      <c r="HVB191" s="50"/>
      <c r="HVC191" s="50"/>
      <c r="HVD191" s="50"/>
      <c r="HVE191" s="50"/>
      <c r="HVF191" s="50"/>
      <c r="HVG191" s="50"/>
      <c r="HVH191" s="50"/>
      <c r="HVI191" s="50"/>
      <c r="HVJ191" s="50"/>
      <c r="HVK191" s="50"/>
      <c r="HVL191" s="50"/>
      <c r="HVM191" s="50"/>
      <c r="HVN191" s="50"/>
      <c r="HVO191" s="50"/>
      <c r="HVP191" s="50"/>
      <c r="HVQ191" s="50"/>
      <c r="HVR191" s="50"/>
      <c r="HVS191" s="50"/>
      <c r="HVT191" s="50"/>
      <c r="HVU191" s="50"/>
      <c r="HVV191" s="50"/>
      <c r="HVW191" s="50"/>
      <c r="HVX191" s="50"/>
      <c r="HVY191" s="50"/>
      <c r="HVZ191" s="50"/>
      <c r="HWA191" s="50"/>
      <c r="HWB191" s="50"/>
      <c r="HWC191" s="50"/>
      <c r="HWD191" s="50"/>
      <c r="HWE191" s="50"/>
      <c r="HWF191" s="50"/>
      <c r="HWG191" s="50"/>
      <c r="HWH191" s="50"/>
      <c r="HWI191" s="50"/>
      <c r="HWJ191" s="50"/>
      <c r="HWK191" s="50"/>
      <c r="HWL191" s="50"/>
      <c r="HWM191" s="50"/>
      <c r="HWN191" s="50"/>
      <c r="HWO191" s="50"/>
      <c r="HWP191" s="50"/>
      <c r="HWQ191" s="50"/>
      <c r="HWR191" s="50"/>
      <c r="HWS191" s="50"/>
      <c r="HWT191" s="50"/>
      <c r="HWU191" s="50"/>
      <c r="HWV191" s="50"/>
      <c r="HWW191" s="50"/>
      <c r="HWX191" s="50"/>
      <c r="HWY191" s="50"/>
      <c r="HWZ191" s="50"/>
      <c r="HXA191" s="50"/>
      <c r="HXB191" s="50"/>
      <c r="HXC191" s="50"/>
      <c r="HXD191" s="50"/>
      <c r="HXE191" s="50"/>
      <c r="HXF191" s="50"/>
      <c r="HXG191" s="50"/>
      <c r="HXH191" s="50"/>
      <c r="HXI191" s="50"/>
      <c r="HXJ191" s="50"/>
      <c r="HXK191" s="50"/>
      <c r="HXL191" s="50"/>
      <c r="HXM191" s="50"/>
      <c r="HXN191" s="50"/>
      <c r="HXO191" s="50"/>
      <c r="HXP191" s="50"/>
      <c r="HXQ191" s="50"/>
      <c r="HXR191" s="50"/>
      <c r="HXS191" s="50"/>
      <c r="HXT191" s="50"/>
      <c r="HXU191" s="50"/>
      <c r="HXV191" s="50"/>
      <c r="HXW191" s="50"/>
      <c r="HXX191" s="50"/>
      <c r="HXY191" s="50"/>
      <c r="HXZ191" s="50"/>
      <c r="HYA191" s="50"/>
      <c r="HYB191" s="50"/>
      <c r="HYC191" s="50"/>
      <c r="HYD191" s="50"/>
      <c r="HYE191" s="50"/>
      <c r="HYF191" s="50"/>
      <c r="HYG191" s="50"/>
      <c r="HYH191" s="50"/>
      <c r="HYI191" s="50"/>
      <c r="HYJ191" s="50"/>
      <c r="HYK191" s="50"/>
      <c r="HYL191" s="50"/>
      <c r="HYM191" s="50"/>
      <c r="HYN191" s="50"/>
      <c r="HYO191" s="50"/>
      <c r="HYP191" s="50"/>
      <c r="HYQ191" s="50"/>
      <c r="HYR191" s="50"/>
      <c r="HYS191" s="50"/>
      <c r="HYT191" s="50"/>
      <c r="HYU191" s="50"/>
      <c r="HYV191" s="50"/>
      <c r="HYW191" s="50"/>
      <c r="HYX191" s="50"/>
      <c r="HYY191" s="50"/>
      <c r="HYZ191" s="50"/>
      <c r="HZA191" s="50"/>
      <c r="HZB191" s="50"/>
      <c r="HZC191" s="50"/>
      <c r="HZD191" s="50"/>
      <c r="HZE191" s="50"/>
      <c r="HZF191" s="50"/>
      <c r="HZG191" s="50"/>
      <c r="HZH191" s="50"/>
      <c r="HZI191" s="50"/>
      <c r="HZJ191" s="50"/>
      <c r="HZK191" s="50"/>
      <c r="HZL191" s="50"/>
      <c r="HZM191" s="50"/>
      <c r="HZN191" s="50"/>
      <c r="HZO191" s="50"/>
      <c r="HZP191" s="50"/>
      <c r="HZQ191" s="50"/>
      <c r="HZR191" s="50"/>
      <c r="HZS191" s="50"/>
      <c r="HZT191" s="50"/>
      <c r="HZU191" s="50"/>
      <c r="HZV191" s="50"/>
      <c r="HZW191" s="50"/>
      <c r="HZX191" s="50"/>
      <c r="HZY191" s="50"/>
      <c r="HZZ191" s="50"/>
      <c r="IAA191" s="50"/>
      <c r="IAB191" s="50"/>
      <c r="IAC191" s="50"/>
      <c r="IAD191" s="50"/>
      <c r="IAE191" s="50"/>
      <c r="IAF191" s="50"/>
      <c r="IAG191" s="50"/>
      <c r="IAH191" s="50"/>
      <c r="IAI191" s="50"/>
      <c r="IAJ191" s="50"/>
      <c r="IAK191" s="50"/>
      <c r="IAL191" s="50"/>
      <c r="IAM191" s="50"/>
      <c r="IAN191" s="50"/>
      <c r="IAO191" s="50"/>
      <c r="IAP191" s="50"/>
      <c r="IAQ191" s="50"/>
      <c r="IAR191" s="50"/>
      <c r="IAS191" s="50"/>
      <c r="IAT191" s="50"/>
      <c r="IAU191" s="50"/>
      <c r="IAV191" s="50"/>
      <c r="IAW191" s="50"/>
      <c r="IAX191" s="50"/>
      <c r="IAY191" s="50"/>
      <c r="IAZ191" s="50"/>
      <c r="IBA191" s="50"/>
      <c r="IBB191" s="50"/>
      <c r="IBC191" s="50"/>
      <c r="IBD191" s="50"/>
      <c r="IBE191" s="50"/>
      <c r="IBF191" s="50"/>
      <c r="IBG191" s="50"/>
      <c r="IBH191" s="50"/>
      <c r="IBI191" s="50"/>
      <c r="IBJ191" s="50"/>
      <c r="IBK191" s="50"/>
      <c r="IBL191" s="50"/>
      <c r="IBM191" s="50"/>
      <c r="IBN191" s="50"/>
      <c r="IBO191" s="50"/>
      <c r="IBP191" s="50"/>
      <c r="IBQ191" s="50"/>
      <c r="IBR191" s="50"/>
      <c r="IBS191" s="50"/>
      <c r="IBT191" s="50"/>
      <c r="IBU191" s="50"/>
      <c r="IBV191" s="50"/>
      <c r="IBW191" s="50"/>
      <c r="IBX191" s="50"/>
      <c r="IBY191" s="50"/>
      <c r="IBZ191" s="50"/>
      <c r="ICA191" s="50"/>
      <c r="ICB191" s="50"/>
      <c r="ICC191" s="50"/>
      <c r="ICD191" s="50"/>
      <c r="ICE191" s="50"/>
      <c r="ICF191" s="50"/>
      <c r="ICG191" s="50"/>
      <c r="ICH191" s="50"/>
      <c r="ICI191" s="50"/>
      <c r="ICJ191" s="50"/>
      <c r="ICK191" s="50"/>
      <c r="ICL191" s="50"/>
      <c r="ICM191" s="50"/>
      <c r="ICN191" s="50"/>
      <c r="ICO191" s="50"/>
      <c r="ICP191" s="50"/>
      <c r="ICQ191" s="50"/>
      <c r="ICR191" s="50"/>
      <c r="ICS191" s="50"/>
      <c r="ICT191" s="50"/>
      <c r="ICU191" s="50"/>
      <c r="ICV191" s="50"/>
      <c r="ICW191" s="50"/>
      <c r="ICX191" s="50"/>
      <c r="ICY191" s="50"/>
      <c r="ICZ191" s="50"/>
      <c r="IDA191" s="50"/>
      <c r="IDB191" s="50"/>
      <c r="IDC191" s="50"/>
      <c r="IDD191" s="50"/>
      <c r="IDE191" s="50"/>
      <c r="IDF191" s="50"/>
      <c r="IDG191" s="50"/>
      <c r="IDH191" s="50"/>
      <c r="IDI191" s="50"/>
      <c r="IDJ191" s="50"/>
      <c r="IDK191" s="50"/>
      <c r="IDL191" s="50"/>
      <c r="IDM191" s="50"/>
      <c r="IDN191" s="50"/>
      <c r="IDO191" s="50"/>
      <c r="IDP191" s="50"/>
      <c r="IDQ191" s="50"/>
      <c r="IDR191" s="50"/>
      <c r="IDS191" s="50"/>
      <c r="IDT191" s="50"/>
      <c r="IDU191" s="50"/>
      <c r="IDV191" s="50"/>
      <c r="IDW191" s="50"/>
      <c r="IDX191" s="50"/>
      <c r="IDY191" s="50"/>
      <c r="IDZ191" s="50"/>
      <c r="IEA191" s="50"/>
      <c r="IEB191" s="50"/>
      <c r="IEC191" s="50"/>
      <c r="IED191" s="50"/>
      <c r="IEE191" s="50"/>
      <c r="IEF191" s="50"/>
      <c r="IEG191" s="50"/>
      <c r="IEH191" s="50"/>
      <c r="IEI191" s="50"/>
      <c r="IEJ191" s="50"/>
      <c r="IEK191" s="50"/>
      <c r="IEL191" s="50"/>
      <c r="IEM191" s="50"/>
      <c r="IEN191" s="50"/>
      <c r="IEO191" s="50"/>
      <c r="IEP191" s="50"/>
      <c r="IEQ191" s="50"/>
      <c r="IER191" s="50"/>
      <c r="IES191" s="50"/>
      <c r="IET191" s="50"/>
      <c r="IEU191" s="50"/>
      <c r="IEV191" s="50"/>
      <c r="IEW191" s="50"/>
      <c r="IEX191" s="50"/>
      <c r="IEY191" s="50"/>
      <c r="IEZ191" s="50"/>
      <c r="IFA191" s="50"/>
      <c r="IFB191" s="50"/>
      <c r="IFC191" s="50"/>
      <c r="IFD191" s="50"/>
      <c r="IFE191" s="50"/>
      <c r="IFF191" s="50"/>
      <c r="IFG191" s="50"/>
      <c r="IFH191" s="50"/>
      <c r="IFI191" s="50"/>
      <c r="IFJ191" s="50"/>
      <c r="IFK191" s="50"/>
      <c r="IFL191" s="50"/>
      <c r="IFM191" s="50"/>
      <c r="IFN191" s="50"/>
      <c r="IFO191" s="50"/>
      <c r="IFP191" s="50"/>
      <c r="IFQ191" s="50"/>
      <c r="IFR191" s="50"/>
      <c r="IFS191" s="50"/>
      <c r="IFT191" s="50"/>
      <c r="IFU191" s="50"/>
      <c r="IFV191" s="50"/>
      <c r="IFW191" s="50"/>
      <c r="IFX191" s="50"/>
      <c r="IFY191" s="50"/>
      <c r="IFZ191" s="50"/>
      <c r="IGA191" s="50"/>
      <c r="IGB191" s="50"/>
      <c r="IGC191" s="50"/>
      <c r="IGD191" s="50"/>
      <c r="IGE191" s="50"/>
      <c r="IGF191" s="50"/>
      <c r="IGG191" s="50"/>
      <c r="IGH191" s="50"/>
      <c r="IGI191" s="50"/>
      <c r="IGJ191" s="50"/>
      <c r="IGK191" s="50"/>
      <c r="IGL191" s="50"/>
      <c r="IGM191" s="50"/>
      <c r="IGN191" s="50"/>
      <c r="IGO191" s="50"/>
      <c r="IGP191" s="50"/>
      <c r="IGQ191" s="50"/>
      <c r="IGR191" s="50"/>
      <c r="IGS191" s="50"/>
      <c r="IGT191" s="50"/>
      <c r="IGU191" s="50"/>
      <c r="IGV191" s="50"/>
      <c r="IGW191" s="50"/>
      <c r="IGX191" s="50"/>
      <c r="IGY191" s="50"/>
      <c r="IGZ191" s="50"/>
      <c r="IHA191" s="50"/>
      <c r="IHB191" s="50"/>
      <c r="IHC191" s="50"/>
      <c r="IHD191" s="50"/>
      <c r="IHE191" s="50"/>
      <c r="IHF191" s="50"/>
      <c r="IHG191" s="50"/>
      <c r="IHH191" s="50"/>
      <c r="IHI191" s="50"/>
      <c r="IHJ191" s="50"/>
      <c r="IHK191" s="50"/>
      <c r="IHL191" s="50"/>
      <c r="IHM191" s="50"/>
      <c r="IHN191" s="50"/>
      <c r="IHO191" s="50"/>
      <c r="IHP191" s="50"/>
      <c r="IHQ191" s="50"/>
      <c r="IHR191" s="50"/>
      <c r="IHS191" s="50"/>
      <c r="IHT191" s="50"/>
      <c r="IHU191" s="50"/>
      <c r="IHV191" s="50"/>
      <c r="IHW191" s="50"/>
      <c r="IHX191" s="50"/>
      <c r="IHY191" s="50"/>
      <c r="IHZ191" s="50"/>
      <c r="IIA191" s="50"/>
      <c r="IIB191" s="50"/>
      <c r="IIC191" s="50"/>
      <c r="IID191" s="50"/>
      <c r="IIE191" s="50"/>
      <c r="IIF191" s="50"/>
      <c r="IIG191" s="50"/>
      <c r="IIH191" s="50"/>
      <c r="III191" s="50"/>
      <c r="IIJ191" s="50"/>
      <c r="IIK191" s="50"/>
      <c r="IIL191" s="50"/>
      <c r="IIM191" s="50"/>
      <c r="IIN191" s="50"/>
      <c r="IIO191" s="50"/>
      <c r="IIP191" s="50"/>
      <c r="IIQ191" s="50"/>
      <c r="IIR191" s="50"/>
      <c r="IIS191" s="50"/>
      <c r="IIT191" s="50"/>
      <c r="IIU191" s="50"/>
      <c r="IIV191" s="50"/>
      <c r="IIW191" s="50"/>
      <c r="IIX191" s="50"/>
      <c r="IIY191" s="50"/>
      <c r="IIZ191" s="50"/>
      <c r="IJA191" s="50"/>
      <c r="IJB191" s="50"/>
      <c r="IJC191" s="50"/>
      <c r="IJD191" s="50"/>
      <c r="IJE191" s="50"/>
      <c r="IJF191" s="50"/>
      <c r="IJG191" s="50"/>
      <c r="IJH191" s="50"/>
      <c r="IJI191" s="50"/>
      <c r="IJJ191" s="50"/>
      <c r="IJK191" s="50"/>
      <c r="IJL191" s="50"/>
      <c r="IJM191" s="50"/>
      <c r="IJN191" s="50"/>
      <c r="IJO191" s="50"/>
      <c r="IJP191" s="50"/>
      <c r="IJQ191" s="50"/>
      <c r="IJR191" s="50"/>
      <c r="IJS191" s="50"/>
      <c r="IJT191" s="50"/>
      <c r="IJU191" s="50"/>
      <c r="IJV191" s="50"/>
      <c r="IJW191" s="50"/>
      <c r="IJX191" s="50"/>
      <c r="IJY191" s="50"/>
      <c r="IJZ191" s="50"/>
      <c r="IKA191" s="50"/>
      <c r="IKB191" s="50"/>
      <c r="IKC191" s="50"/>
      <c r="IKD191" s="50"/>
      <c r="IKE191" s="50"/>
      <c r="IKF191" s="50"/>
      <c r="IKG191" s="50"/>
      <c r="IKH191" s="50"/>
      <c r="IKI191" s="50"/>
      <c r="IKJ191" s="50"/>
      <c r="IKK191" s="50"/>
      <c r="IKL191" s="50"/>
      <c r="IKM191" s="50"/>
      <c r="IKN191" s="50"/>
      <c r="IKO191" s="50"/>
      <c r="IKP191" s="50"/>
      <c r="IKQ191" s="50"/>
      <c r="IKR191" s="50"/>
      <c r="IKS191" s="50"/>
      <c r="IKT191" s="50"/>
      <c r="IKU191" s="50"/>
      <c r="IKV191" s="50"/>
      <c r="IKW191" s="50"/>
      <c r="IKX191" s="50"/>
      <c r="IKY191" s="50"/>
      <c r="IKZ191" s="50"/>
      <c r="ILA191" s="50"/>
      <c r="ILB191" s="50"/>
      <c r="ILC191" s="50"/>
      <c r="ILD191" s="50"/>
      <c r="ILE191" s="50"/>
      <c r="ILF191" s="50"/>
      <c r="ILG191" s="50"/>
      <c r="ILH191" s="50"/>
      <c r="ILI191" s="50"/>
      <c r="ILJ191" s="50"/>
      <c r="ILK191" s="50"/>
      <c r="ILL191" s="50"/>
      <c r="ILM191" s="50"/>
      <c r="ILN191" s="50"/>
      <c r="ILO191" s="50"/>
      <c r="ILP191" s="50"/>
      <c r="ILQ191" s="50"/>
      <c r="ILR191" s="50"/>
      <c r="ILS191" s="50"/>
      <c r="ILT191" s="50"/>
      <c r="ILU191" s="50"/>
      <c r="ILV191" s="50"/>
      <c r="ILW191" s="50"/>
      <c r="ILX191" s="50"/>
      <c r="ILY191" s="50"/>
      <c r="ILZ191" s="50"/>
      <c r="IMA191" s="50"/>
      <c r="IMB191" s="50"/>
      <c r="IMC191" s="50"/>
      <c r="IMD191" s="50"/>
      <c r="IME191" s="50"/>
      <c r="IMF191" s="50"/>
      <c r="IMG191" s="50"/>
      <c r="IMH191" s="50"/>
      <c r="IMI191" s="50"/>
      <c r="IMJ191" s="50"/>
      <c r="IMK191" s="50"/>
      <c r="IML191" s="50"/>
      <c r="IMM191" s="50"/>
      <c r="IMN191" s="50"/>
      <c r="IMO191" s="50"/>
      <c r="IMP191" s="50"/>
      <c r="IMQ191" s="50"/>
      <c r="IMR191" s="50"/>
      <c r="IMS191" s="50"/>
      <c r="IMT191" s="50"/>
      <c r="IMU191" s="50"/>
      <c r="IMV191" s="50"/>
      <c r="IMW191" s="50"/>
      <c r="IMX191" s="50"/>
      <c r="IMY191" s="50"/>
      <c r="IMZ191" s="50"/>
      <c r="INA191" s="50"/>
      <c r="INB191" s="50"/>
      <c r="INC191" s="50"/>
      <c r="IND191" s="50"/>
      <c r="INE191" s="50"/>
      <c r="INF191" s="50"/>
      <c r="ING191" s="50"/>
      <c r="INH191" s="50"/>
      <c r="INI191" s="50"/>
      <c r="INJ191" s="50"/>
      <c r="INK191" s="50"/>
      <c r="INL191" s="50"/>
      <c r="INM191" s="50"/>
      <c r="INN191" s="50"/>
      <c r="INO191" s="50"/>
      <c r="INP191" s="50"/>
      <c r="INQ191" s="50"/>
      <c r="INR191" s="50"/>
      <c r="INS191" s="50"/>
      <c r="INT191" s="50"/>
      <c r="INU191" s="50"/>
      <c r="INV191" s="50"/>
      <c r="INW191" s="50"/>
      <c r="INX191" s="50"/>
      <c r="INY191" s="50"/>
      <c r="INZ191" s="50"/>
      <c r="IOA191" s="50"/>
      <c r="IOB191" s="50"/>
      <c r="IOC191" s="50"/>
      <c r="IOD191" s="50"/>
      <c r="IOE191" s="50"/>
      <c r="IOF191" s="50"/>
      <c r="IOG191" s="50"/>
      <c r="IOH191" s="50"/>
      <c r="IOI191" s="50"/>
      <c r="IOJ191" s="50"/>
      <c r="IOK191" s="50"/>
      <c r="IOL191" s="50"/>
      <c r="IOM191" s="50"/>
      <c r="ION191" s="50"/>
      <c r="IOO191" s="50"/>
      <c r="IOP191" s="50"/>
      <c r="IOQ191" s="50"/>
      <c r="IOR191" s="50"/>
      <c r="IOS191" s="50"/>
      <c r="IOT191" s="50"/>
      <c r="IOU191" s="50"/>
      <c r="IOV191" s="50"/>
      <c r="IOW191" s="50"/>
      <c r="IOX191" s="50"/>
      <c r="IOY191" s="50"/>
      <c r="IOZ191" s="50"/>
      <c r="IPA191" s="50"/>
      <c r="IPB191" s="50"/>
      <c r="IPC191" s="50"/>
      <c r="IPD191" s="50"/>
      <c r="IPE191" s="50"/>
      <c r="IPF191" s="50"/>
      <c r="IPG191" s="50"/>
      <c r="IPH191" s="50"/>
      <c r="IPI191" s="50"/>
      <c r="IPJ191" s="50"/>
      <c r="IPK191" s="50"/>
      <c r="IPL191" s="50"/>
      <c r="IPM191" s="50"/>
      <c r="IPN191" s="50"/>
      <c r="IPO191" s="50"/>
      <c r="IPP191" s="50"/>
      <c r="IPQ191" s="50"/>
      <c r="IPR191" s="50"/>
      <c r="IPS191" s="50"/>
      <c r="IPT191" s="50"/>
      <c r="IPU191" s="50"/>
      <c r="IPV191" s="50"/>
      <c r="IPW191" s="50"/>
      <c r="IPX191" s="50"/>
      <c r="IPY191" s="50"/>
      <c r="IPZ191" s="50"/>
      <c r="IQA191" s="50"/>
      <c r="IQB191" s="50"/>
      <c r="IQC191" s="50"/>
      <c r="IQD191" s="50"/>
      <c r="IQE191" s="50"/>
      <c r="IQF191" s="50"/>
      <c r="IQG191" s="50"/>
      <c r="IQH191" s="50"/>
      <c r="IQI191" s="50"/>
      <c r="IQJ191" s="50"/>
      <c r="IQK191" s="50"/>
      <c r="IQL191" s="50"/>
      <c r="IQM191" s="50"/>
      <c r="IQN191" s="50"/>
      <c r="IQO191" s="50"/>
      <c r="IQP191" s="50"/>
      <c r="IQQ191" s="50"/>
      <c r="IQR191" s="50"/>
      <c r="IQS191" s="50"/>
      <c r="IQT191" s="50"/>
      <c r="IQU191" s="50"/>
      <c r="IQV191" s="50"/>
      <c r="IQW191" s="50"/>
      <c r="IQX191" s="50"/>
      <c r="IQY191" s="50"/>
      <c r="IQZ191" s="50"/>
      <c r="IRA191" s="50"/>
      <c r="IRB191" s="50"/>
      <c r="IRC191" s="50"/>
      <c r="IRD191" s="50"/>
      <c r="IRE191" s="50"/>
      <c r="IRF191" s="50"/>
      <c r="IRG191" s="50"/>
      <c r="IRH191" s="50"/>
      <c r="IRI191" s="50"/>
      <c r="IRJ191" s="50"/>
      <c r="IRK191" s="50"/>
      <c r="IRL191" s="50"/>
      <c r="IRM191" s="50"/>
      <c r="IRN191" s="50"/>
      <c r="IRO191" s="50"/>
      <c r="IRP191" s="50"/>
      <c r="IRQ191" s="50"/>
      <c r="IRR191" s="50"/>
      <c r="IRS191" s="50"/>
      <c r="IRT191" s="50"/>
      <c r="IRU191" s="50"/>
      <c r="IRV191" s="50"/>
      <c r="IRW191" s="50"/>
      <c r="IRX191" s="50"/>
      <c r="IRY191" s="50"/>
      <c r="IRZ191" s="50"/>
      <c r="ISA191" s="50"/>
      <c r="ISB191" s="50"/>
      <c r="ISC191" s="50"/>
      <c r="ISD191" s="50"/>
      <c r="ISE191" s="50"/>
      <c r="ISF191" s="50"/>
      <c r="ISG191" s="50"/>
      <c r="ISH191" s="50"/>
      <c r="ISI191" s="50"/>
      <c r="ISJ191" s="50"/>
      <c r="ISK191" s="50"/>
      <c r="ISL191" s="50"/>
      <c r="ISM191" s="50"/>
      <c r="ISN191" s="50"/>
      <c r="ISO191" s="50"/>
      <c r="ISP191" s="50"/>
      <c r="ISQ191" s="50"/>
      <c r="ISR191" s="50"/>
      <c r="ISS191" s="50"/>
      <c r="IST191" s="50"/>
      <c r="ISU191" s="50"/>
      <c r="ISV191" s="50"/>
      <c r="ISW191" s="50"/>
      <c r="ISX191" s="50"/>
      <c r="ISY191" s="50"/>
      <c r="ISZ191" s="50"/>
      <c r="ITA191" s="50"/>
      <c r="ITB191" s="50"/>
      <c r="ITC191" s="50"/>
      <c r="ITD191" s="50"/>
      <c r="ITE191" s="50"/>
      <c r="ITF191" s="50"/>
      <c r="ITG191" s="50"/>
      <c r="ITH191" s="50"/>
      <c r="ITI191" s="50"/>
      <c r="ITJ191" s="50"/>
      <c r="ITK191" s="50"/>
      <c r="ITL191" s="50"/>
      <c r="ITM191" s="50"/>
      <c r="ITN191" s="50"/>
      <c r="ITO191" s="50"/>
      <c r="ITP191" s="50"/>
      <c r="ITQ191" s="50"/>
      <c r="ITR191" s="50"/>
      <c r="ITS191" s="50"/>
      <c r="ITT191" s="50"/>
      <c r="ITU191" s="50"/>
      <c r="ITV191" s="50"/>
      <c r="ITW191" s="50"/>
      <c r="ITX191" s="50"/>
      <c r="ITY191" s="50"/>
      <c r="ITZ191" s="50"/>
      <c r="IUA191" s="50"/>
      <c r="IUB191" s="50"/>
      <c r="IUC191" s="50"/>
      <c r="IUD191" s="50"/>
      <c r="IUE191" s="50"/>
      <c r="IUF191" s="50"/>
      <c r="IUG191" s="50"/>
      <c r="IUH191" s="50"/>
      <c r="IUI191" s="50"/>
      <c r="IUJ191" s="50"/>
      <c r="IUK191" s="50"/>
      <c r="IUL191" s="50"/>
      <c r="IUM191" s="50"/>
      <c r="IUN191" s="50"/>
      <c r="IUO191" s="50"/>
      <c r="IUP191" s="50"/>
      <c r="IUQ191" s="50"/>
      <c r="IUR191" s="50"/>
      <c r="IUS191" s="50"/>
      <c r="IUT191" s="50"/>
      <c r="IUU191" s="50"/>
      <c r="IUV191" s="50"/>
      <c r="IUW191" s="50"/>
      <c r="IUX191" s="50"/>
      <c r="IUY191" s="50"/>
      <c r="IUZ191" s="50"/>
      <c r="IVA191" s="50"/>
      <c r="IVB191" s="50"/>
      <c r="IVC191" s="50"/>
      <c r="IVD191" s="50"/>
      <c r="IVE191" s="50"/>
      <c r="IVF191" s="50"/>
      <c r="IVG191" s="50"/>
      <c r="IVH191" s="50"/>
      <c r="IVI191" s="50"/>
      <c r="IVJ191" s="50"/>
      <c r="IVK191" s="50"/>
      <c r="IVL191" s="50"/>
      <c r="IVM191" s="50"/>
      <c r="IVN191" s="50"/>
      <c r="IVO191" s="50"/>
      <c r="IVP191" s="50"/>
      <c r="IVQ191" s="50"/>
      <c r="IVR191" s="50"/>
      <c r="IVS191" s="50"/>
      <c r="IVT191" s="50"/>
      <c r="IVU191" s="50"/>
      <c r="IVV191" s="50"/>
      <c r="IVW191" s="50"/>
      <c r="IVX191" s="50"/>
      <c r="IVY191" s="50"/>
      <c r="IVZ191" s="50"/>
      <c r="IWA191" s="50"/>
      <c r="IWB191" s="50"/>
      <c r="IWC191" s="50"/>
      <c r="IWD191" s="50"/>
      <c r="IWE191" s="50"/>
      <c r="IWF191" s="50"/>
      <c r="IWG191" s="50"/>
      <c r="IWH191" s="50"/>
      <c r="IWI191" s="50"/>
      <c r="IWJ191" s="50"/>
      <c r="IWK191" s="50"/>
      <c r="IWL191" s="50"/>
      <c r="IWM191" s="50"/>
      <c r="IWN191" s="50"/>
      <c r="IWO191" s="50"/>
      <c r="IWP191" s="50"/>
      <c r="IWQ191" s="50"/>
      <c r="IWR191" s="50"/>
      <c r="IWS191" s="50"/>
      <c r="IWT191" s="50"/>
      <c r="IWU191" s="50"/>
      <c r="IWV191" s="50"/>
      <c r="IWW191" s="50"/>
      <c r="IWX191" s="50"/>
      <c r="IWY191" s="50"/>
      <c r="IWZ191" s="50"/>
      <c r="IXA191" s="50"/>
      <c r="IXB191" s="50"/>
      <c r="IXC191" s="50"/>
      <c r="IXD191" s="50"/>
      <c r="IXE191" s="50"/>
      <c r="IXF191" s="50"/>
      <c r="IXG191" s="50"/>
      <c r="IXH191" s="50"/>
      <c r="IXI191" s="50"/>
      <c r="IXJ191" s="50"/>
      <c r="IXK191" s="50"/>
      <c r="IXL191" s="50"/>
      <c r="IXM191" s="50"/>
      <c r="IXN191" s="50"/>
      <c r="IXO191" s="50"/>
      <c r="IXP191" s="50"/>
      <c r="IXQ191" s="50"/>
      <c r="IXR191" s="50"/>
      <c r="IXS191" s="50"/>
      <c r="IXT191" s="50"/>
      <c r="IXU191" s="50"/>
      <c r="IXV191" s="50"/>
      <c r="IXW191" s="50"/>
      <c r="IXX191" s="50"/>
      <c r="IXY191" s="50"/>
      <c r="IXZ191" s="50"/>
      <c r="IYA191" s="50"/>
      <c r="IYB191" s="50"/>
      <c r="IYC191" s="50"/>
      <c r="IYD191" s="50"/>
      <c r="IYE191" s="50"/>
      <c r="IYF191" s="50"/>
      <c r="IYG191" s="50"/>
      <c r="IYH191" s="50"/>
      <c r="IYI191" s="50"/>
      <c r="IYJ191" s="50"/>
      <c r="IYK191" s="50"/>
      <c r="IYL191" s="50"/>
      <c r="IYM191" s="50"/>
      <c r="IYN191" s="50"/>
      <c r="IYO191" s="50"/>
      <c r="IYP191" s="50"/>
      <c r="IYQ191" s="50"/>
      <c r="IYR191" s="50"/>
      <c r="IYS191" s="50"/>
      <c r="IYT191" s="50"/>
      <c r="IYU191" s="50"/>
      <c r="IYV191" s="50"/>
      <c r="IYW191" s="50"/>
      <c r="IYX191" s="50"/>
      <c r="IYY191" s="50"/>
      <c r="IYZ191" s="50"/>
      <c r="IZA191" s="50"/>
      <c r="IZB191" s="50"/>
      <c r="IZC191" s="50"/>
      <c r="IZD191" s="50"/>
      <c r="IZE191" s="50"/>
      <c r="IZF191" s="50"/>
      <c r="IZG191" s="50"/>
      <c r="IZH191" s="50"/>
      <c r="IZI191" s="50"/>
      <c r="IZJ191" s="50"/>
      <c r="IZK191" s="50"/>
      <c r="IZL191" s="50"/>
      <c r="IZM191" s="50"/>
      <c r="IZN191" s="50"/>
      <c r="IZO191" s="50"/>
      <c r="IZP191" s="50"/>
      <c r="IZQ191" s="50"/>
      <c r="IZR191" s="50"/>
      <c r="IZS191" s="50"/>
      <c r="IZT191" s="50"/>
      <c r="IZU191" s="50"/>
      <c r="IZV191" s="50"/>
      <c r="IZW191" s="50"/>
      <c r="IZX191" s="50"/>
      <c r="IZY191" s="50"/>
      <c r="IZZ191" s="50"/>
      <c r="JAA191" s="50"/>
      <c r="JAB191" s="50"/>
      <c r="JAC191" s="50"/>
      <c r="JAD191" s="50"/>
      <c r="JAE191" s="50"/>
      <c r="JAF191" s="50"/>
      <c r="JAG191" s="50"/>
      <c r="JAH191" s="50"/>
      <c r="JAI191" s="50"/>
      <c r="JAJ191" s="50"/>
      <c r="JAK191" s="50"/>
      <c r="JAL191" s="50"/>
      <c r="JAM191" s="50"/>
      <c r="JAN191" s="50"/>
      <c r="JAO191" s="50"/>
      <c r="JAP191" s="50"/>
      <c r="JAQ191" s="50"/>
      <c r="JAR191" s="50"/>
      <c r="JAS191" s="50"/>
      <c r="JAT191" s="50"/>
      <c r="JAU191" s="50"/>
      <c r="JAV191" s="50"/>
      <c r="JAW191" s="50"/>
      <c r="JAX191" s="50"/>
      <c r="JAY191" s="50"/>
      <c r="JAZ191" s="50"/>
      <c r="JBA191" s="50"/>
      <c r="JBB191" s="50"/>
      <c r="JBC191" s="50"/>
      <c r="JBD191" s="50"/>
      <c r="JBE191" s="50"/>
      <c r="JBF191" s="50"/>
      <c r="JBG191" s="50"/>
      <c r="JBH191" s="50"/>
      <c r="JBI191" s="50"/>
      <c r="JBJ191" s="50"/>
      <c r="JBK191" s="50"/>
      <c r="JBL191" s="50"/>
      <c r="JBM191" s="50"/>
      <c r="JBN191" s="50"/>
      <c r="JBO191" s="50"/>
      <c r="JBP191" s="50"/>
      <c r="JBQ191" s="50"/>
      <c r="JBR191" s="50"/>
      <c r="JBS191" s="50"/>
      <c r="JBT191" s="50"/>
      <c r="JBU191" s="50"/>
      <c r="JBV191" s="50"/>
      <c r="JBW191" s="50"/>
      <c r="JBX191" s="50"/>
      <c r="JBY191" s="50"/>
      <c r="JBZ191" s="50"/>
      <c r="JCA191" s="50"/>
      <c r="JCB191" s="50"/>
      <c r="JCC191" s="50"/>
      <c r="JCD191" s="50"/>
      <c r="JCE191" s="50"/>
      <c r="JCF191" s="50"/>
      <c r="JCG191" s="50"/>
      <c r="JCH191" s="50"/>
      <c r="JCI191" s="50"/>
      <c r="JCJ191" s="50"/>
      <c r="JCK191" s="50"/>
      <c r="JCL191" s="50"/>
      <c r="JCM191" s="50"/>
      <c r="JCN191" s="50"/>
      <c r="JCO191" s="50"/>
      <c r="JCP191" s="50"/>
      <c r="JCQ191" s="50"/>
      <c r="JCR191" s="50"/>
      <c r="JCS191" s="50"/>
      <c r="JCT191" s="50"/>
      <c r="JCU191" s="50"/>
      <c r="JCV191" s="50"/>
      <c r="JCW191" s="50"/>
      <c r="JCX191" s="50"/>
      <c r="JCY191" s="50"/>
      <c r="JCZ191" s="50"/>
      <c r="JDA191" s="50"/>
      <c r="JDB191" s="50"/>
      <c r="JDC191" s="50"/>
      <c r="JDD191" s="50"/>
      <c r="JDE191" s="50"/>
      <c r="JDF191" s="50"/>
      <c r="JDG191" s="50"/>
      <c r="JDH191" s="50"/>
      <c r="JDI191" s="50"/>
      <c r="JDJ191" s="50"/>
      <c r="JDK191" s="50"/>
      <c r="JDL191" s="50"/>
      <c r="JDM191" s="50"/>
      <c r="JDN191" s="50"/>
      <c r="JDO191" s="50"/>
      <c r="JDP191" s="50"/>
      <c r="JDQ191" s="50"/>
      <c r="JDR191" s="50"/>
      <c r="JDS191" s="50"/>
      <c r="JDT191" s="50"/>
      <c r="JDU191" s="50"/>
      <c r="JDV191" s="50"/>
      <c r="JDW191" s="50"/>
      <c r="JDX191" s="50"/>
      <c r="JDY191" s="50"/>
      <c r="JDZ191" s="50"/>
      <c r="JEA191" s="50"/>
      <c r="JEB191" s="50"/>
      <c r="JEC191" s="50"/>
      <c r="JED191" s="50"/>
      <c r="JEE191" s="50"/>
      <c r="JEF191" s="50"/>
      <c r="JEG191" s="50"/>
      <c r="JEH191" s="50"/>
      <c r="JEI191" s="50"/>
      <c r="JEJ191" s="50"/>
      <c r="JEK191" s="50"/>
      <c r="JEL191" s="50"/>
      <c r="JEM191" s="50"/>
      <c r="JEN191" s="50"/>
      <c r="JEO191" s="50"/>
      <c r="JEP191" s="50"/>
      <c r="JEQ191" s="50"/>
      <c r="JER191" s="50"/>
      <c r="JES191" s="50"/>
      <c r="JET191" s="50"/>
      <c r="JEU191" s="50"/>
      <c r="JEV191" s="50"/>
      <c r="JEW191" s="50"/>
      <c r="JEX191" s="50"/>
      <c r="JEY191" s="50"/>
      <c r="JEZ191" s="50"/>
      <c r="JFA191" s="50"/>
      <c r="JFB191" s="50"/>
      <c r="JFC191" s="50"/>
      <c r="JFD191" s="50"/>
      <c r="JFE191" s="50"/>
      <c r="JFF191" s="50"/>
      <c r="JFG191" s="50"/>
      <c r="JFH191" s="50"/>
      <c r="JFI191" s="50"/>
      <c r="JFJ191" s="50"/>
      <c r="JFK191" s="50"/>
      <c r="JFL191" s="50"/>
      <c r="JFM191" s="50"/>
      <c r="JFN191" s="50"/>
      <c r="JFO191" s="50"/>
      <c r="JFP191" s="50"/>
      <c r="JFQ191" s="50"/>
      <c r="JFR191" s="50"/>
      <c r="JFS191" s="50"/>
      <c r="JFT191" s="50"/>
      <c r="JFU191" s="50"/>
      <c r="JFV191" s="50"/>
      <c r="JFW191" s="50"/>
      <c r="JFX191" s="50"/>
      <c r="JFY191" s="50"/>
      <c r="JFZ191" s="50"/>
      <c r="JGA191" s="50"/>
      <c r="JGB191" s="50"/>
      <c r="JGC191" s="50"/>
      <c r="JGD191" s="50"/>
      <c r="JGE191" s="50"/>
      <c r="JGF191" s="50"/>
      <c r="JGG191" s="50"/>
      <c r="JGH191" s="50"/>
      <c r="JGI191" s="50"/>
      <c r="JGJ191" s="50"/>
      <c r="JGK191" s="50"/>
      <c r="JGL191" s="50"/>
      <c r="JGM191" s="50"/>
      <c r="JGN191" s="50"/>
      <c r="JGO191" s="50"/>
      <c r="JGP191" s="50"/>
      <c r="JGQ191" s="50"/>
      <c r="JGR191" s="50"/>
      <c r="JGS191" s="50"/>
      <c r="JGT191" s="50"/>
      <c r="JGU191" s="50"/>
      <c r="JGV191" s="50"/>
      <c r="JGW191" s="50"/>
      <c r="JGX191" s="50"/>
      <c r="JGY191" s="50"/>
      <c r="JGZ191" s="50"/>
      <c r="JHA191" s="50"/>
      <c r="JHB191" s="50"/>
      <c r="JHC191" s="50"/>
      <c r="JHD191" s="50"/>
      <c r="JHE191" s="50"/>
      <c r="JHF191" s="50"/>
      <c r="JHG191" s="50"/>
      <c r="JHH191" s="50"/>
      <c r="JHI191" s="50"/>
      <c r="JHJ191" s="50"/>
      <c r="JHK191" s="50"/>
      <c r="JHL191" s="50"/>
      <c r="JHM191" s="50"/>
      <c r="JHN191" s="50"/>
      <c r="JHO191" s="50"/>
      <c r="JHP191" s="50"/>
      <c r="JHQ191" s="50"/>
      <c r="JHR191" s="50"/>
      <c r="JHS191" s="50"/>
      <c r="JHT191" s="50"/>
      <c r="JHU191" s="50"/>
      <c r="JHV191" s="50"/>
      <c r="JHW191" s="50"/>
      <c r="JHX191" s="50"/>
      <c r="JHY191" s="50"/>
      <c r="JHZ191" s="50"/>
      <c r="JIA191" s="50"/>
      <c r="JIB191" s="50"/>
      <c r="JIC191" s="50"/>
      <c r="JID191" s="50"/>
      <c r="JIE191" s="50"/>
      <c r="JIF191" s="50"/>
      <c r="JIG191" s="50"/>
      <c r="JIH191" s="50"/>
      <c r="JII191" s="50"/>
      <c r="JIJ191" s="50"/>
      <c r="JIK191" s="50"/>
      <c r="JIL191" s="50"/>
      <c r="JIM191" s="50"/>
      <c r="JIN191" s="50"/>
      <c r="JIO191" s="50"/>
      <c r="JIP191" s="50"/>
      <c r="JIQ191" s="50"/>
      <c r="JIR191" s="50"/>
      <c r="JIS191" s="50"/>
      <c r="JIT191" s="50"/>
      <c r="JIU191" s="50"/>
      <c r="JIV191" s="50"/>
      <c r="JIW191" s="50"/>
      <c r="JIX191" s="50"/>
      <c r="JIY191" s="50"/>
      <c r="JIZ191" s="50"/>
      <c r="JJA191" s="50"/>
      <c r="JJB191" s="50"/>
      <c r="JJC191" s="50"/>
      <c r="JJD191" s="50"/>
      <c r="JJE191" s="50"/>
      <c r="JJF191" s="50"/>
      <c r="JJG191" s="50"/>
      <c r="JJH191" s="50"/>
      <c r="JJI191" s="50"/>
      <c r="JJJ191" s="50"/>
      <c r="JJK191" s="50"/>
      <c r="JJL191" s="50"/>
      <c r="JJM191" s="50"/>
      <c r="JJN191" s="50"/>
      <c r="JJO191" s="50"/>
      <c r="JJP191" s="50"/>
      <c r="JJQ191" s="50"/>
      <c r="JJR191" s="50"/>
      <c r="JJS191" s="50"/>
      <c r="JJT191" s="50"/>
      <c r="JJU191" s="50"/>
      <c r="JJV191" s="50"/>
      <c r="JJW191" s="50"/>
      <c r="JJX191" s="50"/>
      <c r="JJY191" s="50"/>
      <c r="JJZ191" s="50"/>
      <c r="JKA191" s="50"/>
      <c r="JKB191" s="50"/>
      <c r="JKC191" s="50"/>
      <c r="JKD191" s="50"/>
      <c r="JKE191" s="50"/>
      <c r="JKF191" s="50"/>
      <c r="JKG191" s="50"/>
      <c r="JKH191" s="50"/>
      <c r="JKI191" s="50"/>
      <c r="JKJ191" s="50"/>
      <c r="JKK191" s="50"/>
      <c r="JKL191" s="50"/>
      <c r="JKM191" s="50"/>
      <c r="JKN191" s="50"/>
      <c r="JKO191" s="50"/>
      <c r="JKP191" s="50"/>
      <c r="JKQ191" s="50"/>
      <c r="JKR191" s="50"/>
      <c r="JKS191" s="50"/>
      <c r="JKT191" s="50"/>
      <c r="JKU191" s="50"/>
      <c r="JKV191" s="50"/>
      <c r="JKW191" s="50"/>
      <c r="JKX191" s="50"/>
      <c r="JKY191" s="50"/>
      <c r="JKZ191" s="50"/>
      <c r="JLA191" s="50"/>
      <c r="JLB191" s="50"/>
      <c r="JLC191" s="50"/>
      <c r="JLD191" s="50"/>
      <c r="JLE191" s="50"/>
      <c r="JLF191" s="50"/>
      <c r="JLG191" s="50"/>
      <c r="JLH191" s="50"/>
      <c r="JLI191" s="50"/>
      <c r="JLJ191" s="50"/>
      <c r="JLK191" s="50"/>
      <c r="JLL191" s="50"/>
      <c r="JLM191" s="50"/>
      <c r="JLN191" s="50"/>
      <c r="JLO191" s="50"/>
      <c r="JLP191" s="50"/>
      <c r="JLQ191" s="50"/>
      <c r="JLR191" s="50"/>
      <c r="JLS191" s="50"/>
      <c r="JLT191" s="50"/>
      <c r="JLU191" s="50"/>
      <c r="JLV191" s="50"/>
      <c r="JLW191" s="50"/>
      <c r="JLX191" s="50"/>
      <c r="JLY191" s="50"/>
      <c r="JLZ191" s="50"/>
      <c r="JMA191" s="50"/>
      <c r="JMB191" s="50"/>
      <c r="JMC191" s="50"/>
      <c r="JMD191" s="50"/>
      <c r="JME191" s="50"/>
      <c r="JMF191" s="50"/>
      <c r="JMG191" s="50"/>
      <c r="JMH191" s="50"/>
      <c r="JMI191" s="50"/>
      <c r="JMJ191" s="50"/>
      <c r="JMK191" s="50"/>
      <c r="JML191" s="50"/>
      <c r="JMM191" s="50"/>
      <c r="JMN191" s="50"/>
      <c r="JMO191" s="50"/>
      <c r="JMP191" s="50"/>
      <c r="JMQ191" s="50"/>
      <c r="JMR191" s="50"/>
      <c r="JMS191" s="50"/>
      <c r="JMT191" s="50"/>
      <c r="JMU191" s="50"/>
      <c r="JMV191" s="50"/>
      <c r="JMW191" s="50"/>
      <c r="JMX191" s="50"/>
      <c r="JMY191" s="50"/>
      <c r="JMZ191" s="50"/>
      <c r="JNA191" s="50"/>
      <c r="JNB191" s="50"/>
      <c r="JNC191" s="50"/>
      <c r="JND191" s="50"/>
      <c r="JNE191" s="50"/>
      <c r="JNF191" s="50"/>
      <c r="JNG191" s="50"/>
      <c r="JNH191" s="50"/>
      <c r="JNI191" s="50"/>
      <c r="JNJ191" s="50"/>
      <c r="JNK191" s="50"/>
      <c r="JNL191" s="50"/>
      <c r="JNM191" s="50"/>
      <c r="JNN191" s="50"/>
      <c r="JNO191" s="50"/>
      <c r="JNP191" s="50"/>
      <c r="JNQ191" s="50"/>
      <c r="JNR191" s="50"/>
      <c r="JNS191" s="50"/>
      <c r="JNT191" s="50"/>
      <c r="JNU191" s="50"/>
      <c r="JNV191" s="50"/>
      <c r="JNW191" s="50"/>
      <c r="JNX191" s="50"/>
      <c r="JNY191" s="50"/>
      <c r="JNZ191" s="50"/>
      <c r="JOA191" s="50"/>
      <c r="JOB191" s="50"/>
      <c r="JOC191" s="50"/>
      <c r="JOD191" s="50"/>
      <c r="JOE191" s="50"/>
      <c r="JOF191" s="50"/>
      <c r="JOG191" s="50"/>
      <c r="JOH191" s="50"/>
      <c r="JOI191" s="50"/>
      <c r="JOJ191" s="50"/>
      <c r="JOK191" s="50"/>
      <c r="JOL191" s="50"/>
      <c r="JOM191" s="50"/>
      <c r="JON191" s="50"/>
      <c r="JOO191" s="50"/>
      <c r="JOP191" s="50"/>
      <c r="JOQ191" s="50"/>
      <c r="JOR191" s="50"/>
      <c r="JOS191" s="50"/>
      <c r="JOT191" s="50"/>
      <c r="JOU191" s="50"/>
      <c r="JOV191" s="50"/>
      <c r="JOW191" s="50"/>
      <c r="JOX191" s="50"/>
      <c r="JOY191" s="50"/>
      <c r="JOZ191" s="50"/>
      <c r="JPA191" s="50"/>
      <c r="JPB191" s="50"/>
      <c r="JPC191" s="50"/>
      <c r="JPD191" s="50"/>
      <c r="JPE191" s="50"/>
      <c r="JPF191" s="50"/>
      <c r="JPG191" s="50"/>
      <c r="JPH191" s="50"/>
      <c r="JPI191" s="50"/>
      <c r="JPJ191" s="50"/>
      <c r="JPK191" s="50"/>
      <c r="JPL191" s="50"/>
      <c r="JPM191" s="50"/>
      <c r="JPN191" s="50"/>
      <c r="JPO191" s="50"/>
      <c r="JPP191" s="50"/>
      <c r="JPQ191" s="50"/>
      <c r="JPR191" s="50"/>
      <c r="JPS191" s="50"/>
      <c r="JPT191" s="50"/>
      <c r="JPU191" s="50"/>
      <c r="JPV191" s="50"/>
      <c r="JPW191" s="50"/>
      <c r="JPX191" s="50"/>
      <c r="JPY191" s="50"/>
      <c r="JPZ191" s="50"/>
      <c r="JQA191" s="50"/>
      <c r="JQB191" s="50"/>
      <c r="JQC191" s="50"/>
      <c r="JQD191" s="50"/>
      <c r="JQE191" s="50"/>
      <c r="JQF191" s="50"/>
      <c r="JQG191" s="50"/>
      <c r="JQH191" s="50"/>
      <c r="JQI191" s="50"/>
      <c r="JQJ191" s="50"/>
      <c r="JQK191" s="50"/>
      <c r="JQL191" s="50"/>
      <c r="JQM191" s="50"/>
      <c r="JQN191" s="50"/>
      <c r="JQO191" s="50"/>
      <c r="JQP191" s="50"/>
      <c r="JQQ191" s="50"/>
      <c r="JQR191" s="50"/>
      <c r="JQS191" s="50"/>
      <c r="JQT191" s="50"/>
      <c r="JQU191" s="50"/>
      <c r="JQV191" s="50"/>
      <c r="JQW191" s="50"/>
      <c r="JQX191" s="50"/>
      <c r="JQY191" s="50"/>
      <c r="JQZ191" s="50"/>
      <c r="JRA191" s="50"/>
      <c r="JRB191" s="50"/>
      <c r="JRC191" s="50"/>
      <c r="JRD191" s="50"/>
      <c r="JRE191" s="50"/>
      <c r="JRF191" s="50"/>
      <c r="JRG191" s="50"/>
      <c r="JRH191" s="50"/>
      <c r="JRI191" s="50"/>
      <c r="JRJ191" s="50"/>
      <c r="JRK191" s="50"/>
      <c r="JRL191" s="50"/>
      <c r="JRM191" s="50"/>
      <c r="JRN191" s="50"/>
      <c r="JRO191" s="50"/>
      <c r="JRP191" s="50"/>
      <c r="JRQ191" s="50"/>
      <c r="JRR191" s="50"/>
      <c r="JRS191" s="50"/>
      <c r="JRT191" s="50"/>
      <c r="JRU191" s="50"/>
      <c r="JRV191" s="50"/>
      <c r="JRW191" s="50"/>
      <c r="JRX191" s="50"/>
      <c r="JRY191" s="50"/>
      <c r="JRZ191" s="50"/>
      <c r="JSA191" s="50"/>
      <c r="JSB191" s="50"/>
      <c r="JSC191" s="50"/>
      <c r="JSD191" s="50"/>
      <c r="JSE191" s="50"/>
      <c r="JSF191" s="50"/>
      <c r="JSG191" s="50"/>
      <c r="JSH191" s="50"/>
      <c r="JSI191" s="50"/>
      <c r="JSJ191" s="50"/>
      <c r="JSK191" s="50"/>
      <c r="JSL191" s="50"/>
      <c r="JSM191" s="50"/>
      <c r="JSN191" s="50"/>
      <c r="JSO191" s="50"/>
      <c r="JSP191" s="50"/>
      <c r="JSQ191" s="50"/>
      <c r="JSR191" s="50"/>
      <c r="JSS191" s="50"/>
      <c r="JST191" s="50"/>
      <c r="JSU191" s="50"/>
      <c r="JSV191" s="50"/>
      <c r="JSW191" s="50"/>
      <c r="JSX191" s="50"/>
      <c r="JSY191" s="50"/>
      <c r="JSZ191" s="50"/>
      <c r="JTA191" s="50"/>
      <c r="JTB191" s="50"/>
      <c r="JTC191" s="50"/>
      <c r="JTD191" s="50"/>
      <c r="JTE191" s="50"/>
      <c r="JTF191" s="50"/>
      <c r="JTG191" s="50"/>
      <c r="JTH191" s="50"/>
      <c r="JTI191" s="50"/>
      <c r="JTJ191" s="50"/>
      <c r="JTK191" s="50"/>
      <c r="JTL191" s="50"/>
      <c r="JTM191" s="50"/>
      <c r="JTN191" s="50"/>
      <c r="JTO191" s="50"/>
      <c r="JTP191" s="50"/>
      <c r="JTQ191" s="50"/>
      <c r="JTR191" s="50"/>
      <c r="JTS191" s="50"/>
      <c r="JTT191" s="50"/>
      <c r="JTU191" s="50"/>
      <c r="JTV191" s="50"/>
      <c r="JTW191" s="50"/>
      <c r="JTX191" s="50"/>
      <c r="JTY191" s="50"/>
      <c r="JTZ191" s="50"/>
      <c r="JUA191" s="50"/>
      <c r="JUB191" s="50"/>
      <c r="JUC191" s="50"/>
      <c r="JUD191" s="50"/>
      <c r="JUE191" s="50"/>
      <c r="JUF191" s="50"/>
      <c r="JUG191" s="50"/>
      <c r="JUH191" s="50"/>
      <c r="JUI191" s="50"/>
      <c r="JUJ191" s="50"/>
      <c r="JUK191" s="50"/>
      <c r="JUL191" s="50"/>
      <c r="JUM191" s="50"/>
      <c r="JUN191" s="50"/>
      <c r="JUO191" s="50"/>
      <c r="JUP191" s="50"/>
      <c r="JUQ191" s="50"/>
      <c r="JUR191" s="50"/>
      <c r="JUS191" s="50"/>
      <c r="JUT191" s="50"/>
      <c r="JUU191" s="50"/>
      <c r="JUV191" s="50"/>
      <c r="JUW191" s="50"/>
      <c r="JUX191" s="50"/>
      <c r="JUY191" s="50"/>
      <c r="JUZ191" s="50"/>
      <c r="JVA191" s="50"/>
      <c r="JVB191" s="50"/>
      <c r="JVC191" s="50"/>
      <c r="JVD191" s="50"/>
      <c r="JVE191" s="50"/>
      <c r="JVF191" s="50"/>
      <c r="JVG191" s="50"/>
      <c r="JVH191" s="50"/>
      <c r="JVI191" s="50"/>
      <c r="JVJ191" s="50"/>
      <c r="JVK191" s="50"/>
      <c r="JVL191" s="50"/>
      <c r="JVM191" s="50"/>
      <c r="JVN191" s="50"/>
      <c r="JVO191" s="50"/>
      <c r="JVP191" s="50"/>
      <c r="JVQ191" s="50"/>
      <c r="JVR191" s="50"/>
      <c r="JVS191" s="50"/>
      <c r="JVT191" s="50"/>
      <c r="JVU191" s="50"/>
      <c r="JVV191" s="50"/>
      <c r="JVW191" s="50"/>
      <c r="JVX191" s="50"/>
      <c r="JVY191" s="50"/>
      <c r="JVZ191" s="50"/>
      <c r="JWA191" s="50"/>
      <c r="JWB191" s="50"/>
      <c r="JWC191" s="50"/>
      <c r="JWD191" s="50"/>
      <c r="JWE191" s="50"/>
      <c r="JWF191" s="50"/>
      <c r="JWG191" s="50"/>
      <c r="JWH191" s="50"/>
      <c r="JWI191" s="50"/>
      <c r="JWJ191" s="50"/>
      <c r="JWK191" s="50"/>
      <c r="JWL191" s="50"/>
      <c r="JWM191" s="50"/>
      <c r="JWN191" s="50"/>
      <c r="JWO191" s="50"/>
      <c r="JWP191" s="50"/>
      <c r="JWQ191" s="50"/>
      <c r="JWR191" s="50"/>
      <c r="JWS191" s="50"/>
      <c r="JWT191" s="50"/>
      <c r="JWU191" s="50"/>
      <c r="JWV191" s="50"/>
      <c r="JWW191" s="50"/>
      <c r="JWX191" s="50"/>
      <c r="JWY191" s="50"/>
      <c r="JWZ191" s="50"/>
      <c r="JXA191" s="50"/>
      <c r="JXB191" s="50"/>
      <c r="JXC191" s="50"/>
      <c r="JXD191" s="50"/>
      <c r="JXE191" s="50"/>
      <c r="JXF191" s="50"/>
      <c r="JXG191" s="50"/>
      <c r="JXH191" s="50"/>
      <c r="JXI191" s="50"/>
      <c r="JXJ191" s="50"/>
      <c r="JXK191" s="50"/>
      <c r="JXL191" s="50"/>
      <c r="JXM191" s="50"/>
      <c r="JXN191" s="50"/>
      <c r="JXO191" s="50"/>
      <c r="JXP191" s="50"/>
      <c r="JXQ191" s="50"/>
      <c r="JXR191" s="50"/>
      <c r="JXS191" s="50"/>
      <c r="JXT191" s="50"/>
      <c r="JXU191" s="50"/>
      <c r="JXV191" s="50"/>
      <c r="JXW191" s="50"/>
      <c r="JXX191" s="50"/>
      <c r="JXY191" s="50"/>
      <c r="JXZ191" s="50"/>
      <c r="JYA191" s="50"/>
      <c r="JYB191" s="50"/>
      <c r="JYC191" s="50"/>
      <c r="JYD191" s="50"/>
      <c r="JYE191" s="50"/>
      <c r="JYF191" s="50"/>
      <c r="JYG191" s="50"/>
      <c r="JYH191" s="50"/>
      <c r="JYI191" s="50"/>
      <c r="JYJ191" s="50"/>
      <c r="JYK191" s="50"/>
      <c r="JYL191" s="50"/>
      <c r="JYM191" s="50"/>
      <c r="JYN191" s="50"/>
      <c r="JYO191" s="50"/>
      <c r="JYP191" s="50"/>
      <c r="JYQ191" s="50"/>
      <c r="JYR191" s="50"/>
      <c r="JYS191" s="50"/>
      <c r="JYT191" s="50"/>
      <c r="JYU191" s="50"/>
      <c r="JYV191" s="50"/>
      <c r="JYW191" s="50"/>
      <c r="JYX191" s="50"/>
      <c r="JYY191" s="50"/>
      <c r="JYZ191" s="50"/>
      <c r="JZA191" s="50"/>
      <c r="JZB191" s="50"/>
      <c r="JZC191" s="50"/>
      <c r="JZD191" s="50"/>
      <c r="JZE191" s="50"/>
      <c r="JZF191" s="50"/>
      <c r="JZG191" s="50"/>
      <c r="JZH191" s="50"/>
      <c r="JZI191" s="50"/>
      <c r="JZJ191" s="50"/>
      <c r="JZK191" s="50"/>
      <c r="JZL191" s="50"/>
      <c r="JZM191" s="50"/>
      <c r="JZN191" s="50"/>
      <c r="JZO191" s="50"/>
      <c r="JZP191" s="50"/>
      <c r="JZQ191" s="50"/>
      <c r="JZR191" s="50"/>
      <c r="JZS191" s="50"/>
      <c r="JZT191" s="50"/>
      <c r="JZU191" s="50"/>
      <c r="JZV191" s="50"/>
      <c r="JZW191" s="50"/>
      <c r="JZX191" s="50"/>
      <c r="JZY191" s="50"/>
      <c r="JZZ191" s="50"/>
      <c r="KAA191" s="50"/>
      <c r="KAB191" s="50"/>
      <c r="KAC191" s="50"/>
      <c r="KAD191" s="50"/>
      <c r="KAE191" s="50"/>
      <c r="KAF191" s="50"/>
      <c r="KAG191" s="50"/>
      <c r="KAH191" s="50"/>
      <c r="KAI191" s="50"/>
      <c r="KAJ191" s="50"/>
      <c r="KAK191" s="50"/>
      <c r="KAL191" s="50"/>
      <c r="KAM191" s="50"/>
      <c r="KAN191" s="50"/>
      <c r="KAO191" s="50"/>
      <c r="KAP191" s="50"/>
      <c r="KAQ191" s="50"/>
      <c r="KAR191" s="50"/>
      <c r="KAS191" s="50"/>
      <c r="KAT191" s="50"/>
      <c r="KAU191" s="50"/>
      <c r="KAV191" s="50"/>
      <c r="KAW191" s="50"/>
      <c r="KAX191" s="50"/>
      <c r="KAY191" s="50"/>
      <c r="KAZ191" s="50"/>
      <c r="KBA191" s="50"/>
      <c r="KBB191" s="50"/>
      <c r="KBC191" s="50"/>
      <c r="KBD191" s="50"/>
      <c r="KBE191" s="50"/>
      <c r="KBF191" s="50"/>
      <c r="KBG191" s="50"/>
      <c r="KBH191" s="50"/>
      <c r="KBI191" s="50"/>
      <c r="KBJ191" s="50"/>
      <c r="KBK191" s="50"/>
      <c r="KBL191" s="50"/>
      <c r="KBM191" s="50"/>
      <c r="KBN191" s="50"/>
      <c r="KBO191" s="50"/>
      <c r="KBP191" s="50"/>
      <c r="KBQ191" s="50"/>
      <c r="KBR191" s="50"/>
      <c r="KBS191" s="50"/>
      <c r="KBT191" s="50"/>
      <c r="KBU191" s="50"/>
      <c r="KBV191" s="50"/>
      <c r="KBW191" s="50"/>
      <c r="KBX191" s="50"/>
      <c r="KBY191" s="50"/>
      <c r="KBZ191" s="50"/>
      <c r="KCA191" s="50"/>
      <c r="KCB191" s="50"/>
      <c r="KCC191" s="50"/>
      <c r="KCD191" s="50"/>
      <c r="KCE191" s="50"/>
      <c r="KCF191" s="50"/>
      <c r="KCG191" s="50"/>
      <c r="KCH191" s="50"/>
      <c r="KCI191" s="50"/>
      <c r="KCJ191" s="50"/>
      <c r="KCK191" s="50"/>
      <c r="KCL191" s="50"/>
      <c r="KCM191" s="50"/>
      <c r="KCN191" s="50"/>
      <c r="KCO191" s="50"/>
      <c r="KCP191" s="50"/>
      <c r="KCQ191" s="50"/>
      <c r="KCR191" s="50"/>
      <c r="KCS191" s="50"/>
      <c r="KCT191" s="50"/>
      <c r="KCU191" s="50"/>
      <c r="KCV191" s="50"/>
      <c r="KCW191" s="50"/>
      <c r="KCX191" s="50"/>
      <c r="KCY191" s="50"/>
      <c r="KCZ191" s="50"/>
      <c r="KDA191" s="50"/>
      <c r="KDB191" s="50"/>
      <c r="KDC191" s="50"/>
      <c r="KDD191" s="50"/>
      <c r="KDE191" s="50"/>
      <c r="KDF191" s="50"/>
      <c r="KDG191" s="50"/>
      <c r="KDH191" s="50"/>
      <c r="KDI191" s="50"/>
      <c r="KDJ191" s="50"/>
      <c r="KDK191" s="50"/>
      <c r="KDL191" s="50"/>
      <c r="KDM191" s="50"/>
      <c r="KDN191" s="50"/>
      <c r="KDO191" s="50"/>
      <c r="KDP191" s="50"/>
      <c r="KDQ191" s="50"/>
      <c r="KDR191" s="50"/>
      <c r="KDS191" s="50"/>
      <c r="KDT191" s="50"/>
      <c r="KDU191" s="50"/>
      <c r="KDV191" s="50"/>
      <c r="KDW191" s="50"/>
      <c r="KDX191" s="50"/>
      <c r="KDY191" s="50"/>
      <c r="KDZ191" s="50"/>
      <c r="KEA191" s="50"/>
      <c r="KEB191" s="50"/>
      <c r="KEC191" s="50"/>
      <c r="KED191" s="50"/>
      <c r="KEE191" s="50"/>
      <c r="KEF191" s="50"/>
      <c r="KEG191" s="50"/>
      <c r="KEH191" s="50"/>
      <c r="KEI191" s="50"/>
      <c r="KEJ191" s="50"/>
      <c r="KEK191" s="50"/>
      <c r="KEL191" s="50"/>
      <c r="KEM191" s="50"/>
      <c r="KEN191" s="50"/>
      <c r="KEO191" s="50"/>
      <c r="KEP191" s="50"/>
      <c r="KEQ191" s="50"/>
      <c r="KER191" s="50"/>
      <c r="KES191" s="50"/>
      <c r="KET191" s="50"/>
      <c r="KEU191" s="50"/>
      <c r="KEV191" s="50"/>
      <c r="KEW191" s="50"/>
      <c r="KEX191" s="50"/>
      <c r="KEY191" s="50"/>
      <c r="KEZ191" s="50"/>
      <c r="KFA191" s="50"/>
      <c r="KFB191" s="50"/>
      <c r="KFC191" s="50"/>
      <c r="KFD191" s="50"/>
      <c r="KFE191" s="50"/>
      <c r="KFF191" s="50"/>
      <c r="KFG191" s="50"/>
      <c r="KFH191" s="50"/>
      <c r="KFI191" s="50"/>
      <c r="KFJ191" s="50"/>
      <c r="KFK191" s="50"/>
      <c r="KFL191" s="50"/>
      <c r="KFM191" s="50"/>
      <c r="KFN191" s="50"/>
      <c r="KFO191" s="50"/>
      <c r="KFP191" s="50"/>
      <c r="KFQ191" s="50"/>
      <c r="KFR191" s="50"/>
      <c r="KFS191" s="50"/>
      <c r="KFT191" s="50"/>
      <c r="KFU191" s="50"/>
      <c r="KFV191" s="50"/>
      <c r="KFW191" s="50"/>
      <c r="KFX191" s="50"/>
      <c r="KFY191" s="50"/>
      <c r="KFZ191" s="50"/>
      <c r="KGA191" s="50"/>
      <c r="KGB191" s="50"/>
      <c r="KGC191" s="50"/>
      <c r="KGD191" s="50"/>
      <c r="KGE191" s="50"/>
      <c r="KGF191" s="50"/>
      <c r="KGG191" s="50"/>
      <c r="KGH191" s="50"/>
      <c r="KGI191" s="50"/>
      <c r="KGJ191" s="50"/>
      <c r="KGK191" s="50"/>
      <c r="KGL191" s="50"/>
      <c r="KGM191" s="50"/>
      <c r="KGN191" s="50"/>
      <c r="KGO191" s="50"/>
      <c r="KGP191" s="50"/>
      <c r="KGQ191" s="50"/>
      <c r="KGR191" s="50"/>
      <c r="KGS191" s="50"/>
      <c r="KGT191" s="50"/>
      <c r="KGU191" s="50"/>
      <c r="KGV191" s="50"/>
      <c r="KGW191" s="50"/>
      <c r="KGX191" s="50"/>
      <c r="KGY191" s="50"/>
      <c r="KGZ191" s="50"/>
      <c r="KHA191" s="50"/>
      <c r="KHB191" s="50"/>
      <c r="KHC191" s="50"/>
      <c r="KHD191" s="50"/>
      <c r="KHE191" s="50"/>
      <c r="KHF191" s="50"/>
      <c r="KHG191" s="50"/>
      <c r="KHH191" s="50"/>
      <c r="KHI191" s="50"/>
      <c r="KHJ191" s="50"/>
      <c r="KHK191" s="50"/>
      <c r="KHL191" s="50"/>
      <c r="KHM191" s="50"/>
      <c r="KHN191" s="50"/>
      <c r="KHO191" s="50"/>
      <c r="KHP191" s="50"/>
      <c r="KHQ191" s="50"/>
      <c r="KHR191" s="50"/>
      <c r="KHS191" s="50"/>
      <c r="KHT191" s="50"/>
      <c r="KHU191" s="50"/>
      <c r="KHV191" s="50"/>
      <c r="KHW191" s="50"/>
      <c r="KHX191" s="50"/>
      <c r="KHY191" s="50"/>
      <c r="KHZ191" s="50"/>
      <c r="KIA191" s="50"/>
      <c r="KIB191" s="50"/>
      <c r="KIC191" s="50"/>
      <c r="KID191" s="50"/>
      <c r="KIE191" s="50"/>
      <c r="KIF191" s="50"/>
      <c r="KIG191" s="50"/>
      <c r="KIH191" s="50"/>
      <c r="KII191" s="50"/>
      <c r="KIJ191" s="50"/>
      <c r="KIK191" s="50"/>
      <c r="KIL191" s="50"/>
      <c r="KIM191" s="50"/>
      <c r="KIN191" s="50"/>
      <c r="KIO191" s="50"/>
      <c r="KIP191" s="50"/>
      <c r="KIQ191" s="50"/>
      <c r="KIR191" s="50"/>
      <c r="KIS191" s="50"/>
      <c r="KIT191" s="50"/>
      <c r="KIU191" s="50"/>
      <c r="KIV191" s="50"/>
      <c r="KIW191" s="50"/>
      <c r="KIX191" s="50"/>
      <c r="KIY191" s="50"/>
      <c r="KIZ191" s="50"/>
      <c r="KJA191" s="50"/>
      <c r="KJB191" s="50"/>
      <c r="KJC191" s="50"/>
      <c r="KJD191" s="50"/>
      <c r="KJE191" s="50"/>
      <c r="KJF191" s="50"/>
      <c r="KJG191" s="50"/>
      <c r="KJH191" s="50"/>
      <c r="KJI191" s="50"/>
      <c r="KJJ191" s="50"/>
      <c r="KJK191" s="50"/>
      <c r="KJL191" s="50"/>
      <c r="KJM191" s="50"/>
      <c r="KJN191" s="50"/>
      <c r="KJO191" s="50"/>
      <c r="KJP191" s="50"/>
      <c r="KJQ191" s="50"/>
      <c r="KJR191" s="50"/>
      <c r="KJS191" s="50"/>
      <c r="KJT191" s="50"/>
      <c r="KJU191" s="50"/>
      <c r="KJV191" s="50"/>
      <c r="KJW191" s="50"/>
      <c r="KJX191" s="50"/>
      <c r="KJY191" s="50"/>
      <c r="KJZ191" s="50"/>
      <c r="KKA191" s="50"/>
      <c r="KKB191" s="50"/>
      <c r="KKC191" s="50"/>
      <c r="KKD191" s="50"/>
      <c r="KKE191" s="50"/>
      <c r="KKF191" s="50"/>
      <c r="KKG191" s="50"/>
      <c r="KKH191" s="50"/>
      <c r="KKI191" s="50"/>
      <c r="KKJ191" s="50"/>
      <c r="KKK191" s="50"/>
      <c r="KKL191" s="50"/>
      <c r="KKM191" s="50"/>
      <c r="KKN191" s="50"/>
      <c r="KKO191" s="50"/>
      <c r="KKP191" s="50"/>
      <c r="KKQ191" s="50"/>
      <c r="KKR191" s="50"/>
      <c r="KKS191" s="50"/>
      <c r="KKT191" s="50"/>
      <c r="KKU191" s="50"/>
      <c r="KKV191" s="50"/>
      <c r="KKW191" s="50"/>
      <c r="KKX191" s="50"/>
      <c r="KKY191" s="50"/>
      <c r="KKZ191" s="50"/>
      <c r="KLA191" s="50"/>
      <c r="KLB191" s="50"/>
      <c r="KLC191" s="50"/>
      <c r="KLD191" s="50"/>
      <c r="KLE191" s="50"/>
      <c r="KLF191" s="50"/>
      <c r="KLG191" s="50"/>
      <c r="KLH191" s="50"/>
      <c r="KLI191" s="50"/>
      <c r="KLJ191" s="50"/>
      <c r="KLK191" s="50"/>
      <c r="KLL191" s="50"/>
      <c r="KLM191" s="50"/>
      <c r="KLN191" s="50"/>
      <c r="KLO191" s="50"/>
      <c r="KLP191" s="50"/>
      <c r="KLQ191" s="50"/>
      <c r="KLR191" s="50"/>
      <c r="KLS191" s="50"/>
      <c r="KLT191" s="50"/>
      <c r="KLU191" s="50"/>
      <c r="KLV191" s="50"/>
      <c r="KLW191" s="50"/>
      <c r="KLX191" s="50"/>
      <c r="KLY191" s="50"/>
      <c r="KLZ191" s="50"/>
      <c r="KMA191" s="50"/>
      <c r="KMB191" s="50"/>
      <c r="KMC191" s="50"/>
      <c r="KMD191" s="50"/>
      <c r="KME191" s="50"/>
      <c r="KMF191" s="50"/>
      <c r="KMG191" s="50"/>
      <c r="KMH191" s="50"/>
      <c r="KMI191" s="50"/>
      <c r="KMJ191" s="50"/>
      <c r="KMK191" s="50"/>
      <c r="KML191" s="50"/>
      <c r="KMM191" s="50"/>
      <c r="KMN191" s="50"/>
      <c r="KMO191" s="50"/>
      <c r="KMP191" s="50"/>
      <c r="KMQ191" s="50"/>
      <c r="KMR191" s="50"/>
      <c r="KMS191" s="50"/>
      <c r="KMT191" s="50"/>
      <c r="KMU191" s="50"/>
      <c r="KMV191" s="50"/>
      <c r="KMW191" s="50"/>
      <c r="KMX191" s="50"/>
      <c r="KMY191" s="50"/>
      <c r="KMZ191" s="50"/>
      <c r="KNA191" s="50"/>
      <c r="KNB191" s="50"/>
      <c r="KNC191" s="50"/>
      <c r="KND191" s="50"/>
      <c r="KNE191" s="50"/>
      <c r="KNF191" s="50"/>
      <c r="KNG191" s="50"/>
      <c r="KNH191" s="50"/>
      <c r="KNI191" s="50"/>
      <c r="KNJ191" s="50"/>
      <c r="KNK191" s="50"/>
      <c r="KNL191" s="50"/>
      <c r="KNM191" s="50"/>
      <c r="KNN191" s="50"/>
      <c r="KNO191" s="50"/>
      <c r="KNP191" s="50"/>
      <c r="KNQ191" s="50"/>
      <c r="KNR191" s="50"/>
      <c r="KNS191" s="50"/>
      <c r="KNT191" s="50"/>
      <c r="KNU191" s="50"/>
      <c r="KNV191" s="50"/>
      <c r="KNW191" s="50"/>
      <c r="KNX191" s="50"/>
      <c r="KNY191" s="50"/>
      <c r="KNZ191" s="50"/>
      <c r="KOA191" s="50"/>
      <c r="KOB191" s="50"/>
      <c r="KOC191" s="50"/>
      <c r="KOD191" s="50"/>
      <c r="KOE191" s="50"/>
      <c r="KOF191" s="50"/>
      <c r="KOG191" s="50"/>
      <c r="KOH191" s="50"/>
      <c r="KOI191" s="50"/>
      <c r="KOJ191" s="50"/>
      <c r="KOK191" s="50"/>
      <c r="KOL191" s="50"/>
      <c r="KOM191" s="50"/>
      <c r="KON191" s="50"/>
      <c r="KOO191" s="50"/>
      <c r="KOP191" s="50"/>
      <c r="KOQ191" s="50"/>
      <c r="KOR191" s="50"/>
      <c r="KOS191" s="50"/>
      <c r="KOT191" s="50"/>
      <c r="KOU191" s="50"/>
      <c r="KOV191" s="50"/>
      <c r="KOW191" s="50"/>
      <c r="KOX191" s="50"/>
      <c r="KOY191" s="50"/>
      <c r="KOZ191" s="50"/>
      <c r="KPA191" s="50"/>
      <c r="KPB191" s="50"/>
      <c r="KPC191" s="50"/>
      <c r="KPD191" s="50"/>
      <c r="KPE191" s="50"/>
      <c r="KPF191" s="50"/>
      <c r="KPG191" s="50"/>
      <c r="KPH191" s="50"/>
      <c r="KPI191" s="50"/>
      <c r="KPJ191" s="50"/>
      <c r="KPK191" s="50"/>
      <c r="KPL191" s="50"/>
      <c r="KPM191" s="50"/>
      <c r="KPN191" s="50"/>
      <c r="KPO191" s="50"/>
      <c r="KPP191" s="50"/>
      <c r="KPQ191" s="50"/>
      <c r="KPR191" s="50"/>
      <c r="KPS191" s="50"/>
      <c r="KPT191" s="50"/>
      <c r="KPU191" s="50"/>
      <c r="KPV191" s="50"/>
      <c r="KPW191" s="50"/>
      <c r="KPX191" s="50"/>
      <c r="KPY191" s="50"/>
      <c r="KPZ191" s="50"/>
      <c r="KQA191" s="50"/>
      <c r="KQB191" s="50"/>
      <c r="KQC191" s="50"/>
      <c r="KQD191" s="50"/>
      <c r="KQE191" s="50"/>
      <c r="KQF191" s="50"/>
      <c r="KQG191" s="50"/>
      <c r="KQH191" s="50"/>
      <c r="KQI191" s="50"/>
      <c r="KQJ191" s="50"/>
      <c r="KQK191" s="50"/>
      <c r="KQL191" s="50"/>
      <c r="KQM191" s="50"/>
      <c r="KQN191" s="50"/>
      <c r="KQO191" s="50"/>
      <c r="KQP191" s="50"/>
      <c r="KQQ191" s="50"/>
      <c r="KQR191" s="50"/>
      <c r="KQS191" s="50"/>
      <c r="KQT191" s="50"/>
      <c r="KQU191" s="50"/>
      <c r="KQV191" s="50"/>
      <c r="KQW191" s="50"/>
      <c r="KQX191" s="50"/>
      <c r="KQY191" s="50"/>
      <c r="KQZ191" s="50"/>
      <c r="KRA191" s="50"/>
      <c r="KRB191" s="50"/>
      <c r="KRC191" s="50"/>
      <c r="KRD191" s="50"/>
      <c r="KRE191" s="50"/>
      <c r="KRF191" s="50"/>
      <c r="KRG191" s="50"/>
      <c r="KRH191" s="50"/>
      <c r="KRI191" s="50"/>
      <c r="KRJ191" s="50"/>
      <c r="KRK191" s="50"/>
      <c r="KRL191" s="50"/>
      <c r="KRM191" s="50"/>
      <c r="KRN191" s="50"/>
      <c r="KRO191" s="50"/>
      <c r="KRP191" s="50"/>
      <c r="KRQ191" s="50"/>
      <c r="KRR191" s="50"/>
      <c r="KRS191" s="50"/>
      <c r="KRT191" s="50"/>
      <c r="KRU191" s="50"/>
      <c r="KRV191" s="50"/>
      <c r="KRW191" s="50"/>
      <c r="KRX191" s="50"/>
      <c r="KRY191" s="50"/>
      <c r="KRZ191" s="50"/>
      <c r="KSA191" s="50"/>
      <c r="KSB191" s="50"/>
      <c r="KSC191" s="50"/>
      <c r="KSD191" s="50"/>
      <c r="KSE191" s="50"/>
      <c r="KSF191" s="50"/>
      <c r="KSG191" s="50"/>
      <c r="KSH191" s="50"/>
      <c r="KSI191" s="50"/>
      <c r="KSJ191" s="50"/>
      <c r="KSK191" s="50"/>
      <c r="KSL191" s="50"/>
      <c r="KSM191" s="50"/>
      <c r="KSN191" s="50"/>
      <c r="KSO191" s="50"/>
      <c r="KSP191" s="50"/>
      <c r="KSQ191" s="50"/>
      <c r="KSR191" s="50"/>
      <c r="KSS191" s="50"/>
      <c r="KST191" s="50"/>
      <c r="KSU191" s="50"/>
      <c r="KSV191" s="50"/>
      <c r="KSW191" s="50"/>
      <c r="KSX191" s="50"/>
      <c r="KSY191" s="50"/>
      <c r="KSZ191" s="50"/>
      <c r="KTA191" s="50"/>
      <c r="KTB191" s="50"/>
      <c r="KTC191" s="50"/>
      <c r="KTD191" s="50"/>
      <c r="KTE191" s="50"/>
      <c r="KTF191" s="50"/>
      <c r="KTG191" s="50"/>
      <c r="KTH191" s="50"/>
      <c r="KTI191" s="50"/>
      <c r="KTJ191" s="50"/>
      <c r="KTK191" s="50"/>
      <c r="KTL191" s="50"/>
      <c r="KTM191" s="50"/>
      <c r="KTN191" s="50"/>
      <c r="KTO191" s="50"/>
      <c r="KTP191" s="50"/>
      <c r="KTQ191" s="50"/>
      <c r="KTR191" s="50"/>
      <c r="KTS191" s="50"/>
      <c r="KTT191" s="50"/>
      <c r="KTU191" s="50"/>
      <c r="KTV191" s="50"/>
      <c r="KTW191" s="50"/>
      <c r="KTX191" s="50"/>
      <c r="KTY191" s="50"/>
      <c r="KTZ191" s="50"/>
      <c r="KUA191" s="50"/>
      <c r="KUB191" s="50"/>
      <c r="KUC191" s="50"/>
      <c r="KUD191" s="50"/>
      <c r="KUE191" s="50"/>
      <c r="KUF191" s="50"/>
      <c r="KUG191" s="50"/>
      <c r="KUH191" s="50"/>
      <c r="KUI191" s="50"/>
      <c r="KUJ191" s="50"/>
      <c r="KUK191" s="50"/>
      <c r="KUL191" s="50"/>
      <c r="KUM191" s="50"/>
      <c r="KUN191" s="50"/>
      <c r="KUO191" s="50"/>
      <c r="KUP191" s="50"/>
      <c r="KUQ191" s="50"/>
      <c r="KUR191" s="50"/>
      <c r="KUS191" s="50"/>
      <c r="KUT191" s="50"/>
      <c r="KUU191" s="50"/>
      <c r="KUV191" s="50"/>
      <c r="KUW191" s="50"/>
      <c r="KUX191" s="50"/>
      <c r="KUY191" s="50"/>
      <c r="KUZ191" s="50"/>
      <c r="KVA191" s="50"/>
      <c r="KVB191" s="50"/>
      <c r="KVC191" s="50"/>
      <c r="KVD191" s="50"/>
      <c r="KVE191" s="50"/>
      <c r="KVF191" s="50"/>
      <c r="KVG191" s="50"/>
      <c r="KVH191" s="50"/>
      <c r="KVI191" s="50"/>
      <c r="KVJ191" s="50"/>
      <c r="KVK191" s="50"/>
      <c r="KVL191" s="50"/>
      <c r="KVM191" s="50"/>
      <c r="KVN191" s="50"/>
      <c r="KVO191" s="50"/>
      <c r="KVP191" s="50"/>
      <c r="KVQ191" s="50"/>
      <c r="KVR191" s="50"/>
      <c r="KVS191" s="50"/>
      <c r="KVT191" s="50"/>
      <c r="KVU191" s="50"/>
      <c r="KVV191" s="50"/>
      <c r="KVW191" s="50"/>
      <c r="KVX191" s="50"/>
      <c r="KVY191" s="50"/>
      <c r="KVZ191" s="50"/>
      <c r="KWA191" s="50"/>
      <c r="KWB191" s="50"/>
      <c r="KWC191" s="50"/>
      <c r="KWD191" s="50"/>
      <c r="KWE191" s="50"/>
      <c r="KWF191" s="50"/>
      <c r="KWG191" s="50"/>
      <c r="KWH191" s="50"/>
      <c r="KWI191" s="50"/>
      <c r="KWJ191" s="50"/>
      <c r="KWK191" s="50"/>
      <c r="KWL191" s="50"/>
      <c r="KWM191" s="50"/>
      <c r="KWN191" s="50"/>
      <c r="KWO191" s="50"/>
      <c r="KWP191" s="50"/>
      <c r="KWQ191" s="50"/>
      <c r="KWR191" s="50"/>
      <c r="KWS191" s="50"/>
      <c r="KWT191" s="50"/>
      <c r="KWU191" s="50"/>
      <c r="KWV191" s="50"/>
      <c r="KWW191" s="50"/>
      <c r="KWX191" s="50"/>
      <c r="KWY191" s="50"/>
      <c r="KWZ191" s="50"/>
      <c r="KXA191" s="50"/>
      <c r="KXB191" s="50"/>
      <c r="KXC191" s="50"/>
      <c r="KXD191" s="50"/>
      <c r="KXE191" s="50"/>
      <c r="KXF191" s="50"/>
      <c r="KXG191" s="50"/>
      <c r="KXH191" s="50"/>
      <c r="KXI191" s="50"/>
      <c r="KXJ191" s="50"/>
      <c r="KXK191" s="50"/>
      <c r="KXL191" s="50"/>
      <c r="KXM191" s="50"/>
      <c r="KXN191" s="50"/>
      <c r="KXO191" s="50"/>
      <c r="KXP191" s="50"/>
      <c r="KXQ191" s="50"/>
      <c r="KXR191" s="50"/>
      <c r="KXS191" s="50"/>
      <c r="KXT191" s="50"/>
      <c r="KXU191" s="50"/>
      <c r="KXV191" s="50"/>
      <c r="KXW191" s="50"/>
      <c r="KXX191" s="50"/>
      <c r="KXY191" s="50"/>
      <c r="KXZ191" s="50"/>
      <c r="KYA191" s="50"/>
      <c r="KYB191" s="50"/>
      <c r="KYC191" s="50"/>
      <c r="KYD191" s="50"/>
      <c r="KYE191" s="50"/>
      <c r="KYF191" s="50"/>
      <c r="KYG191" s="50"/>
      <c r="KYH191" s="50"/>
      <c r="KYI191" s="50"/>
      <c r="KYJ191" s="50"/>
      <c r="KYK191" s="50"/>
      <c r="KYL191" s="50"/>
      <c r="KYM191" s="50"/>
      <c r="KYN191" s="50"/>
      <c r="KYO191" s="50"/>
      <c r="KYP191" s="50"/>
      <c r="KYQ191" s="50"/>
      <c r="KYR191" s="50"/>
      <c r="KYS191" s="50"/>
      <c r="KYT191" s="50"/>
      <c r="KYU191" s="50"/>
      <c r="KYV191" s="50"/>
      <c r="KYW191" s="50"/>
      <c r="KYX191" s="50"/>
      <c r="KYY191" s="50"/>
      <c r="KYZ191" s="50"/>
      <c r="KZA191" s="50"/>
      <c r="KZB191" s="50"/>
      <c r="KZC191" s="50"/>
      <c r="KZD191" s="50"/>
      <c r="KZE191" s="50"/>
      <c r="KZF191" s="50"/>
      <c r="KZG191" s="50"/>
      <c r="KZH191" s="50"/>
      <c r="KZI191" s="50"/>
      <c r="KZJ191" s="50"/>
      <c r="KZK191" s="50"/>
      <c r="KZL191" s="50"/>
      <c r="KZM191" s="50"/>
      <c r="KZN191" s="50"/>
      <c r="KZO191" s="50"/>
      <c r="KZP191" s="50"/>
      <c r="KZQ191" s="50"/>
      <c r="KZR191" s="50"/>
      <c r="KZS191" s="50"/>
      <c r="KZT191" s="50"/>
      <c r="KZU191" s="50"/>
      <c r="KZV191" s="50"/>
      <c r="KZW191" s="50"/>
      <c r="KZX191" s="50"/>
      <c r="KZY191" s="50"/>
      <c r="KZZ191" s="50"/>
      <c r="LAA191" s="50"/>
      <c r="LAB191" s="50"/>
      <c r="LAC191" s="50"/>
      <c r="LAD191" s="50"/>
      <c r="LAE191" s="50"/>
      <c r="LAF191" s="50"/>
      <c r="LAG191" s="50"/>
      <c r="LAH191" s="50"/>
      <c r="LAI191" s="50"/>
      <c r="LAJ191" s="50"/>
      <c r="LAK191" s="50"/>
      <c r="LAL191" s="50"/>
      <c r="LAM191" s="50"/>
      <c r="LAN191" s="50"/>
      <c r="LAO191" s="50"/>
      <c r="LAP191" s="50"/>
      <c r="LAQ191" s="50"/>
      <c r="LAR191" s="50"/>
      <c r="LAS191" s="50"/>
      <c r="LAT191" s="50"/>
      <c r="LAU191" s="50"/>
      <c r="LAV191" s="50"/>
      <c r="LAW191" s="50"/>
      <c r="LAX191" s="50"/>
      <c r="LAY191" s="50"/>
      <c r="LAZ191" s="50"/>
      <c r="LBA191" s="50"/>
      <c r="LBB191" s="50"/>
      <c r="LBC191" s="50"/>
      <c r="LBD191" s="50"/>
      <c r="LBE191" s="50"/>
      <c r="LBF191" s="50"/>
      <c r="LBG191" s="50"/>
      <c r="LBH191" s="50"/>
      <c r="LBI191" s="50"/>
      <c r="LBJ191" s="50"/>
      <c r="LBK191" s="50"/>
      <c r="LBL191" s="50"/>
      <c r="LBM191" s="50"/>
      <c r="LBN191" s="50"/>
      <c r="LBO191" s="50"/>
      <c r="LBP191" s="50"/>
      <c r="LBQ191" s="50"/>
      <c r="LBR191" s="50"/>
      <c r="LBS191" s="50"/>
      <c r="LBT191" s="50"/>
      <c r="LBU191" s="50"/>
      <c r="LBV191" s="50"/>
      <c r="LBW191" s="50"/>
      <c r="LBX191" s="50"/>
      <c r="LBY191" s="50"/>
      <c r="LBZ191" s="50"/>
      <c r="LCA191" s="50"/>
      <c r="LCB191" s="50"/>
      <c r="LCC191" s="50"/>
      <c r="LCD191" s="50"/>
      <c r="LCE191" s="50"/>
      <c r="LCF191" s="50"/>
      <c r="LCG191" s="50"/>
      <c r="LCH191" s="50"/>
      <c r="LCI191" s="50"/>
      <c r="LCJ191" s="50"/>
      <c r="LCK191" s="50"/>
      <c r="LCL191" s="50"/>
      <c r="LCM191" s="50"/>
      <c r="LCN191" s="50"/>
      <c r="LCO191" s="50"/>
      <c r="LCP191" s="50"/>
      <c r="LCQ191" s="50"/>
      <c r="LCR191" s="50"/>
      <c r="LCS191" s="50"/>
      <c r="LCT191" s="50"/>
      <c r="LCU191" s="50"/>
      <c r="LCV191" s="50"/>
      <c r="LCW191" s="50"/>
      <c r="LCX191" s="50"/>
      <c r="LCY191" s="50"/>
      <c r="LCZ191" s="50"/>
      <c r="LDA191" s="50"/>
      <c r="LDB191" s="50"/>
      <c r="LDC191" s="50"/>
      <c r="LDD191" s="50"/>
      <c r="LDE191" s="50"/>
      <c r="LDF191" s="50"/>
      <c r="LDG191" s="50"/>
      <c r="LDH191" s="50"/>
      <c r="LDI191" s="50"/>
      <c r="LDJ191" s="50"/>
      <c r="LDK191" s="50"/>
      <c r="LDL191" s="50"/>
      <c r="LDM191" s="50"/>
      <c r="LDN191" s="50"/>
      <c r="LDO191" s="50"/>
      <c r="LDP191" s="50"/>
      <c r="LDQ191" s="50"/>
      <c r="LDR191" s="50"/>
      <c r="LDS191" s="50"/>
      <c r="LDT191" s="50"/>
      <c r="LDU191" s="50"/>
      <c r="LDV191" s="50"/>
      <c r="LDW191" s="50"/>
      <c r="LDX191" s="50"/>
      <c r="LDY191" s="50"/>
      <c r="LDZ191" s="50"/>
      <c r="LEA191" s="50"/>
      <c r="LEB191" s="50"/>
      <c r="LEC191" s="50"/>
      <c r="LED191" s="50"/>
      <c r="LEE191" s="50"/>
      <c r="LEF191" s="50"/>
      <c r="LEG191" s="50"/>
      <c r="LEH191" s="50"/>
      <c r="LEI191" s="50"/>
      <c r="LEJ191" s="50"/>
      <c r="LEK191" s="50"/>
      <c r="LEL191" s="50"/>
      <c r="LEM191" s="50"/>
      <c r="LEN191" s="50"/>
      <c r="LEO191" s="50"/>
      <c r="LEP191" s="50"/>
      <c r="LEQ191" s="50"/>
      <c r="LER191" s="50"/>
      <c r="LES191" s="50"/>
      <c r="LET191" s="50"/>
      <c r="LEU191" s="50"/>
      <c r="LEV191" s="50"/>
      <c r="LEW191" s="50"/>
      <c r="LEX191" s="50"/>
      <c r="LEY191" s="50"/>
      <c r="LEZ191" s="50"/>
      <c r="LFA191" s="50"/>
      <c r="LFB191" s="50"/>
      <c r="LFC191" s="50"/>
      <c r="LFD191" s="50"/>
      <c r="LFE191" s="50"/>
      <c r="LFF191" s="50"/>
      <c r="LFG191" s="50"/>
      <c r="LFH191" s="50"/>
      <c r="LFI191" s="50"/>
      <c r="LFJ191" s="50"/>
      <c r="LFK191" s="50"/>
      <c r="LFL191" s="50"/>
      <c r="LFM191" s="50"/>
      <c r="LFN191" s="50"/>
      <c r="LFO191" s="50"/>
      <c r="LFP191" s="50"/>
      <c r="LFQ191" s="50"/>
      <c r="LFR191" s="50"/>
      <c r="LFS191" s="50"/>
      <c r="LFT191" s="50"/>
      <c r="LFU191" s="50"/>
      <c r="LFV191" s="50"/>
      <c r="LFW191" s="50"/>
      <c r="LFX191" s="50"/>
      <c r="LFY191" s="50"/>
      <c r="LFZ191" s="50"/>
      <c r="LGA191" s="50"/>
      <c r="LGB191" s="50"/>
      <c r="LGC191" s="50"/>
      <c r="LGD191" s="50"/>
      <c r="LGE191" s="50"/>
      <c r="LGF191" s="50"/>
      <c r="LGG191" s="50"/>
      <c r="LGH191" s="50"/>
      <c r="LGI191" s="50"/>
      <c r="LGJ191" s="50"/>
      <c r="LGK191" s="50"/>
      <c r="LGL191" s="50"/>
      <c r="LGM191" s="50"/>
      <c r="LGN191" s="50"/>
      <c r="LGO191" s="50"/>
      <c r="LGP191" s="50"/>
      <c r="LGQ191" s="50"/>
      <c r="LGR191" s="50"/>
      <c r="LGS191" s="50"/>
      <c r="LGT191" s="50"/>
      <c r="LGU191" s="50"/>
      <c r="LGV191" s="50"/>
      <c r="LGW191" s="50"/>
      <c r="LGX191" s="50"/>
      <c r="LGY191" s="50"/>
      <c r="LGZ191" s="50"/>
      <c r="LHA191" s="50"/>
      <c r="LHB191" s="50"/>
      <c r="LHC191" s="50"/>
      <c r="LHD191" s="50"/>
      <c r="LHE191" s="50"/>
      <c r="LHF191" s="50"/>
      <c r="LHG191" s="50"/>
      <c r="LHH191" s="50"/>
      <c r="LHI191" s="50"/>
      <c r="LHJ191" s="50"/>
      <c r="LHK191" s="50"/>
      <c r="LHL191" s="50"/>
      <c r="LHM191" s="50"/>
      <c r="LHN191" s="50"/>
      <c r="LHO191" s="50"/>
      <c r="LHP191" s="50"/>
      <c r="LHQ191" s="50"/>
      <c r="LHR191" s="50"/>
      <c r="LHS191" s="50"/>
      <c r="LHT191" s="50"/>
      <c r="LHU191" s="50"/>
      <c r="LHV191" s="50"/>
      <c r="LHW191" s="50"/>
      <c r="LHX191" s="50"/>
      <c r="LHY191" s="50"/>
      <c r="LHZ191" s="50"/>
      <c r="LIA191" s="50"/>
      <c r="LIB191" s="50"/>
      <c r="LIC191" s="50"/>
      <c r="LID191" s="50"/>
      <c r="LIE191" s="50"/>
      <c r="LIF191" s="50"/>
      <c r="LIG191" s="50"/>
      <c r="LIH191" s="50"/>
      <c r="LII191" s="50"/>
      <c r="LIJ191" s="50"/>
      <c r="LIK191" s="50"/>
      <c r="LIL191" s="50"/>
      <c r="LIM191" s="50"/>
      <c r="LIN191" s="50"/>
      <c r="LIO191" s="50"/>
      <c r="LIP191" s="50"/>
      <c r="LIQ191" s="50"/>
      <c r="LIR191" s="50"/>
      <c r="LIS191" s="50"/>
      <c r="LIT191" s="50"/>
      <c r="LIU191" s="50"/>
      <c r="LIV191" s="50"/>
      <c r="LIW191" s="50"/>
      <c r="LIX191" s="50"/>
      <c r="LIY191" s="50"/>
      <c r="LIZ191" s="50"/>
      <c r="LJA191" s="50"/>
      <c r="LJB191" s="50"/>
      <c r="LJC191" s="50"/>
      <c r="LJD191" s="50"/>
      <c r="LJE191" s="50"/>
      <c r="LJF191" s="50"/>
      <c r="LJG191" s="50"/>
      <c r="LJH191" s="50"/>
      <c r="LJI191" s="50"/>
      <c r="LJJ191" s="50"/>
      <c r="LJK191" s="50"/>
      <c r="LJL191" s="50"/>
      <c r="LJM191" s="50"/>
      <c r="LJN191" s="50"/>
      <c r="LJO191" s="50"/>
      <c r="LJP191" s="50"/>
      <c r="LJQ191" s="50"/>
      <c r="LJR191" s="50"/>
      <c r="LJS191" s="50"/>
      <c r="LJT191" s="50"/>
      <c r="LJU191" s="50"/>
      <c r="LJV191" s="50"/>
      <c r="LJW191" s="50"/>
      <c r="LJX191" s="50"/>
      <c r="LJY191" s="50"/>
      <c r="LJZ191" s="50"/>
      <c r="LKA191" s="50"/>
      <c r="LKB191" s="50"/>
      <c r="LKC191" s="50"/>
      <c r="LKD191" s="50"/>
      <c r="LKE191" s="50"/>
      <c r="LKF191" s="50"/>
      <c r="LKG191" s="50"/>
      <c r="LKH191" s="50"/>
      <c r="LKI191" s="50"/>
      <c r="LKJ191" s="50"/>
      <c r="LKK191" s="50"/>
      <c r="LKL191" s="50"/>
      <c r="LKM191" s="50"/>
      <c r="LKN191" s="50"/>
      <c r="LKO191" s="50"/>
      <c r="LKP191" s="50"/>
      <c r="LKQ191" s="50"/>
      <c r="LKR191" s="50"/>
      <c r="LKS191" s="50"/>
      <c r="LKT191" s="50"/>
      <c r="LKU191" s="50"/>
      <c r="LKV191" s="50"/>
      <c r="LKW191" s="50"/>
      <c r="LKX191" s="50"/>
      <c r="LKY191" s="50"/>
      <c r="LKZ191" s="50"/>
      <c r="LLA191" s="50"/>
      <c r="LLB191" s="50"/>
      <c r="LLC191" s="50"/>
      <c r="LLD191" s="50"/>
      <c r="LLE191" s="50"/>
      <c r="LLF191" s="50"/>
      <c r="LLG191" s="50"/>
      <c r="LLH191" s="50"/>
      <c r="LLI191" s="50"/>
      <c r="LLJ191" s="50"/>
      <c r="LLK191" s="50"/>
      <c r="LLL191" s="50"/>
      <c r="LLM191" s="50"/>
      <c r="LLN191" s="50"/>
      <c r="LLO191" s="50"/>
      <c r="LLP191" s="50"/>
      <c r="LLQ191" s="50"/>
      <c r="LLR191" s="50"/>
      <c r="LLS191" s="50"/>
      <c r="LLT191" s="50"/>
      <c r="LLU191" s="50"/>
      <c r="LLV191" s="50"/>
      <c r="LLW191" s="50"/>
      <c r="LLX191" s="50"/>
      <c r="LLY191" s="50"/>
      <c r="LLZ191" s="50"/>
      <c r="LMA191" s="50"/>
      <c r="LMB191" s="50"/>
      <c r="LMC191" s="50"/>
      <c r="LMD191" s="50"/>
      <c r="LME191" s="50"/>
      <c r="LMF191" s="50"/>
      <c r="LMG191" s="50"/>
      <c r="LMH191" s="50"/>
      <c r="LMI191" s="50"/>
      <c r="LMJ191" s="50"/>
      <c r="LMK191" s="50"/>
      <c r="LML191" s="50"/>
      <c r="LMM191" s="50"/>
      <c r="LMN191" s="50"/>
      <c r="LMO191" s="50"/>
      <c r="LMP191" s="50"/>
      <c r="LMQ191" s="50"/>
      <c r="LMR191" s="50"/>
      <c r="LMS191" s="50"/>
      <c r="LMT191" s="50"/>
      <c r="LMU191" s="50"/>
      <c r="LMV191" s="50"/>
      <c r="LMW191" s="50"/>
      <c r="LMX191" s="50"/>
      <c r="LMY191" s="50"/>
      <c r="LMZ191" s="50"/>
      <c r="LNA191" s="50"/>
      <c r="LNB191" s="50"/>
      <c r="LNC191" s="50"/>
      <c r="LND191" s="50"/>
      <c r="LNE191" s="50"/>
      <c r="LNF191" s="50"/>
      <c r="LNG191" s="50"/>
      <c r="LNH191" s="50"/>
      <c r="LNI191" s="50"/>
      <c r="LNJ191" s="50"/>
      <c r="LNK191" s="50"/>
      <c r="LNL191" s="50"/>
      <c r="LNM191" s="50"/>
      <c r="LNN191" s="50"/>
      <c r="LNO191" s="50"/>
      <c r="LNP191" s="50"/>
      <c r="LNQ191" s="50"/>
      <c r="LNR191" s="50"/>
      <c r="LNS191" s="50"/>
      <c r="LNT191" s="50"/>
      <c r="LNU191" s="50"/>
      <c r="LNV191" s="50"/>
      <c r="LNW191" s="50"/>
      <c r="LNX191" s="50"/>
      <c r="LNY191" s="50"/>
      <c r="LNZ191" s="50"/>
      <c r="LOA191" s="50"/>
      <c r="LOB191" s="50"/>
      <c r="LOC191" s="50"/>
      <c r="LOD191" s="50"/>
      <c r="LOE191" s="50"/>
      <c r="LOF191" s="50"/>
      <c r="LOG191" s="50"/>
      <c r="LOH191" s="50"/>
      <c r="LOI191" s="50"/>
      <c r="LOJ191" s="50"/>
      <c r="LOK191" s="50"/>
      <c r="LOL191" s="50"/>
      <c r="LOM191" s="50"/>
      <c r="LON191" s="50"/>
      <c r="LOO191" s="50"/>
      <c r="LOP191" s="50"/>
      <c r="LOQ191" s="50"/>
      <c r="LOR191" s="50"/>
      <c r="LOS191" s="50"/>
      <c r="LOT191" s="50"/>
      <c r="LOU191" s="50"/>
      <c r="LOV191" s="50"/>
      <c r="LOW191" s="50"/>
      <c r="LOX191" s="50"/>
      <c r="LOY191" s="50"/>
      <c r="LOZ191" s="50"/>
      <c r="LPA191" s="50"/>
      <c r="LPB191" s="50"/>
      <c r="LPC191" s="50"/>
      <c r="LPD191" s="50"/>
      <c r="LPE191" s="50"/>
      <c r="LPF191" s="50"/>
      <c r="LPG191" s="50"/>
      <c r="LPH191" s="50"/>
      <c r="LPI191" s="50"/>
      <c r="LPJ191" s="50"/>
      <c r="LPK191" s="50"/>
      <c r="LPL191" s="50"/>
      <c r="LPM191" s="50"/>
      <c r="LPN191" s="50"/>
      <c r="LPO191" s="50"/>
      <c r="LPP191" s="50"/>
      <c r="LPQ191" s="50"/>
      <c r="LPR191" s="50"/>
      <c r="LPS191" s="50"/>
      <c r="LPT191" s="50"/>
      <c r="LPU191" s="50"/>
      <c r="LPV191" s="50"/>
      <c r="LPW191" s="50"/>
      <c r="LPX191" s="50"/>
      <c r="LPY191" s="50"/>
      <c r="LPZ191" s="50"/>
      <c r="LQA191" s="50"/>
      <c r="LQB191" s="50"/>
      <c r="LQC191" s="50"/>
      <c r="LQD191" s="50"/>
      <c r="LQE191" s="50"/>
      <c r="LQF191" s="50"/>
      <c r="LQG191" s="50"/>
      <c r="LQH191" s="50"/>
      <c r="LQI191" s="50"/>
      <c r="LQJ191" s="50"/>
      <c r="LQK191" s="50"/>
      <c r="LQL191" s="50"/>
      <c r="LQM191" s="50"/>
      <c r="LQN191" s="50"/>
      <c r="LQO191" s="50"/>
      <c r="LQP191" s="50"/>
      <c r="LQQ191" s="50"/>
      <c r="LQR191" s="50"/>
      <c r="LQS191" s="50"/>
      <c r="LQT191" s="50"/>
      <c r="LQU191" s="50"/>
      <c r="LQV191" s="50"/>
      <c r="LQW191" s="50"/>
      <c r="LQX191" s="50"/>
      <c r="LQY191" s="50"/>
      <c r="LQZ191" s="50"/>
      <c r="LRA191" s="50"/>
      <c r="LRB191" s="50"/>
      <c r="LRC191" s="50"/>
      <c r="LRD191" s="50"/>
      <c r="LRE191" s="50"/>
      <c r="LRF191" s="50"/>
      <c r="LRG191" s="50"/>
      <c r="LRH191" s="50"/>
      <c r="LRI191" s="50"/>
      <c r="LRJ191" s="50"/>
      <c r="LRK191" s="50"/>
      <c r="LRL191" s="50"/>
      <c r="LRM191" s="50"/>
      <c r="LRN191" s="50"/>
      <c r="LRO191" s="50"/>
      <c r="LRP191" s="50"/>
      <c r="LRQ191" s="50"/>
      <c r="LRR191" s="50"/>
      <c r="LRS191" s="50"/>
      <c r="LRT191" s="50"/>
      <c r="LRU191" s="50"/>
      <c r="LRV191" s="50"/>
      <c r="LRW191" s="50"/>
      <c r="LRX191" s="50"/>
      <c r="LRY191" s="50"/>
      <c r="LRZ191" s="50"/>
      <c r="LSA191" s="50"/>
      <c r="LSB191" s="50"/>
      <c r="LSC191" s="50"/>
      <c r="LSD191" s="50"/>
      <c r="LSE191" s="50"/>
      <c r="LSF191" s="50"/>
      <c r="LSG191" s="50"/>
      <c r="LSH191" s="50"/>
      <c r="LSI191" s="50"/>
      <c r="LSJ191" s="50"/>
      <c r="LSK191" s="50"/>
      <c r="LSL191" s="50"/>
      <c r="LSM191" s="50"/>
      <c r="LSN191" s="50"/>
      <c r="LSO191" s="50"/>
      <c r="LSP191" s="50"/>
      <c r="LSQ191" s="50"/>
      <c r="LSR191" s="50"/>
      <c r="LSS191" s="50"/>
      <c r="LST191" s="50"/>
      <c r="LSU191" s="50"/>
      <c r="LSV191" s="50"/>
      <c r="LSW191" s="50"/>
      <c r="LSX191" s="50"/>
      <c r="LSY191" s="50"/>
      <c r="LSZ191" s="50"/>
      <c r="LTA191" s="50"/>
      <c r="LTB191" s="50"/>
      <c r="LTC191" s="50"/>
      <c r="LTD191" s="50"/>
      <c r="LTE191" s="50"/>
      <c r="LTF191" s="50"/>
      <c r="LTG191" s="50"/>
      <c r="LTH191" s="50"/>
      <c r="LTI191" s="50"/>
      <c r="LTJ191" s="50"/>
      <c r="LTK191" s="50"/>
      <c r="LTL191" s="50"/>
      <c r="LTM191" s="50"/>
      <c r="LTN191" s="50"/>
      <c r="LTO191" s="50"/>
      <c r="LTP191" s="50"/>
      <c r="LTQ191" s="50"/>
      <c r="LTR191" s="50"/>
      <c r="LTS191" s="50"/>
      <c r="LTT191" s="50"/>
      <c r="LTU191" s="50"/>
      <c r="LTV191" s="50"/>
      <c r="LTW191" s="50"/>
      <c r="LTX191" s="50"/>
      <c r="LTY191" s="50"/>
      <c r="LTZ191" s="50"/>
      <c r="LUA191" s="50"/>
      <c r="LUB191" s="50"/>
      <c r="LUC191" s="50"/>
      <c r="LUD191" s="50"/>
      <c r="LUE191" s="50"/>
      <c r="LUF191" s="50"/>
      <c r="LUG191" s="50"/>
      <c r="LUH191" s="50"/>
      <c r="LUI191" s="50"/>
      <c r="LUJ191" s="50"/>
      <c r="LUK191" s="50"/>
      <c r="LUL191" s="50"/>
      <c r="LUM191" s="50"/>
      <c r="LUN191" s="50"/>
      <c r="LUO191" s="50"/>
      <c r="LUP191" s="50"/>
      <c r="LUQ191" s="50"/>
      <c r="LUR191" s="50"/>
      <c r="LUS191" s="50"/>
      <c r="LUT191" s="50"/>
      <c r="LUU191" s="50"/>
      <c r="LUV191" s="50"/>
      <c r="LUW191" s="50"/>
      <c r="LUX191" s="50"/>
      <c r="LUY191" s="50"/>
      <c r="LUZ191" s="50"/>
      <c r="LVA191" s="50"/>
      <c r="LVB191" s="50"/>
      <c r="LVC191" s="50"/>
      <c r="LVD191" s="50"/>
      <c r="LVE191" s="50"/>
      <c r="LVF191" s="50"/>
      <c r="LVG191" s="50"/>
      <c r="LVH191" s="50"/>
      <c r="LVI191" s="50"/>
      <c r="LVJ191" s="50"/>
      <c r="LVK191" s="50"/>
      <c r="LVL191" s="50"/>
      <c r="LVM191" s="50"/>
      <c r="LVN191" s="50"/>
      <c r="LVO191" s="50"/>
      <c r="LVP191" s="50"/>
      <c r="LVQ191" s="50"/>
      <c r="LVR191" s="50"/>
      <c r="LVS191" s="50"/>
      <c r="LVT191" s="50"/>
      <c r="LVU191" s="50"/>
      <c r="LVV191" s="50"/>
      <c r="LVW191" s="50"/>
      <c r="LVX191" s="50"/>
      <c r="LVY191" s="50"/>
      <c r="LVZ191" s="50"/>
      <c r="LWA191" s="50"/>
      <c r="LWB191" s="50"/>
      <c r="LWC191" s="50"/>
      <c r="LWD191" s="50"/>
      <c r="LWE191" s="50"/>
      <c r="LWF191" s="50"/>
      <c r="LWG191" s="50"/>
      <c r="LWH191" s="50"/>
      <c r="LWI191" s="50"/>
      <c r="LWJ191" s="50"/>
      <c r="LWK191" s="50"/>
      <c r="LWL191" s="50"/>
      <c r="LWM191" s="50"/>
      <c r="LWN191" s="50"/>
      <c r="LWO191" s="50"/>
      <c r="LWP191" s="50"/>
      <c r="LWQ191" s="50"/>
      <c r="LWR191" s="50"/>
      <c r="LWS191" s="50"/>
      <c r="LWT191" s="50"/>
      <c r="LWU191" s="50"/>
      <c r="LWV191" s="50"/>
      <c r="LWW191" s="50"/>
      <c r="LWX191" s="50"/>
      <c r="LWY191" s="50"/>
      <c r="LWZ191" s="50"/>
      <c r="LXA191" s="50"/>
      <c r="LXB191" s="50"/>
      <c r="LXC191" s="50"/>
      <c r="LXD191" s="50"/>
      <c r="LXE191" s="50"/>
      <c r="LXF191" s="50"/>
      <c r="LXG191" s="50"/>
      <c r="LXH191" s="50"/>
      <c r="LXI191" s="50"/>
      <c r="LXJ191" s="50"/>
      <c r="LXK191" s="50"/>
      <c r="LXL191" s="50"/>
      <c r="LXM191" s="50"/>
      <c r="LXN191" s="50"/>
      <c r="LXO191" s="50"/>
      <c r="LXP191" s="50"/>
      <c r="LXQ191" s="50"/>
      <c r="LXR191" s="50"/>
      <c r="LXS191" s="50"/>
      <c r="LXT191" s="50"/>
      <c r="LXU191" s="50"/>
      <c r="LXV191" s="50"/>
      <c r="LXW191" s="50"/>
      <c r="LXX191" s="50"/>
      <c r="LXY191" s="50"/>
      <c r="LXZ191" s="50"/>
      <c r="LYA191" s="50"/>
      <c r="LYB191" s="50"/>
      <c r="LYC191" s="50"/>
      <c r="LYD191" s="50"/>
      <c r="LYE191" s="50"/>
      <c r="LYF191" s="50"/>
      <c r="LYG191" s="50"/>
      <c r="LYH191" s="50"/>
      <c r="LYI191" s="50"/>
      <c r="LYJ191" s="50"/>
      <c r="LYK191" s="50"/>
      <c r="LYL191" s="50"/>
      <c r="LYM191" s="50"/>
      <c r="LYN191" s="50"/>
      <c r="LYO191" s="50"/>
      <c r="LYP191" s="50"/>
      <c r="LYQ191" s="50"/>
      <c r="LYR191" s="50"/>
      <c r="LYS191" s="50"/>
      <c r="LYT191" s="50"/>
      <c r="LYU191" s="50"/>
      <c r="LYV191" s="50"/>
      <c r="LYW191" s="50"/>
      <c r="LYX191" s="50"/>
      <c r="LYY191" s="50"/>
      <c r="LYZ191" s="50"/>
      <c r="LZA191" s="50"/>
      <c r="LZB191" s="50"/>
      <c r="LZC191" s="50"/>
      <c r="LZD191" s="50"/>
      <c r="LZE191" s="50"/>
      <c r="LZF191" s="50"/>
      <c r="LZG191" s="50"/>
      <c r="LZH191" s="50"/>
      <c r="LZI191" s="50"/>
      <c r="LZJ191" s="50"/>
      <c r="LZK191" s="50"/>
      <c r="LZL191" s="50"/>
      <c r="LZM191" s="50"/>
      <c r="LZN191" s="50"/>
      <c r="LZO191" s="50"/>
      <c r="LZP191" s="50"/>
      <c r="LZQ191" s="50"/>
      <c r="LZR191" s="50"/>
      <c r="LZS191" s="50"/>
      <c r="LZT191" s="50"/>
      <c r="LZU191" s="50"/>
      <c r="LZV191" s="50"/>
      <c r="LZW191" s="50"/>
      <c r="LZX191" s="50"/>
      <c r="LZY191" s="50"/>
      <c r="LZZ191" s="50"/>
      <c r="MAA191" s="50"/>
      <c r="MAB191" s="50"/>
      <c r="MAC191" s="50"/>
      <c r="MAD191" s="50"/>
      <c r="MAE191" s="50"/>
      <c r="MAF191" s="50"/>
      <c r="MAG191" s="50"/>
      <c r="MAH191" s="50"/>
      <c r="MAI191" s="50"/>
      <c r="MAJ191" s="50"/>
      <c r="MAK191" s="50"/>
      <c r="MAL191" s="50"/>
      <c r="MAM191" s="50"/>
      <c r="MAN191" s="50"/>
      <c r="MAO191" s="50"/>
      <c r="MAP191" s="50"/>
      <c r="MAQ191" s="50"/>
      <c r="MAR191" s="50"/>
      <c r="MAS191" s="50"/>
      <c r="MAT191" s="50"/>
      <c r="MAU191" s="50"/>
      <c r="MAV191" s="50"/>
      <c r="MAW191" s="50"/>
      <c r="MAX191" s="50"/>
      <c r="MAY191" s="50"/>
      <c r="MAZ191" s="50"/>
      <c r="MBA191" s="50"/>
      <c r="MBB191" s="50"/>
      <c r="MBC191" s="50"/>
      <c r="MBD191" s="50"/>
      <c r="MBE191" s="50"/>
      <c r="MBF191" s="50"/>
      <c r="MBG191" s="50"/>
      <c r="MBH191" s="50"/>
      <c r="MBI191" s="50"/>
      <c r="MBJ191" s="50"/>
      <c r="MBK191" s="50"/>
      <c r="MBL191" s="50"/>
      <c r="MBM191" s="50"/>
      <c r="MBN191" s="50"/>
      <c r="MBO191" s="50"/>
      <c r="MBP191" s="50"/>
      <c r="MBQ191" s="50"/>
      <c r="MBR191" s="50"/>
      <c r="MBS191" s="50"/>
      <c r="MBT191" s="50"/>
      <c r="MBU191" s="50"/>
      <c r="MBV191" s="50"/>
      <c r="MBW191" s="50"/>
      <c r="MBX191" s="50"/>
      <c r="MBY191" s="50"/>
      <c r="MBZ191" s="50"/>
      <c r="MCA191" s="50"/>
      <c r="MCB191" s="50"/>
      <c r="MCC191" s="50"/>
      <c r="MCD191" s="50"/>
      <c r="MCE191" s="50"/>
      <c r="MCF191" s="50"/>
      <c r="MCG191" s="50"/>
      <c r="MCH191" s="50"/>
      <c r="MCI191" s="50"/>
      <c r="MCJ191" s="50"/>
      <c r="MCK191" s="50"/>
      <c r="MCL191" s="50"/>
      <c r="MCM191" s="50"/>
      <c r="MCN191" s="50"/>
      <c r="MCO191" s="50"/>
      <c r="MCP191" s="50"/>
      <c r="MCQ191" s="50"/>
      <c r="MCR191" s="50"/>
      <c r="MCS191" s="50"/>
      <c r="MCT191" s="50"/>
      <c r="MCU191" s="50"/>
      <c r="MCV191" s="50"/>
      <c r="MCW191" s="50"/>
      <c r="MCX191" s="50"/>
      <c r="MCY191" s="50"/>
      <c r="MCZ191" s="50"/>
      <c r="MDA191" s="50"/>
      <c r="MDB191" s="50"/>
      <c r="MDC191" s="50"/>
      <c r="MDD191" s="50"/>
      <c r="MDE191" s="50"/>
      <c r="MDF191" s="50"/>
      <c r="MDG191" s="50"/>
      <c r="MDH191" s="50"/>
      <c r="MDI191" s="50"/>
      <c r="MDJ191" s="50"/>
      <c r="MDK191" s="50"/>
      <c r="MDL191" s="50"/>
      <c r="MDM191" s="50"/>
      <c r="MDN191" s="50"/>
      <c r="MDO191" s="50"/>
      <c r="MDP191" s="50"/>
      <c r="MDQ191" s="50"/>
      <c r="MDR191" s="50"/>
      <c r="MDS191" s="50"/>
      <c r="MDT191" s="50"/>
      <c r="MDU191" s="50"/>
      <c r="MDV191" s="50"/>
      <c r="MDW191" s="50"/>
      <c r="MDX191" s="50"/>
      <c r="MDY191" s="50"/>
      <c r="MDZ191" s="50"/>
      <c r="MEA191" s="50"/>
      <c r="MEB191" s="50"/>
      <c r="MEC191" s="50"/>
      <c r="MED191" s="50"/>
      <c r="MEE191" s="50"/>
      <c r="MEF191" s="50"/>
      <c r="MEG191" s="50"/>
      <c r="MEH191" s="50"/>
      <c r="MEI191" s="50"/>
      <c r="MEJ191" s="50"/>
      <c r="MEK191" s="50"/>
      <c r="MEL191" s="50"/>
      <c r="MEM191" s="50"/>
      <c r="MEN191" s="50"/>
      <c r="MEO191" s="50"/>
      <c r="MEP191" s="50"/>
      <c r="MEQ191" s="50"/>
      <c r="MER191" s="50"/>
      <c r="MES191" s="50"/>
      <c r="MET191" s="50"/>
      <c r="MEU191" s="50"/>
      <c r="MEV191" s="50"/>
      <c r="MEW191" s="50"/>
      <c r="MEX191" s="50"/>
      <c r="MEY191" s="50"/>
      <c r="MEZ191" s="50"/>
      <c r="MFA191" s="50"/>
      <c r="MFB191" s="50"/>
      <c r="MFC191" s="50"/>
      <c r="MFD191" s="50"/>
      <c r="MFE191" s="50"/>
      <c r="MFF191" s="50"/>
      <c r="MFG191" s="50"/>
      <c r="MFH191" s="50"/>
      <c r="MFI191" s="50"/>
      <c r="MFJ191" s="50"/>
      <c r="MFK191" s="50"/>
      <c r="MFL191" s="50"/>
      <c r="MFM191" s="50"/>
      <c r="MFN191" s="50"/>
      <c r="MFO191" s="50"/>
      <c r="MFP191" s="50"/>
      <c r="MFQ191" s="50"/>
      <c r="MFR191" s="50"/>
      <c r="MFS191" s="50"/>
      <c r="MFT191" s="50"/>
      <c r="MFU191" s="50"/>
      <c r="MFV191" s="50"/>
      <c r="MFW191" s="50"/>
      <c r="MFX191" s="50"/>
      <c r="MFY191" s="50"/>
      <c r="MFZ191" s="50"/>
      <c r="MGA191" s="50"/>
      <c r="MGB191" s="50"/>
      <c r="MGC191" s="50"/>
      <c r="MGD191" s="50"/>
      <c r="MGE191" s="50"/>
      <c r="MGF191" s="50"/>
      <c r="MGG191" s="50"/>
      <c r="MGH191" s="50"/>
      <c r="MGI191" s="50"/>
      <c r="MGJ191" s="50"/>
      <c r="MGK191" s="50"/>
      <c r="MGL191" s="50"/>
      <c r="MGM191" s="50"/>
      <c r="MGN191" s="50"/>
      <c r="MGO191" s="50"/>
      <c r="MGP191" s="50"/>
      <c r="MGQ191" s="50"/>
      <c r="MGR191" s="50"/>
      <c r="MGS191" s="50"/>
      <c r="MGT191" s="50"/>
      <c r="MGU191" s="50"/>
      <c r="MGV191" s="50"/>
      <c r="MGW191" s="50"/>
      <c r="MGX191" s="50"/>
      <c r="MGY191" s="50"/>
      <c r="MGZ191" s="50"/>
      <c r="MHA191" s="50"/>
      <c r="MHB191" s="50"/>
      <c r="MHC191" s="50"/>
      <c r="MHD191" s="50"/>
      <c r="MHE191" s="50"/>
      <c r="MHF191" s="50"/>
      <c r="MHG191" s="50"/>
      <c r="MHH191" s="50"/>
      <c r="MHI191" s="50"/>
      <c r="MHJ191" s="50"/>
      <c r="MHK191" s="50"/>
      <c r="MHL191" s="50"/>
      <c r="MHM191" s="50"/>
      <c r="MHN191" s="50"/>
      <c r="MHO191" s="50"/>
      <c r="MHP191" s="50"/>
      <c r="MHQ191" s="50"/>
      <c r="MHR191" s="50"/>
      <c r="MHS191" s="50"/>
      <c r="MHT191" s="50"/>
      <c r="MHU191" s="50"/>
      <c r="MHV191" s="50"/>
      <c r="MHW191" s="50"/>
      <c r="MHX191" s="50"/>
      <c r="MHY191" s="50"/>
      <c r="MHZ191" s="50"/>
      <c r="MIA191" s="50"/>
      <c r="MIB191" s="50"/>
      <c r="MIC191" s="50"/>
      <c r="MID191" s="50"/>
      <c r="MIE191" s="50"/>
      <c r="MIF191" s="50"/>
      <c r="MIG191" s="50"/>
      <c r="MIH191" s="50"/>
      <c r="MII191" s="50"/>
      <c r="MIJ191" s="50"/>
      <c r="MIK191" s="50"/>
      <c r="MIL191" s="50"/>
      <c r="MIM191" s="50"/>
      <c r="MIN191" s="50"/>
      <c r="MIO191" s="50"/>
      <c r="MIP191" s="50"/>
      <c r="MIQ191" s="50"/>
      <c r="MIR191" s="50"/>
      <c r="MIS191" s="50"/>
      <c r="MIT191" s="50"/>
      <c r="MIU191" s="50"/>
      <c r="MIV191" s="50"/>
      <c r="MIW191" s="50"/>
      <c r="MIX191" s="50"/>
      <c r="MIY191" s="50"/>
      <c r="MIZ191" s="50"/>
      <c r="MJA191" s="50"/>
      <c r="MJB191" s="50"/>
      <c r="MJC191" s="50"/>
      <c r="MJD191" s="50"/>
      <c r="MJE191" s="50"/>
      <c r="MJF191" s="50"/>
      <c r="MJG191" s="50"/>
      <c r="MJH191" s="50"/>
      <c r="MJI191" s="50"/>
      <c r="MJJ191" s="50"/>
      <c r="MJK191" s="50"/>
      <c r="MJL191" s="50"/>
      <c r="MJM191" s="50"/>
      <c r="MJN191" s="50"/>
      <c r="MJO191" s="50"/>
      <c r="MJP191" s="50"/>
      <c r="MJQ191" s="50"/>
      <c r="MJR191" s="50"/>
      <c r="MJS191" s="50"/>
      <c r="MJT191" s="50"/>
      <c r="MJU191" s="50"/>
      <c r="MJV191" s="50"/>
      <c r="MJW191" s="50"/>
      <c r="MJX191" s="50"/>
      <c r="MJY191" s="50"/>
      <c r="MJZ191" s="50"/>
      <c r="MKA191" s="50"/>
      <c r="MKB191" s="50"/>
      <c r="MKC191" s="50"/>
      <c r="MKD191" s="50"/>
      <c r="MKE191" s="50"/>
      <c r="MKF191" s="50"/>
      <c r="MKG191" s="50"/>
      <c r="MKH191" s="50"/>
      <c r="MKI191" s="50"/>
      <c r="MKJ191" s="50"/>
      <c r="MKK191" s="50"/>
      <c r="MKL191" s="50"/>
      <c r="MKM191" s="50"/>
      <c r="MKN191" s="50"/>
      <c r="MKO191" s="50"/>
      <c r="MKP191" s="50"/>
      <c r="MKQ191" s="50"/>
      <c r="MKR191" s="50"/>
      <c r="MKS191" s="50"/>
      <c r="MKT191" s="50"/>
      <c r="MKU191" s="50"/>
      <c r="MKV191" s="50"/>
      <c r="MKW191" s="50"/>
      <c r="MKX191" s="50"/>
      <c r="MKY191" s="50"/>
      <c r="MKZ191" s="50"/>
      <c r="MLA191" s="50"/>
      <c r="MLB191" s="50"/>
      <c r="MLC191" s="50"/>
      <c r="MLD191" s="50"/>
      <c r="MLE191" s="50"/>
      <c r="MLF191" s="50"/>
      <c r="MLG191" s="50"/>
      <c r="MLH191" s="50"/>
      <c r="MLI191" s="50"/>
      <c r="MLJ191" s="50"/>
      <c r="MLK191" s="50"/>
      <c r="MLL191" s="50"/>
      <c r="MLM191" s="50"/>
      <c r="MLN191" s="50"/>
      <c r="MLO191" s="50"/>
      <c r="MLP191" s="50"/>
      <c r="MLQ191" s="50"/>
      <c r="MLR191" s="50"/>
      <c r="MLS191" s="50"/>
      <c r="MLT191" s="50"/>
      <c r="MLU191" s="50"/>
      <c r="MLV191" s="50"/>
      <c r="MLW191" s="50"/>
      <c r="MLX191" s="50"/>
      <c r="MLY191" s="50"/>
      <c r="MLZ191" s="50"/>
      <c r="MMA191" s="50"/>
      <c r="MMB191" s="50"/>
      <c r="MMC191" s="50"/>
      <c r="MMD191" s="50"/>
      <c r="MME191" s="50"/>
      <c r="MMF191" s="50"/>
      <c r="MMG191" s="50"/>
      <c r="MMH191" s="50"/>
      <c r="MMI191" s="50"/>
      <c r="MMJ191" s="50"/>
      <c r="MMK191" s="50"/>
      <c r="MML191" s="50"/>
      <c r="MMM191" s="50"/>
      <c r="MMN191" s="50"/>
      <c r="MMO191" s="50"/>
      <c r="MMP191" s="50"/>
      <c r="MMQ191" s="50"/>
      <c r="MMR191" s="50"/>
      <c r="MMS191" s="50"/>
      <c r="MMT191" s="50"/>
      <c r="MMU191" s="50"/>
      <c r="MMV191" s="50"/>
      <c r="MMW191" s="50"/>
      <c r="MMX191" s="50"/>
      <c r="MMY191" s="50"/>
      <c r="MMZ191" s="50"/>
      <c r="MNA191" s="50"/>
      <c r="MNB191" s="50"/>
      <c r="MNC191" s="50"/>
      <c r="MND191" s="50"/>
      <c r="MNE191" s="50"/>
      <c r="MNF191" s="50"/>
      <c r="MNG191" s="50"/>
      <c r="MNH191" s="50"/>
      <c r="MNI191" s="50"/>
      <c r="MNJ191" s="50"/>
      <c r="MNK191" s="50"/>
      <c r="MNL191" s="50"/>
      <c r="MNM191" s="50"/>
      <c r="MNN191" s="50"/>
      <c r="MNO191" s="50"/>
      <c r="MNP191" s="50"/>
      <c r="MNQ191" s="50"/>
      <c r="MNR191" s="50"/>
      <c r="MNS191" s="50"/>
      <c r="MNT191" s="50"/>
      <c r="MNU191" s="50"/>
      <c r="MNV191" s="50"/>
      <c r="MNW191" s="50"/>
      <c r="MNX191" s="50"/>
      <c r="MNY191" s="50"/>
      <c r="MNZ191" s="50"/>
      <c r="MOA191" s="50"/>
      <c r="MOB191" s="50"/>
      <c r="MOC191" s="50"/>
      <c r="MOD191" s="50"/>
      <c r="MOE191" s="50"/>
      <c r="MOF191" s="50"/>
      <c r="MOG191" s="50"/>
      <c r="MOH191" s="50"/>
      <c r="MOI191" s="50"/>
      <c r="MOJ191" s="50"/>
      <c r="MOK191" s="50"/>
      <c r="MOL191" s="50"/>
      <c r="MOM191" s="50"/>
      <c r="MON191" s="50"/>
      <c r="MOO191" s="50"/>
      <c r="MOP191" s="50"/>
      <c r="MOQ191" s="50"/>
      <c r="MOR191" s="50"/>
      <c r="MOS191" s="50"/>
      <c r="MOT191" s="50"/>
      <c r="MOU191" s="50"/>
      <c r="MOV191" s="50"/>
      <c r="MOW191" s="50"/>
      <c r="MOX191" s="50"/>
      <c r="MOY191" s="50"/>
      <c r="MOZ191" s="50"/>
      <c r="MPA191" s="50"/>
      <c r="MPB191" s="50"/>
      <c r="MPC191" s="50"/>
      <c r="MPD191" s="50"/>
      <c r="MPE191" s="50"/>
      <c r="MPF191" s="50"/>
      <c r="MPG191" s="50"/>
      <c r="MPH191" s="50"/>
      <c r="MPI191" s="50"/>
      <c r="MPJ191" s="50"/>
      <c r="MPK191" s="50"/>
      <c r="MPL191" s="50"/>
      <c r="MPM191" s="50"/>
      <c r="MPN191" s="50"/>
      <c r="MPO191" s="50"/>
      <c r="MPP191" s="50"/>
      <c r="MPQ191" s="50"/>
      <c r="MPR191" s="50"/>
      <c r="MPS191" s="50"/>
      <c r="MPT191" s="50"/>
      <c r="MPU191" s="50"/>
      <c r="MPV191" s="50"/>
      <c r="MPW191" s="50"/>
      <c r="MPX191" s="50"/>
      <c r="MPY191" s="50"/>
      <c r="MPZ191" s="50"/>
      <c r="MQA191" s="50"/>
      <c r="MQB191" s="50"/>
      <c r="MQC191" s="50"/>
      <c r="MQD191" s="50"/>
      <c r="MQE191" s="50"/>
      <c r="MQF191" s="50"/>
      <c r="MQG191" s="50"/>
      <c r="MQH191" s="50"/>
      <c r="MQI191" s="50"/>
      <c r="MQJ191" s="50"/>
      <c r="MQK191" s="50"/>
      <c r="MQL191" s="50"/>
      <c r="MQM191" s="50"/>
      <c r="MQN191" s="50"/>
      <c r="MQO191" s="50"/>
      <c r="MQP191" s="50"/>
      <c r="MQQ191" s="50"/>
      <c r="MQR191" s="50"/>
      <c r="MQS191" s="50"/>
      <c r="MQT191" s="50"/>
      <c r="MQU191" s="50"/>
      <c r="MQV191" s="50"/>
      <c r="MQW191" s="50"/>
      <c r="MQX191" s="50"/>
      <c r="MQY191" s="50"/>
      <c r="MQZ191" s="50"/>
      <c r="MRA191" s="50"/>
      <c r="MRB191" s="50"/>
      <c r="MRC191" s="50"/>
      <c r="MRD191" s="50"/>
      <c r="MRE191" s="50"/>
      <c r="MRF191" s="50"/>
      <c r="MRG191" s="50"/>
      <c r="MRH191" s="50"/>
      <c r="MRI191" s="50"/>
      <c r="MRJ191" s="50"/>
      <c r="MRK191" s="50"/>
      <c r="MRL191" s="50"/>
      <c r="MRM191" s="50"/>
      <c r="MRN191" s="50"/>
      <c r="MRO191" s="50"/>
      <c r="MRP191" s="50"/>
      <c r="MRQ191" s="50"/>
      <c r="MRR191" s="50"/>
      <c r="MRS191" s="50"/>
      <c r="MRT191" s="50"/>
      <c r="MRU191" s="50"/>
      <c r="MRV191" s="50"/>
      <c r="MRW191" s="50"/>
      <c r="MRX191" s="50"/>
      <c r="MRY191" s="50"/>
      <c r="MRZ191" s="50"/>
      <c r="MSA191" s="50"/>
      <c r="MSB191" s="50"/>
      <c r="MSC191" s="50"/>
      <c r="MSD191" s="50"/>
      <c r="MSE191" s="50"/>
      <c r="MSF191" s="50"/>
      <c r="MSG191" s="50"/>
      <c r="MSH191" s="50"/>
      <c r="MSI191" s="50"/>
      <c r="MSJ191" s="50"/>
      <c r="MSK191" s="50"/>
      <c r="MSL191" s="50"/>
      <c r="MSM191" s="50"/>
      <c r="MSN191" s="50"/>
      <c r="MSO191" s="50"/>
      <c r="MSP191" s="50"/>
      <c r="MSQ191" s="50"/>
      <c r="MSR191" s="50"/>
      <c r="MSS191" s="50"/>
      <c r="MST191" s="50"/>
      <c r="MSU191" s="50"/>
      <c r="MSV191" s="50"/>
      <c r="MSW191" s="50"/>
      <c r="MSX191" s="50"/>
      <c r="MSY191" s="50"/>
      <c r="MSZ191" s="50"/>
      <c r="MTA191" s="50"/>
      <c r="MTB191" s="50"/>
      <c r="MTC191" s="50"/>
      <c r="MTD191" s="50"/>
      <c r="MTE191" s="50"/>
      <c r="MTF191" s="50"/>
      <c r="MTG191" s="50"/>
      <c r="MTH191" s="50"/>
      <c r="MTI191" s="50"/>
      <c r="MTJ191" s="50"/>
      <c r="MTK191" s="50"/>
      <c r="MTL191" s="50"/>
      <c r="MTM191" s="50"/>
      <c r="MTN191" s="50"/>
      <c r="MTO191" s="50"/>
      <c r="MTP191" s="50"/>
      <c r="MTQ191" s="50"/>
      <c r="MTR191" s="50"/>
      <c r="MTS191" s="50"/>
      <c r="MTT191" s="50"/>
      <c r="MTU191" s="50"/>
      <c r="MTV191" s="50"/>
      <c r="MTW191" s="50"/>
      <c r="MTX191" s="50"/>
      <c r="MTY191" s="50"/>
      <c r="MTZ191" s="50"/>
      <c r="MUA191" s="50"/>
      <c r="MUB191" s="50"/>
      <c r="MUC191" s="50"/>
      <c r="MUD191" s="50"/>
      <c r="MUE191" s="50"/>
      <c r="MUF191" s="50"/>
      <c r="MUG191" s="50"/>
      <c r="MUH191" s="50"/>
      <c r="MUI191" s="50"/>
      <c r="MUJ191" s="50"/>
      <c r="MUK191" s="50"/>
      <c r="MUL191" s="50"/>
      <c r="MUM191" s="50"/>
      <c r="MUN191" s="50"/>
      <c r="MUO191" s="50"/>
      <c r="MUP191" s="50"/>
      <c r="MUQ191" s="50"/>
      <c r="MUR191" s="50"/>
      <c r="MUS191" s="50"/>
      <c r="MUT191" s="50"/>
      <c r="MUU191" s="50"/>
      <c r="MUV191" s="50"/>
      <c r="MUW191" s="50"/>
      <c r="MUX191" s="50"/>
      <c r="MUY191" s="50"/>
      <c r="MUZ191" s="50"/>
      <c r="MVA191" s="50"/>
      <c r="MVB191" s="50"/>
      <c r="MVC191" s="50"/>
      <c r="MVD191" s="50"/>
      <c r="MVE191" s="50"/>
      <c r="MVF191" s="50"/>
      <c r="MVG191" s="50"/>
      <c r="MVH191" s="50"/>
      <c r="MVI191" s="50"/>
      <c r="MVJ191" s="50"/>
      <c r="MVK191" s="50"/>
      <c r="MVL191" s="50"/>
      <c r="MVM191" s="50"/>
      <c r="MVN191" s="50"/>
      <c r="MVO191" s="50"/>
      <c r="MVP191" s="50"/>
      <c r="MVQ191" s="50"/>
      <c r="MVR191" s="50"/>
      <c r="MVS191" s="50"/>
      <c r="MVT191" s="50"/>
      <c r="MVU191" s="50"/>
      <c r="MVV191" s="50"/>
      <c r="MVW191" s="50"/>
      <c r="MVX191" s="50"/>
      <c r="MVY191" s="50"/>
      <c r="MVZ191" s="50"/>
      <c r="MWA191" s="50"/>
      <c r="MWB191" s="50"/>
      <c r="MWC191" s="50"/>
      <c r="MWD191" s="50"/>
      <c r="MWE191" s="50"/>
      <c r="MWF191" s="50"/>
      <c r="MWG191" s="50"/>
      <c r="MWH191" s="50"/>
      <c r="MWI191" s="50"/>
      <c r="MWJ191" s="50"/>
      <c r="MWK191" s="50"/>
      <c r="MWL191" s="50"/>
      <c r="MWM191" s="50"/>
      <c r="MWN191" s="50"/>
      <c r="MWO191" s="50"/>
      <c r="MWP191" s="50"/>
      <c r="MWQ191" s="50"/>
      <c r="MWR191" s="50"/>
      <c r="MWS191" s="50"/>
      <c r="MWT191" s="50"/>
      <c r="MWU191" s="50"/>
      <c r="MWV191" s="50"/>
      <c r="MWW191" s="50"/>
      <c r="MWX191" s="50"/>
      <c r="MWY191" s="50"/>
      <c r="MWZ191" s="50"/>
      <c r="MXA191" s="50"/>
      <c r="MXB191" s="50"/>
      <c r="MXC191" s="50"/>
      <c r="MXD191" s="50"/>
      <c r="MXE191" s="50"/>
      <c r="MXF191" s="50"/>
      <c r="MXG191" s="50"/>
      <c r="MXH191" s="50"/>
      <c r="MXI191" s="50"/>
      <c r="MXJ191" s="50"/>
      <c r="MXK191" s="50"/>
      <c r="MXL191" s="50"/>
      <c r="MXM191" s="50"/>
      <c r="MXN191" s="50"/>
      <c r="MXO191" s="50"/>
      <c r="MXP191" s="50"/>
      <c r="MXQ191" s="50"/>
      <c r="MXR191" s="50"/>
      <c r="MXS191" s="50"/>
      <c r="MXT191" s="50"/>
      <c r="MXU191" s="50"/>
      <c r="MXV191" s="50"/>
      <c r="MXW191" s="50"/>
      <c r="MXX191" s="50"/>
      <c r="MXY191" s="50"/>
      <c r="MXZ191" s="50"/>
      <c r="MYA191" s="50"/>
      <c r="MYB191" s="50"/>
      <c r="MYC191" s="50"/>
      <c r="MYD191" s="50"/>
      <c r="MYE191" s="50"/>
      <c r="MYF191" s="50"/>
      <c r="MYG191" s="50"/>
      <c r="MYH191" s="50"/>
      <c r="MYI191" s="50"/>
      <c r="MYJ191" s="50"/>
      <c r="MYK191" s="50"/>
      <c r="MYL191" s="50"/>
      <c r="MYM191" s="50"/>
      <c r="MYN191" s="50"/>
      <c r="MYO191" s="50"/>
      <c r="MYP191" s="50"/>
      <c r="MYQ191" s="50"/>
      <c r="MYR191" s="50"/>
      <c r="MYS191" s="50"/>
      <c r="MYT191" s="50"/>
      <c r="MYU191" s="50"/>
      <c r="MYV191" s="50"/>
      <c r="MYW191" s="50"/>
      <c r="MYX191" s="50"/>
      <c r="MYY191" s="50"/>
      <c r="MYZ191" s="50"/>
      <c r="MZA191" s="50"/>
      <c r="MZB191" s="50"/>
      <c r="MZC191" s="50"/>
      <c r="MZD191" s="50"/>
      <c r="MZE191" s="50"/>
      <c r="MZF191" s="50"/>
      <c r="MZG191" s="50"/>
      <c r="MZH191" s="50"/>
      <c r="MZI191" s="50"/>
      <c r="MZJ191" s="50"/>
      <c r="MZK191" s="50"/>
      <c r="MZL191" s="50"/>
      <c r="MZM191" s="50"/>
      <c r="MZN191" s="50"/>
      <c r="MZO191" s="50"/>
      <c r="MZP191" s="50"/>
      <c r="MZQ191" s="50"/>
      <c r="MZR191" s="50"/>
      <c r="MZS191" s="50"/>
      <c r="MZT191" s="50"/>
      <c r="MZU191" s="50"/>
      <c r="MZV191" s="50"/>
      <c r="MZW191" s="50"/>
      <c r="MZX191" s="50"/>
      <c r="MZY191" s="50"/>
      <c r="MZZ191" s="50"/>
      <c r="NAA191" s="50"/>
      <c r="NAB191" s="50"/>
      <c r="NAC191" s="50"/>
      <c r="NAD191" s="50"/>
      <c r="NAE191" s="50"/>
      <c r="NAF191" s="50"/>
      <c r="NAG191" s="50"/>
      <c r="NAH191" s="50"/>
      <c r="NAI191" s="50"/>
      <c r="NAJ191" s="50"/>
      <c r="NAK191" s="50"/>
      <c r="NAL191" s="50"/>
      <c r="NAM191" s="50"/>
      <c r="NAN191" s="50"/>
      <c r="NAO191" s="50"/>
      <c r="NAP191" s="50"/>
      <c r="NAQ191" s="50"/>
      <c r="NAR191" s="50"/>
      <c r="NAS191" s="50"/>
      <c r="NAT191" s="50"/>
      <c r="NAU191" s="50"/>
      <c r="NAV191" s="50"/>
      <c r="NAW191" s="50"/>
      <c r="NAX191" s="50"/>
      <c r="NAY191" s="50"/>
      <c r="NAZ191" s="50"/>
      <c r="NBA191" s="50"/>
      <c r="NBB191" s="50"/>
      <c r="NBC191" s="50"/>
      <c r="NBD191" s="50"/>
      <c r="NBE191" s="50"/>
      <c r="NBF191" s="50"/>
      <c r="NBG191" s="50"/>
      <c r="NBH191" s="50"/>
      <c r="NBI191" s="50"/>
      <c r="NBJ191" s="50"/>
      <c r="NBK191" s="50"/>
      <c r="NBL191" s="50"/>
      <c r="NBM191" s="50"/>
      <c r="NBN191" s="50"/>
      <c r="NBO191" s="50"/>
      <c r="NBP191" s="50"/>
      <c r="NBQ191" s="50"/>
      <c r="NBR191" s="50"/>
      <c r="NBS191" s="50"/>
      <c r="NBT191" s="50"/>
      <c r="NBU191" s="50"/>
      <c r="NBV191" s="50"/>
      <c r="NBW191" s="50"/>
      <c r="NBX191" s="50"/>
      <c r="NBY191" s="50"/>
      <c r="NBZ191" s="50"/>
      <c r="NCA191" s="50"/>
      <c r="NCB191" s="50"/>
      <c r="NCC191" s="50"/>
      <c r="NCD191" s="50"/>
      <c r="NCE191" s="50"/>
      <c r="NCF191" s="50"/>
      <c r="NCG191" s="50"/>
      <c r="NCH191" s="50"/>
      <c r="NCI191" s="50"/>
      <c r="NCJ191" s="50"/>
      <c r="NCK191" s="50"/>
      <c r="NCL191" s="50"/>
      <c r="NCM191" s="50"/>
      <c r="NCN191" s="50"/>
      <c r="NCO191" s="50"/>
      <c r="NCP191" s="50"/>
      <c r="NCQ191" s="50"/>
      <c r="NCR191" s="50"/>
      <c r="NCS191" s="50"/>
      <c r="NCT191" s="50"/>
      <c r="NCU191" s="50"/>
      <c r="NCV191" s="50"/>
      <c r="NCW191" s="50"/>
      <c r="NCX191" s="50"/>
      <c r="NCY191" s="50"/>
      <c r="NCZ191" s="50"/>
      <c r="NDA191" s="50"/>
      <c r="NDB191" s="50"/>
      <c r="NDC191" s="50"/>
      <c r="NDD191" s="50"/>
      <c r="NDE191" s="50"/>
      <c r="NDF191" s="50"/>
      <c r="NDG191" s="50"/>
      <c r="NDH191" s="50"/>
      <c r="NDI191" s="50"/>
      <c r="NDJ191" s="50"/>
      <c r="NDK191" s="50"/>
      <c r="NDL191" s="50"/>
      <c r="NDM191" s="50"/>
      <c r="NDN191" s="50"/>
      <c r="NDO191" s="50"/>
      <c r="NDP191" s="50"/>
      <c r="NDQ191" s="50"/>
      <c r="NDR191" s="50"/>
      <c r="NDS191" s="50"/>
      <c r="NDT191" s="50"/>
      <c r="NDU191" s="50"/>
      <c r="NDV191" s="50"/>
      <c r="NDW191" s="50"/>
      <c r="NDX191" s="50"/>
      <c r="NDY191" s="50"/>
      <c r="NDZ191" s="50"/>
      <c r="NEA191" s="50"/>
      <c r="NEB191" s="50"/>
      <c r="NEC191" s="50"/>
      <c r="NED191" s="50"/>
      <c r="NEE191" s="50"/>
      <c r="NEF191" s="50"/>
      <c r="NEG191" s="50"/>
      <c r="NEH191" s="50"/>
      <c r="NEI191" s="50"/>
      <c r="NEJ191" s="50"/>
      <c r="NEK191" s="50"/>
      <c r="NEL191" s="50"/>
      <c r="NEM191" s="50"/>
      <c r="NEN191" s="50"/>
      <c r="NEO191" s="50"/>
      <c r="NEP191" s="50"/>
      <c r="NEQ191" s="50"/>
      <c r="NER191" s="50"/>
      <c r="NES191" s="50"/>
      <c r="NET191" s="50"/>
      <c r="NEU191" s="50"/>
      <c r="NEV191" s="50"/>
      <c r="NEW191" s="50"/>
      <c r="NEX191" s="50"/>
      <c r="NEY191" s="50"/>
      <c r="NEZ191" s="50"/>
      <c r="NFA191" s="50"/>
      <c r="NFB191" s="50"/>
      <c r="NFC191" s="50"/>
      <c r="NFD191" s="50"/>
      <c r="NFE191" s="50"/>
      <c r="NFF191" s="50"/>
      <c r="NFG191" s="50"/>
      <c r="NFH191" s="50"/>
      <c r="NFI191" s="50"/>
      <c r="NFJ191" s="50"/>
      <c r="NFK191" s="50"/>
      <c r="NFL191" s="50"/>
      <c r="NFM191" s="50"/>
      <c r="NFN191" s="50"/>
      <c r="NFO191" s="50"/>
      <c r="NFP191" s="50"/>
      <c r="NFQ191" s="50"/>
      <c r="NFR191" s="50"/>
      <c r="NFS191" s="50"/>
      <c r="NFT191" s="50"/>
      <c r="NFU191" s="50"/>
      <c r="NFV191" s="50"/>
      <c r="NFW191" s="50"/>
      <c r="NFX191" s="50"/>
      <c r="NFY191" s="50"/>
      <c r="NFZ191" s="50"/>
      <c r="NGA191" s="50"/>
      <c r="NGB191" s="50"/>
      <c r="NGC191" s="50"/>
      <c r="NGD191" s="50"/>
      <c r="NGE191" s="50"/>
      <c r="NGF191" s="50"/>
      <c r="NGG191" s="50"/>
      <c r="NGH191" s="50"/>
      <c r="NGI191" s="50"/>
      <c r="NGJ191" s="50"/>
      <c r="NGK191" s="50"/>
      <c r="NGL191" s="50"/>
      <c r="NGM191" s="50"/>
      <c r="NGN191" s="50"/>
      <c r="NGO191" s="50"/>
      <c r="NGP191" s="50"/>
      <c r="NGQ191" s="50"/>
      <c r="NGR191" s="50"/>
      <c r="NGS191" s="50"/>
      <c r="NGT191" s="50"/>
      <c r="NGU191" s="50"/>
      <c r="NGV191" s="50"/>
      <c r="NGW191" s="50"/>
      <c r="NGX191" s="50"/>
      <c r="NGY191" s="50"/>
      <c r="NGZ191" s="50"/>
      <c r="NHA191" s="50"/>
      <c r="NHB191" s="50"/>
      <c r="NHC191" s="50"/>
      <c r="NHD191" s="50"/>
      <c r="NHE191" s="50"/>
      <c r="NHF191" s="50"/>
      <c r="NHG191" s="50"/>
      <c r="NHH191" s="50"/>
      <c r="NHI191" s="50"/>
      <c r="NHJ191" s="50"/>
      <c r="NHK191" s="50"/>
      <c r="NHL191" s="50"/>
      <c r="NHM191" s="50"/>
      <c r="NHN191" s="50"/>
      <c r="NHO191" s="50"/>
      <c r="NHP191" s="50"/>
      <c r="NHQ191" s="50"/>
      <c r="NHR191" s="50"/>
      <c r="NHS191" s="50"/>
      <c r="NHT191" s="50"/>
      <c r="NHU191" s="50"/>
      <c r="NHV191" s="50"/>
      <c r="NHW191" s="50"/>
      <c r="NHX191" s="50"/>
      <c r="NHY191" s="50"/>
      <c r="NHZ191" s="50"/>
      <c r="NIA191" s="50"/>
      <c r="NIB191" s="50"/>
      <c r="NIC191" s="50"/>
      <c r="NID191" s="50"/>
      <c r="NIE191" s="50"/>
      <c r="NIF191" s="50"/>
      <c r="NIG191" s="50"/>
      <c r="NIH191" s="50"/>
      <c r="NII191" s="50"/>
      <c r="NIJ191" s="50"/>
      <c r="NIK191" s="50"/>
      <c r="NIL191" s="50"/>
      <c r="NIM191" s="50"/>
      <c r="NIN191" s="50"/>
      <c r="NIO191" s="50"/>
      <c r="NIP191" s="50"/>
      <c r="NIQ191" s="50"/>
      <c r="NIR191" s="50"/>
      <c r="NIS191" s="50"/>
      <c r="NIT191" s="50"/>
      <c r="NIU191" s="50"/>
      <c r="NIV191" s="50"/>
      <c r="NIW191" s="50"/>
      <c r="NIX191" s="50"/>
      <c r="NIY191" s="50"/>
      <c r="NIZ191" s="50"/>
      <c r="NJA191" s="50"/>
      <c r="NJB191" s="50"/>
      <c r="NJC191" s="50"/>
      <c r="NJD191" s="50"/>
      <c r="NJE191" s="50"/>
      <c r="NJF191" s="50"/>
      <c r="NJG191" s="50"/>
      <c r="NJH191" s="50"/>
      <c r="NJI191" s="50"/>
      <c r="NJJ191" s="50"/>
      <c r="NJK191" s="50"/>
      <c r="NJL191" s="50"/>
      <c r="NJM191" s="50"/>
      <c r="NJN191" s="50"/>
      <c r="NJO191" s="50"/>
      <c r="NJP191" s="50"/>
      <c r="NJQ191" s="50"/>
      <c r="NJR191" s="50"/>
      <c r="NJS191" s="50"/>
      <c r="NJT191" s="50"/>
      <c r="NJU191" s="50"/>
      <c r="NJV191" s="50"/>
      <c r="NJW191" s="50"/>
      <c r="NJX191" s="50"/>
      <c r="NJY191" s="50"/>
      <c r="NJZ191" s="50"/>
      <c r="NKA191" s="50"/>
      <c r="NKB191" s="50"/>
      <c r="NKC191" s="50"/>
      <c r="NKD191" s="50"/>
      <c r="NKE191" s="50"/>
      <c r="NKF191" s="50"/>
      <c r="NKG191" s="50"/>
      <c r="NKH191" s="50"/>
      <c r="NKI191" s="50"/>
      <c r="NKJ191" s="50"/>
      <c r="NKK191" s="50"/>
      <c r="NKL191" s="50"/>
      <c r="NKM191" s="50"/>
      <c r="NKN191" s="50"/>
      <c r="NKO191" s="50"/>
      <c r="NKP191" s="50"/>
      <c r="NKQ191" s="50"/>
      <c r="NKR191" s="50"/>
      <c r="NKS191" s="50"/>
      <c r="NKT191" s="50"/>
      <c r="NKU191" s="50"/>
      <c r="NKV191" s="50"/>
      <c r="NKW191" s="50"/>
      <c r="NKX191" s="50"/>
      <c r="NKY191" s="50"/>
      <c r="NKZ191" s="50"/>
      <c r="NLA191" s="50"/>
      <c r="NLB191" s="50"/>
      <c r="NLC191" s="50"/>
      <c r="NLD191" s="50"/>
      <c r="NLE191" s="50"/>
      <c r="NLF191" s="50"/>
      <c r="NLG191" s="50"/>
      <c r="NLH191" s="50"/>
      <c r="NLI191" s="50"/>
      <c r="NLJ191" s="50"/>
      <c r="NLK191" s="50"/>
      <c r="NLL191" s="50"/>
      <c r="NLM191" s="50"/>
      <c r="NLN191" s="50"/>
      <c r="NLO191" s="50"/>
      <c r="NLP191" s="50"/>
      <c r="NLQ191" s="50"/>
      <c r="NLR191" s="50"/>
      <c r="NLS191" s="50"/>
      <c r="NLT191" s="50"/>
      <c r="NLU191" s="50"/>
      <c r="NLV191" s="50"/>
      <c r="NLW191" s="50"/>
      <c r="NLX191" s="50"/>
      <c r="NLY191" s="50"/>
      <c r="NLZ191" s="50"/>
      <c r="NMA191" s="50"/>
      <c r="NMB191" s="50"/>
      <c r="NMC191" s="50"/>
      <c r="NMD191" s="50"/>
      <c r="NME191" s="50"/>
      <c r="NMF191" s="50"/>
      <c r="NMG191" s="50"/>
      <c r="NMH191" s="50"/>
      <c r="NMI191" s="50"/>
      <c r="NMJ191" s="50"/>
      <c r="NMK191" s="50"/>
      <c r="NML191" s="50"/>
      <c r="NMM191" s="50"/>
      <c r="NMN191" s="50"/>
      <c r="NMO191" s="50"/>
      <c r="NMP191" s="50"/>
      <c r="NMQ191" s="50"/>
      <c r="NMR191" s="50"/>
      <c r="NMS191" s="50"/>
      <c r="NMT191" s="50"/>
      <c r="NMU191" s="50"/>
      <c r="NMV191" s="50"/>
      <c r="NMW191" s="50"/>
      <c r="NMX191" s="50"/>
      <c r="NMY191" s="50"/>
      <c r="NMZ191" s="50"/>
      <c r="NNA191" s="50"/>
      <c r="NNB191" s="50"/>
      <c r="NNC191" s="50"/>
      <c r="NND191" s="50"/>
      <c r="NNE191" s="50"/>
      <c r="NNF191" s="50"/>
      <c r="NNG191" s="50"/>
      <c r="NNH191" s="50"/>
      <c r="NNI191" s="50"/>
      <c r="NNJ191" s="50"/>
      <c r="NNK191" s="50"/>
      <c r="NNL191" s="50"/>
      <c r="NNM191" s="50"/>
      <c r="NNN191" s="50"/>
      <c r="NNO191" s="50"/>
      <c r="NNP191" s="50"/>
      <c r="NNQ191" s="50"/>
      <c r="NNR191" s="50"/>
      <c r="NNS191" s="50"/>
      <c r="NNT191" s="50"/>
      <c r="NNU191" s="50"/>
      <c r="NNV191" s="50"/>
      <c r="NNW191" s="50"/>
      <c r="NNX191" s="50"/>
      <c r="NNY191" s="50"/>
      <c r="NNZ191" s="50"/>
      <c r="NOA191" s="50"/>
      <c r="NOB191" s="50"/>
      <c r="NOC191" s="50"/>
      <c r="NOD191" s="50"/>
      <c r="NOE191" s="50"/>
      <c r="NOF191" s="50"/>
      <c r="NOG191" s="50"/>
      <c r="NOH191" s="50"/>
      <c r="NOI191" s="50"/>
      <c r="NOJ191" s="50"/>
      <c r="NOK191" s="50"/>
      <c r="NOL191" s="50"/>
      <c r="NOM191" s="50"/>
      <c r="NON191" s="50"/>
      <c r="NOO191" s="50"/>
      <c r="NOP191" s="50"/>
      <c r="NOQ191" s="50"/>
      <c r="NOR191" s="50"/>
      <c r="NOS191" s="50"/>
      <c r="NOT191" s="50"/>
      <c r="NOU191" s="50"/>
      <c r="NOV191" s="50"/>
      <c r="NOW191" s="50"/>
      <c r="NOX191" s="50"/>
      <c r="NOY191" s="50"/>
      <c r="NOZ191" s="50"/>
      <c r="NPA191" s="50"/>
      <c r="NPB191" s="50"/>
      <c r="NPC191" s="50"/>
      <c r="NPD191" s="50"/>
      <c r="NPE191" s="50"/>
      <c r="NPF191" s="50"/>
      <c r="NPG191" s="50"/>
      <c r="NPH191" s="50"/>
      <c r="NPI191" s="50"/>
      <c r="NPJ191" s="50"/>
      <c r="NPK191" s="50"/>
      <c r="NPL191" s="50"/>
      <c r="NPM191" s="50"/>
      <c r="NPN191" s="50"/>
      <c r="NPO191" s="50"/>
      <c r="NPP191" s="50"/>
      <c r="NPQ191" s="50"/>
      <c r="NPR191" s="50"/>
      <c r="NPS191" s="50"/>
      <c r="NPT191" s="50"/>
      <c r="NPU191" s="50"/>
      <c r="NPV191" s="50"/>
      <c r="NPW191" s="50"/>
      <c r="NPX191" s="50"/>
      <c r="NPY191" s="50"/>
      <c r="NPZ191" s="50"/>
      <c r="NQA191" s="50"/>
      <c r="NQB191" s="50"/>
      <c r="NQC191" s="50"/>
      <c r="NQD191" s="50"/>
      <c r="NQE191" s="50"/>
      <c r="NQF191" s="50"/>
      <c r="NQG191" s="50"/>
      <c r="NQH191" s="50"/>
      <c r="NQI191" s="50"/>
      <c r="NQJ191" s="50"/>
      <c r="NQK191" s="50"/>
      <c r="NQL191" s="50"/>
      <c r="NQM191" s="50"/>
      <c r="NQN191" s="50"/>
      <c r="NQO191" s="50"/>
      <c r="NQP191" s="50"/>
      <c r="NQQ191" s="50"/>
      <c r="NQR191" s="50"/>
      <c r="NQS191" s="50"/>
      <c r="NQT191" s="50"/>
      <c r="NQU191" s="50"/>
      <c r="NQV191" s="50"/>
      <c r="NQW191" s="50"/>
      <c r="NQX191" s="50"/>
      <c r="NQY191" s="50"/>
      <c r="NQZ191" s="50"/>
      <c r="NRA191" s="50"/>
      <c r="NRB191" s="50"/>
      <c r="NRC191" s="50"/>
      <c r="NRD191" s="50"/>
      <c r="NRE191" s="50"/>
      <c r="NRF191" s="50"/>
      <c r="NRG191" s="50"/>
      <c r="NRH191" s="50"/>
      <c r="NRI191" s="50"/>
      <c r="NRJ191" s="50"/>
      <c r="NRK191" s="50"/>
      <c r="NRL191" s="50"/>
      <c r="NRM191" s="50"/>
      <c r="NRN191" s="50"/>
      <c r="NRO191" s="50"/>
      <c r="NRP191" s="50"/>
      <c r="NRQ191" s="50"/>
      <c r="NRR191" s="50"/>
      <c r="NRS191" s="50"/>
      <c r="NRT191" s="50"/>
      <c r="NRU191" s="50"/>
      <c r="NRV191" s="50"/>
      <c r="NRW191" s="50"/>
      <c r="NRX191" s="50"/>
      <c r="NRY191" s="50"/>
      <c r="NRZ191" s="50"/>
      <c r="NSA191" s="50"/>
      <c r="NSB191" s="50"/>
      <c r="NSC191" s="50"/>
      <c r="NSD191" s="50"/>
      <c r="NSE191" s="50"/>
      <c r="NSF191" s="50"/>
      <c r="NSG191" s="50"/>
      <c r="NSH191" s="50"/>
      <c r="NSI191" s="50"/>
      <c r="NSJ191" s="50"/>
      <c r="NSK191" s="50"/>
      <c r="NSL191" s="50"/>
      <c r="NSM191" s="50"/>
      <c r="NSN191" s="50"/>
      <c r="NSO191" s="50"/>
      <c r="NSP191" s="50"/>
      <c r="NSQ191" s="50"/>
      <c r="NSR191" s="50"/>
      <c r="NSS191" s="50"/>
      <c r="NST191" s="50"/>
      <c r="NSU191" s="50"/>
      <c r="NSV191" s="50"/>
      <c r="NSW191" s="50"/>
      <c r="NSX191" s="50"/>
      <c r="NSY191" s="50"/>
      <c r="NSZ191" s="50"/>
      <c r="NTA191" s="50"/>
      <c r="NTB191" s="50"/>
      <c r="NTC191" s="50"/>
      <c r="NTD191" s="50"/>
      <c r="NTE191" s="50"/>
      <c r="NTF191" s="50"/>
      <c r="NTG191" s="50"/>
      <c r="NTH191" s="50"/>
      <c r="NTI191" s="50"/>
      <c r="NTJ191" s="50"/>
      <c r="NTK191" s="50"/>
      <c r="NTL191" s="50"/>
      <c r="NTM191" s="50"/>
      <c r="NTN191" s="50"/>
      <c r="NTO191" s="50"/>
      <c r="NTP191" s="50"/>
      <c r="NTQ191" s="50"/>
      <c r="NTR191" s="50"/>
      <c r="NTS191" s="50"/>
      <c r="NTT191" s="50"/>
      <c r="NTU191" s="50"/>
      <c r="NTV191" s="50"/>
      <c r="NTW191" s="50"/>
      <c r="NTX191" s="50"/>
      <c r="NTY191" s="50"/>
      <c r="NTZ191" s="50"/>
      <c r="NUA191" s="50"/>
      <c r="NUB191" s="50"/>
      <c r="NUC191" s="50"/>
      <c r="NUD191" s="50"/>
      <c r="NUE191" s="50"/>
      <c r="NUF191" s="50"/>
      <c r="NUG191" s="50"/>
      <c r="NUH191" s="50"/>
      <c r="NUI191" s="50"/>
      <c r="NUJ191" s="50"/>
      <c r="NUK191" s="50"/>
      <c r="NUL191" s="50"/>
      <c r="NUM191" s="50"/>
      <c r="NUN191" s="50"/>
      <c r="NUO191" s="50"/>
      <c r="NUP191" s="50"/>
      <c r="NUQ191" s="50"/>
      <c r="NUR191" s="50"/>
      <c r="NUS191" s="50"/>
      <c r="NUT191" s="50"/>
      <c r="NUU191" s="50"/>
      <c r="NUV191" s="50"/>
      <c r="NUW191" s="50"/>
      <c r="NUX191" s="50"/>
      <c r="NUY191" s="50"/>
      <c r="NUZ191" s="50"/>
      <c r="NVA191" s="50"/>
      <c r="NVB191" s="50"/>
      <c r="NVC191" s="50"/>
      <c r="NVD191" s="50"/>
      <c r="NVE191" s="50"/>
      <c r="NVF191" s="50"/>
      <c r="NVG191" s="50"/>
      <c r="NVH191" s="50"/>
      <c r="NVI191" s="50"/>
      <c r="NVJ191" s="50"/>
      <c r="NVK191" s="50"/>
      <c r="NVL191" s="50"/>
      <c r="NVM191" s="50"/>
      <c r="NVN191" s="50"/>
      <c r="NVO191" s="50"/>
      <c r="NVP191" s="50"/>
      <c r="NVQ191" s="50"/>
      <c r="NVR191" s="50"/>
      <c r="NVS191" s="50"/>
      <c r="NVT191" s="50"/>
      <c r="NVU191" s="50"/>
      <c r="NVV191" s="50"/>
      <c r="NVW191" s="50"/>
      <c r="NVX191" s="50"/>
      <c r="NVY191" s="50"/>
      <c r="NVZ191" s="50"/>
      <c r="NWA191" s="50"/>
      <c r="NWB191" s="50"/>
      <c r="NWC191" s="50"/>
      <c r="NWD191" s="50"/>
      <c r="NWE191" s="50"/>
      <c r="NWF191" s="50"/>
      <c r="NWG191" s="50"/>
      <c r="NWH191" s="50"/>
      <c r="NWI191" s="50"/>
      <c r="NWJ191" s="50"/>
      <c r="NWK191" s="50"/>
      <c r="NWL191" s="50"/>
      <c r="NWM191" s="50"/>
      <c r="NWN191" s="50"/>
      <c r="NWO191" s="50"/>
      <c r="NWP191" s="50"/>
      <c r="NWQ191" s="50"/>
      <c r="NWR191" s="50"/>
      <c r="NWS191" s="50"/>
      <c r="NWT191" s="50"/>
      <c r="NWU191" s="50"/>
      <c r="NWV191" s="50"/>
      <c r="NWW191" s="50"/>
      <c r="NWX191" s="50"/>
      <c r="NWY191" s="50"/>
      <c r="NWZ191" s="50"/>
      <c r="NXA191" s="50"/>
      <c r="NXB191" s="50"/>
      <c r="NXC191" s="50"/>
      <c r="NXD191" s="50"/>
      <c r="NXE191" s="50"/>
      <c r="NXF191" s="50"/>
      <c r="NXG191" s="50"/>
      <c r="NXH191" s="50"/>
      <c r="NXI191" s="50"/>
      <c r="NXJ191" s="50"/>
      <c r="NXK191" s="50"/>
      <c r="NXL191" s="50"/>
      <c r="NXM191" s="50"/>
      <c r="NXN191" s="50"/>
      <c r="NXO191" s="50"/>
      <c r="NXP191" s="50"/>
      <c r="NXQ191" s="50"/>
      <c r="NXR191" s="50"/>
      <c r="NXS191" s="50"/>
      <c r="NXT191" s="50"/>
      <c r="NXU191" s="50"/>
      <c r="NXV191" s="50"/>
      <c r="NXW191" s="50"/>
      <c r="NXX191" s="50"/>
      <c r="NXY191" s="50"/>
      <c r="NXZ191" s="50"/>
      <c r="NYA191" s="50"/>
      <c r="NYB191" s="50"/>
      <c r="NYC191" s="50"/>
      <c r="NYD191" s="50"/>
      <c r="NYE191" s="50"/>
      <c r="NYF191" s="50"/>
      <c r="NYG191" s="50"/>
      <c r="NYH191" s="50"/>
      <c r="NYI191" s="50"/>
      <c r="NYJ191" s="50"/>
      <c r="NYK191" s="50"/>
      <c r="NYL191" s="50"/>
      <c r="NYM191" s="50"/>
      <c r="NYN191" s="50"/>
      <c r="NYO191" s="50"/>
      <c r="NYP191" s="50"/>
      <c r="NYQ191" s="50"/>
      <c r="NYR191" s="50"/>
      <c r="NYS191" s="50"/>
      <c r="NYT191" s="50"/>
      <c r="NYU191" s="50"/>
      <c r="NYV191" s="50"/>
      <c r="NYW191" s="50"/>
      <c r="NYX191" s="50"/>
      <c r="NYY191" s="50"/>
      <c r="NYZ191" s="50"/>
      <c r="NZA191" s="50"/>
      <c r="NZB191" s="50"/>
      <c r="NZC191" s="50"/>
      <c r="NZD191" s="50"/>
      <c r="NZE191" s="50"/>
      <c r="NZF191" s="50"/>
      <c r="NZG191" s="50"/>
      <c r="NZH191" s="50"/>
      <c r="NZI191" s="50"/>
      <c r="NZJ191" s="50"/>
      <c r="NZK191" s="50"/>
      <c r="NZL191" s="50"/>
      <c r="NZM191" s="50"/>
      <c r="NZN191" s="50"/>
      <c r="NZO191" s="50"/>
      <c r="NZP191" s="50"/>
      <c r="NZQ191" s="50"/>
      <c r="NZR191" s="50"/>
      <c r="NZS191" s="50"/>
      <c r="NZT191" s="50"/>
      <c r="NZU191" s="50"/>
      <c r="NZV191" s="50"/>
      <c r="NZW191" s="50"/>
      <c r="NZX191" s="50"/>
      <c r="NZY191" s="50"/>
      <c r="NZZ191" s="50"/>
      <c r="OAA191" s="50"/>
      <c r="OAB191" s="50"/>
      <c r="OAC191" s="50"/>
      <c r="OAD191" s="50"/>
      <c r="OAE191" s="50"/>
      <c r="OAF191" s="50"/>
      <c r="OAG191" s="50"/>
      <c r="OAH191" s="50"/>
      <c r="OAI191" s="50"/>
      <c r="OAJ191" s="50"/>
      <c r="OAK191" s="50"/>
      <c r="OAL191" s="50"/>
      <c r="OAM191" s="50"/>
      <c r="OAN191" s="50"/>
      <c r="OAO191" s="50"/>
      <c r="OAP191" s="50"/>
      <c r="OAQ191" s="50"/>
      <c r="OAR191" s="50"/>
      <c r="OAS191" s="50"/>
      <c r="OAT191" s="50"/>
      <c r="OAU191" s="50"/>
      <c r="OAV191" s="50"/>
      <c r="OAW191" s="50"/>
      <c r="OAX191" s="50"/>
      <c r="OAY191" s="50"/>
      <c r="OAZ191" s="50"/>
      <c r="OBA191" s="50"/>
      <c r="OBB191" s="50"/>
      <c r="OBC191" s="50"/>
      <c r="OBD191" s="50"/>
      <c r="OBE191" s="50"/>
      <c r="OBF191" s="50"/>
      <c r="OBG191" s="50"/>
      <c r="OBH191" s="50"/>
      <c r="OBI191" s="50"/>
      <c r="OBJ191" s="50"/>
      <c r="OBK191" s="50"/>
      <c r="OBL191" s="50"/>
      <c r="OBM191" s="50"/>
      <c r="OBN191" s="50"/>
      <c r="OBO191" s="50"/>
      <c r="OBP191" s="50"/>
      <c r="OBQ191" s="50"/>
      <c r="OBR191" s="50"/>
      <c r="OBS191" s="50"/>
      <c r="OBT191" s="50"/>
      <c r="OBU191" s="50"/>
      <c r="OBV191" s="50"/>
      <c r="OBW191" s="50"/>
      <c r="OBX191" s="50"/>
      <c r="OBY191" s="50"/>
      <c r="OBZ191" s="50"/>
      <c r="OCA191" s="50"/>
      <c r="OCB191" s="50"/>
      <c r="OCC191" s="50"/>
      <c r="OCD191" s="50"/>
      <c r="OCE191" s="50"/>
      <c r="OCF191" s="50"/>
      <c r="OCG191" s="50"/>
      <c r="OCH191" s="50"/>
      <c r="OCI191" s="50"/>
      <c r="OCJ191" s="50"/>
      <c r="OCK191" s="50"/>
      <c r="OCL191" s="50"/>
      <c r="OCM191" s="50"/>
      <c r="OCN191" s="50"/>
      <c r="OCO191" s="50"/>
      <c r="OCP191" s="50"/>
      <c r="OCQ191" s="50"/>
      <c r="OCR191" s="50"/>
      <c r="OCS191" s="50"/>
      <c r="OCT191" s="50"/>
      <c r="OCU191" s="50"/>
      <c r="OCV191" s="50"/>
      <c r="OCW191" s="50"/>
      <c r="OCX191" s="50"/>
      <c r="OCY191" s="50"/>
      <c r="OCZ191" s="50"/>
      <c r="ODA191" s="50"/>
      <c r="ODB191" s="50"/>
      <c r="ODC191" s="50"/>
      <c r="ODD191" s="50"/>
      <c r="ODE191" s="50"/>
      <c r="ODF191" s="50"/>
      <c r="ODG191" s="50"/>
      <c r="ODH191" s="50"/>
      <c r="ODI191" s="50"/>
      <c r="ODJ191" s="50"/>
      <c r="ODK191" s="50"/>
      <c r="ODL191" s="50"/>
      <c r="ODM191" s="50"/>
      <c r="ODN191" s="50"/>
      <c r="ODO191" s="50"/>
      <c r="ODP191" s="50"/>
      <c r="ODQ191" s="50"/>
      <c r="ODR191" s="50"/>
      <c r="ODS191" s="50"/>
      <c r="ODT191" s="50"/>
      <c r="ODU191" s="50"/>
      <c r="ODV191" s="50"/>
      <c r="ODW191" s="50"/>
      <c r="ODX191" s="50"/>
      <c r="ODY191" s="50"/>
      <c r="ODZ191" s="50"/>
      <c r="OEA191" s="50"/>
      <c r="OEB191" s="50"/>
      <c r="OEC191" s="50"/>
      <c r="OED191" s="50"/>
      <c r="OEE191" s="50"/>
      <c r="OEF191" s="50"/>
      <c r="OEG191" s="50"/>
      <c r="OEH191" s="50"/>
      <c r="OEI191" s="50"/>
      <c r="OEJ191" s="50"/>
      <c r="OEK191" s="50"/>
      <c r="OEL191" s="50"/>
      <c r="OEM191" s="50"/>
      <c r="OEN191" s="50"/>
      <c r="OEO191" s="50"/>
      <c r="OEP191" s="50"/>
      <c r="OEQ191" s="50"/>
      <c r="OER191" s="50"/>
      <c r="OES191" s="50"/>
      <c r="OET191" s="50"/>
      <c r="OEU191" s="50"/>
      <c r="OEV191" s="50"/>
      <c r="OEW191" s="50"/>
      <c r="OEX191" s="50"/>
      <c r="OEY191" s="50"/>
      <c r="OEZ191" s="50"/>
      <c r="OFA191" s="50"/>
      <c r="OFB191" s="50"/>
      <c r="OFC191" s="50"/>
      <c r="OFD191" s="50"/>
      <c r="OFE191" s="50"/>
      <c r="OFF191" s="50"/>
      <c r="OFG191" s="50"/>
      <c r="OFH191" s="50"/>
      <c r="OFI191" s="50"/>
      <c r="OFJ191" s="50"/>
      <c r="OFK191" s="50"/>
      <c r="OFL191" s="50"/>
      <c r="OFM191" s="50"/>
      <c r="OFN191" s="50"/>
      <c r="OFO191" s="50"/>
      <c r="OFP191" s="50"/>
      <c r="OFQ191" s="50"/>
      <c r="OFR191" s="50"/>
      <c r="OFS191" s="50"/>
      <c r="OFT191" s="50"/>
      <c r="OFU191" s="50"/>
      <c r="OFV191" s="50"/>
      <c r="OFW191" s="50"/>
      <c r="OFX191" s="50"/>
      <c r="OFY191" s="50"/>
      <c r="OFZ191" s="50"/>
      <c r="OGA191" s="50"/>
      <c r="OGB191" s="50"/>
      <c r="OGC191" s="50"/>
      <c r="OGD191" s="50"/>
      <c r="OGE191" s="50"/>
      <c r="OGF191" s="50"/>
      <c r="OGG191" s="50"/>
      <c r="OGH191" s="50"/>
      <c r="OGI191" s="50"/>
      <c r="OGJ191" s="50"/>
      <c r="OGK191" s="50"/>
      <c r="OGL191" s="50"/>
      <c r="OGM191" s="50"/>
      <c r="OGN191" s="50"/>
      <c r="OGO191" s="50"/>
      <c r="OGP191" s="50"/>
      <c r="OGQ191" s="50"/>
      <c r="OGR191" s="50"/>
      <c r="OGS191" s="50"/>
      <c r="OGT191" s="50"/>
      <c r="OGU191" s="50"/>
      <c r="OGV191" s="50"/>
      <c r="OGW191" s="50"/>
      <c r="OGX191" s="50"/>
      <c r="OGY191" s="50"/>
      <c r="OGZ191" s="50"/>
      <c r="OHA191" s="50"/>
      <c r="OHB191" s="50"/>
      <c r="OHC191" s="50"/>
      <c r="OHD191" s="50"/>
      <c r="OHE191" s="50"/>
      <c r="OHF191" s="50"/>
      <c r="OHG191" s="50"/>
      <c r="OHH191" s="50"/>
      <c r="OHI191" s="50"/>
      <c r="OHJ191" s="50"/>
      <c r="OHK191" s="50"/>
      <c r="OHL191" s="50"/>
      <c r="OHM191" s="50"/>
      <c r="OHN191" s="50"/>
      <c r="OHO191" s="50"/>
      <c r="OHP191" s="50"/>
      <c r="OHQ191" s="50"/>
      <c r="OHR191" s="50"/>
      <c r="OHS191" s="50"/>
      <c r="OHT191" s="50"/>
      <c r="OHU191" s="50"/>
      <c r="OHV191" s="50"/>
      <c r="OHW191" s="50"/>
      <c r="OHX191" s="50"/>
      <c r="OHY191" s="50"/>
      <c r="OHZ191" s="50"/>
      <c r="OIA191" s="50"/>
      <c r="OIB191" s="50"/>
      <c r="OIC191" s="50"/>
      <c r="OID191" s="50"/>
      <c r="OIE191" s="50"/>
      <c r="OIF191" s="50"/>
      <c r="OIG191" s="50"/>
      <c r="OIH191" s="50"/>
      <c r="OII191" s="50"/>
      <c r="OIJ191" s="50"/>
      <c r="OIK191" s="50"/>
      <c r="OIL191" s="50"/>
      <c r="OIM191" s="50"/>
      <c r="OIN191" s="50"/>
      <c r="OIO191" s="50"/>
      <c r="OIP191" s="50"/>
      <c r="OIQ191" s="50"/>
      <c r="OIR191" s="50"/>
      <c r="OIS191" s="50"/>
      <c r="OIT191" s="50"/>
      <c r="OIU191" s="50"/>
      <c r="OIV191" s="50"/>
      <c r="OIW191" s="50"/>
      <c r="OIX191" s="50"/>
      <c r="OIY191" s="50"/>
      <c r="OIZ191" s="50"/>
      <c r="OJA191" s="50"/>
      <c r="OJB191" s="50"/>
      <c r="OJC191" s="50"/>
      <c r="OJD191" s="50"/>
      <c r="OJE191" s="50"/>
      <c r="OJF191" s="50"/>
      <c r="OJG191" s="50"/>
      <c r="OJH191" s="50"/>
      <c r="OJI191" s="50"/>
      <c r="OJJ191" s="50"/>
      <c r="OJK191" s="50"/>
      <c r="OJL191" s="50"/>
      <c r="OJM191" s="50"/>
      <c r="OJN191" s="50"/>
      <c r="OJO191" s="50"/>
      <c r="OJP191" s="50"/>
      <c r="OJQ191" s="50"/>
      <c r="OJR191" s="50"/>
      <c r="OJS191" s="50"/>
      <c r="OJT191" s="50"/>
      <c r="OJU191" s="50"/>
      <c r="OJV191" s="50"/>
      <c r="OJW191" s="50"/>
      <c r="OJX191" s="50"/>
      <c r="OJY191" s="50"/>
      <c r="OJZ191" s="50"/>
      <c r="OKA191" s="50"/>
      <c r="OKB191" s="50"/>
      <c r="OKC191" s="50"/>
      <c r="OKD191" s="50"/>
      <c r="OKE191" s="50"/>
      <c r="OKF191" s="50"/>
      <c r="OKG191" s="50"/>
      <c r="OKH191" s="50"/>
      <c r="OKI191" s="50"/>
      <c r="OKJ191" s="50"/>
      <c r="OKK191" s="50"/>
      <c r="OKL191" s="50"/>
      <c r="OKM191" s="50"/>
      <c r="OKN191" s="50"/>
      <c r="OKO191" s="50"/>
      <c r="OKP191" s="50"/>
      <c r="OKQ191" s="50"/>
      <c r="OKR191" s="50"/>
      <c r="OKS191" s="50"/>
      <c r="OKT191" s="50"/>
      <c r="OKU191" s="50"/>
      <c r="OKV191" s="50"/>
      <c r="OKW191" s="50"/>
      <c r="OKX191" s="50"/>
      <c r="OKY191" s="50"/>
      <c r="OKZ191" s="50"/>
      <c r="OLA191" s="50"/>
      <c r="OLB191" s="50"/>
      <c r="OLC191" s="50"/>
      <c r="OLD191" s="50"/>
      <c r="OLE191" s="50"/>
      <c r="OLF191" s="50"/>
      <c r="OLG191" s="50"/>
      <c r="OLH191" s="50"/>
      <c r="OLI191" s="50"/>
      <c r="OLJ191" s="50"/>
      <c r="OLK191" s="50"/>
      <c r="OLL191" s="50"/>
      <c r="OLM191" s="50"/>
      <c r="OLN191" s="50"/>
      <c r="OLO191" s="50"/>
      <c r="OLP191" s="50"/>
      <c r="OLQ191" s="50"/>
      <c r="OLR191" s="50"/>
      <c r="OLS191" s="50"/>
      <c r="OLT191" s="50"/>
      <c r="OLU191" s="50"/>
      <c r="OLV191" s="50"/>
      <c r="OLW191" s="50"/>
      <c r="OLX191" s="50"/>
      <c r="OLY191" s="50"/>
      <c r="OLZ191" s="50"/>
      <c r="OMA191" s="50"/>
      <c r="OMB191" s="50"/>
      <c r="OMC191" s="50"/>
      <c r="OMD191" s="50"/>
      <c r="OME191" s="50"/>
      <c r="OMF191" s="50"/>
      <c r="OMG191" s="50"/>
      <c r="OMH191" s="50"/>
      <c r="OMI191" s="50"/>
      <c r="OMJ191" s="50"/>
      <c r="OMK191" s="50"/>
      <c r="OML191" s="50"/>
      <c r="OMM191" s="50"/>
      <c r="OMN191" s="50"/>
      <c r="OMO191" s="50"/>
      <c r="OMP191" s="50"/>
      <c r="OMQ191" s="50"/>
      <c r="OMR191" s="50"/>
      <c r="OMS191" s="50"/>
      <c r="OMT191" s="50"/>
      <c r="OMU191" s="50"/>
      <c r="OMV191" s="50"/>
      <c r="OMW191" s="50"/>
      <c r="OMX191" s="50"/>
      <c r="OMY191" s="50"/>
      <c r="OMZ191" s="50"/>
      <c r="ONA191" s="50"/>
      <c r="ONB191" s="50"/>
      <c r="ONC191" s="50"/>
      <c r="OND191" s="50"/>
      <c r="ONE191" s="50"/>
      <c r="ONF191" s="50"/>
      <c r="ONG191" s="50"/>
      <c r="ONH191" s="50"/>
      <c r="ONI191" s="50"/>
      <c r="ONJ191" s="50"/>
      <c r="ONK191" s="50"/>
      <c r="ONL191" s="50"/>
      <c r="ONM191" s="50"/>
      <c r="ONN191" s="50"/>
      <c r="ONO191" s="50"/>
      <c r="ONP191" s="50"/>
      <c r="ONQ191" s="50"/>
      <c r="ONR191" s="50"/>
      <c r="ONS191" s="50"/>
      <c r="ONT191" s="50"/>
      <c r="ONU191" s="50"/>
      <c r="ONV191" s="50"/>
      <c r="ONW191" s="50"/>
      <c r="ONX191" s="50"/>
      <c r="ONY191" s="50"/>
      <c r="ONZ191" s="50"/>
      <c r="OOA191" s="50"/>
      <c r="OOB191" s="50"/>
      <c r="OOC191" s="50"/>
      <c r="OOD191" s="50"/>
      <c r="OOE191" s="50"/>
      <c r="OOF191" s="50"/>
      <c r="OOG191" s="50"/>
      <c r="OOH191" s="50"/>
      <c r="OOI191" s="50"/>
      <c r="OOJ191" s="50"/>
      <c r="OOK191" s="50"/>
      <c r="OOL191" s="50"/>
      <c r="OOM191" s="50"/>
      <c r="OON191" s="50"/>
      <c r="OOO191" s="50"/>
      <c r="OOP191" s="50"/>
      <c r="OOQ191" s="50"/>
      <c r="OOR191" s="50"/>
      <c r="OOS191" s="50"/>
      <c r="OOT191" s="50"/>
      <c r="OOU191" s="50"/>
      <c r="OOV191" s="50"/>
      <c r="OOW191" s="50"/>
      <c r="OOX191" s="50"/>
      <c r="OOY191" s="50"/>
      <c r="OOZ191" s="50"/>
      <c r="OPA191" s="50"/>
      <c r="OPB191" s="50"/>
      <c r="OPC191" s="50"/>
      <c r="OPD191" s="50"/>
      <c r="OPE191" s="50"/>
      <c r="OPF191" s="50"/>
      <c r="OPG191" s="50"/>
      <c r="OPH191" s="50"/>
      <c r="OPI191" s="50"/>
      <c r="OPJ191" s="50"/>
      <c r="OPK191" s="50"/>
      <c r="OPL191" s="50"/>
      <c r="OPM191" s="50"/>
      <c r="OPN191" s="50"/>
      <c r="OPO191" s="50"/>
      <c r="OPP191" s="50"/>
      <c r="OPQ191" s="50"/>
      <c r="OPR191" s="50"/>
      <c r="OPS191" s="50"/>
      <c r="OPT191" s="50"/>
      <c r="OPU191" s="50"/>
      <c r="OPV191" s="50"/>
      <c r="OPW191" s="50"/>
      <c r="OPX191" s="50"/>
      <c r="OPY191" s="50"/>
      <c r="OPZ191" s="50"/>
      <c r="OQA191" s="50"/>
      <c r="OQB191" s="50"/>
      <c r="OQC191" s="50"/>
      <c r="OQD191" s="50"/>
      <c r="OQE191" s="50"/>
      <c r="OQF191" s="50"/>
      <c r="OQG191" s="50"/>
      <c r="OQH191" s="50"/>
      <c r="OQI191" s="50"/>
      <c r="OQJ191" s="50"/>
      <c r="OQK191" s="50"/>
      <c r="OQL191" s="50"/>
      <c r="OQM191" s="50"/>
      <c r="OQN191" s="50"/>
      <c r="OQO191" s="50"/>
      <c r="OQP191" s="50"/>
      <c r="OQQ191" s="50"/>
      <c r="OQR191" s="50"/>
      <c r="OQS191" s="50"/>
      <c r="OQT191" s="50"/>
      <c r="OQU191" s="50"/>
      <c r="OQV191" s="50"/>
      <c r="OQW191" s="50"/>
      <c r="OQX191" s="50"/>
      <c r="OQY191" s="50"/>
      <c r="OQZ191" s="50"/>
      <c r="ORA191" s="50"/>
      <c r="ORB191" s="50"/>
      <c r="ORC191" s="50"/>
      <c r="ORD191" s="50"/>
      <c r="ORE191" s="50"/>
      <c r="ORF191" s="50"/>
      <c r="ORG191" s="50"/>
      <c r="ORH191" s="50"/>
      <c r="ORI191" s="50"/>
      <c r="ORJ191" s="50"/>
      <c r="ORK191" s="50"/>
      <c r="ORL191" s="50"/>
      <c r="ORM191" s="50"/>
      <c r="ORN191" s="50"/>
      <c r="ORO191" s="50"/>
      <c r="ORP191" s="50"/>
      <c r="ORQ191" s="50"/>
      <c r="ORR191" s="50"/>
      <c r="ORS191" s="50"/>
      <c r="ORT191" s="50"/>
      <c r="ORU191" s="50"/>
      <c r="ORV191" s="50"/>
      <c r="ORW191" s="50"/>
      <c r="ORX191" s="50"/>
      <c r="ORY191" s="50"/>
      <c r="ORZ191" s="50"/>
      <c r="OSA191" s="50"/>
      <c r="OSB191" s="50"/>
      <c r="OSC191" s="50"/>
      <c r="OSD191" s="50"/>
      <c r="OSE191" s="50"/>
      <c r="OSF191" s="50"/>
      <c r="OSG191" s="50"/>
      <c r="OSH191" s="50"/>
      <c r="OSI191" s="50"/>
      <c r="OSJ191" s="50"/>
      <c r="OSK191" s="50"/>
      <c r="OSL191" s="50"/>
      <c r="OSM191" s="50"/>
      <c r="OSN191" s="50"/>
      <c r="OSO191" s="50"/>
      <c r="OSP191" s="50"/>
      <c r="OSQ191" s="50"/>
      <c r="OSR191" s="50"/>
      <c r="OSS191" s="50"/>
      <c r="OST191" s="50"/>
      <c r="OSU191" s="50"/>
      <c r="OSV191" s="50"/>
      <c r="OSW191" s="50"/>
      <c r="OSX191" s="50"/>
      <c r="OSY191" s="50"/>
      <c r="OSZ191" s="50"/>
      <c r="OTA191" s="50"/>
      <c r="OTB191" s="50"/>
      <c r="OTC191" s="50"/>
      <c r="OTD191" s="50"/>
      <c r="OTE191" s="50"/>
      <c r="OTF191" s="50"/>
      <c r="OTG191" s="50"/>
      <c r="OTH191" s="50"/>
      <c r="OTI191" s="50"/>
      <c r="OTJ191" s="50"/>
      <c r="OTK191" s="50"/>
      <c r="OTL191" s="50"/>
      <c r="OTM191" s="50"/>
      <c r="OTN191" s="50"/>
      <c r="OTO191" s="50"/>
      <c r="OTP191" s="50"/>
      <c r="OTQ191" s="50"/>
      <c r="OTR191" s="50"/>
      <c r="OTS191" s="50"/>
      <c r="OTT191" s="50"/>
      <c r="OTU191" s="50"/>
      <c r="OTV191" s="50"/>
      <c r="OTW191" s="50"/>
      <c r="OTX191" s="50"/>
      <c r="OTY191" s="50"/>
      <c r="OTZ191" s="50"/>
      <c r="OUA191" s="50"/>
      <c r="OUB191" s="50"/>
      <c r="OUC191" s="50"/>
      <c r="OUD191" s="50"/>
      <c r="OUE191" s="50"/>
      <c r="OUF191" s="50"/>
      <c r="OUG191" s="50"/>
      <c r="OUH191" s="50"/>
      <c r="OUI191" s="50"/>
      <c r="OUJ191" s="50"/>
      <c r="OUK191" s="50"/>
      <c r="OUL191" s="50"/>
      <c r="OUM191" s="50"/>
      <c r="OUN191" s="50"/>
      <c r="OUO191" s="50"/>
      <c r="OUP191" s="50"/>
      <c r="OUQ191" s="50"/>
      <c r="OUR191" s="50"/>
      <c r="OUS191" s="50"/>
      <c r="OUT191" s="50"/>
      <c r="OUU191" s="50"/>
      <c r="OUV191" s="50"/>
      <c r="OUW191" s="50"/>
      <c r="OUX191" s="50"/>
      <c r="OUY191" s="50"/>
      <c r="OUZ191" s="50"/>
      <c r="OVA191" s="50"/>
      <c r="OVB191" s="50"/>
      <c r="OVC191" s="50"/>
      <c r="OVD191" s="50"/>
      <c r="OVE191" s="50"/>
      <c r="OVF191" s="50"/>
      <c r="OVG191" s="50"/>
      <c r="OVH191" s="50"/>
      <c r="OVI191" s="50"/>
      <c r="OVJ191" s="50"/>
      <c r="OVK191" s="50"/>
      <c r="OVL191" s="50"/>
      <c r="OVM191" s="50"/>
      <c r="OVN191" s="50"/>
      <c r="OVO191" s="50"/>
      <c r="OVP191" s="50"/>
      <c r="OVQ191" s="50"/>
      <c r="OVR191" s="50"/>
      <c r="OVS191" s="50"/>
      <c r="OVT191" s="50"/>
      <c r="OVU191" s="50"/>
      <c r="OVV191" s="50"/>
      <c r="OVW191" s="50"/>
      <c r="OVX191" s="50"/>
      <c r="OVY191" s="50"/>
      <c r="OVZ191" s="50"/>
      <c r="OWA191" s="50"/>
      <c r="OWB191" s="50"/>
      <c r="OWC191" s="50"/>
      <c r="OWD191" s="50"/>
      <c r="OWE191" s="50"/>
      <c r="OWF191" s="50"/>
      <c r="OWG191" s="50"/>
      <c r="OWH191" s="50"/>
      <c r="OWI191" s="50"/>
      <c r="OWJ191" s="50"/>
      <c r="OWK191" s="50"/>
      <c r="OWL191" s="50"/>
      <c r="OWM191" s="50"/>
      <c r="OWN191" s="50"/>
      <c r="OWO191" s="50"/>
      <c r="OWP191" s="50"/>
      <c r="OWQ191" s="50"/>
      <c r="OWR191" s="50"/>
      <c r="OWS191" s="50"/>
      <c r="OWT191" s="50"/>
      <c r="OWU191" s="50"/>
      <c r="OWV191" s="50"/>
      <c r="OWW191" s="50"/>
      <c r="OWX191" s="50"/>
      <c r="OWY191" s="50"/>
      <c r="OWZ191" s="50"/>
      <c r="OXA191" s="50"/>
      <c r="OXB191" s="50"/>
      <c r="OXC191" s="50"/>
      <c r="OXD191" s="50"/>
      <c r="OXE191" s="50"/>
      <c r="OXF191" s="50"/>
      <c r="OXG191" s="50"/>
      <c r="OXH191" s="50"/>
      <c r="OXI191" s="50"/>
      <c r="OXJ191" s="50"/>
      <c r="OXK191" s="50"/>
      <c r="OXL191" s="50"/>
      <c r="OXM191" s="50"/>
      <c r="OXN191" s="50"/>
      <c r="OXO191" s="50"/>
      <c r="OXP191" s="50"/>
      <c r="OXQ191" s="50"/>
      <c r="OXR191" s="50"/>
      <c r="OXS191" s="50"/>
      <c r="OXT191" s="50"/>
      <c r="OXU191" s="50"/>
      <c r="OXV191" s="50"/>
      <c r="OXW191" s="50"/>
      <c r="OXX191" s="50"/>
      <c r="OXY191" s="50"/>
      <c r="OXZ191" s="50"/>
      <c r="OYA191" s="50"/>
      <c r="OYB191" s="50"/>
      <c r="OYC191" s="50"/>
      <c r="OYD191" s="50"/>
      <c r="OYE191" s="50"/>
      <c r="OYF191" s="50"/>
      <c r="OYG191" s="50"/>
      <c r="OYH191" s="50"/>
      <c r="OYI191" s="50"/>
      <c r="OYJ191" s="50"/>
      <c r="OYK191" s="50"/>
      <c r="OYL191" s="50"/>
      <c r="OYM191" s="50"/>
      <c r="OYN191" s="50"/>
      <c r="OYO191" s="50"/>
      <c r="OYP191" s="50"/>
      <c r="OYQ191" s="50"/>
      <c r="OYR191" s="50"/>
      <c r="OYS191" s="50"/>
      <c r="OYT191" s="50"/>
      <c r="OYU191" s="50"/>
      <c r="OYV191" s="50"/>
      <c r="OYW191" s="50"/>
      <c r="OYX191" s="50"/>
      <c r="OYY191" s="50"/>
      <c r="OYZ191" s="50"/>
      <c r="OZA191" s="50"/>
      <c r="OZB191" s="50"/>
      <c r="OZC191" s="50"/>
      <c r="OZD191" s="50"/>
      <c r="OZE191" s="50"/>
      <c r="OZF191" s="50"/>
      <c r="OZG191" s="50"/>
      <c r="OZH191" s="50"/>
      <c r="OZI191" s="50"/>
      <c r="OZJ191" s="50"/>
      <c r="OZK191" s="50"/>
      <c r="OZL191" s="50"/>
      <c r="OZM191" s="50"/>
      <c r="OZN191" s="50"/>
      <c r="OZO191" s="50"/>
      <c r="OZP191" s="50"/>
      <c r="OZQ191" s="50"/>
      <c r="OZR191" s="50"/>
      <c r="OZS191" s="50"/>
      <c r="OZT191" s="50"/>
      <c r="OZU191" s="50"/>
      <c r="OZV191" s="50"/>
      <c r="OZW191" s="50"/>
      <c r="OZX191" s="50"/>
      <c r="OZY191" s="50"/>
      <c r="OZZ191" s="50"/>
      <c r="PAA191" s="50"/>
      <c r="PAB191" s="50"/>
      <c r="PAC191" s="50"/>
      <c r="PAD191" s="50"/>
      <c r="PAE191" s="50"/>
      <c r="PAF191" s="50"/>
      <c r="PAG191" s="50"/>
      <c r="PAH191" s="50"/>
      <c r="PAI191" s="50"/>
      <c r="PAJ191" s="50"/>
      <c r="PAK191" s="50"/>
      <c r="PAL191" s="50"/>
      <c r="PAM191" s="50"/>
      <c r="PAN191" s="50"/>
      <c r="PAO191" s="50"/>
      <c r="PAP191" s="50"/>
      <c r="PAQ191" s="50"/>
      <c r="PAR191" s="50"/>
      <c r="PAS191" s="50"/>
      <c r="PAT191" s="50"/>
      <c r="PAU191" s="50"/>
      <c r="PAV191" s="50"/>
      <c r="PAW191" s="50"/>
      <c r="PAX191" s="50"/>
      <c r="PAY191" s="50"/>
      <c r="PAZ191" s="50"/>
      <c r="PBA191" s="50"/>
      <c r="PBB191" s="50"/>
      <c r="PBC191" s="50"/>
      <c r="PBD191" s="50"/>
      <c r="PBE191" s="50"/>
      <c r="PBF191" s="50"/>
      <c r="PBG191" s="50"/>
      <c r="PBH191" s="50"/>
      <c r="PBI191" s="50"/>
      <c r="PBJ191" s="50"/>
      <c r="PBK191" s="50"/>
      <c r="PBL191" s="50"/>
      <c r="PBM191" s="50"/>
      <c r="PBN191" s="50"/>
      <c r="PBO191" s="50"/>
      <c r="PBP191" s="50"/>
      <c r="PBQ191" s="50"/>
      <c r="PBR191" s="50"/>
      <c r="PBS191" s="50"/>
      <c r="PBT191" s="50"/>
      <c r="PBU191" s="50"/>
      <c r="PBV191" s="50"/>
      <c r="PBW191" s="50"/>
      <c r="PBX191" s="50"/>
      <c r="PBY191" s="50"/>
      <c r="PBZ191" s="50"/>
      <c r="PCA191" s="50"/>
      <c r="PCB191" s="50"/>
      <c r="PCC191" s="50"/>
      <c r="PCD191" s="50"/>
      <c r="PCE191" s="50"/>
      <c r="PCF191" s="50"/>
      <c r="PCG191" s="50"/>
      <c r="PCH191" s="50"/>
      <c r="PCI191" s="50"/>
      <c r="PCJ191" s="50"/>
      <c r="PCK191" s="50"/>
      <c r="PCL191" s="50"/>
      <c r="PCM191" s="50"/>
      <c r="PCN191" s="50"/>
      <c r="PCO191" s="50"/>
      <c r="PCP191" s="50"/>
      <c r="PCQ191" s="50"/>
      <c r="PCR191" s="50"/>
      <c r="PCS191" s="50"/>
      <c r="PCT191" s="50"/>
      <c r="PCU191" s="50"/>
      <c r="PCV191" s="50"/>
      <c r="PCW191" s="50"/>
      <c r="PCX191" s="50"/>
      <c r="PCY191" s="50"/>
      <c r="PCZ191" s="50"/>
      <c r="PDA191" s="50"/>
      <c r="PDB191" s="50"/>
      <c r="PDC191" s="50"/>
      <c r="PDD191" s="50"/>
      <c r="PDE191" s="50"/>
      <c r="PDF191" s="50"/>
      <c r="PDG191" s="50"/>
      <c r="PDH191" s="50"/>
      <c r="PDI191" s="50"/>
      <c r="PDJ191" s="50"/>
      <c r="PDK191" s="50"/>
      <c r="PDL191" s="50"/>
      <c r="PDM191" s="50"/>
      <c r="PDN191" s="50"/>
      <c r="PDO191" s="50"/>
      <c r="PDP191" s="50"/>
      <c r="PDQ191" s="50"/>
      <c r="PDR191" s="50"/>
      <c r="PDS191" s="50"/>
      <c r="PDT191" s="50"/>
      <c r="PDU191" s="50"/>
      <c r="PDV191" s="50"/>
      <c r="PDW191" s="50"/>
      <c r="PDX191" s="50"/>
      <c r="PDY191" s="50"/>
      <c r="PDZ191" s="50"/>
      <c r="PEA191" s="50"/>
      <c r="PEB191" s="50"/>
      <c r="PEC191" s="50"/>
      <c r="PED191" s="50"/>
      <c r="PEE191" s="50"/>
      <c r="PEF191" s="50"/>
      <c r="PEG191" s="50"/>
      <c r="PEH191" s="50"/>
      <c r="PEI191" s="50"/>
      <c r="PEJ191" s="50"/>
      <c r="PEK191" s="50"/>
      <c r="PEL191" s="50"/>
      <c r="PEM191" s="50"/>
      <c r="PEN191" s="50"/>
      <c r="PEO191" s="50"/>
      <c r="PEP191" s="50"/>
      <c r="PEQ191" s="50"/>
      <c r="PER191" s="50"/>
      <c r="PES191" s="50"/>
      <c r="PET191" s="50"/>
      <c r="PEU191" s="50"/>
      <c r="PEV191" s="50"/>
      <c r="PEW191" s="50"/>
      <c r="PEX191" s="50"/>
      <c r="PEY191" s="50"/>
      <c r="PEZ191" s="50"/>
      <c r="PFA191" s="50"/>
      <c r="PFB191" s="50"/>
      <c r="PFC191" s="50"/>
      <c r="PFD191" s="50"/>
      <c r="PFE191" s="50"/>
      <c r="PFF191" s="50"/>
      <c r="PFG191" s="50"/>
      <c r="PFH191" s="50"/>
      <c r="PFI191" s="50"/>
      <c r="PFJ191" s="50"/>
      <c r="PFK191" s="50"/>
      <c r="PFL191" s="50"/>
      <c r="PFM191" s="50"/>
      <c r="PFN191" s="50"/>
      <c r="PFO191" s="50"/>
      <c r="PFP191" s="50"/>
      <c r="PFQ191" s="50"/>
      <c r="PFR191" s="50"/>
      <c r="PFS191" s="50"/>
      <c r="PFT191" s="50"/>
      <c r="PFU191" s="50"/>
      <c r="PFV191" s="50"/>
      <c r="PFW191" s="50"/>
      <c r="PFX191" s="50"/>
      <c r="PFY191" s="50"/>
      <c r="PFZ191" s="50"/>
      <c r="PGA191" s="50"/>
      <c r="PGB191" s="50"/>
      <c r="PGC191" s="50"/>
      <c r="PGD191" s="50"/>
      <c r="PGE191" s="50"/>
      <c r="PGF191" s="50"/>
      <c r="PGG191" s="50"/>
      <c r="PGH191" s="50"/>
      <c r="PGI191" s="50"/>
      <c r="PGJ191" s="50"/>
      <c r="PGK191" s="50"/>
      <c r="PGL191" s="50"/>
      <c r="PGM191" s="50"/>
      <c r="PGN191" s="50"/>
      <c r="PGO191" s="50"/>
      <c r="PGP191" s="50"/>
      <c r="PGQ191" s="50"/>
      <c r="PGR191" s="50"/>
      <c r="PGS191" s="50"/>
      <c r="PGT191" s="50"/>
      <c r="PGU191" s="50"/>
      <c r="PGV191" s="50"/>
      <c r="PGW191" s="50"/>
      <c r="PGX191" s="50"/>
      <c r="PGY191" s="50"/>
      <c r="PGZ191" s="50"/>
      <c r="PHA191" s="50"/>
      <c r="PHB191" s="50"/>
      <c r="PHC191" s="50"/>
      <c r="PHD191" s="50"/>
      <c r="PHE191" s="50"/>
      <c r="PHF191" s="50"/>
      <c r="PHG191" s="50"/>
      <c r="PHH191" s="50"/>
      <c r="PHI191" s="50"/>
      <c r="PHJ191" s="50"/>
      <c r="PHK191" s="50"/>
      <c r="PHL191" s="50"/>
      <c r="PHM191" s="50"/>
      <c r="PHN191" s="50"/>
      <c r="PHO191" s="50"/>
      <c r="PHP191" s="50"/>
      <c r="PHQ191" s="50"/>
      <c r="PHR191" s="50"/>
      <c r="PHS191" s="50"/>
      <c r="PHT191" s="50"/>
      <c r="PHU191" s="50"/>
      <c r="PHV191" s="50"/>
      <c r="PHW191" s="50"/>
      <c r="PHX191" s="50"/>
      <c r="PHY191" s="50"/>
      <c r="PHZ191" s="50"/>
      <c r="PIA191" s="50"/>
      <c r="PIB191" s="50"/>
      <c r="PIC191" s="50"/>
      <c r="PID191" s="50"/>
      <c r="PIE191" s="50"/>
      <c r="PIF191" s="50"/>
      <c r="PIG191" s="50"/>
      <c r="PIH191" s="50"/>
      <c r="PII191" s="50"/>
      <c r="PIJ191" s="50"/>
      <c r="PIK191" s="50"/>
      <c r="PIL191" s="50"/>
      <c r="PIM191" s="50"/>
      <c r="PIN191" s="50"/>
      <c r="PIO191" s="50"/>
      <c r="PIP191" s="50"/>
      <c r="PIQ191" s="50"/>
      <c r="PIR191" s="50"/>
      <c r="PIS191" s="50"/>
      <c r="PIT191" s="50"/>
      <c r="PIU191" s="50"/>
      <c r="PIV191" s="50"/>
      <c r="PIW191" s="50"/>
      <c r="PIX191" s="50"/>
      <c r="PIY191" s="50"/>
      <c r="PIZ191" s="50"/>
      <c r="PJA191" s="50"/>
      <c r="PJB191" s="50"/>
      <c r="PJC191" s="50"/>
      <c r="PJD191" s="50"/>
      <c r="PJE191" s="50"/>
      <c r="PJF191" s="50"/>
      <c r="PJG191" s="50"/>
      <c r="PJH191" s="50"/>
      <c r="PJI191" s="50"/>
      <c r="PJJ191" s="50"/>
      <c r="PJK191" s="50"/>
      <c r="PJL191" s="50"/>
      <c r="PJM191" s="50"/>
      <c r="PJN191" s="50"/>
      <c r="PJO191" s="50"/>
      <c r="PJP191" s="50"/>
      <c r="PJQ191" s="50"/>
      <c r="PJR191" s="50"/>
      <c r="PJS191" s="50"/>
      <c r="PJT191" s="50"/>
      <c r="PJU191" s="50"/>
      <c r="PJV191" s="50"/>
      <c r="PJW191" s="50"/>
      <c r="PJX191" s="50"/>
      <c r="PJY191" s="50"/>
      <c r="PJZ191" s="50"/>
      <c r="PKA191" s="50"/>
      <c r="PKB191" s="50"/>
      <c r="PKC191" s="50"/>
      <c r="PKD191" s="50"/>
      <c r="PKE191" s="50"/>
      <c r="PKF191" s="50"/>
      <c r="PKG191" s="50"/>
      <c r="PKH191" s="50"/>
      <c r="PKI191" s="50"/>
      <c r="PKJ191" s="50"/>
      <c r="PKK191" s="50"/>
      <c r="PKL191" s="50"/>
      <c r="PKM191" s="50"/>
      <c r="PKN191" s="50"/>
      <c r="PKO191" s="50"/>
      <c r="PKP191" s="50"/>
      <c r="PKQ191" s="50"/>
      <c r="PKR191" s="50"/>
      <c r="PKS191" s="50"/>
      <c r="PKT191" s="50"/>
      <c r="PKU191" s="50"/>
      <c r="PKV191" s="50"/>
      <c r="PKW191" s="50"/>
      <c r="PKX191" s="50"/>
      <c r="PKY191" s="50"/>
      <c r="PKZ191" s="50"/>
      <c r="PLA191" s="50"/>
      <c r="PLB191" s="50"/>
      <c r="PLC191" s="50"/>
      <c r="PLD191" s="50"/>
      <c r="PLE191" s="50"/>
      <c r="PLF191" s="50"/>
      <c r="PLG191" s="50"/>
      <c r="PLH191" s="50"/>
      <c r="PLI191" s="50"/>
      <c r="PLJ191" s="50"/>
      <c r="PLK191" s="50"/>
      <c r="PLL191" s="50"/>
      <c r="PLM191" s="50"/>
      <c r="PLN191" s="50"/>
      <c r="PLO191" s="50"/>
      <c r="PLP191" s="50"/>
      <c r="PLQ191" s="50"/>
      <c r="PLR191" s="50"/>
      <c r="PLS191" s="50"/>
      <c r="PLT191" s="50"/>
      <c r="PLU191" s="50"/>
      <c r="PLV191" s="50"/>
      <c r="PLW191" s="50"/>
      <c r="PLX191" s="50"/>
      <c r="PLY191" s="50"/>
      <c r="PLZ191" s="50"/>
      <c r="PMA191" s="50"/>
      <c r="PMB191" s="50"/>
      <c r="PMC191" s="50"/>
      <c r="PMD191" s="50"/>
      <c r="PME191" s="50"/>
      <c r="PMF191" s="50"/>
      <c r="PMG191" s="50"/>
      <c r="PMH191" s="50"/>
      <c r="PMI191" s="50"/>
      <c r="PMJ191" s="50"/>
      <c r="PMK191" s="50"/>
      <c r="PML191" s="50"/>
      <c r="PMM191" s="50"/>
      <c r="PMN191" s="50"/>
      <c r="PMO191" s="50"/>
      <c r="PMP191" s="50"/>
      <c r="PMQ191" s="50"/>
      <c r="PMR191" s="50"/>
      <c r="PMS191" s="50"/>
      <c r="PMT191" s="50"/>
      <c r="PMU191" s="50"/>
      <c r="PMV191" s="50"/>
      <c r="PMW191" s="50"/>
      <c r="PMX191" s="50"/>
      <c r="PMY191" s="50"/>
      <c r="PMZ191" s="50"/>
      <c r="PNA191" s="50"/>
      <c r="PNB191" s="50"/>
      <c r="PNC191" s="50"/>
      <c r="PND191" s="50"/>
      <c r="PNE191" s="50"/>
      <c r="PNF191" s="50"/>
      <c r="PNG191" s="50"/>
      <c r="PNH191" s="50"/>
      <c r="PNI191" s="50"/>
      <c r="PNJ191" s="50"/>
      <c r="PNK191" s="50"/>
      <c r="PNL191" s="50"/>
      <c r="PNM191" s="50"/>
      <c r="PNN191" s="50"/>
      <c r="PNO191" s="50"/>
      <c r="PNP191" s="50"/>
      <c r="PNQ191" s="50"/>
      <c r="PNR191" s="50"/>
      <c r="PNS191" s="50"/>
      <c r="PNT191" s="50"/>
      <c r="PNU191" s="50"/>
      <c r="PNV191" s="50"/>
      <c r="PNW191" s="50"/>
      <c r="PNX191" s="50"/>
      <c r="PNY191" s="50"/>
      <c r="PNZ191" s="50"/>
      <c r="POA191" s="50"/>
      <c r="POB191" s="50"/>
      <c r="POC191" s="50"/>
      <c r="POD191" s="50"/>
      <c r="POE191" s="50"/>
      <c r="POF191" s="50"/>
      <c r="POG191" s="50"/>
      <c r="POH191" s="50"/>
      <c r="POI191" s="50"/>
      <c r="POJ191" s="50"/>
      <c r="POK191" s="50"/>
      <c r="POL191" s="50"/>
      <c r="POM191" s="50"/>
      <c r="PON191" s="50"/>
      <c r="POO191" s="50"/>
      <c r="POP191" s="50"/>
      <c r="POQ191" s="50"/>
      <c r="POR191" s="50"/>
      <c r="POS191" s="50"/>
      <c r="POT191" s="50"/>
      <c r="POU191" s="50"/>
      <c r="POV191" s="50"/>
      <c r="POW191" s="50"/>
      <c r="POX191" s="50"/>
      <c r="POY191" s="50"/>
      <c r="POZ191" s="50"/>
      <c r="PPA191" s="50"/>
      <c r="PPB191" s="50"/>
      <c r="PPC191" s="50"/>
      <c r="PPD191" s="50"/>
      <c r="PPE191" s="50"/>
      <c r="PPF191" s="50"/>
      <c r="PPG191" s="50"/>
      <c r="PPH191" s="50"/>
      <c r="PPI191" s="50"/>
      <c r="PPJ191" s="50"/>
      <c r="PPK191" s="50"/>
      <c r="PPL191" s="50"/>
      <c r="PPM191" s="50"/>
      <c r="PPN191" s="50"/>
      <c r="PPO191" s="50"/>
      <c r="PPP191" s="50"/>
      <c r="PPQ191" s="50"/>
      <c r="PPR191" s="50"/>
      <c r="PPS191" s="50"/>
      <c r="PPT191" s="50"/>
      <c r="PPU191" s="50"/>
      <c r="PPV191" s="50"/>
      <c r="PPW191" s="50"/>
      <c r="PPX191" s="50"/>
      <c r="PPY191" s="50"/>
      <c r="PPZ191" s="50"/>
      <c r="PQA191" s="50"/>
      <c r="PQB191" s="50"/>
      <c r="PQC191" s="50"/>
      <c r="PQD191" s="50"/>
      <c r="PQE191" s="50"/>
      <c r="PQF191" s="50"/>
      <c r="PQG191" s="50"/>
      <c r="PQH191" s="50"/>
      <c r="PQI191" s="50"/>
      <c r="PQJ191" s="50"/>
      <c r="PQK191" s="50"/>
      <c r="PQL191" s="50"/>
      <c r="PQM191" s="50"/>
      <c r="PQN191" s="50"/>
      <c r="PQO191" s="50"/>
      <c r="PQP191" s="50"/>
      <c r="PQQ191" s="50"/>
      <c r="PQR191" s="50"/>
      <c r="PQS191" s="50"/>
      <c r="PQT191" s="50"/>
      <c r="PQU191" s="50"/>
      <c r="PQV191" s="50"/>
      <c r="PQW191" s="50"/>
      <c r="PQX191" s="50"/>
      <c r="PQY191" s="50"/>
      <c r="PQZ191" s="50"/>
      <c r="PRA191" s="50"/>
      <c r="PRB191" s="50"/>
      <c r="PRC191" s="50"/>
      <c r="PRD191" s="50"/>
      <c r="PRE191" s="50"/>
      <c r="PRF191" s="50"/>
      <c r="PRG191" s="50"/>
      <c r="PRH191" s="50"/>
      <c r="PRI191" s="50"/>
      <c r="PRJ191" s="50"/>
      <c r="PRK191" s="50"/>
      <c r="PRL191" s="50"/>
      <c r="PRM191" s="50"/>
      <c r="PRN191" s="50"/>
      <c r="PRO191" s="50"/>
      <c r="PRP191" s="50"/>
      <c r="PRQ191" s="50"/>
      <c r="PRR191" s="50"/>
      <c r="PRS191" s="50"/>
      <c r="PRT191" s="50"/>
      <c r="PRU191" s="50"/>
      <c r="PRV191" s="50"/>
      <c r="PRW191" s="50"/>
      <c r="PRX191" s="50"/>
      <c r="PRY191" s="50"/>
      <c r="PRZ191" s="50"/>
      <c r="PSA191" s="50"/>
      <c r="PSB191" s="50"/>
      <c r="PSC191" s="50"/>
      <c r="PSD191" s="50"/>
      <c r="PSE191" s="50"/>
      <c r="PSF191" s="50"/>
      <c r="PSG191" s="50"/>
      <c r="PSH191" s="50"/>
      <c r="PSI191" s="50"/>
      <c r="PSJ191" s="50"/>
      <c r="PSK191" s="50"/>
      <c r="PSL191" s="50"/>
      <c r="PSM191" s="50"/>
      <c r="PSN191" s="50"/>
      <c r="PSO191" s="50"/>
      <c r="PSP191" s="50"/>
      <c r="PSQ191" s="50"/>
      <c r="PSR191" s="50"/>
      <c r="PSS191" s="50"/>
      <c r="PST191" s="50"/>
      <c r="PSU191" s="50"/>
      <c r="PSV191" s="50"/>
      <c r="PSW191" s="50"/>
      <c r="PSX191" s="50"/>
      <c r="PSY191" s="50"/>
      <c r="PSZ191" s="50"/>
      <c r="PTA191" s="50"/>
      <c r="PTB191" s="50"/>
      <c r="PTC191" s="50"/>
      <c r="PTD191" s="50"/>
      <c r="PTE191" s="50"/>
      <c r="PTF191" s="50"/>
      <c r="PTG191" s="50"/>
      <c r="PTH191" s="50"/>
      <c r="PTI191" s="50"/>
      <c r="PTJ191" s="50"/>
      <c r="PTK191" s="50"/>
      <c r="PTL191" s="50"/>
      <c r="PTM191" s="50"/>
      <c r="PTN191" s="50"/>
      <c r="PTO191" s="50"/>
      <c r="PTP191" s="50"/>
      <c r="PTQ191" s="50"/>
      <c r="PTR191" s="50"/>
      <c r="PTS191" s="50"/>
      <c r="PTT191" s="50"/>
      <c r="PTU191" s="50"/>
      <c r="PTV191" s="50"/>
      <c r="PTW191" s="50"/>
      <c r="PTX191" s="50"/>
      <c r="PTY191" s="50"/>
      <c r="PTZ191" s="50"/>
      <c r="PUA191" s="50"/>
      <c r="PUB191" s="50"/>
      <c r="PUC191" s="50"/>
      <c r="PUD191" s="50"/>
      <c r="PUE191" s="50"/>
      <c r="PUF191" s="50"/>
      <c r="PUG191" s="50"/>
      <c r="PUH191" s="50"/>
      <c r="PUI191" s="50"/>
      <c r="PUJ191" s="50"/>
      <c r="PUK191" s="50"/>
      <c r="PUL191" s="50"/>
      <c r="PUM191" s="50"/>
      <c r="PUN191" s="50"/>
      <c r="PUO191" s="50"/>
      <c r="PUP191" s="50"/>
      <c r="PUQ191" s="50"/>
      <c r="PUR191" s="50"/>
      <c r="PUS191" s="50"/>
      <c r="PUT191" s="50"/>
      <c r="PUU191" s="50"/>
      <c r="PUV191" s="50"/>
      <c r="PUW191" s="50"/>
      <c r="PUX191" s="50"/>
      <c r="PUY191" s="50"/>
      <c r="PUZ191" s="50"/>
      <c r="PVA191" s="50"/>
      <c r="PVB191" s="50"/>
      <c r="PVC191" s="50"/>
      <c r="PVD191" s="50"/>
      <c r="PVE191" s="50"/>
      <c r="PVF191" s="50"/>
      <c r="PVG191" s="50"/>
      <c r="PVH191" s="50"/>
      <c r="PVI191" s="50"/>
      <c r="PVJ191" s="50"/>
      <c r="PVK191" s="50"/>
      <c r="PVL191" s="50"/>
      <c r="PVM191" s="50"/>
      <c r="PVN191" s="50"/>
      <c r="PVO191" s="50"/>
      <c r="PVP191" s="50"/>
      <c r="PVQ191" s="50"/>
      <c r="PVR191" s="50"/>
      <c r="PVS191" s="50"/>
      <c r="PVT191" s="50"/>
      <c r="PVU191" s="50"/>
      <c r="PVV191" s="50"/>
      <c r="PVW191" s="50"/>
      <c r="PVX191" s="50"/>
      <c r="PVY191" s="50"/>
      <c r="PVZ191" s="50"/>
      <c r="PWA191" s="50"/>
      <c r="PWB191" s="50"/>
      <c r="PWC191" s="50"/>
      <c r="PWD191" s="50"/>
      <c r="PWE191" s="50"/>
      <c r="PWF191" s="50"/>
      <c r="PWG191" s="50"/>
      <c r="PWH191" s="50"/>
      <c r="PWI191" s="50"/>
      <c r="PWJ191" s="50"/>
      <c r="PWK191" s="50"/>
      <c r="PWL191" s="50"/>
      <c r="PWM191" s="50"/>
      <c r="PWN191" s="50"/>
      <c r="PWO191" s="50"/>
      <c r="PWP191" s="50"/>
      <c r="PWQ191" s="50"/>
      <c r="PWR191" s="50"/>
      <c r="PWS191" s="50"/>
      <c r="PWT191" s="50"/>
      <c r="PWU191" s="50"/>
      <c r="PWV191" s="50"/>
      <c r="PWW191" s="50"/>
      <c r="PWX191" s="50"/>
      <c r="PWY191" s="50"/>
      <c r="PWZ191" s="50"/>
      <c r="PXA191" s="50"/>
      <c r="PXB191" s="50"/>
      <c r="PXC191" s="50"/>
      <c r="PXD191" s="50"/>
      <c r="PXE191" s="50"/>
      <c r="PXF191" s="50"/>
      <c r="PXG191" s="50"/>
      <c r="PXH191" s="50"/>
      <c r="PXI191" s="50"/>
      <c r="PXJ191" s="50"/>
      <c r="PXK191" s="50"/>
      <c r="PXL191" s="50"/>
      <c r="PXM191" s="50"/>
      <c r="PXN191" s="50"/>
      <c r="PXO191" s="50"/>
      <c r="PXP191" s="50"/>
      <c r="PXQ191" s="50"/>
      <c r="PXR191" s="50"/>
      <c r="PXS191" s="50"/>
      <c r="PXT191" s="50"/>
      <c r="PXU191" s="50"/>
      <c r="PXV191" s="50"/>
      <c r="PXW191" s="50"/>
      <c r="PXX191" s="50"/>
      <c r="PXY191" s="50"/>
      <c r="PXZ191" s="50"/>
      <c r="PYA191" s="50"/>
      <c r="PYB191" s="50"/>
      <c r="PYC191" s="50"/>
      <c r="PYD191" s="50"/>
      <c r="PYE191" s="50"/>
      <c r="PYF191" s="50"/>
      <c r="PYG191" s="50"/>
      <c r="PYH191" s="50"/>
      <c r="PYI191" s="50"/>
      <c r="PYJ191" s="50"/>
      <c r="PYK191" s="50"/>
      <c r="PYL191" s="50"/>
      <c r="PYM191" s="50"/>
      <c r="PYN191" s="50"/>
      <c r="PYO191" s="50"/>
      <c r="PYP191" s="50"/>
      <c r="PYQ191" s="50"/>
      <c r="PYR191" s="50"/>
      <c r="PYS191" s="50"/>
      <c r="PYT191" s="50"/>
      <c r="PYU191" s="50"/>
      <c r="PYV191" s="50"/>
      <c r="PYW191" s="50"/>
      <c r="PYX191" s="50"/>
      <c r="PYY191" s="50"/>
      <c r="PYZ191" s="50"/>
      <c r="PZA191" s="50"/>
      <c r="PZB191" s="50"/>
      <c r="PZC191" s="50"/>
      <c r="PZD191" s="50"/>
      <c r="PZE191" s="50"/>
      <c r="PZF191" s="50"/>
      <c r="PZG191" s="50"/>
      <c r="PZH191" s="50"/>
      <c r="PZI191" s="50"/>
      <c r="PZJ191" s="50"/>
      <c r="PZK191" s="50"/>
      <c r="PZL191" s="50"/>
      <c r="PZM191" s="50"/>
      <c r="PZN191" s="50"/>
      <c r="PZO191" s="50"/>
      <c r="PZP191" s="50"/>
      <c r="PZQ191" s="50"/>
      <c r="PZR191" s="50"/>
      <c r="PZS191" s="50"/>
      <c r="PZT191" s="50"/>
      <c r="PZU191" s="50"/>
      <c r="PZV191" s="50"/>
      <c r="PZW191" s="50"/>
      <c r="PZX191" s="50"/>
      <c r="PZY191" s="50"/>
      <c r="PZZ191" s="50"/>
      <c r="QAA191" s="50"/>
      <c r="QAB191" s="50"/>
      <c r="QAC191" s="50"/>
      <c r="QAD191" s="50"/>
      <c r="QAE191" s="50"/>
      <c r="QAF191" s="50"/>
      <c r="QAG191" s="50"/>
      <c r="QAH191" s="50"/>
      <c r="QAI191" s="50"/>
      <c r="QAJ191" s="50"/>
      <c r="QAK191" s="50"/>
      <c r="QAL191" s="50"/>
      <c r="QAM191" s="50"/>
      <c r="QAN191" s="50"/>
      <c r="QAO191" s="50"/>
      <c r="QAP191" s="50"/>
      <c r="QAQ191" s="50"/>
      <c r="QAR191" s="50"/>
      <c r="QAS191" s="50"/>
      <c r="QAT191" s="50"/>
      <c r="QAU191" s="50"/>
      <c r="QAV191" s="50"/>
      <c r="QAW191" s="50"/>
      <c r="QAX191" s="50"/>
      <c r="QAY191" s="50"/>
      <c r="QAZ191" s="50"/>
      <c r="QBA191" s="50"/>
      <c r="QBB191" s="50"/>
      <c r="QBC191" s="50"/>
      <c r="QBD191" s="50"/>
      <c r="QBE191" s="50"/>
      <c r="QBF191" s="50"/>
      <c r="QBG191" s="50"/>
      <c r="QBH191" s="50"/>
      <c r="QBI191" s="50"/>
      <c r="QBJ191" s="50"/>
      <c r="QBK191" s="50"/>
      <c r="QBL191" s="50"/>
      <c r="QBM191" s="50"/>
      <c r="QBN191" s="50"/>
      <c r="QBO191" s="50"/>
      <c r="QBP191" s="50"/>
      <c r="QBQ191" s="50"/>
      <c r="QBR191" s="50"/>
      <c r="QBS191" s="50"/>
      <c r="QBT191" s="50"/>
      <c r="QBU191" s="50"/>
      <c r="QBV191" s="50"/>
      <c r="QBW191" s="50"/>
      <c r="QBX191" s="50"/>
      <c r="QBY191" s="50"/>
      <c r="QBZ191" s="50"/>
      <c r="QCA191" s="50"/>
      <c r="QCB191" s="50"/>
      <c r="QCC191" s="50"/>
      <c r="QCD191" s="50"/>
      <c r="QCE191" s="50"/>
      <c r="QCF191" s="50"/>
      <c r="QCG191" s="50"/>
      <c r="QCH191" s="50"/>
      <c r="QCI191" s="50"/>
      <c r="QCJ191" s="50"/>
      <c r="QCK191" s="50"/>
      <c r="QCL191" s="50"/>
      <c r="QCM191" s="50"/>
      <c r="QCN191" s="50"/>
      <c r="QCO191" s="50"/>
      <c r="QCP191" s="50"/>
      <c r="QCQ191" s="50"/>
      <c r="QCR191" s="50"/>
      <c r="QCS191" s="50"/>
      <c r="QCT191" s="50"/>
      <c r="QCU191" s="50"/>
      <c r="QCV191" s="50"/>
      <c r="QCW191" s="50"/>
      <c r="QCX191" s="50"/>
      <c r="QCY191" s="50"/>
      <c r="QCZ191" s="50"/>
      <c r="QDA191" s="50"/>
      <c r="QDB191" s="50"/>
      <c r="QDC191" s="50"/>
      <c r="QDD191" s="50"/>
      <c r="QDE191" s="50"/>
      <c r="QDF191" s="50"/>
      <c r="QDG191" s="50"/>
      <c r="QDH191" s="50"/>
      <c r="QDI191" s="50"/>
      <c r="QDJ191" s="50"/>
      <c r="QDK191" s="50"/>
      <c r="QDL191" s="50"/>
      <c r="QDM191" s="50"/>
      <c r="QDN191" s="50"/>
      <c r="QDO191" s="50"/>
      <c r="QDP191" s="50"/>
      <c r="QDQ191" s="50"/>
      <c r="QDR191" s="50"/>
      <c r="QDS191" s="50"/>
      <c r="QDT191" s="50"/>
      <c r="QDU191" s="50"/>
      <c r="QDV191" s="50"/>
      <c r="QDW191" s="50"/>
      <c r="QDX191" s="50"/>
      <c r="QDY191" s="50"/>
      <c r="QDZ191" s="50"/>
      <c r="QEA191" s="50"/>
      <c r="QEB191" s="50"/>
      <c r="QEC191" s="50"/>
      <c r="QED191" s="50"/>
      <c r="QEE191" s="50"/>
      <c r="QEF191" s="50"/>
      <c r="QEG191" s="50"/>
      <c r="QEH191" s="50"/>
      <c r="QEI191" s="50"/>
      <c r="QEJ191" s="50"/>
      <c r="QEK191" s="50"/>
      <c r="QEL191" s="50"/>
      <c r="QEM191" s="50"/>
      <c r="QEN191" s="50"/>
      <c r="QEO191" s="50"/>
      <c r="QEP191" s="50"/>
      <c r="QEQ191" s="50"/>
      <c r="QER191" s="50"/>
      <c r="QES191" s="50"/>
      <c r="QET191" s="50"/>
      <c r="QEU191" s="50"/>
      <c r="QEV191" s="50"/>
      <c r="QEW191" s="50"/>
      <c r="QEX191" s="50"/>
      <c r="QEY191" s="50"/>
      <c r="QEZ191" s="50"/>
      <c r="QFA191" s="50"/>
      <c r="QFB191" s="50"/>
      <c r="QFC191" s="50"/>
      <c r="QFD191" s="50"/>
      <c r="QFE191" s="50"/>
      <c r="QFF191" s="50"/>
      <c r="QFG191" s="50"/>
      <c r="QFH191" s="50"/>
      <c r="QFI191" s="50"/>
      <c r="QFJ191" s="50"/>
      <c r="QFK191" s="50"/>
      <c r="QFL191" s="50"/>
      <c r="QFM191" s="50"/>
      <c r="QFN191" s="50"/>
      <c r="QFO191" s="50"/>
      <c r="QFP191" s="50"/>
      <c r="QFQ191" s="50"/>
      <c r="QFR191" s="50"/>
      <c r="QFS191" s="50"/>
      <c r="QFT191" s="50"/>
      <c r="QFU191" s="50"/>
      <c r="QFV191" s="50"/>
      <c r="QFW191" s="50"/>
      <c r="QFX191" s="50"/>
      <c r="QFY191" s="50"/>
      <c r="QFZ191" s="50"/>
      <c r="QGA191" s="50"/>
      <c r="QGB191" s="50"/>
      <c r="QGC191" s="50"/>
      <c r="QGD191" s="50"/>
      <c r="QGE191" s="50"/>
      <c r="QGF191" s="50"/>
      <c r="QGG191" s="50"/>
      <c r="QGH191" s="50"/>
      <c r="QGI191" s="50"/>
      <c r="QGJ191" s="50"/>
      <c r="QGK191" s="50"/>
      <c r="QGL191" s="50"/>
      <c r="QGM191" s="50"/>
      <c r="QGN191" s="50"/>
      <c r="QGO191" s="50"/>
      <c r="QGP191" s="50"/>
      <c r="QGQ191" s="50"/>
      <c r="QGR191" s="50"/>
      <c r="QGS191" s="50"/>
      <c r="QGT191" s="50"/>
      <c r="QGU191" s="50"/>
      <c r="QGV191" s="50"/>
      <c r="QGW191" s="50"/>
      <c r="QGX191" s="50"/>
      <c r="QGY191" s="50"/>
      <c r="QGZ191" s="50"/>
      <c r="QHA191" s="50"/>
      <c r="QHB191" s="50"/>
      <c r="QHC191" s="50"/>
      <c r="QHD191" s="50"/>
      <c r="QHE191" s="50"/>
      <c r="QHF191" s="50"/>
      <c r="QHG191" s="50"/>
      <c r="QHH191" s="50"/>
      <c r="QHI191" s="50"/>
      <c r="QHJ191" s="50"/>
      <c r="QHK191" s="50"/>
      <c r="QHL191" s="50"/>
      <c r="QHM191" s="50"/>
      <c r="QHN191" s="50"/>
      <c r="QHO191" s="50"/>
      <c r="QHP191" s="50"/>
      <c r="QHQ191" s="50"/>
      <c r="QHR191" s="50"/>
      <c r="QHS191" s="50"/>
      <c r="QHT191" s="50"/>
      <c r="QHU191" s="50"/>
      <c r="QHV191" s="50"/>
      <c r="QHW191" s="50"/>
      <c r="QHX191" s="50"/>
      <c r="QHY191" s="50"/>
      <c r="QHZ191" s="50"/>
      <c r="QIA191" s="50"/>
      <c r="QIB191" s="50"/>
      <c r="QIC191" s="50"/>
      <c r="QID191" s="50"/>
      <c r="QIE191" s="50"/>
      <c r="QIF191" s="50"/>
      <c r="QIG191" s="50"/>
      <c r="QIH191" s="50"/>
      <c r="QII191" s="50"/>
      <c r="QIJ191" s="50"/>
      <c r="QIK191" s="50"/>
      <c r="QIL191" s="50"/>
      <c r="QIM191" s="50"/>
      <c r="QIN191" s="50"/>
      <c r="QIO191" s="50"/>
      <c r="QIP191" s="50"/>
      <c r="QIQ191" s="50"/>
      <c r="QIR191" s="50"/>
      <c r="QIS191" s="50"/>
      <c r="QIT191" s="50"/>
      <c r="QIU191" s="50"/>
      <c r="QIV191" s="50"/>
      <c r="QIW191" s="50"/>
      <c r="QIX191" s="50"/>
      <c r="QIY191" s="50"/>
      <c r="QIZ191" s="50"/>
      <c r="QJA191" s="50"/>
      <c r="QJB191" s="50"/>
      <c r="QJC191" s="50"/>
      <c r="QJD191" s="50"/>
      <c r="QJE191" s="50"/>
      <c r="QJF191" s="50"/>
      <c r="QJG191" s="50"/>
      <c r="QJH191" s="50"/>
      <c r="QJI191" s="50"/>
      <c r="QJJ191" s="50"/>
      <c r="QJK191" s="50"/>
      <c r="QJL191" s="50"/>
      <c r="QJM191" s="50"/>
      <c r="QJN191" s="50"/>
      <c r="QJO191" s="50"/>
      <c r="QJP191" s="50"/>
      <c r="QJQ191" s="50"/>
      <c r="QJR191" s="50"/>
      <c r="QJS191" s="50"/>
      <c r="QJT191" s="50"/>
      <c r="QJU191" s="50"/>
      <c r="QJV191" s="50"/>
      <c r="QJW191" s="50"/>
      <c r="QJX191" s="50"/>
      <c r="QJY191" s="50"/>
      <c r="QJZ191" s="50"/>
      <c r="QKA191" s="50"/>
      <c r="QKB191" s="50"/>
      <c r="QKC191" s="50"/>
      <c r="QKD191" s="50"/>
      <c r="QKE191" s="50"/>
      <c r="QKF191" s="50"/>
      <c r="QKG191" s="50"/>
      <c r="QKH191" s="50"/>
      <c r="QKI191" s="50"/>
      <c r="QKJ191" s="50"/>
      <c r="QKK191" s="50"/>
      <c r="QKL191" s="50"/>
      <c r="QKM191" s="50"/>
      <c r="QKN191" s="50"/>
      <c r="QKO191" s="50"/>
      <c r="QKP191" s="50"/>
      <c r="QKQ191" s="50"/>
      <c r="QKR191" s="50"/>
      <c r="QKS191" s="50"/>
      <c r="QKT191" s="50"/>
      <c r="QKU191" s="50"/>
      <c r="QKV191" s="50"/>
      <c r="QKW191" s="50"/>
      <c r="QKX191" s="50"/>
      <c r="QKY191" s="50"/>
      <c r="QKZ191" s="50"/>
      <c r="QLA191" s="50"/>
      <c r="QLB191" s="50"/>
      <c r="QLC191" s="50"/>
      <c r="QLD191" s="50"/>
      <c r="QLE191" s="50"/>
      <c r="QLF191" s="50"/>
      <c r="QLG191" s="50"/>
      <c r="QLH191" s="50"/>
      <c r="QLI191" s="50"/>
      <c r="QLJ191" s="50"/>
      <c r="QLK191" s="50"/>
      <c r="QLL191" s="50"/>
      <c r="QLM191" s="50"/>
      <c r="QLN191" s="50"/>
      <c r="QLO191" s="50"/>
      <c r="QLP191" s="50"/>
      <c r="QLQ191" s="50"/>
      <c r="QLR191" s="50"/>
      <c r="QLS191" s="50"/>
      <c r="QLT191" s="50"/>
      <c r="QLU191" s="50"/>
      <c r="QLV191" s="50"/>
      <c r="QLW191" s="50"/>
      <c r="QLX191" s="50"/>
      <c r="QLY191" s="50"/>
      <c r="QLZ191" s="50"/>
      <c r="QMA191" s="50"/>
      <c r="QMB191" s="50"/>
      <c r="QMC191" s="50"/>
      <c r="QMD191" s="50"/>
      <c r="QME191" s="50"/>
      <c r="QMF191" s="50"/>
      <c r="QMG191" s="50"/>
      <c r="QMH191" s="50"/>
      <c r="QMI191" s="50"/>
      <c r="QMJ191" s="50"/>
      <c r="QMK191" s="50"/>
      <c r="QML191" s="50"/>
      <c r="QMM191" s="50"/>
      <c r="QMN191" s="50"/>
      <c r="QMO191" s="50"/>
      <c r="QMP191" s="50"/>
      <c r="QMQ191" s="50"/>
      <c r="QMR191" s="50"/>
      <c r="QMS191" s="50"/>
      <c r="QMT191" s="50"/>
      <c r="QMU191" s="50"/>
      <c r="QMV191" s="50"/>
      <c r="QMW191" s="50"/>
      <c r="QMX191" s="50"/>
      <c r="QMY191" s="50"/>
      <c r="QMZ191" s="50"/>
      <c r="QNA191" s="50"/>
      <c r="QNB191" s="50"/>
      <c r="QNC191" s="50"/>
      <c r="QND191" s="50"/>
      <c r="QNE191" s="50"/>
      <c r="QNF191" s="50"/>
      <c r="QNG191" s="50"/>
      <c r="QNH191" s="50"/>
      <c r="QNI191" s="50"/>
      <c r="QNJ191" s="50"/>
      <c r="QNK191" s="50"/>
      <c r="QNL191" s="50"/>
      <c r="QNM191" s="50"/>
      <c r="QNN191" s="50"/>
      <c r="QNO191" s="50"/>
      <c r="QNP191" s="50"/>
      <c r="QNQ191" s="50"/>
      <c r="QNR191" s="50"/>
      <c r="QNS191" s="50"/>
      <c r="QNT191" s="50"/>
      <c r="QNU191" s="50"/>
      <c r="QNV191" s="50"/>
      <c r="QNW191" s="50"/>
      <c r="QNX191" s="50"/>
      <c r="QNY191" s="50"/>
      <c r="QNZ191" s="50"/>
      <c r="QOA191" s="50"/>
      <c r="QOB191" s="50"/>
      <c r="QOC191" s="50"/>
      <c r="QOD191" s="50"/>
      <c r="QOE191" s="50"/>
      <c r="QOF191" s="50"/>
      <c r="QOG191" s="50"/>
      <c r="QOH191" s="50"/>
      <c r="QOI191" s="50"/>
      <c r="QOJ191" s="50"/>
      <c r="QOK191" s="50"/>
      <c r="QOL191" s="50"/>
      <c r="QOM191" s="50"/>
      <c r="QON191" s="50"/>
      <c r="QOO191" s="50"/>
      <c r="QOP191" s="50"/>
      <c r="QOQ191" s="50"/>
      <c r="QOR191" s="50"/>
      <c r="QOS191" s="50"/>
      <c r="QOT191" s="50"/>
      <c r="QOU191" s="50"/>
      <c r="QOV191" s="50"/>
      <c r="QOW191" s="50"/>
      <c r="QOX191" s="50"/>
      <c r="QOY191" s="50"/>
      <c r="QOZ191" s="50"/>
      <c r="QPA191" s="50"/>
      <c r="QPB191" s="50"/>
      <c r="QPC191" s="50"/>
      <c r="QPD191" s="50"/>
      <c r="QPE191" s="50"/>
      <c r="QPF191" s="50"/>
      <c r="QPG191" s="50"/>
      <c r="QPH191" s="50"/>
      <c r="QPI191" s="50"/>
      <c r="QPJ191" s="50"/>
      <c r="QPK191" s="50"/>
      <c r="QPL191" s="50"/>
      <c r="QPM191" s="50"/>
      <c r="QPN191" s="50"/>
      <c r="QPO191" s="50"/>
      <c r="QPP191" s="50"/>
      <c r="QPQ191" s="50"/>
      <c r="QPR191" s="50"/>
      <c r="QPS191" s="50"/>
      <c r="QPT191" s="50"/>
      <c r="QPU191" s="50"/>
      <c r="QPV191" s="50"/>
      <c r="QPW191" s="50"/>
      <c r="QPX191" s="50"/>
      <c r="QPY191" s="50"/>
      <c r="QPZ191" s="50"/>
      <c r="QQA191" s="50"/>
      <c r="QQB191" s="50"/>
      <c r="QQC191" s="50"/>
      <c r="QQD191" s="50"/>
      <c r="QQE191" s="50"/>
      <c r="QQF191" s="50"/>
      <c r="QQG191" s="50"/>
      <c r="QQH191" s="50"/>
      <c r="QQI191" s="50"/>
      <c r="QQJ191" s="50"/>
      <c r="QQK191" s="50"/>
      <c r="QQL191" s="50"/>
      <c r="QQM191" s="50"/>
      <c r="QQN191" s="50"/>
      <c r="QQO191" s="50"/>
      <c r="QQP191" s="50"/>
      <c r="QQQ191" s="50"/>
      <c r="QQR191" s="50"/>
      <c r="QQS191" s="50"/>
      <c r="QQT191" s="50"/>
      <c r="QQU191" s="50"/>
      <c r="QQV191" s="50"/>
      <c r="QQW191" s="50"/>
      <c r="QQX191" s="50"/>
      <c r="QQY191" s="50"/>
      <c r="QQZ191" s="50"/>
      <c r="QRA191" s="50"/>
      <c r="QRB191" s="50"/>
      <c r="QRC191" s="50"/>
      <c r="QRD191" s="50"/>
      <c r="QRE191" s="50"/>
      <c r="QRF191" s="50"/>
      <c r="QRG191" s="50"/>
      <c r="QRH191" s="50"/>
      <c r="QRI191" s="50"/>
      <c r="QRJ191" s="50"/>
      <c r="QRK191" s="50"/>
      <c r="QRL191" s="50"/>
      <c r="QRM191" s="50"/>
      <c r="QRN191" s="50"/>
      <c r="QRO191" s="50"/>
      <c r="QRP191" s="50"/>
      <c r="QRQ191" s="50"/>
      <c r="QRR191" s="50"/>
      <c r="QRS191" s="50"/>
      <c r="QRT191" s="50"/>
      <c r="QRU191" s="50"/>
      <c r="QRV191" s="50"/>
      <c r="QRW191" s="50"/>
      <c r="QRX191" s="50"/>
      <c r="QRY191" s="50"/>
      <c r="QRZ191" s="50"/>
      <c r="QSA191" s="50"/>
      <c r="QSB191" s="50"/>
      <c r="QSC191" s="50"/>
      <c r="QSD191" s="50"/>
      <c r="QSE191" s="50"/>
      <c r="QSF191" s="50"/>
      <c r="QSG191" s="50"/>
      <c r="QSH191" s="50"/>
      <c r="QSI191" s="50"/>
      <c r="QSJ191" s="50"/>
      <c r="QSK191" s="50"/>
      <c r="QSL191" s="50"/>
      <c r="QSM191" s="50"/>
      <c r="QSN191" s="50"/>
      <c r="QSO191" s="50"/>
      <c r="QSP191" s="50"/>
      <c r="QSQ191" s="50"/>
      <c r="QSR191" s="50"/>
      <c r="QSS191" s="50"/>
      <c r="QST191" s="50"/>
      <c r="QSU191" s="50"/>
      <c r="QSV191" s="50"/>
      <c r="QSW191" s="50"/>
      <c r="QSX191" s="50"/>
      <c r="QSY191" s="50"/>
      <c r="QSZ191" s="50"/>
      <c r="QTA191" s="50"/>
      <c r="QTB191" s="50"/>
      <c r="QTC191" s="50"/>
      <c r="QTD191" s="50"/>
      <c r="QTE191" s="50"/>
      <c r="QTF191" s="50"/>
      <c r="QTG191" s="50"/>
      <c r="QTH191" s="50"/>
      <c r="QTI191" s="50"/>
      <c r="QTJ191" s="50"/>
      <c r="QTK191" s="50"/>
      <c r="QTL191" s="50"/>
      <c r="QTM191" s="50"/>
      <c r="QTN191" s="50"/>
      <c r="QTO191" s="50"/>
      <c r="QTP191" s="50"/>
      <c r="QTQ191" s="50"/>
      <c r="QTR191" s="50"/>
      <c r="QTS191" s="50"/>
      <c r="QTT191" s="50"/>
      <c r="QTU191" s="50"/>
      <c r="QTV191" s="50"/>
      <c r="QTW191" s="50"/>
      <c r="QTX191" s="50"/>
      <c r="QTY191" s="50"/>
      <c r="QTZ191" s="50"/>
      <c r="QUA191" s="50"/>
      <c r="QUB191" s="50"/>
      <c r="QUC191" s="50"/>
      <c r="QUD191" s="50"/>
      <c r="QUE191" s="50"/>
      <c r="QUF191" s="50"/>
      <c r="QUG191" s="50"/>
      <c r="QUH191" s="50"/>
      <c r="QUI191" s="50"/>
      <c r="QUJ191" s="50"/>
      <c r="QUK191" s="50"/>
      <c r="QUL191" s="50"/>
      <c r="QUM191" s="50"/>
      <c r="QUN191" s="50"/>
      <c r="QUO191" s="50"/>
      <c r="QUP191" s="50"/>
      <c r="QUQ191" s="50"/>
      <c r="QUR191" s="50"/>
      <c r="QUS191" s="50"/>
      <c r="QUT191" s="50"/>
      <c r="QUU191" s="50"/>
      <c r="QUV191" s="50"/>
      <c r="QUW191" s="50"/>
      <c r="QUX191" s="50"/>
      <c r="QUY191" s="50"/>
      <c r="QUZ191" s="50"/>
      <c r="QVA191" s="50"/>
      <c r="QVB191" s="50"/>
      <c r="QVC191" s="50"/>
      <c r="QVD191" s="50"/>
      <c r="QVE191" s="50"/>
      <c r="QVF191" s="50"/>
      <c r="QVG191" s="50"/>
      <c r="QVH191" s="50"/>
      <c r="QVI191" s="50"/>
      <c r="QVJ191" s="50"/>
      <c r="QVK191" s="50"/>
      <c r="QVL191" s="50"/>
      <c r="QVM191" s="50"/>
      <c r="QVN191" s="50"/>
      <c r="QVO191" s="50"/>
      <c r="QVP191" s="50"/>
      <c r="QVQ191" s="50"/>
      <c r="QVR191" s="50"/>
      <c r="QVS191" s="50"/>
      <c r="QVT191" s="50"/>
      <c r="QVU191" s="50"/>
      <c r="QVV191" s="50"/>
      <c r="QVW191" s="50"/>
      <c r="QVX191" s="50"/>
      <c r="QVY191" s="50"/>
      <c r="QVZ191" s="50"/>
      <c r="QWA191" s="50"/>
      <c r="QWB191" s="50"/>
      <c r="QWC191" s="50"/>
      <c r="QWD191" s="50"/>
      <c r="QWE191" s="50"/>
      <c r="QWF191" s="50"/>
      <c r="QWG191" s="50"/>
      <c r="QWH191" s="50"/>
      <c r="QWI191" s="50"/>
      <c r="QWJ191" s="50"/>
      <c r="QWK191" s="50"/>
      <c r="QWL191" s="50"/>
      <c r="QWM191" s="50"/>
      <c r="QWN191" s="50"/>
      <c r="QWO191" s="50"/>
      <c r="QWP191" s="50"/>
      <c r="QWQ191" s="50"/>
      <c r="QWR191" s="50"/>
      <c r="QWS191" s="50"/>
      <c r="QWT191" s="50"/>
      <c r="QWU191" s="50"/>
      <c r="QWV191" s="50"/>
      <c r="QWW191" s="50"/>
      <c r="QWX191" s="50"/>
      <c r="QWY191" s="50"/>
      <c r="QWZ191" s="50"/>
      <c r="QXA191" s="50"/>
      <c r="QXB191" s="50"/>
      <c r="QXC191" s="50"/>
      <c r="QXD191" s="50"/>
      <c r="QXE191" s="50"/>
      <c r="QXF191" s="50"/>
      <c r="QXG191" s="50"/>
      <c r="QXH191" s="50"/>
      <c r="QXI191" s="50"/>
      <c r="QXJ191" s="50"/>
      <c r="QXK191" s="50"/>
      <c r="QXL191" s="50"/>
      <c r="QXM191" s="50"/>
      <c r="QXN191" s="50"/>
      <c r="QXO191" s="50"/>
      <c r="QXP191" s="50"/>
      <c r="QXQ191" s="50"/>
      <c r="QXR191" s="50"/>
      <c r="QXS191" s="50"/>
      <c r="QXT191" s="50"/>
      <c r="QXU191" s="50"/>
      <c r="QXV191" s="50"/>
      <c r="QXW191" s="50"/>
      <c r="QXX191" s="50"/>
      <c r="QXY191" s="50"/>
      <c r="QXZ191" s="50"/>
      <c r="QYA191" s="50"/>
      <c r="QYB191" s="50"/>
      <c r="QYC191" s="50"/>
      <c r="QYD191" s="50"/>
      <c r="QYE191" s="50"/>
      <c r="QYF191" s="50"/>
      <c r="QYG191" s="50"/>
      <c r="QYH191" s="50"/>
      <c r="QYI191" s="50"/>
      <c r="QYJ191" s="50"/>
      <c r="QYK191" s="50"/>
      <c r="QYL191" s="50"/>
      <c r="QYM191" s="50"/>
      <c r="QYN191" s="50"/>
      <c r="QYO191" s="50"/>
      <c r="QYP191" s="50"/>
      <c r="QYQ191" s="50"/>
      <c r="QYR191" s="50"/>
      <c r="QYS191" s="50"/>
      <c r="QYT191" s="50"/>
      <c r="QYU191" s="50"/>
      <c r="QYV191" s="50"/>
      <c r="QYW191" s="50"/>
      <c r="QYX191" s="50"/>
      <c r="QYY191" s="50"/>
      <c r="QYZ191" s="50"/>
      <c r="QZA191" s="50"/>
      <c r="QZB191" s="50"/>
      <c r="QZC191" s="50"/>
      <c r="QZD191" s="50"/>
      <c r="QZE191" s="50"/>
      <c r="QZF191" s="50"/>
      <c r="QZG191" s="50"/>
      <c r="QZH191" s="50"/>
      <c r="QZI191" s="50"/>
      <c r="QZJ191" s="50"/>
      <c r="QZK191" s="50"/>
      <c r="QZL191" s="50"/>
      <c r="QZM191" s="50"/>
      <c r="QZN191" s="50"/>
      <c r="QZO191" s="50"/>
      <c r="QZP191" s="50"/>
      <c r="QZQ191" s="50"/>
      <c r="QZR191" s="50"/>
      <c r="QZS191" s="50"/>
      <c r="QZT191" s="50"/>
      <c r="QZU191" s="50"/>
      <c r="QZV191" s="50"/>
      <c r="QZW191" s="50"/>
      <c r="QZX191" s="50"/>
      <c r="QZY191" s="50"/>
      <c r="QZZ191" s="50"/>
      <c r="RAA191" s="50"/>
      <c r="RAB191" s="50"/>
      <c r="RAC191" s="50"/>
      <c r="RAD191" s="50"/>
      <c r="RAE191" s="50"/>
      <c r="RAF191" s="50"/>
      <c r="RAG191" s="50"/>
      <c r="RAH191" s="50"/>
      <c r="RAI191" s="50"/>
      <c r="RAJ191" s="50"/>
      <c r="RAK191" s="50"/>
      <c r="RAL191" s="50"/>
      <c r="RAM191" s="50"/>
      <c r="RAN191" s="50"/>
      <c r="RAO191" s="50"/>
      <c r="RAP191" s="50"/>
      <c r="RAQ191" s="50"/>
      <c r="RAR191" s="50"/>
      <c r="RAS191" s="50"/>
      <c r="RAT191" s="50"/>
      <c r="RAU191" s="50"/>
      <c r="RAV191" s="50"/>
      <c r="RAW191" s="50"/>
      <c r="RAX191" s="50"/>
      <c r="RAY191" s="50"/>
      <c r="RAZ191" s="50"/>
      <c r="RBA191" s="50"/>
      <c r="RBB191" s="50"/>
      <c r="RBC191" s="50"/>
      <c r="RBD191" s="50"/>
      <c r="RBE191" s="50"/>
      <c r="RBF191" s="50"/>
      <c r="RBG191" s="50"/>
      <c r="RBH191" s="50"/>
      <c r="RBI191" s="50"/>
      <c r="RBJ191" s="50"/>
      <c r="RBK191" s="50"/>
      <c r="RBL191" s="50"/>
      <c r="RBM191" s="50"/>
      <c r="RBN191" s="50"/>
      <c r="RBO191" s="50"/>
      <c r="RBP191" s="50"/>
      <c r="RBQ191" s="50"/>
      <c r="RBR191" s="50"/>
      <c r="RBS191" s="50"/>
      <c r="RBT191" s="50"/>
      <c r="RBU191" s="50"/>
      <c r="RBV191" s="50"/>
      <c r="RBW191" s="50"/>
      <c r="RBX191" s="50"/>
      <c r="RBY191" s="50"/>
      <c r="RBZ191" s="50"/>
      <c r="RCA191" s="50"/>
      <c r="RCB191" s="50"/>
      <c r="RCC191" s="50"/>
      <c r="RCD191" s="50"/>
      <c r="RCE191" s="50"/>
      <c r="RCF191" s="50"/>
      <c r="RCG191" s="50"/>
      <c r="RCH191" s="50"/>
      <c r="RCI191" s="50"/>
      <c r="RCJ191" s="50"/>
      <c r="RCK191" s="50"/>
      <c r="RCL191" s="50"/>
      <c r="RCM191" s="50"/>
      <c r="RCN191" s="50"/>
      <c r="RCO191" s="50"/>
      <c r="RCP191" s="50"/>
      <c r="RCQ191" s="50"/>
      <c r="RCR191" s="50"/>
      <c r="RCS191" s="50"/>
      <c r="RCT191" s="50"/>
      <c r="RCU191" s="50"/>
      <c r="RCV191" s="50"/>
      <c r="RCW191" s="50"/>
      <c r="RCX191" s="50"/>
      <c r="RCY191" s="50"/>
      <c r="RCZ191" s="50"/>
      <c r="RDA191" s="50"/>
      <c r="RDB191" s="50"/>
      <c r="RDC191" s="50"/>
      <c r="RDD191" s="50"/>
      <c r="RDE191" s="50"/>
      <c r="RDF191" s="50"/>
      <c r="RDG191" s="50"/>
      <c r="RDH191" s="50"/>
      <c r="RDI191" s="50"/>
      <c r="RDJ191" s="50"/>
      <c r="RDK191" s="50"/>
      <c r="RDL191" s="50"/>
      <c r="RDM191" s="50"/>
      <c r="RDN191" s="50"/>
      <c r="RDO191" s="50"/>
      <c r="RDP191" s="50"/>
      <c r="RDQ191" s="50"/>
      <c r="RDR191" s="50"/>
      <c r="RDS191" s="50"/>
      <c r="RDT191" s="50"/>
      <c r="RDU191" s="50"/>
      <c r="RDV191" s="50"/>
      <c r="RDW191" s="50"/>
      <c r="RDX191" s="50"/>
      <c r="RDY191" s="50"/>
      <c r="RDZ191" s="50"/>
      <c r="REA191" s="50"/>
      <c r="REB191" s="50"/>
      <c r="REC191" s="50"/>
      <c r="RED191" s="50"/>
      <c r="REE191" s="50"/>
      <c r="REF191" s="50"/>
      <c r="REG191" s="50"/>
      <c r="REH191" s="50"/>
      <c r="REI191" s="50"/>
      <c r="REJ191" s="50"/>
      <c r="REK191" s="50"/>
      <c r="REL191" s="50"/>
      <c r="REM191" s="50"/>
      <c r="REN191" s="50"/>
      <c r="REO191" s="50"/>
      <c r="REP191" s="50"/>
      <c r="REQ191" s="50"/>
      <c r="RER191" s="50"/>
      <c r="RES191" s="50"/>
      <c r="RET191" s="50"/>
      <c r="REU191" s="50"/>
      <c r="REV191" s="50"/>
      <c r="REW191" s="50"/>
      <c r="REX191" s="50"/>
      <c r="REY191" s="50"/>
      <c r="REZ191" s="50"/>
      <c r="RFA191" s="50"/>
      <c r="RFB191" s="50"/>
      <c r="RFC191" s="50"/>
      <c r="RFD191" s="50"/>
      <c r="RFE191" s="50"/>
      <c r="RFF191" s="50"/>
      <c r="RFG191" s="50"/>
      <c r="RFH191" s="50"/>
      <c r="RFI191" s="50"/>
      <c r="RFJ191" s="50"/>
      <c r="RFK191" s="50"/>
      <c r="RFL191" s="50"/>
      <c r="RFM191" s="50"/>
      <c r="RFN191" s="50"/>
      <c r="RFO191" s="50"/>
      <c r="RFP191" s="50"/>
      <c r="RFQ191" s="50"/>
      <c r="RFR191" s="50"/>
      <c r="RFS191" s="50"/>
      <c r="RFT191" s="50"/>
      <c r="RFU191" s="50"/>
      <c r="RFV191" s="50"/>
      <c r="RFW191" s="50"/>
      <c r="RFX191" s="50"/>
      <c r="RFY191" s="50"/>
      <c r="RFZ191" s="50"/>
      <c r="RGA191" s="50"/>
      <c r="RGB191" s="50"/>
      <c r="RGC191" s="50"/>
      <c r="RGD191" s="50"/>
      <c r="RGE191" s="50"/>
      <c r="RGF191" s="50"/>
      <c r="RGG191" s="50"/>
      <c r="RGH191" s="50"/>
      <c r="RGI191" s="50"/>
      <c r="RGJ191" s="50"/>
      <c r="RGK191" s="50"/>
      <c r="RGL191" s="50"/>
      <c r="RGM191" s="50"/>
      <c r="RGN191" s="50"/>
      <c r="RGO191" s="50"/>
      <c r="RGP191" s="50"/>
      <c r="RGQ191" s="50"/>
      <c r="RGR191" s="50"/>
      <c r="RGS191" s="50"/>
      <c r="RGT191" s="50"/>
      <c r="RGU191" s="50"/>
      <c r="RGV191" s="50"/>
      <c r="RGW191" s="50"/>
      <c r="RGX191" s="50"/>
      <c r="RGY191" s="50"/>
      <c r="RGZ191" s="50"/>
      <c r="RHA191" s="50"/>
      <c r="RHB191" s="50"/>
      <c r="RHC191" s="50"/>
      <c r="RHD191" s="50"/>
      <c r="RHE191" s="50"/>
      <c r="RHF191" s="50"/>
      <c r="RHG191" s="50"/>
      <c r="RHH191" s="50"/>
      <c r="RHI191" s="50"/>
      <c r="RHJ191" s="50"/>
      <c r="RHK191" s="50"/>
      <c r="RHL191" s="50"/>
      <c r="RHM191" s="50"/>
      <c r="RHN191" s="50"/>
      <c r="RHO191" s="50"/>
      <c r="RHP191" s="50"/>
      <c r="RHQ191" s="50"/>
      <c r="RHR191" s="50"/>
      <c r="RHS191" s="50"/>
      <c r="RHT191" s="50"/>
      <c r="RHU191" s="50"/>
      <c r="RHV191" s="50"/>
      <c r="RHW191" s="50"/>
      <c r="RHX191" s="50"/>
      <c r="RHY191" s="50"/>
      <c r="RHZ191" s="50"/>
      <c r="RIA191" s="50"/>
      <c r="RIB191" s="50"/>
      <c r="RIC191" s="50"/>
      <c r="RID191" s="50"/>
      <c r="RIE191" s="50"/>
      <c r="RIF191" s="50"/>
      <c r="RIG191" s="50"/>
      <c r="RIH191" s="50"/>
      <c r="RII191" s="50"/>
      <c r="RIJ191" s="50"/>
      <c r="RIK191" s="50"/>
      <c r="RIL191" s="50"/>
      <c r="RIM191" s="50"/>
      <c r="RIN191" s="50"/>
      <c r="RIO191" s="50"/>
      <c r="RIP191" s="50"/>
      <c r="RIQ191" s="50"/>
      <c r="RIR191" s="50"/>
      <c r="RIS191" s="50"/>
      <c r="RIT191" s="50"/>
      <c r="RIU191" s="50"/>
      <c r="RIV191" s="50"/>
      <c r="RIW191" s="50"/>
      <c r="RIX191" s="50"/>
      <c r="RIY191" s="50"/>
      <c r="RIZ191" s="50"/>
      <c r="RJA191" s="50"/>
      <c r="RJB191" s="50"/>
      <c r="RJC191" s="50"/>
      <c r="RJD191" s="50"/>
      <c r="RJE191" s="50"/>
      <c r="RJF191" s="50"/>
      <c r="RJG191" s="50"/>
      <c r="RJH191" s="50"/>
      <c r="RJI191" s="50"/>
      <c r="RJJ191" s="50"/>
      <c r="RJK191" s="50"/>
      <c r="RJL191" s="50"/>
      <c r="RJM191" s="50"/>
      <c r="RJN191" s="50"/>
      <c r="RJO191" s="50"/>
      <c r="RJP191" s="50"/>
      <c r="RJQ191" s="50"/>
      <c r="RJR191" s="50"/>
      <c r="RJS191" s="50"/>
      <c r="RJT191" s="50"/>
      <c r="RJU191" s="50"/>
      <c r="RJV191" s="50"/>
      <c r="RJW191" s="50"/>
      <c r="RJX191" s="50"/>
      <c r="RJY191" s="50"/>
      <c r="RJZ191" s="50"/>
      <c r="RKA191" s="50"/>
      <c r="RKB191" s="50"/>
      <c r="RKC191" s="50"/>
      <c r="RKD191" s="50"/>
      <c r="RKE191" s="50"/>
      <c r="RKF191" s="50"/>
      <c r="RKG191" s="50"/>
      <c r="RKH191" s="50"/>
      <c r="RKI191" s="50"/>
      <c r="RKJ191" s="50"/>
      <c r="RKK191" s="50"/>
      <c r="RKL191" s="50"/>
      <c r="RKM191" s="50"/>
      <c r="RKN191" s="50"/>
      <c r="RKO191" s="50"/>
      <c r="RKP191" s="50"/>
      <c r="RKQ191" s="50"/>
      <c r="RKR191" s="50"/>
      <c r="RKS191" s="50"/>
      <c r="RKT191" s="50"/>
      <c r="RKU191" s="50"/>
      <c r="RKV191" s="50"/>
      <c r="RKW191" s="50"/>
      <c r="RKX191" s="50"/>
      <c r="RKY191" s="50"/>
      <c r="RKZ191" s="50"/>
      <c r="RLA191" s="50"/>
      <c r="RLB191" s="50"/>
      <c r="RLC191" s="50"/>
      <c r="RLD191" s="50"/>
      <c r="RLE191" s="50"/>
      <c r="RLF191" s="50"/>
      <c r="RLG191" s="50"/>
      <c r="RLH191" s="50"/>
      <c r="RLI191" s="50"/>
      <c r="RLJ191" s="50"/>
      <c r="RLK191" s="50"/>
      <c r="RLL191" s="50"/>
      <c r="RLM191" s="50"/>
      <c r="RLN191" s="50"/>
      <c r="RLO191" s="50"/>
      <c r="RLP191" s="50"/>
      <c r="RLQ191" s="50"/>
      <c r="RLR191" s="50"/>
      <c r="RLS191" s="50"/>
      <c r="RLT191" s="50"/>
      <c r="RLU191" s="50"/>
      <c r="RLV191" s="50"/>
      <c r="RLW191" s="50"/>
      <c r="RLX191" s="50"/>
      <c r="RLY191" s="50"/>
      <c r="RLZ191" s="50"/>
      <c r="RMA191" s="50"/>
      <c r="RMB191" s="50"/>
      <c r="RMC191" s="50"/>
      <c r="RMD191" s="50"/>
      <c r="RME191" s="50"/>
      <c r="RMF191" s="50"/>
      <c r="RMG191" s="50"/>
      <c r="RMH191" s="50"/>
      <c r="RMI191" s="50"/>
      <c r="RMJ191" s="50"/>
      <c r="RMK191" s="50"/>
      <c r="RML191" s="50"/>
      <c r="RMM191" s="50"/>
      <c r="RMN191" s="50"/>
      <c r="RMO191" s="50"/>
      <c r="RMP191" s="50"/>
      <c r="RMQ191" s="50"/>
      <c r="RMR191" s="50"/>
      <c r="RMS191" s="50"/>
      <c r="RMT191" s="50"/>
      <c r="RMU191" s="50"/>
      <c r="RMV191" s="50"/>
      <c r="RMW191" s="50"/>
      <c r="RMX191" s="50"/>
      <c r="RMY191" s="50"/>
      <c r="RMZ191" s="50"/>
      <c r="RNA191" s="50"/>
      <c r="RNB191" s="50"/>
      <c r="RNC191" s="50"/>
      <c r="RND191" s="50"/>
      <c r="RNE191" s="50"/>
      <c r="RNF191" s="50"/>
      <c r="RNG191" s="50"/>
      <c r="RNH191" s="50"/>
      <c r="RNI191" s="50"/>
      <c r="RNJ191" s="50"/>
      <c r="RNK191" s="50"/>
      <c r="RNL191" s="50"/>
      <c r="RNM191" s="50"/>
      <c r="RNN191" s="50"/>
      <c r="RNO191" s="50"/>
      <c r="RNP191" s="50"/>
      <c r="RNQ191" s="50"/>
      <c r="RNR191" s="50"/>
      <c r="RNS191" s="50"/>
      <c r="RNT191" s="50"/>
      <c r="RNU191" s="50"/>
      <c r="RNV191" s="50"/>
      <c r="RNW191" s="50"/>
      <c r="RNX191" s="50"/>
      <c r="RNY191" s="50"/>
      <c r="RNZ191" s="50"/>
      <c r="ROA191" s="50"/>
      <c r="ROB191" s="50"/>
      <c r="ROC191" s="50"/>
      <c r="ROD191" s="50"/>
      <c r="ROE191" s="50"/>
      <c r="ROF191" s="50"/>
      <c r="ROG191" s="50"/>
      <c r="ROH191" s="50"/>
      <c r="ROI191" s="50"/>
      <c r="ROJ191" s="50"/>
      <c r="ROK191" s="50"/>
      <c r="ROL191" s="50"/>
      <c r="ROM191" s="50"/>
      <c r="RON191" s="50"/>
      <c r="ROO191" s="50"/>
      <c r="ROP191" s="50"/>
      <c r="ROQ191" s="50"/>
      <c r="ROR191" s="50"/>
      <c r="ROS191" s="50"/>
      <c r="ROT191" s="50"/>
      <c r="ROU191" s="50"/>
      <c r="ROV191" s="50"/>
      <c r="ROW191" s="50"/>
      <c r="ROX191" s="50"/>
      <c r="ROY191" s="50"/>
      <c r="ROZ191" s="50"/>
      <c r="RPA191" s="50"/>
      <c r="RPB191" s="50"/>
      <c r="RPC191" s="50"/>
      <c r="RPD191" s="50"/>
      <c r="RPE191" s="50"/>
      <c r="RPF191" s="50"/>
      <c r="RPG191" s="50"/>
      <c r="RPH191" s="50"/>
      <c r="RPI191" s="50"/>
      <c r="RPJ191" s="50"/>
      <c r="RPK191" s="50"/>
      <c r="RPL191" s="50"/>
      <c r="RPM191" s="50"/>
      <c r="RPN191" s="50"/>
      <c r="RPO191" s="50"/>
      <c r="RPP191" s="50"/>
      <c r="RPQ191" s="50"/>
      <c r="RPR191" s="50"/>
      <c r="RPS191" s="50"/>
      <c r="RPT191" s="50"/>
      <c r="RPU191" s="50"/>
      <c r="RPV191" s="50"/>
      <c r="RPW191" s="50"/>
      <c r="RPX191" s="50"/>
      <c r="RPY191" s="50"/>
      <c r="RPZ191" s="50"/>
      <c r="RQA191" s="50"/>
      <c r="RQB191" s="50"/>
      <c r="RQC191" s="50"/>
      <c r="RQD191" s="50"/>
      <c r="RQE191" s="50"/>
      <c r="RQF191" s="50"/>
      <c r="RQG191" s="50"/>
      <c r="RQH191" s="50"/>
      <c r="RQI191" s="50"/>
      <c r="RQJ191" s="50"/>
      <c r="RQK191" s="50"/>
      <c r="RQL191" s="50"/>
      <c r="RQM191" s="50"/>
      <c r="RQN191" s="50"/>
      <c r="RQO191" s="50"/>
      <c r="RQP191" s="50"/>
      <c r="RQQ191" s="50"/>
      <c r="RQR191" s="50"/>
      <c r="RQS191" s="50"/>
      <c r="RQT191" s="50"/>
      <c r="RQU191" s="50"/>
      <c r="RQV191" s="50"/>
      <c r="RQW191" s="50"/>
      <c r="RQX191" s="50"/>
      <c r="RQY191" s="50"/>
      <c r="RQZ191" s="50"/>
      <c r="RRA191" s="50"/>
      <c r="RRB191" s="50"/>
      <c r="RRC191" s="50"/>
      <c r="RRD191" s="50"/>
      <c r="RRE191" s="50"/>
      <c r="RRF191" s="50"/>
      <c r="RRG191" s="50"/>
      <c r="RRH191" s="50"/>
      <c r="RRI191" s="50"/>
      <c r="RRJ191" s="50"/>
      <c r="RRK191" s="50"/>
      <c r="RRL191" s="50"/>
      <c r="RRM191" s="50"/>
      <c r="RRN191" s="50"/>
      <c r="RRO191" s="50"/>
      <c r="RRP191" s="50"/>
      <c r="RRQ191" s="50"/>
      <c r="RRR191" s="50"/>
      <c r="RRS191" s="50"/>
      <c r="RRT191" s="50"/>
      <c r="RRU191" s="50"/>
      <c r="RRV191" s="50"/>
      <c r="RRW191" s="50"/>
      <c r="RRX191" s="50"/>
      <c r="RRY191" s="50"/>
      <c r="RRZ191" s="50"/>
      <c r="RSA191" s="50"/>
      <c r="RSB191" s="50"/>
      <c r="RSC191" s="50"/>
      <c r="RSD191" s="50"/>
      <c r="RSE191" s="50"/>
      <c r="RSF191" s="50"/>
      <c r="RSG191" s="50"/>
      <c r="RSH191" s="50"/>
      <c r="RSI191" s="50"/>
      <c r="RSJ191" s="50"/>
      <c r="RSK191" s="50"/>
      <c r="RSL191" s="50"/>
      <c r="RSM191" s="50"/>
      <c r="RSN191" s="50"/>
      <c r="RSO191" s="50"/>
      <c r="RSP191" s="50"/>
      <c r="RSQ191" s="50"/>
      <c r="RSR191" s="50"/>
      <c r="RSS191" s="50"/>
      <c r="RST191" s="50"/>
      <c r="RSU191" s="50"/>
      <c r="RSV191" s="50"/>
      <c r="RSW191" s="50"/>
      <c r="RSX191" s="50"/>
      <c r="RSY191" s="50"/>
      <c r="RSZ191" s="50"/>
      <c r="RTA191" s="50"/>
      <c r="RTB191" s="50"/>
      <c r="RTC191" s="50"/>
      <c r="RTD191" s="50"/>
      <c r="RTE191" s="50"/>
      <c r="RTF191" s="50"/>
      <c r="RTG191" s="50"/>
      <c r="RTH191" s="50"/>
      <c r="RTI191" s="50"/>
      <c r="RTJ191" s="50"/>
      <c r="RTK191" s="50"/>
      <c r="RTL191" s="50"/>
      <c r="RTM191" s="50"/>
      <c r="RTN191" s="50"/>
      <c r="RTO191" s="50"/>
      <c r="RTP191" s="50"/>
      <c r="RTQ191" s="50"/>
      <c r="RTR191" s="50"/>
      <c r="RTS191" s="50"/>
      <c r="RTT191" s="50"/>
      <c r="RTU191" s="50"/>
      <c r="RTV191" s="50"/>
      <c r="RTW191" s="50"/>
      <c r="RTX191" s="50"/>
      <c r="RTY191" s="50"/>
      <c r="RTZ191" s="50"/>
      <c r="RUA191" s="50"/>
      <c r="RUB191" s="50"/>
      <c r="RUC191" s="50"/>
      <c r="RUD191" s="50"/>
      <c r="RUE191" s="50"/>
      <c r="RUF191" s="50"/>
      <c r="RUG191" s="50"/>
      <c r="RUH191" s="50"/>
      <c r="RUI191" s="50"/>
      <c r="RUJ191" s="50"/>
      <c r="RUK191" s="50"/>
      <c r="RUL191" s="50"/>
      <c r="RUM191" s="50"/>
      <c r="RUN191" s="50"/>
      <c r="RUO191" s="50"/>
      <c r="RUP191" s="50"/>
      <c r="RUQ191" s="50"/>
      <c r="RUR191" s="50"/>
      <c r="RUS191" s="50"/>
      <c r="RUT191" s="50"/>
      <c r="RUU191" s="50"/>
      <c r="RUV191" s="50"/>
      <c r="RUW191" s="50"/>
      <c r="RUX191" s="50"/>
      <c r="RUY191" s="50"/>
      <c r="RUZ191" s="50"/>
      <c r="RVA191" s="50"/>
      <c r="RVB191" s="50"/>
      <c r="RVC191" s="50"/>
      <c r="RVD191" s="50"/>
      <c r="RVE191" s="50"/>
      <c r="RVF191" s="50"/>
      <c r="RVG191" s="50"/>
      <c r="RVH191" s="50"/>
      <c r="RVI191" s="50"/>
      <c r="RVJ191" s="50"/>
      <c r="RVK191" s="50"/>
      <c r="RVL191" s="50"/>
      <c r="RVM191" s="50"/>
      <c r="RVN191" s="50"/>
      <c r="RVO191" s="50"/>
      <c r="RVP191" s="50"/>
      <c r="RVQ191" s="50"/>
      <c r="RVR191" s="50"/>
      <c r="RVS191" s="50"/>
      <c r="RVT191" s="50"/>
      <c r="RVU191" s="50"/>
      <c r="RVV191" s="50"/>
      <c r="RVW191" s="50"/>
      <c r="RVX191" s="50"/>
      <c r="RVY191" s="50"/>
      <c r="RVZ191" s="50"/>
      <c r="RWA191" s="50"/>
      <c r="RWB191" s="50"/>
      <c r="RWC191" s="50"/>
      <c r="RWD191" s="50"/>
      <c r="RWE191" s="50"/>
      <c r="RWF191" s="50"/>
      <c r="RWG191" s="50"/>
      <c r="RWH191" s="50"/>
      <c r="RWI191" s="50"/>
      <c r="RWJ191" s="50"/>
      <c r="RWK191" s="50"/>
      <c r="RWL191" s="50"/>
      <c r="RWM191" s="50"/>
      <c r="RWN191" s="50"/>
      <c r="RWO191" s="50"/>
      <c r="RWP191" s="50"/>
      <c r="RWQ191" s="50"/>
      <c r="RWR191" s="50"/>
      <c r="RWS191" s="50"/>
      <c r="RWT191" s="50"/>
      <c r="RWU191" s="50"/>
      <c r="RWV191" s="50"/>
      <c r="RWW191" s="50"/>
      <c r="RWX191" s="50"/>
      <c r="RWY191" s="50"/>
      <c r="RWZ191" s="50"/>
      <c r="RXA191" s="50"/>
      <c r="RXB191" s="50"/>
      <c r="RXC191" s="50"/>
      <c r="RXD191" s="50"/>
      <c r="RXE191" s="50"/>
      <c r="RXF191" s="50"/>
      <c r="RXG191" s="50"/>
      <c r="RXH191" s="50"/>
      <c r="RXI191" s="50"/>
      <c r="RXJ191" s="50"/>
      <c r="RXK191" s="50"/>
      <c r="RXL191" s="50"/>
      <c r="RXM191" s="50"/>
      <c r="RXN191" s="50"/>
      <c r="RXO191" s="50"/>
      <c r="RXP191" s="50"/>
      <c r="RXQ191" s="50"/>
      <c r="RXR191" s="50"/>
      <c r="RXS191" s="50"/>
      <c r="RXT191" s="50"/>
      <c r="RXU191" s="50"/>
      <c r="RXV191" s="50"/>
      <c r="RXW191" s="50"/>
      <c r="RXX191" s="50"/>
      <c r="RXY191" s="50"/>
      <c r="RXZ191" s="50"/>
      <c r="RYA191" s="50"/>
      <c r="RYB191" s="50"/>
      <c r="RYC191" s="50"/>
      <c r="RYD191" s="50"/>
      <c r="RYE191" s="50"/>
      <c r="RYF191" s="50"/>
      <c r="RYG191" s="50"/>
      <c r="RYH191" s="50"/>
      <c r="RYI191" s="50"/>
      <c r="RYJ191" s="50"/>
      <c r="RYK191" s="50"/>
      <c r="RYL191" s="50"/>
      <c r="RYM191" s="50"/>
      <c r="RYN191" s="50"/>
      <c r="RYO191" s="50"/>
      <c r="RYP191" s="50"/>
      <c r="RYQ191" s="50"/>
      <c r="RYR191" s="50"/>
      <c r="RYS191" s="50"/>
      <c r="RYT191" s="50"/>
      <c r="RYU191" s="50"/>
      <c r="RYV191" s="50"/>
      <c r="RYW191" s="50"/>
      <c r="RYX191" s="50"/>
      <c r="RYY191" s="50"/>
      <c r="RYZ191" s="50"/>
      <c r="RZA191" s="50"/>
      <c r="RZB191" s="50"/>
      <c r="RZC191" s="50"/>
      <c r="RZD191" s="50"/>
      <c r="RZE191" s="50"/>
      <c r="RZF191" s="50"/>
      <c r="RZG191" s="50"/>
      <c r="RZH191" s="50"/>
      <c r="RZI191" s="50"/>
      <c r="RZJ191" s="50"/>
      <c r="RZK191" s="50"/>
      <c r="RZL191" s="50"/>
      <c r="RZM191" s="50"/>
      <c r="RZN191" s="50"/>
      <c r="RZO191" s="50"/>
      <c r="RZP191" s="50"/>
      <c r="RZQ191" s="50"/>
      <c r="RZR191" s="50"/>
      <c r="RZS191" s="50"/>
      <c r="RZT191" s="50"/>
      <c r="RZU191" s="50"/>
      <c r="RZV191" s="50"/>
      <c r="RZW191" s="50"/>
      <c r="RZX191" s="50"/>
      <c r="RZY191" s="50"/>
      <c r="RZZ191" s="50"/>
      <c r="SAA191" s="50"/>
      <c r="SAB191" s="50"/>
      <c r="SAC191" s="50"/>
      <c r="SAD191" s="50"/>
      <c r="SAE191" s="50"/>
      <c r="SAF191" s="50"/>
      <c r="SAG191" s="50"/>
      <c r="SAH191" s="50"/>
      <c r="SAI191" s="50"/>
      <c r="SAJ191" s="50"/>
      <c r="SAK191" s="50"/>
      <c r="SAL191" s="50"/>
      <c r="SAM191" s="50"/>
      <c r="SAN191" s="50"/>
      <c r="SAO191" s="50"/>
      <c r="SAP191" s="50"/>
      <c r="SAQ191" s="50"/>
      <c r="SAR191" s="50"/>
      <c r="SAS191" s="50"/>
      <c r="SAT191" s="50"/>
      <c r="SAU191" s="50"/>
      <c r="SAV191" s="50"/>
      <c r="SAW191" s="50"/>
      <c r="SAX191" s="50"/>
      <c r="SAY191" s="50"/>
      <c r="SAZ191" s="50"/>
      <c r="SBA191" s="50"/>
      <c r="SBB191" s="50"/>
      <c r="SBC191" s="50"/>
      <c r="SBD191" s="50"/>
      <c r="SBE191" s="50"/>
      <c r="SBF191" s="50"/>
      <c r="SBG191" s="50"/>
      <c r="SBH191" s="50"/>
      <c r="SBI191" s="50"/>
      <c r="SBJ191" s="50"/>
      <c r="SBK191" s="50"/>
      <c r="SBL191" s="50"/>
      <c r="SBM191" s="50"/>
      <c r="SBN191" s="50"/>
      <c r="SBO191" s="50"/>
      <c r="SBP191" s="50"/>
      <c r="SBQ191" s="50"/>
      <c r="SBR191" s="50"/>
      <c r="SBS191" s="50"/>
      <c r="SBT191" s="50"/>
      <c r="SBU191" s="50"/>
      <c r="SBV191" s="50"/>
      <c r="SBW191" s="50"/>
      <c r="SBX191" s="50"/>
      <c r="SBY191" s="50"/>
      <c r="SBZ191" s="50"/>
      <c r="SCA191" s="50"/>
      <c r="SCB191" s="50"/>
      <c r="SCC191" s="50"/>
      <c r="SCD191" s="50"/>
      <c r="SCE191" s="50"/>
      <c r="SCF191" s="50"/>
      <c r="SCG191" s="50"/>
      <c r="SCH191" s="50"/>
      <c r="SCI191" s="50"/>
      <c r="SCJ191" s="50"/>
      <c r="SCK191" s="50"/>
      <c r="SCL191" s="50"/>
      <c r="SCM191" s="50"/>
      <c r="SCN191" s="50"/>
      <c r="SCO191" s="50"/>
      <c r="SCP191" s="50"/>
      <c r="SCQ191" s="50"/>
      <c r="SCR191" s="50"/>
      <c r="SCS191" s="50"/>
      <c r="SCT191" s="50"/>
      <c r="SCU191" s="50"/>
      <c r="SCV191" s="50"/>
      <c r="SCW191" s="50"/>
      <c r="SCX191" s="50"/>
      <c r="SCY191" s="50"/>
      <c r="SCZ191" s="50"/>
      <c r="SDA191" s="50"/>
      <c r="SDB191" s="50"/>
      <c r="SDC191" s="50"/>
      <c r="SDD191" s="50"/>
      <c r="SDE191" s="50"/>
      <c r="SDF191" s="50"/>
      <c r="SDG191" s="50"/>
      <c r="SDH191" s="50"/>
      <c r="SDI191" s="50"/>
      <c r="SDJ191" s="50"/>
      <c r="SDK191" s="50"/>
      <c r="SDL191" s="50"/>
      <c r="SDM191" s="50"/>
      <c r="SDN191" s="50"/>
      <c r="SDO191" s="50"/>
      <c r="SDP191" s="50"/>
      <c r="SDQ191" s="50"/>
      <c r="SDR191" s="50"/>
      <c r="SDS191" s="50"/>
      <c r="SDT191" s="50"/>
      <c r="SDU191" s="50"/>
      <c r="SDV191" s="50"/>
      <c r="SDW191" s="50"/>
      <c r="SDX191" s="50"/>
      <c r="SDY191" s="50"/>
      <c r="SDZ191" s="50"/>
      <c r="SEA191" s="50"/>
      <c r="SEB191" s="50"/>
      <c r="SEC191" s="50"/>
      <c r="SED191" s="50"/>
      <c r="SEE191" s="50"/>
      <c r="SEF191" s="50"/>
      <c r="SEG191" s="50"/>
      <c r="SEH191" s="50"/>
      <c r="SEI191" s="50"/>
      <c r="SEJ191" s="50"/>
      <c r="SEK191" s="50"/>
      <c r="SEL191" s="50"/>
      <c r="SEM191" s="50"/>
      <c r="SEN191" s="50"/>
      <c r="SEO191" s="50"/>
      <c r="SEP191" s="50"/>
      <c r="SEQ191" s="50"/>
      <c r="SER191" s="50"/>
      <c r="SES191" s="50"/>
      <c r="SET191" s="50"/>
      <c r="SEU191" s="50"/>
      <c r="SEV191" s="50"/>
      <c r="SEW191" s="50"/>
      <c r="SEX191" s="50"/>
      <c r="SEY191" s="50"/>
      <c r="SEZ191" s="50"/>
      <c r="SFA191" s="50"/>
      <c r="SFB191" s="50"/>
      <c r="SFC191" s="50"/>
      <c r="SFD191" s="50"/>
      <c r="SFE191" s="50"/>
      <c r="SFF191" s="50"/>
      <c r="SFG191" s="50"/>
      <c r="SFH191" s="50"/>
      <c r="SFI191" s="50"/>
      <c r="SFJ191" s="50"/>
      <c r="SFK191" s="50"/>
      <c r="SFL191" s="50"/>
      <c r="SFM191" s="50"/>
      <c r="SFN191" s="50"/>
      <c r="SFO191" s="50"/>
      <c r="SFP191" s="50"/>
      <c r="SFQ191" s="50"/>
      <c r="SFR191" s="50"/>
      <c r="SFS191" s="50"/>
      <c r="SFT191" s="50"/>
      <c r="SFU191" s="50"/>
      <c r="SFV191" s="50"/>
      <c r="SFW191" s="50"/>
      <c r="SFX191" s="50"/>
      <c r="SFY191" s="50"/>
      <c r="SFZ191" s="50"/>
      <c r="SGA191" s="50"/>
      <c r="SGB191" s="50"/>
      <c r="SGC191" s="50"/>
      <c r="SGD191" s="50"/>
      <c r="SGE191" s="50"/>
      <c r="SGF191" s="50"/>
      <c r="SGG191" s="50"/>
      <c r="SGH191" s="50"/>
      <c r="SGI191" s="50"/>
      <c r="SGJ191" s="50"/>
      <c r="SGK191" s="50"/>
      <c r="SGL191" s="50"/>
      <c r="SGM191" s="50"/>
      <c r="SGN191" s="50"/>
      <c r="SGO191" s="50"/>
      <c r="SGP191" s="50"/>
      <c r="SGQ191" s="50"/>
      <c r="SGR191" s="50"/>
      <c r="SGS191" s="50"/>
      <c r="SGT191" s="50"/>
      <c r="SGU191" s="50"/>
      <c r="SGV191" s="50"/>
      <c r="SGW191" s="50"/>
      <c r="SGX191" s="50"/>
      <c r="SGY191" s="50"/>
      <c r="SGZ191" s="50"/>
      <c r="SHA191" s="50"/>
      <c r="SHB191" s="50"/>
      <c r="SHC191" s="50"/>
      <c r="SHD191" s="50"/>
      <c r="SHE191" s="50"/>
      <c r="SHF191" s="50"/>
      <c r="SHG191" s="50"/>
      <c r="SHH191" s="50"/>
      <c r="SHI191" s="50"/>
      <c r="SHJ191" s="50"/>
      <c r="SHK191" s="50"/>
      <c r="SHL191" s="50"/>
      <c r="SHM191" s="50"/>
      <c r="SHN191" s="50"/>
      <c r="SHO191" s="50"/>
      <c r="SHP191" s="50"/>
      <c r="SHQ191" s="50"/>
      <c r="SHR191" s="50"/>
      <c r="SHS191" s="50"/>
      <c r="SHT191" s="50"/>
      <c r="SHU191" s="50"/>
      <c r="SHV191" s="50"/>
      <c r="SHW191" s="50"/>
      <c r="SHX191" s="50"/>
      <c r="SHY191" s="50"/>
      <c r="SHZ191" s="50"/>
      <c r="SIA191" s="50"/>
      <c r="SIB191" s="50"/>
      <c r="SIC191" s="50"/>
      <c r="SID191" s="50"/>
      <c r="SIE191" s="50"/>
      <c r="SIF191" s="50"/>
      <c r="SIG191" s="50"/>
      <c r="SIH191" s="50"/>
      <c r="SII191" s="50"/>
      <c r="SIJ191" s="50"/>
      <c r="SIK191" s="50"/>
      <c r="SIL191" s="50"/>
      <c r="SIM191" s="50"/>
      <c r="SIN191" s="50"/>
      <c r="SIO191" s="50"/>
      <c r="SIP191" s="50"/>
      <c r="SIQ191" s="50"/>
      <c r="SIR191" s="50"/>
      <c r="SIS191" s="50"/>
      <c r="SIT191" s="50"/>
      <c r="SIU191" s="50"/>
      <c r="SIV191" s="50"/>
      <c r="SIW191" s="50"/>
      <c r="SIX191" s="50"/>
      <c r="SIY191" s="50"/>
      <c r="SIZ191" s="50"/>
      <c r="SJA191" s="50"/>
      <c r="SJB191" s="50"/>
      <c r="SJC191" s="50"/>
      <c r="SJD191" s="50"/>
      <c r="SJE191" s="50"/>
      <c r="SJF191" s="50"/>
      <c r="SJG191" s="50"/>
      <c r="SJH191" s="50"/>
      <c r="SJI191" s="50"/>
      <c r="SJJ191" s="50"/>
      <c r="SJK191" s="50"/>
      <c r="SJL191" s="50"/>
      <c r="SJM191" s="50"/>
      <c r="SJN191" s="50"/>
      <c r="SJO191" s="50"/>
      <c r="SJP191" s="50"/>
      <c r="SJQ191" s="50"/>
      <c r="SJR191" s="50"/>
      <c r="SJS191" s="50"/>
      <c r="SJT191" s="50"/>
      <c r="SJU191" s="50"/>
      <c r="SJV191" s="50"/>
      <c r="SJW191" s="50"/>
      <c r="SJX191" s="50"/>
      <c r="SJY191" s="50"/>
      <c r="SJZ191" s="50"/>
      <c r="SKA191" s="50"/>
      <c r="SKB191" s="50"/>
      <c r="SKC191" s="50"/>
      <c r="SKD191" s="50"/>
      <c r="SKE191" s="50"/>
      <c r="SKF191" s="50"/>
      <c r="SKG191" s="50"/>
      <c r="SKH191" s="50"/>
      <c r="SKI191" s="50"/>
      <c r="SKJ191" s="50"/>
      <c r="SKK191" s="50"/>
      <c r="SKL191" s="50"/>
      <c r="SKM191" s="50"/>
      <c r="SKN191" s="50"/>
      <c r="SKO191" s="50"/>
      <c r="SKP191" s="50"/>
      <c r="SKQ191" s="50"/>
      <c r="SKR191" s="50"/>
      <c r="SKS191" s="50"/>
      <c r="SKT191" s="50"/>
      <c r="SKU191" s="50"/>
      <c r="SKV191" s="50"/>
      <c r="SKW191" s="50"/>
      <c r="SKX191" s="50"/>
      <c r="SKY191" s="50"/>
      <c r="SKZ191" s="50"/>
      <c r="SLA191" s="50"/>
      <c r="SLB191" s="50"/>
      <c r="SLC191" s="50"/>
      <c r="SLD191" s="50"/>
      <c r="SLE191" s="50"/>
      <c r="SLF191" s="50"/>
      <c r="SLG191" s="50"/>
      <c r="SLH191" s="50"/>
      <c r="SLI191" s="50"/>
      <c r="SLJ191" s="50"/>
      <c r="SLK191" s="50"/>
      <c r="SLL191" s="50"/>
      <c r="SLM191" s="50"/>
      <c r="SLN191" s="50"/>
      <c r="SLO191" s="50"/>
      <c r="SLP191" s="50"/>
      <c r="SLQ191" s="50"/>
      <c r="SLR191" s="50"/>
      <c r="SLS191" s="50"/>
      <c r="SLT191" s="50"/>
      <c r="SLU191" s="50"/>
      <c r="SLV191" s="50"/>
      <c r="SLW191" s="50"/>
      <c r="SLX191" s="50"/>
      <c r="SLY191" s="50"/>
      <c r="SLZ191" s="50"/>
      <c r="SMA191" s="50"/>
      <c r="SMB191" s="50"/>
      <c r="SMC191" s="50"/>
      <c r="SMD191" s="50"/>
      <c r="SME191" s="50"/>
      <c r="SMF191" s="50"/>
      <c r="SMG191" s="50"/>
      <c r="SMH191" s="50"/>
      <c r="SMI191" s="50"/>
      <c r="SMJ191" s="50"/>
      <c r="SMK191" s="50"/>
      <c r="SML191" s="50"/>
      <c r="SMM191" s="50"/>
      <c r="SMN191" s="50"/>
      <c r="SMO191" s="50"/>
      <c r="SMP191" s="50"/>
      <c r="SMQ191" s="50"/>
      <c r="SMR191" s="50"/>
      <c r="SMS191" s="50"/>
      <c r="SMT191" s="50"/>
      <c r="SMU191" s="50"/>
      <c r="SMV191" s="50"/>
      <c r="SMW191" s="50"/>
      <c r="SMX191" s="50"/>
      <c r="SMY191" s="50"/>
      <c r="SMZ191" s="50"/>
      <c r="SNA191" s="50"/>
      <c r="SNB191" s="50"/>
      <c r="SNC191" s="50"/>
      <c r="SND191" s="50"/>
      <c r="SNE191" s="50"/>
      <c r="SNF191" s="50"/>
      <c r="SNG191" s="50"/>
      <c r="SNH191" s="50"/>
      <c r="SNI191" s="50"/>
      <c r="SNJ191" s="50"/>
      <c r="SNK191" s="50"/>
      <c r="SNL191" s="50"/>
      <c r="SNM191" s="50"/>
      <c r="SNN191" s="50"/>
      <c r="SNO191" s="50"/>
      <c r="SNP191" s="50"/>
      <c r="SNQ191" s="50"/>
      <c r="SNR191" s="50"/>
      <c r="SNS191" s="50"/>
      <c r="SNT191" s="50"/>
      <c r="SNU191" s="50"/>
      <c r="SNV191" s="50"/>
      <c r="SNW191" s="50"/>
      <c r="SNX191" s="50"/>
      <c r="SNY191" s="50"/>
      <c r="SNZ191" s="50"/>
      <c r="SOA191" s="50"/>
      <c r="SOB191" s="50"/>
      <c r="SOC191" s="50"/>
      <c r="SOD191" s="50"/>
      <c r="SOE191" s="50"/>
      <c r="SOF191" s="50"/>
      <c r="SOG191" s="50"/>
      <c r="SOH191" s="50"/>
      <c r="SOI191" s="50"/>
      <c r="SOJ191" s="50"/>
      <c r="SOK191" s="50"/>
      <c r="SOL191" s="50"/>
      <c r="SOM191" s="50"/>
      <c r="SON191" s="50"/>
      <c r="SOO191" s="50"/>
      <c r="SOP191" s="50"/>
      <c r="SOQ191" s="50"/>
      <c r="SOR191" s="50"/>
      <c r="SOS191" s="50"/>
      <c r="SOT191" s="50"/>
      <c r="SOU191" s="50"/>
      <c r="SOV191" s="50"/>
      <c r="SOW191" s="50"/>
      <c r="SOX191" s="50"/>
      <c r="SOY191" s="50"/>
      <c r="SOZ191" s="50"/>
      <c r="SPA191" s="50"/>
      <c r="SPB191" s="50"/>
      <c r="SPC191" s="50"/>
      <c r="SPD191" s="50"/>
      <c r="SPE191" s="50"/>
      <c r="SPF191" s="50"/>
      <c r="SPG191" s="50"/>
      <c r="SPH191" s="50"/>
      <c r="SPI191" s="50"/>
      <c r="SPJ191" s="50"/>
      <c r="SPK191" s="50"/>
      <c r="SPL191" s="50"/>
      <c r="SPM191" s="50"/>
      <c r="SPN191" s="50"/>
      <c r="SPO191" s="50"/>
      <c r="SPP191" s="50"/>
      <c r="SPQ191" s="50"/>
      <c r="SPR191" s="50"/>
      <c r="SPS191" s="50"/>
      <c r="SPT191" s="50"/>
      <c r="SPU191" s="50"/>
      <c r="SPV191" s="50"/>
      <c r="SPW191" s="50"/>
      <c r="SPX191" s="50"/>
      <c r="SPY191" s="50"/>
      <c r="SPZ191" s="50"/>
      <c r="SQA191" s="50"/>
      <c r="SQB191" s="50"/>
      <c r="SQC191" s="50"/>
      <c r="SQD191" s="50"/>
      <c r="SQE191" s="50"/>
      <c r="SQF191" s="50"/>
      <c r="SQG191" s="50"/>
      <c r="SQH191" s="50"/>
      <c r="SQI191" s="50"/>
      <c r="SQJ191" s="50"/>
      <c r="SQK191" s="50"/>
      <c r="SQL191" s="50"/>
      <c r="SQM191" s="50"/>
      <c r="SQN191" s="50"/>
      <c r="SQO191" s="50"/>
      <c r="SQP191" s="50"/>
      <c r="SQQ191" s="50"/>
      <c r="SQR191" s="50"/>
      <c r="SQS191" s="50"/>
      <c r="SQT191" s="50"/>
      <c r="SQU191" s="50"/>
      <c r="SQV191" s="50"/>
      <c r="SQW191" s="50"/>
      <c r="SQX191" s="50"/>
      <c r="SQY191" s="50"/>
      <c r="SQZ191" s="50"/>
      <c r="SRA191" s="50"/>
      <c r="SRB191" s="50"/>
      <c r="SRC191" s="50"/>
      <c r="SRD191" s="50"/>
      <c r="SRE191" s="50"/>
      <c r="SRF191" s="50"/>
      <c r="SRG191" s="50"/>
      <c r="SRH191" s="50"/>
      <c r="SRI191" s="50"/>
      <c r="SRJ191" s="50"/>
      <c r="SRK191" s="50"/>
      <c r="SRL191" s="50"/>
      <c r="SRM191" s="50"/>
      <c r="SRN191" s="50"/>
      <c r="SRO191" s="50"/>
      <c r="SRP191" s="50"/>
      <c r="SRQ191" s="50"/>
      <c r="SRR191" s="50"/>
      <c r="SRS191" s="50"/>
      <c r="SRT191" s="50"/>
      <c r="SRU191" s="50"/>
      <c r="SRV191" s="50"/>
      <c r="SRW191" s="50"/>
      <c r="SRX191" s="50"/>
      <c r="SRY191" s="50"/>
      <c r="SRZ191" s="50"/>
      <c r="SSA191" s="50"/>
      <c r="SSB191" s="50"/>
      <c r="SSC191" s="50"/>
      <c r="SSD191" s="50"/>
      <c r="SSE191" s="50"/>
      <c r="SSF191" s="50"/>
      <c r="SSG191" s="50"/>
      <c r="SSH191" s="50"/>
      <c r="SSI191" s="50"/>
      <c r="SSJ191" s="50"/>
      <c r="SSK191" s="50"/>
      <c r="SSL191" s="50"/>
      <c r="SSM191" s="50"/>
      <c r="SSN191" s="50"/>
      <c r="SSO191" s="50"/>
      <c r="SSP191" s="50"/>
      <c r="SSQ191" s="50"/>
      <c r="SSR191" s="50"/>
      <c r="SSS191" s="50"/>
      <c r="SST191" s="50"/>
      <c r="SSU191" s="50"/>
      <c r="SSV191" s="50"/>
      <c r="SSW191" s="50"/>
      <c r="SSX191" s="50"/>
      <c r="SSY191" s="50"/>
      <c r="SSZ191" s="50"/>
      <c r="STA191" s="50"/>
      <c r="STB191" s="50"/>
      <c r="STC191" s="50"/>
      <c r="STD191" s="50"/>
      <c r="STE191" s="50"/>
      <c r="STF191" s="50"/>
      <c r="STG191" s="50"/>
      <c r="STH191" s="50"/>
      <c r="STI191" s="50"/>
      <c r="STJ191" s="50"/>
      <c r="STK191" s="50"/>
      <c r="STL191" s="50"/>
      <c r="STM191" s="50"/>
      <c r="STN191" s="50"/>
      <c r="STO191" s="50"/>
      <c r="STP191" s="50"/>
      <c r="STQ191" s="50"/>
      <c r="STR191" s="50"/>
      <c r="STS191" s="50"/>
      <c r="STT191" s="50"/>
      <c r="STU191" s="50"/>
      <c r="STV191" s="50"/>
      <c r="STW191" s="50"/>
      <c r="STX191" s="50"/>
      <c r="STY191" s="50"/>
      <c r="STZ191" s="50"/>
      <c r="SUA191" s="50"/>
      <c r="SUB191" s="50"/>
      <c r="SUC191" s="50"/>
      <c r="SUD191" s="50"/>
      <c r="SUE191" s="50"/>
      <c r="SUF191" s="50"/>
      <c r="SUG191" s="50"/>
      <c r="SUH191" s="50"/>
      <c r="SUI191" s="50"/>
      <c r="SUJ191" s="50"/>
      <c r="SUK191" s="50"/>
      <c r="SUL191" s="50"/>
      <c r="SUM191" s="50"/>
      <c r="SUN191" s="50"/>
      <c r="SUO191" s="50"/>
      <c r="SUP191" s="50"/>
      <c r="SUQ191" s="50"/>
      <c r="SUR191" s="50"/>
      <c r="SUS191" s="50"/>
      <c r="SUT191" s="50"/>
      <c r="SUU191" s="50"/>
      <c r="SUV191" s="50"/>
      <c r="SUW191" s="50"/>
      <c r="SUX191" s="50"/>
      <c r="SUY191" s="50"/>
      <c r="SUZ191" s="50"/>
      <c r="SVA191" s="50"/>
      <c r="SVB191" s="50"/>
      <c r="SVC191" s="50"/>
      <c r="SVD191" s="50"/>
      <c r="SVE191" s="50"/>
      <c r="SVF191" s="50"/>
      <c r="SVG191" s="50"/>
      <c r="SVH191" s="50"/>
      <c r="SVI191" s="50"/>
      <c r="SVJ191" s="50"/>
      <c r="SVK191" s="50"/>
      <c r="SVL191" s="50"/>
      <c r="SVM191" s="50"/>
      <c r="SVN191" s="50"/>
      <c r="SVO191" s="50"/>
      <c r="SVP191" s="50"/>
      <c r="SVQ191" s="50"/>
      <c r="SVR191" s="50"/>
      <c r="SVS191" s="50"/>
      <c r="SVT191" s="50"/>
      <c r="SVU191" s="50"/>
      <c r="SVV191" s="50"/>
      <c r="SVW191" s="50"/>
      <c r="SVX191" s="50"/>
      <c r="SVY191" s="50"/>
      <c r="SVZ191" s="50"/>
      <c r="SWA191" s="50"/>
      <c r="SWB191" s="50"/>
      <c r="SWC191" s="50"/>
      <c r="SWD191" s="50"/>
      <c r="SWE191" s="50"/>
      <c r="SWF191" s="50"/>
      <c r="SWG191" s="50"/>
      <c r="SWH191" s="50"/>
      <c r="SWI191" s="50"/>
      <c r="SWJ191" s="50"/>
      <c r="SWK191" s="50"/>
      <c r="SWL191" s="50"/>
      <c r="SWM191" s="50"/>
      <c r="SWN191" s="50"/>
      <c r="SWO191" s="50"/>
      <c r="SWP191" s="50"/>
      <c r="SWQ191" s="50"/>
      <c r="SWR191" s="50"/>
      <c r="SWS191" s="50"/>
      <c r="SWT191" s="50"/>
      <c r="SWU191" s="50"/>
      <c r="SWV191" s="50"/>
      <c r="SWW191" s="50"/>
      <c r="SWX191" s="50"/>
      <c r="SWY191" s="50"/>
      <c r="SWZ191" s="50"/>
      <c r="SXA191" s="50"/>
      <c r="SXB191" s="50"/>
      <c r="SXC191" s="50"/>
      <c r="SXD191" s="50"/>
      <c r="SXE191" s="50"/>
      <c r="SXF191" s="50"/>
      <c r="SXG191" s="50"/>
      <c r="SXH191" s="50"/>
      <c r="SXI191" s="50"/>
      <c r="SXJ191" s="50"/>
      <c r="SXK191" s="50"/>
      <c r="SXL191" s="50"/>
      <c r="SXM191" s="50"/>
      <c r="SXN191" s="50"/>
      <c r="SXO191" s="50"/>
      <c r="SXP191" s="50"/>
      <c r="SXQ191" s="50"/>
      <c r="SXR191" s="50"/>
      <c r="SXS191" s="50"/>
      <c r="SXT191" s="50"/>
      <c r="SXU191" s="50"/>
      <c r="SXV191" s="50"/>
      <c r="SXW191" s="50"/>
      <c r="SXX191" s="50"/>
      <c r="SXY191" s="50"/>
      <c r="SXZ191" s="50"/>
      <c r="SYA191" s="50"/>
      <c r="SYB191" s="50"/>
      <c r="SYC191" s="50"/>
      <c r="SYD191" s="50"/>
      <c r="SYE191" s="50"/>
      <c r="SYF191" s="50"/>
      <c r="SYG191" s="50"/>
      <c r="SYH191" s="50"/>
      <c r="SYI191" s="50"/>
      <c r="SYJ191" s="50"/>
      <c r="SYK191" s="50"/>
      <c r="SYL191" s="50"/>
      <c r="SYM191" s="50"/>
      <c r="SYN191" s="50"/>
      <c r="SYO191" s="50"/>
      <c r="SYP191" s="50"/>
      <c r="SYQ191" s="50"/>
      <c r="SYR191" s="50"/>
      <c r="SYS191" s="50"/>
      <c r="SYT191" s="50"/>
      <c r="SYU191" s="50"/>
      <c r="SYV191" s="50"/>
      <c r="SYW191" s="50"/>
      <c r="SYX191" s="50"/>
      <c r="SYY191" s="50"/>
      <c r="SYZ191" s="50"/>
      <c r="SZA191" s="50"/>
      <c r="SZB191" s="50"/>
      <c r="SZC191" s="50"/>
      <c r="SZD191" s="50"/>
      <c r="SZE191" s="50"/>
      <c r="SZF191" s="50"/>
      <c r="SZG191" s="50"/>
      <c r="SZH191" s="50"/>
      <c r="SZI191" s="50"/>
      <c r="SZJ191" s="50"/>
      <c r="SZK191" s="50"/>
      <c r="SZL191" s="50"/>
      <c r="SZM191" s="50"/>
      <c r="SZN191" s="50"/>
      <c r="SZO191" s="50"/>
      <c r="SZP191" s="50"/>
      <c r="SZQ191" s="50"/>
      <c r="SZR191" s="50"/>
      <c r="SZS191" s="50"/>
      <c r="SZT191" s="50"/>
      <c r="SZU191" s="50"/>
      <c r="SZV191" s="50"/>
      <c r="SZW191" s="50"/>
      <c r="SZX191" s="50"/>
      <c r="SZY191" s="50"/>
      <c r="SZZ191" s="50"/>
      <c r="TAA191" s="50"/>
      <c r="TAB191" s="50"/>
      <c r="TAC191" s="50"/>
      <c r="TAD191" s="50"/>
      <c r="TAE191" s="50"/>
      <c r="TAF191" s="50"/>
      <c r="TAG191" s="50"/>
      <c r="TAH191" s="50"/>
      <c r="TAI191" s="50"/>
      <c r="TAJ191" s="50"/>
      <c r="TAK191" s="50"/>
      <c r="TAL191" s="50"/>
      <c r="TAM191" s="50"/>
      <c r="TAN191" s="50"/>
      <c r="TAO191" s="50"/>
      <c r="TAP191" s="50"/>
      <c r="TAQ191" s="50"/>
      <c r="TAR191" s="50"/>
      <c r="TAS191" s="50"/>
      <c r="TAT191" s="50"/>
      <c r="TAU191" s="50"/>
      <c r="TAV191" s="50"/>
      <c r="TAW191" s="50"/>
      <c r="TAX191" s="50"/>
      <c r="TAY191" s="50"/>
      <c r="TAZ191" s="50"/>
      <c r="TBA191" s="50"/>
      <c r="TBB191" s="50"/>
      <c r="TBC191" s="50"/>
      <c r="TBD191" s="50"/>
      <c r="TBE191" s="50"/>
      <c r="TBF191" s="50"/>
      <c r="TBG191" s="50"/>
      <c r="TBH191" s="50"/>
      <c r="TBI191" s="50"/>
      <c r="TBJ191" s="50"/>
      <c r="TBK191" s="50"/>
      <c r="TBL191" s="50"/>
      <c r="TBM191" s="50"/>
      <c r="TBN191" s="50"/>
      <c r="TBO191" s="50"/>
      <c r="TBP191" s="50"/>
      <c r="TBQ191" s="50"/>
      <c r="TBR191" s="50"/>
      <c r="TBS191" s="50"/>
      <c r="TBT191" s="50"/>
      <c r="TBU191" s="50"/>
      <c r="TBV191" s="50"/>
      <c r="TBW191" s="50"/>
      <c r="TBX191" s="50"/>
      <c r="TBY191" s="50"/>
      <c r="TBZ191" s="50"/>
      <c r="TCA191" s="50"/>
      <c r="TCB191" s="50"/>
      <c r="TCC191" s="50"/>
      <c r="TCD191" s="50"/>
      <c r="TCE191" s="50"/>
      <c r="TCF191" s="50"/>
      <c r="TCG191" s="50"/>
      <c r="TCH191" s="50"/>
      <c r="TCI191" s="50"/>
      <c r="TCJ191" s="50"/>
      <c r="TCK191" s="50"/>
      <c r="TCL191" s="50"/>
      <c r="TCM191" s="50"/>
      <c r="TCN191" s="50"/>
      <c r="TCO191" s="50"/>
      <c r="TCP191" s="50"/>
      <c r="TCQ191" s="50"/>
      <c r="TCR191" s="50"/>
      <c r="TCS191" s="50"/>
      <c r="TCT191" s="50"/>
      <c r="TCU191" s="50"/>
      <c r="TCV191" s="50"/>
      <c r="TCW191" s="50"/>
      <c r="TCX191" s="50"/>
      <c r="TCY191" s="50"/>
      <c r="TCZ191" s="50"/>
      <c r="TDA191" s="50"/>
      <c r="TDB191" s="50"/>
      <c r="TDC191" s="50"/>
      <c r="TDD191" s="50"/>
      <c r="TDE191" s="50"/>
      <c r="TDF191" s="50"/>
      <c r="TDG191" s="50"/>
      <c r="TDH191" s="50"/>
      <c r="TDI191" s="50"/>
      <c r="TDJ191" s="50"/>
      <c r="TDK191" s="50"/>
      <c r="TDL191" s="50"/>
      <c r="TDM191" s="50"/>
      <c r="TDN191" s="50"/>
      <c r="TDO191" s="50"/>
      <c r="TDP191" s="50"/>
      <c r="TDQ191" s="50"/>
      <c r="TDR191" s="50"/>
      <c r="TDS191" s="50"/>
      <c r="TDT191" s="50"/>
      <c r="TDU191" s="50"/>
      <c r="TDV191" s="50"/>
      <c r="TDW191" s="50"/>
      <c r="TDX191" s="50"/>
      <c r="TDY191" s="50"/>
      <c r="TDZ191" s="50"/>
      <c r="TEA191" s="50"/>
      <c r="TEB191" s="50"/>
      <c r="TEC191" s="50"/>
      <c r="TED191" s="50"/>
      <c r="TEE191" s="50"/>
      <c r="TEF191" s="50"/>
      <c r="TEG191" s="50"/>
      <c r="TEH191" s="50"/>
      <c r="TEI191" s="50"/>
      <c r="TEJ191" s="50"/>
      <c r="TEK191" s="50"/>
      <c r="TEL191" s="50"/>
      <c r="TEM191" s="50"/>
      <c r="TEN191" s="50"/>
      <c r="TEO191" s="50"/>
      <c r="TEP191" s="50"/>
      <c r="TEQ191" s="50"/>
      <c r="TER191" s="50"/>
      <c r="TES191" s="50"/>
      <c r="TET191" s="50"/>
      <c r="TEU191" s="50"/>
      <c r="TEV191" s="50"/>
      <c r="TEW191" s="50"/>
      <c r="TEX191" s="50"/>
      <c r="TEY191" s="50"/>
      <c r="TEZ191" s="50"/>
      <c r="TFA191" s="50"/>
      <c r="TFB191" s="50"/>
      <c r="TFC191" s="50"/>
      <c r="TFD191" s="50"/>
      <c r="TFE191" s="50"/>
      <c r="TFF191" s="50"/>
      <c r="TFG191" s="50"/>
      <c r="TFH191" s="50"/>
      <c r="TFI191" s="50"/>
      <c r="TFJ191" s="50"/>
      <c r="TFK191" s="50"/>
      <c r="TFL191" s="50"/>
      <c r="TFM191" s="50"/>
      <c r="TFN191" s="50"/>
      <c r="TFO191" s="50"/>
      <c r="TFP191" s="50"/>
      <c r="TFQ191" s="50"/>
      <c r="TFR191" s="50"/>
      <c r="TFS191" s="50"/>
      <c r="TFT191" s="50"/>
      <c r="TFU191" s="50"/>
      <c r="TFV191" s="50"/>
      <c r="TFW191" s="50"/>
      <c r="TFX191" s="50"/>
      <c r="TFY191" s="50"/>
      <c r="TFZ191" s="50"/>
      <c r="TGA191" s="50"/>
      <c r="TGB191" s="50"/>
      <c r="TGC191" s="50"/>
      <c r="TGD191" s="50"/>
      <c r="TGE191" s="50"/>
      <c r="TGF191" s="50"/>
      <c r="TGG191" s="50"/>
      <c r="TGH191" s="50"/>
      <c r="TGI191" s="50"/>
      <c r="TGJ191" s="50"/>
      <c r="TGK191" s="50"/>
      <c r="TGL191" s="50"/>
      <c r="TGM191" s="50"/>
      <c r="TGN191" s="50"/>
      <c r="TGO191" s="50"/>
      <c r="TGP191" s="50"/>
      <c r="TGQ191" s="50"/>
      <c r="TGR191" s="50"/>
      <c r="TGS191" s="50"/>
      <c r="TGT191" s="50"/>
      <c r="TGU191" s="50"/>
      <c r="TGV191" s="50"/>
      <c r="TGW191" s="50"/>
      <c r="TGX191" s="50"/>
      <c r="TGY191" s="50"/>
      <c r="TGZ191" s="50"/>
      <c r="THA191" s="50"/>
      <c r="THB191" s="50"/>
      <c r="THC191" s="50"/>
      <c r="THD191" s="50"/>
      <c r="THE191" s="50"/>
      <c r="THF191" s="50"/>
      <c r="THG191" s="50"/>
      <c r="THH191" s="50"/>
      <c r="THI191" s="50"/>
      <c r="THJ191" s="50"/>
      <c r="THK191" s="50"/>
      <c r="THL191" s="50"/>
      <c r="THM191" s="50"/>
      <c r="THN191" s="50"/>
      <c r="THO191" s="50"/>
      <c r="THP191" s="50"/>
      <c r="THQ191" s="50"/>
      <c r="THR191" s="50"/>
      <c r="THS191" s="50"/>
      <c r="THT191" s="50"/>
      <c r="THU191" s="50"/>
      <c r="THV191" s="50"/>
      <c r="THW191" s="50"/>
      <c r="THX191" s="50"/>
      <c r="THY191" s="50"/>
      <c r="THZ191" s="50"/>
      <c r="TIA191" s="50"/>
      <c r="TIB191" s="50"/>
      <c r="TIC191" s="50"/>
      <c r="TID191" s="50"/>
      <c r="TIE191" s="50"/>
      <c r="TIF191" s="50"/>
      <c r="TIG191" s="50"/>
      <c r="TIH191" s="50"/>
      <c r="TII191" s="50"/>
      <c r="TIJ191" s="50"/>
      <c r="TIK191" s="50"/>
      <c r="TIL191" s="50"/>
      <c r="TIM191" s="50"/>
      <c r="TIN191" s="50"/>
      <c r="TIO191" s="50"/>
      <c r="TIP191" s="50"/>
      <c r="TIQ191" s="50"/>
      <c r="TIR191" s="50"/>
      <c r="TIS191" s="50"/>
      <c r="TIT191" s="50"/>
      <c r="TIU191" s="50"/>
      <c r="TIV191" s="50"/>
      <c r="TIW191" s="50"/>
      <c r="TIX191" s="50"/>
      <c r="TIY191" s="50"/>
      <c r="TIZ191" s="50"/>
      <c r="TJA191" s="50"/>
      <c r="TJB191" s="50"/>
      <c r="TJC191" s="50"/>
      <c r="TJD191" s="50"/>
      <c r="TJE191" s="50"/>
      <c r="TJF191" s="50"/>
      <c r="TJG191" s="50"/>
      <c r="TJH191" s="50"/>
      <c r="TJI191" s="50"/>
      <c r="TJJ191" s="50"/>
      <c r="TJK191" s="50"/>
      <c r="TJL191" s="50"/>
      <c r="TJM191" s="50"/>
      <c r="TJN191" s="50"/>
      <c r="TJO191" s="50"/>
      <c r="TJP191" s="50"/>
      <c r="TJQ191" s="50"/>
      <c r="TJR191" s="50"/>
      <c r="TJS191" s="50"/>
      <c r="TJT191" s="50"/>
      <c r="TJU191" s="50"/>
      <c r="TJV191" s="50"/>
      <c r="TJW191" s="50"/>
      <c r="TJX191" s="50"/>
      <c r="TJY191" s="50"/>
      <c r="TJZ191" s="50"/>
      <c r="TKA191" s="50"/>
      <c r="TKB191" s="50"/>
      <c r="TKC191" s="50"/>
      <c r="TKD191" s="50"/>
      <c r="TKE191" s="50"/>
      <c r="TKF191" s="50"/>
      <c r="TKG191" s="50"/>
      <c r="TKH191" s="50"/>
      <c r="TKI191" s="50"/>
      <c r="TKJ191" s="50"/>
      <c r="TKK191" s="50"/>
      <c r="TKL191" s="50"/>
      <c r="TKM191" s="50"/>
      <c r="TKN191" s="50"/>
      <c r="TKO191" s="50"/>
      <c r="TKP191" s="50"/>
      <c r="TKQ191" s="50"/>
      <c r="TKR191" s="50"/>
      <c r="TKS191" s="50"/>
      <c r="TKT191" s="50"/>
      <c r="TKU191" s="50"/>
      <c r="TKV191" s="50"/>
      <c r="TKW191" s="50"/>
      <c r="TKX191" s="50"/>
      <c r="TKY191" s="50"/>
      <c r="TKZ191" s="50"/>
      <c r="TLA191" s="50"/>
      <c r="TLB191" s="50"/>
      <c r="TLC191" s="50"/>
      <c r="TLD191" s="50"/>
      <c r="TLE191" s="50"/>
      <c r="TLF191" s="50"/>
      <c r="TLG191" s="50"/>
      <c r="TLH191" s="50"/>
      <c r="TLI191" s="50"/>
      <c r="TLJ191" s="50"/>
      <c r="TLK191" s="50"/>
      <c r="TLL191" s="50"/>
      <c r="TLM191" s="50"/>
      <c r="TLN191" s="50"/>
      <c r="TLO191" s="50"/>
      <c r="TLP191" s="50"/>
      <c r="TLQ191" s="50"/>
      <c r="TLR191" s="50"/>
      <c r="TLS191" s="50"/>
      <c r="TLT191" s="50"/>
      <c r="TLU191" s="50"/>
      <c r="TLV191" s="50"/>
      <c r="TLW191" s="50"/>
      <c r="TLX191" s="50"/>
      <c r="TLY191" s="50"/>
      <c r="TLZ191" s="50"/>
      <c r="TMA191" s="50"/>
      <c r="TMB191" s="50"/>
      <c r="TMC191" s="50"/>
      <c r="TMD191" s="50"/>
      <c r="TME191" s="50"/>
      <c r="TMF191" s="50"/>
      <c r="TMG191" s="50"/>
      <c r="TMH191" s="50"/>
      <c r="TMI191" s="50"/>
      <c r="TMJ191" s="50"/>
      <c r="TMK191" s="50"/>
      <c r="TML191" s="50"/>
      <c r="TMM191" s="50"/>
      <c r="TMN191" s="50"/>
      <c r="TMO191" s="50"/>
      <c r="TMP191" s="50"/>
      <c r="TMQ191" s="50"/>
      <c r="TMR191" s="50"/>
      <c r="TMS191" s="50"/>
      <c r="TMT191" s="50"/>
      <c r="TMU191" s="50"/>
      <c r="TMV191" s="50"/>
      <c r="TMW191" s="50"/>
      <c r="TMX191" s="50"/>
      <c r="TMY191" s="50"/>
      <c r="TMZ191" s="50"/>
      <c r="TNA191" s="50"/>
      <c r="TNB191" s="50"/>
      <c r="TNC191" s="50"/>
      <c r="TND191" s="50"/>
      <c r="TNE191" s="50"/>
      <c r="TNF191" s="50"/>
      <c r="TNG191" s="50"/>
      <c r="TNH191" s="50"/>
      <c r="TNI191" s="50"/>
      <c r="TNJ191" s="50"/>
      <c r="TNK191" s="50"/>
      <c r="TNL191" s="50"/>
      <c r="TNM191" s="50"/>
      <c r="TNN191" s="50"/>
      <c r="TNO191" s="50"/>
      <c r="TNP191" s="50"/>
      <c r="TNQ191" s="50"/>
      <c r="TNR191" s="50"/>
      <c r="TNS191" s="50"/>
      <c r="TNT191" s="50"/>
      <c r="TNU191" s="50"/>
      <c r="TNV191" s="50"/>
      <c r="TNW191" s="50"/>
      <c r="TNX191" s="50"/>
      <c r="TNY191" s="50"/>
      <c r="TNZ191" s="50"/>
      <c r="TOA191" s="50"/>
      <c r="TOB191" s="50"/>
      <c r="TOC191" s="50"/>
      <c r="TOD191" s="50"/>
      <c r="TOE191" s="50"/>
      <c r="TOF191" s="50"/>
      <c r="TOG191" s="50"/>
      <c r="TOH191" s="50"/>
      <c r="TOI191" s="50"/>
      <c r="TOJ191" s="50"/>
      <c r="TOK191" s="50"/>
      <c r="TOL191" s="50"/>
      <c r="TOM191" s="50"/>
      <c r="TON191" s="50"/>
      <c r="TOO191" s="50"/>
      <c r="TOP191" s="50"/>
      <c r="TOQ191" s="50"/>
      <c r="TOR191" s="50"/>
      <c r="TOS191" s="50"/>
      <c r="TOT191" s="50"/>
      <c r="TOU191" s="50"/>
      <c r="TOV191" s="50"/>
      <c r="TOW191" s="50"/>
      <c r="TOX191" s="50"/>
      <c r="TOY191" s="50"/>
      <c r="TOZ191" s="50"/>
      <c r="TPA191" s="50"/>
      <c r="TPB191" s="50"/>
      <c r="TPC191" s="50"/>
      <c r="TPD191" s="50"/>
      <c r="TPE191" s="50"/>
      <c r="TPF191" s="50"/>
      <c r="TPG191" s="50"/>
      <c r="TPH191" s="50"/>
      <c r="TPI191" s="50"/>
      <c r="TPJ191" s="50"/>
      <c r="TPK191" s="50"/>
      <c r="TPL191" s="50"/>
      <c r="TPM191" s="50"/>
      <c r="TPN191" s="50"/>
      <c r="TPO191" s="50"/>
      <c r="TPP191" s="50"/>
      <c r="TPQ191" s="50"/>
      <c r="TPR191" s="50"/>
      <c r="TPS191" s="50"/>
      <c r="TPT191" s="50"/>
      <c r="TPU191" s="50"/>
      <c r="TPV191" s="50"/>
      <c r="TPW191" s="50"/>
      <c r="TPX191" s="50"/>
      <c r="TPY191" s="50"/>
      <c r="TPZ191" s="50"/>
      <c r="TQA191" s="50"/>
      <c r="TQB191" s="50"/>
      <c r="TQC191" s="50"/>
      <c r="TQD191" s="50"/>
      <c r="TQE191" s="50"/>
      <c r="TQF191" s="50"/>
      <c r="TQG191" s="50"/>
      <c r="TQH191" s="50"/>
      <c r="TQI191" s="50"/>
      <c r="TQJ191" s="50"/>
      <c r="TQK191" s="50"/>
      <c r="TQL191" s="50"/>
      <c r="TQM191" s="50"/>
      <c r="TQN191" s="50"/>
      <c r="TQO191" s="50"/>
      <c r="TQP191" s="50"/>
      <c r="TQQ191" s="50"/>
      <c r="TQR191" s="50"/>
      <c r="TQS191" s="50"/>
      <c r="TQT191" s="50"/>
      <c r="TQU191" s="50"/>
      <c r="TQV191" s="50"/>
      <c r="TQW191" s="50"/>
      <c r="TQX191" s="50"/>
      <c r="TQY191" s="50"/>
      <c r="TQZ191" s="50"/>
      <c r="TRA191" s="50"/>
      <c r="TRB191" s="50"/>
      <c r="TRC191" s="50"/>
      <c r="TRD191" s="50"/>
      <c r="TRE191" s="50"/>
      <c r="TRF191" s="50"/>
      <c r="TRG191" s="50"/>
      <c r="TRH191" s="50"/>
      <c r="TRI191" s="50"/>
      <c r="TRJ191" s="50"/>
      <c r="TRK191" s="50"/>
      <c r="TRL191" s="50"/>
      <c r="TRM191" s="50"/>
      <c r="TRN191" s="50"/>
      <c r="TRO191" s="50"/>
      <c r="TRP191" s="50"/>
      <c r="TRQ191" s="50"/>
      <c r="TRR191" s="50"/>
      <c r="TRS191" s="50"/>
      <c r="TRT191" s="50"/>
      <c r="TRU191" s="50"/>
      <c r="TRV191" s="50"/>
      <c r="TRW191" s="50"/>
      <c r="TRX191" s="50"/>
      <c r="TRY191" s="50"/>
      <c r="TRZ191" s="50"/>
      <c r="TSA191" s="50"/>
      <c r="TSB191" s="50"/>
      <c r="TSC191" s="50"/>
      <c r="TSD191" s="50"/>
      <c r="TSE191" s="50"/>
      <c r="TSF191" s="50"/>
      <c r="TSG191" s="50"/>
      <c r="TSH191" s="50"/>
      <c r="TSI191" s="50"/>
      <c r="TSJ191" s="50"/>
      <c r="TSK191" s="50"/>
      <c r="TSL191" s="50"/>
      <c r="TSM191" s="50"/>
      <c r="TSN191" s="50"/>
      <c r="TSO191" s="50"/>
      <c r="TSP191" s="50"/>
      <c r="TSQ191" s="50"/>
      <c r="TSR191" s="50"/>
      <c r="TSS191" s="50"/>
      <c r="TST191" s="50"/>
      <c r="TSU191" s="50"/>
      <c r="TSV191" s="50"/>
      <c r="TSW191" s="50"/>
      <c r="TSX191" s="50"/>
      <c r="TSY191" s="50"/>
      <c r="TSZ191" s="50"/>
      <c r="TTA191" s="50"/>
      <c r="TTB191" s="50"/>
      <c r="TTC191" s="50"/>
      <c r="TTD191" s="50"/>
      <c r="TTE191" s="50"/>
      <c r="TTF191" s="50"/>
      <c r="TTG191" s="50"/>
      <c r="TTH191" s="50"/>
      <c r="TTI191" s="50"/>
      <c r="TTJ191" s="50"/>
      <c r="TTK191" s="50"/>
      <c r="TTL191" s="50"/>
      <c r="TTM191" s="50"/>
      <c r="TTN191" s="50"/>
      <c r="TTO191" s="50"/>
      <c r="TTP191" s="50"/>
      <c r="TTQ191" s="50"/>
      <c r="TTR191" s="50"/>
      <c r="TTS191" s="50"/>
      <c r="TTT191" s="50"/>
      <c r="TTU191" s="50"/>
      <c r="TTV191" s="50"/>
      <c r="TTW191" s="50"/>
      <c r="TTX191" s="50"/>
      <c r="TTY191" s="50"/>
      <c r="TTZ191" s="50"/>
      <c r="TUA191" s="50"/>
      <c r="TUB191" s="50"/>
      <c r="TUC191" s="50"/>
      <c r="TUD191" s="50"/>
      <c r="TUE191" s="50"/>
      <c r="TUF191" s="50"/>
      <c r="TUG191" s="50"/>
      <c r="TUH191" s="50"/>
      <c r="TUI191" s="50"/>
      <c r="TUJ191" s="50"/>
      <c r="TUK191" s="50"/>
      <c r="TUL191" s="50"/>
      <c r="TUM191" s="50"/>
      <c r="TUN191" s="50"/>
      <c r="TUO191" s="50"/>
      <c r="TUP191" s="50"/>
      <c r="TUQ191" s="50"/>
      <c r="TUR191" s="50"/>
      <c r="TUS191" s="50"/>
      <c r="TUT191" s="50"/>
      <c r="TUU191" s="50"/>
      <c r="TUV191" s="50"/>
      <c r="TUW191" s="50"/>
      <c r="TUX191" s="50"/>
      <c r="TUY191" s="50"/>
      <c r="TUZ191" s="50"/>
      <c r="TVA191" s="50"/>
      <c r="TVB191" s="50"/>
      <c r="TVC191" s="50"/>
      <c r="TVD191" s="50"/>
      <c r="TVE191" s="50"/>
      <c r="TVF191" s="50"/>
      <c r="TVG191" s="50"/>
      <c r="TVH191" s="50"/>
      <c r="TVI191" s="50"/>
      <c r="TVJ191" s="50"/>
      <c r="TVK191" s="50"/>
      <c r="TVL191" s="50"/>
      <c r="TVM191" s="50"/>
      <c r="TVN191" s="50"/>
      <c r="TVO191" s="50"/>
      <c r="TVP191" s="50"/>
      <c r="TVQ191" s="50"/>
      <c r="TVR191" s="50"/>
      <c r="TVS191" s="50"/>
      <c r="TVT191" s="50"/>
      <c r="TVU191" s="50"/>
      <c r="TVV191" s="50"/>
      <c r="TVW191" s="50"/>
      <c r="TVX191" s="50"/>
      <c r="TVY191" s="50"/>
      <c r="TVZ191" s="50"/>
      <c r="TWA191" s="50"/>
      <c r="TWB191" s="50"/>
      <c r="TWC191" s="50"/>
      <c r="TWD191" s="50"/>
      <c r="TWE191" s="50"/>
      <c r="TWF191" s="50"/>
      <c r="TWG191" s="50"/>
      <c r="TWH191" s="50"/>
      <c r="TWI191" s="50"/>
      <c r="TWJ191" s="50"/>
      <c r="TWK191" s="50"/>
      <c r="TWL191" s="50"/>
      <c r="TWM191" s="50"/>
      <c r="TWN191" s="50"/>
      <c r="TWO191" s="50"/>
      <c r="TWP191" s="50"/>
      <c r="TWQ191" s="50"/>
      <c r="TWR191" s="50"/>
      <c r="TWS191" s="50"/>
      <c r="TWT191" s="50"/>
      <c r="TWU191" s="50"/>
      <c r="TWV191" s="50"/>
      <c r="TWW191" s="50"/>
      <c r="TWX191" s="50"/>
      <c r="TWY191" s="50"/>
      <c r="TWZ191" s="50"/>
      <c r="TXA191" s="50"/>
      <c r="TXB191" s="50"/>
      <c r="TXC191" s="50"/>
      <c r="TXD191" s="50"/>
      <c r="TXE191" s="50"/>
      <c r="TXF191" s="50"/>
      <c r="TXG191" s="50"/>
      <c r="TXH191" s="50"/>
      <c r="TXI191" s="50"/>
      <c r="TXJ191" s="50"/>
      <c r="TXK191" s="50"/>
      <c r="TXL191" s="50"/>
      <c r="TXM191" s="50"/>
      <c r="TXN191" s="50"/>
      <c r="TXO191" s="50"/>
      <c r="TXP191" s="50"/>
      <c r="TXQ191" s="50"/>
      <c r="TXR191" s="50"/>
      <c r="TXS191" s="50"/>
      <c r="TXT191" s="50"/>
      <c r="TXU191" s="50"/>
      <c r="TXV191" s="50"/>
      <c r="TXW191" s="50"/>
      <c r="TXX191" s="50"/>
      <c r="TXY191" s="50"/>
      <c r="TXZ191" s="50"/>
      <c r="TYA191" s="50"/>
      <c r="TYB191" s="50"/>
      <c r="TYC191" s="50"/>
      <c r="TYD191" s="50"/>
      <c r="TYE191" s="50"/>
      <c r="TYF191" s="50"/>
      <c r="TYG191" s="50"/>
      <c r="TYH191" s="50"/>
      <c r="TYI191" s="50"/>
      <c r="TYJ191" s="50"/>
      <c r="TYK191" s="50"/>
      <c r="TYL191" s="50"/>
      <c r="TYM191" s="50"/>
      <c r="TYN191" s="50"/>
      <c r="TYO191" s="50"/>
      <c r="TYP191" s="50"/>
      <c r="TYQ191" s="50"/>
      <c r="TYR191" s="50"/>
      <c r="TYS191" s="50"/>
      <c r="TYT191" s="50"/>
      <c r="TYU191" s="50"/>
      <c r="TYV191" s="50"/>
      <c r="TYW191" s="50"/>
      <c r="TYX191" s="50"/>
      <c r="TYY191" s="50"/>
      <c r="TYZ191" s="50"/>
      <c r="TZA191" s="50"/>
      <c r="TZB191" s="50"/>
      <c r="TZC191" s="50"/>
      <c r="TZD191" s="50"/>
      <c r="TZE191" s="50"/>
      <c r="TZF191" s="50"/>
      <c r="TZG191" s="50"/>
      <c r="TZH191" s="50"/>
      <c r="TZI191" s="50"/>
      <c r="TZJ191" s="50"/>
      <c r="TZK191" s="50"/>
      <c r="TZL191" s="50"/>
      <c r="TZM191" s="50"/>
      <c r="TZN191" s="50"/>
      <c r="TZO191" s="50"/>
      <c r="TZP191" s="50"/>
      <c r="TZQ191" s="50"/>
      <c r="TZR191" s="50"/>
      <c r="TZS191" s="50"/>
      <c r="TZT191" s="50"/>
      <c r="TZU191" s="50"/>
      <c r="TZV191" s="50"/>
      <c r="TZW191" s="50"/>
      <c r="TZX191" s="50"/>
      <c r="TZY191" s="50"/>
      <c r="TZZ191" s="50"/>
      <c r="UAA191" s="50"/>
      <c r="UAB191" s="50"/>
      <c r="UAC191" s="50"/>
      <c r="UAD191" s="50"/>
      <c r="UAE191" s="50"/>
      <c r="UAF191" s="50"/>
      <c r="UAG191" s="50"/>
      <c r="UAH191" s="50"/>
      <c r="UAI191" s="50"/>
      <c r="UAJ191" s="50"/>
      <c r="UAK191" s="50"/>
      <c r="UAL191" s="50"/>
      <c r="UAM191" s="50"/>
      <c r="UAN191" s="50"/>
      <c r="UAO191" s="50"/>
      <c r="UAP191" s="50"/>
      <c r="UAQ191" s="50"/>
      <c r="UAR191" s="50"/>
      <c r="UAS191" s="50"/>
      <c r="UAT191" s="50"/>
      <c r="UAU191" s="50"/>
      <c r="UAV191" s="50"/>
      <c r="UAW191" s="50"/>
      <c r="UAX191" s="50"/>
      <c r="UAY191" s="50"/>
      <c r="UAZ191" s="50"/>
      <c r="UBA191" s="50"/>
      <c r="UBB191" s="50"/>
      <c r="UBC191" s="50"/>
      <c r="UBD191" s="50"/>
      <c r="UBE191" s="50"/>
      <c r="UBF191" s="50"/>
      <c r="UBG191" s="50"/>
      <c r="UBH191" s="50"/>
      <c r="UBI191" s="50"/>
      <c r="UBJ191" s="50"/>
      <c r="UBK191" s="50"/>
      <c r="UBL191" s="50"/>
      <c r="UBM191" s="50"/>
      <c r="UBN191" s="50"/>
      <c r="UBO191" s="50"/>
      <c r="UBP191" s="50"/>
      <c r="UBQ191" s="50"/>
      <c r="UBR191" s="50"/>
      <c r="UBS191" s="50"/>
      <c r="UBT191" s="50"/>
      <c r="UBU191" s="50"/>
      <c r="UBV191" s="50"/>
      <c r="UBW191" s="50"/>
      <c r="UBX191" s="50"/>
      <c r="UBY191" s="50"/>
      <c r="UBZ191" s="50"/>
      <c r="UCA191" s="50"/>
      <c r="UCB191" s="50"/>
      <c r="UCC191" s="50"/>
      <c r="UCD191" s="50"/>
      <c r="UCE191" s="50"/>
      <c r="UCF191" s="50"/>
      <c r="UCG191" s="50"/>
      <c r="UCH191" s="50"/>
      <c r="UCI191" s="50"/>
      <c r="UCJ191" s="50"/>
      <c r="UCK191" s="50"/>
      <c r="UCL191" s="50"/>
      <c r="UCM191" s="50"/>
      <c r="UCN191" s="50"/>
      <c r="UCO191" s="50"/>
      <c r="UCP191" s="50"/>
      <c r="UCQ191" s="50"/>
      <c r="UCR191" s="50"/>
      <c r="UCS191" s="50"/>
      <c r="UCT191" s="50"/>
      <c r="UCU191" s="50"/>
      <c r="UCV191" s="50"/>
      <c r="UCW191" s="50"/>
      <c r="UCX191" s="50"/>
      <c r="UCY191" s="50"/>
      <c r="UCZ191" s="50"/>
      <c r="UDA191" s="50"/>
      <c r="UDB191" s="50"/>
      <c r="UDC191" s="50"/>
      <c r="UDD191" s="50"/>
      <c r="UDE191" s="50"/>
      <c r="UDF191" s="50"/>
      <c r="UDG191" s="50"/>
      <c r="UDH191" s="50"/>
      <c r="UDI191" s="50"/>
      <c r="UDJ191" s="50"/>
      <c r="UDK191" s="50"/>
      <c r="UDL191" s="50"/>
      <c r="UDM191" s="50"/>
      <c r="UDN191" s="50"/>
      <c r="UDO191" s="50"/>
      <c r="UDP191" s="50"/>
      <c r="UDQ191" s="50"/>
      <c r="UDR191" s="50"/>
      <c r="UDS191" s="50"/>
      <c r="UDT191" s="50"/>
      <c r="UDU191" s="50"/>
      <c r="UDV191" s="50"/>
      <c r="UDW191" s="50"/>
      <c r="UDX191" s="50"/>
      <c r="UDY191" s="50"/>
      <c r="UDZ191" s="50"/>
      <c r="UEA191" s="50"/>
      <c r="UEB191" s="50"/>
      <c r="UEC191" s="50"/>
      <c r="UED191" s="50"/>
      <c r="UEE191" s="50"/>
      <c r="UEF191" s="50"/>
      <c r="UEG191" s="50"/>
      <c r="UEH191" s="50"/>
      <c r="UEI191" s="50"/>
      <c r="UEJ191" s="50"/>
      <c r="UEK191" s="50"/>
      <c r="UEL191" s="50"/>
      <c r="UEM191" s="50"/>
      <c r="UEN191" s="50"/>
      <c r="UEO191" s="50"/>
      <c r="UEP191" s="50"/>
      <c r="UEQ191" s="50"/>
      <c r="UER191" s="50"/>
      <c r="UES191" s="50"/>
      <c r="UET191" s="50"/>
      <c r="UEU191" s="50"/>
      <c r="UEV191" s="50"/>
      <c r="UEW191" s="50"/>
      <c r="UEX191" s="50"/>
      <c r="UEY191" s="50"/>
      <c r="UEZ191" s="50"/>
      <c r="UFA191" s="50"/>
      <c r="UFB191" s="50"/>
      <c r="UFC191" s="50"/>
      <c r="UFD191" s="50"/>
      <c r="UFE191" s="50"/>
      <c r="UFF191" s="50"/>
      <c r="UFG191" s="50"/>
      <c r="UFH191" s="50"/>
      <c r="UFI191" s="50"/>
      <c r="UFJ191" s="50"/>
      <c r="UFK191" s="50"/>
      <c r="UFL191" s="50"/>
      <c r="UFM191" s="50"/>
      <c r="UFN191" s="50"/>
      <c r="UFO191" s="50"/>
      <c r="UFP191" s="50"/>
      <c r="UFQ191" s="50"/>
      <c r="UFR191" s="50"/>
      <c r="UFS191" s="50"/>
      <c r="UFT191" s="50"/>
      <c r="UFU191" s="50"/>
      <c r="UFV191" s="50"/>
      <c r="UFW191" s="50"/>
      <c r="UFX191" s="50"/>
      <c r="UFY191" s="50"/>
      <c r="UFZ191" s="50"/>
      <c r="UGA191" s="50"/>
      <c r="UGB191" s="50"/>
      <c r="UGC191" s="50"/>
      <c r="UGD191" s="50"/>
      <c r="UGE191" s="50"/>
      <c r="UGF191" s="50"/>
      <c r="UGG191" s="50"/>
      <c r="UGH191" s="50"/>
      <c r="UGI191" s="50"/>
      <c r="UGJ191" s="50"/>
      <c r="UGK191" s="50"/>
      <c r="UGL191" s="50"/>
      <c r="UGM191" s="50"/>
      <c r="UGN191" s="50"/>
      <c r="UGO191" s="50"/>
      <c r="UGP191" s="50"/>
      <c r="UGQ191" s="50"/>
      <c r="UGR191" s="50"/>
      <c r="UGS191" s="50"/>
      <c r="UGT191" s="50"/>
      <c r="UGU191" s="50"/>
      <c r="UGV191" s="50"/>
      <c r="UGW191" s="50"/>
      <c r="UGX191" s="50"/>
      <c r="UGY191" s="50"/>
      <c r="UGZ191" s="50"/>
      <c r="UHA191" s="50"/>
      <c r="UHB191" s="50"/>
      <c r="UHC191" s="50"/>
      <c r="UHD191" s="50"/>
      <c r="UHE191" s="50"/>
      <c r="UHF191" s="50"/>
      <c r="UHG191" s="50"/>
      <c r="UHH191" s="50"/>
      <c r="UHI191" s="50"/>
      <c r="UHJ191" s="50"/>
      <c r="UHK191" s="50"/>
      <c r="UHL191" s="50"/>
      <c r="UHM191" s="50"/>
      <c r="UHN191" s="50"/>
      <c r="UHO191" s="50"/>
      <c r="UHP191" s="50"/>
      <c r="UHQ191" s="50"/>
      <c r="UHR191" s="50"/>
      <c r="UHS191" s="50"/>
      <c r="UHT191" s="50"/>
      <c r="UHU191" s="50"/>
      <c r="UHV191" s="50"/>
      <c r="UHW191" s="50"/>
      <c r="UHX191" s="50"/>
      <c r="UHY191" s="50"/>
      <c r="UHZ191" s="50"/>
      <c r="UIA191" s="50"/>
      <c r="UIB191" s="50"/>
      <c r="UIC191" s="50"/>
      <c r="UID191" s="50"/>
      <c r="UIE191" s="50"/>
      <c r="UIF191" s="50"/>
      <c r="UIG191" s="50"/>
      <c r="UIH191" s="50"/>
      <c r="UII191" s="50"/>
      <c r="UIJ191" s="50"/>
      <c r="UIK191" s="50"/>
      <c r="UIL191" s="50"/>
      <c r="UIM191" s="50"/>
      <c r="UIN191" s="50"/>
      <c r="UIO191" s="50"/>
      <c r="UIP191" s="50"/>
      <c r="UIQ191" s="50"/>
      <c r="UIR191" s="50"/>
      <c r="UIS191" s="50"/>
      <c r="UIT191" s="50"/>
      <c r="UIU191" s="50"/>
      <c r="UIV191" s="50"/>
      <c r="UIW191" s="50"/>
      <c r="UIX191" s="50"/>
      <c r="UIY191" s="50"/>
      <c r="UIZ191" s="50"/>
      <c r="UJA191" s="50"/>
      <c r="UJB191" s="50"/>
      <c r="UJC191" s="50"/>
      <c r="UJD191" s="50"/>
      <c r="UJE191" s="50"/>
      <c r="UJF191" s="50"/>
      <c r="UJG191" s="50"/>
      <c r="UJH191" s="50"/>
      <c r="UJI191" s="50"/>
      <c r="UJJ191" s="50"/>
      <c r="UJK191" s="50"/>
      <c r="UJL191" s="50"/>
      <c r="UJM191" s="50"/>
      <c r="UJN191" s="50"/>
      <c r="UJO191" s="50"/>
      <c r="UJP191" s="50"/>
      <c r="UJQ191" s="50"/>
      <c r="UJR191" s="50"/>
      <c r="UJS191" s="50"/>
      <c r="UJT191" s="50"/>
      <c r="UJU191" s="50"/>
      <c r="UJV191" s="50"/>
      <c r="UJW191" s="50"/>
      <c r="UJX191" s="50"/>
      <c r="UJY191" s="50"/>
      <c r="UJZ191" s="50"/>
      <c r="UKA191" s="50"/>
      <c r="UKB191" s="50"/>
      <c r="UKC191" s="50"/>
      <c r="UKD191" s="50"/>
      <c r="UKE191" s="50"/>
      <c r="UKF191" s="50"/>
      <c r="UKG191" s="50"/>
      <c r="UKH191" s="50"/>
      <c r="UKI191" s="50"/>
      <c r="UKJ191" s="50"/>
      <c r="UKK191" s="50"/>
      <c r="UKL191" s="50"/>
      <c r="UKM191" s="50"/>
      <c r="UKN191" s="50"/>
      <c r="UKO191" s="50"/>
      <c r="UKP191" s="50"/>
      <c r="UKQ191" s="50"/>
      <c r="UKR191" s="50"/>
      <c r="UKS191" s="50"/>
      <c r="UKT191" s="50"/>
      <c r="UKU191" s="50"/>
      <c r="UKV191" s="50"/>
      <c r="UKW191" s="50"/>
      <c r="UKX191" s="50"/>
      <c r="UKY191" s="50"/>
      <c r="UKZ191" s="50"/>
      <c r="ULA191" s="50"/>
      <c r="ULB191" s="50"/>
      <c r="ULC191" s="50"/>
      <c r="ULD191" s="50"/>
      <c r="ULE191" s="50"/>
      <c r="ULF191" s="50"/>
      <c r="ULG191" s="50"/>
      <c r="ULH191" s="50"/>
      <c r="ULI191" s="50"/>
      <c r="ULJ191" s="50"/>
      <c r="ULK191" s="50"/>
      <c r="ULL191" s="50"/>
      <c r="ULM191" s="50"/>
      <c r="ULN191" s="50"/>
      <c r="ULO191" s="50"/>
      <c r="ULP191" s="50"/>
      <c r="ULQ191" s="50"/>
      <c r="ULR191" s="50"/>
      <c r="ULS191" s="50"/>
      <c r="ULT191" s="50"/>
      <c r="ULU191" s="50"/>
      <c r="ULV191" s="50"/>
      <c r="ULW191" s="50"/>
      <c r="ULX191" s="50"/>
      <c r="ULY191" s="50"/>
      <c r="ULZ191" s="50"/>
      <c r="UMA191" s="50"/>
      <c r="UMB191" s="50"/>
      <c r="UMC191" s="50"/>
      <c r="UMD191" s="50"/>
      <c r="UME191" s="50"/>
      <c r="UMF191" s="50"/>
      <c r="UMG191" s="50"/>
      <c r="UMH191" s="50"/>
      <c r="UMI191" s="50"/>
      <c r="UMJ191" s="50"/>
      <c r="UMK191" s="50"/>
      <c r="UML191" s="50"/>
      <c r="UMM191" s="50"/>
      <c r="UMN191" s="50"/>
      <c r="UMO191" s="50"/>
      <c r="UMP191" s="50"/>
      <c r="UMQ191" s="50"/>
      <c r="UMR191" s="50"/>
      <c r="UMS191" s="50"/>
      <c r="UMT191" s="50"/>
      <c r="UMU191" s="50"/>
      <c r="UMV191" s="50"/>
      <c r="UMW191" s="50"/>
      <c r="UMX191" s="50"/>
      <c r="UMY191" s="50"/>
      <c r="UMZ191" s="50"/>
      <c r="UNA191" s="50"/>
      <c r="UNB191" s="50"/>
      <c r="UNC191" s="50"/>
      <c r="UND191" s="50"/>
      <c r="UNE191" s="50"/>
      <c r="UNF191" s="50"/>
      <c r="UNG191" s="50"/>
      <c r="UNH191" s="50"/>
      <c r="UNI191" s="50"/>
      <c r="UNJ191" s="50"/>
      <c r="UNK191" s="50"/>
      <c r="UNL191" s="50"/>
      <c r="UNM191" s="50"/>
      <c r="UNN191" s="50"/>
      <c r="UNO191" s="50"/>
      <c r="UNP191" s="50"/>
      <c r="UNQ191" s="50"/>
      <c r="UNR191" s="50"/>
      <c r="UNS191" s="50"/>
      <c r="UNT191" s="50"/>
      <c r="UNU191" s="50"/>
      <c r="UNV191" s="50"/>
      <c r="UNW191" s="50"/>
      <c r="UNX191" s="50"/>
      <c r="UNY191" s="50"/>
      <c r="UNZ191" s="50"/>
      <c r="UOA191" s="50"/>
      <c r="UOB191" s="50"/>
      <c r="UOC191" s="50"/>
      <c r="UOD191" s="50"/>
      <c r="UOE191" s="50"/>
      <c r="UOF191" s="50"/>
      <c r="UOG191" s="50"/>
      <c r="UOH191" s="50"/>
      <c r="UOI191" s="50"/>
      <c r="UOJ191" s="50"/>
      <c r="UOK191" s="50"/>
      <c r="UOL191" s="50"/>
      <c r="UOM191" s="50"/>
      <c r="UON191" s="50"/>
      <c r="UOO191" s="50"/>
      <c r="UOP191" s="50"/>
      <c r="UOQ191" s="50"/>
      <c r="UOR191" s="50"/>
      <c r="UOS191" s="50"/>
      <c r="UOT191" s="50"/>
      <c r="UOU191" s="50"/>
      <c r="UOV191" s="50"/>
      <c r="UOW191" s="50"/>
      <c r="UOX191" s="50"/>
      <c r="UOY191" s="50"/>
      <c r="UOZ191" s="50"/>
      <c r="UPA191" s="50"/>
      <c r="UPB191" s="50"/>
      <c r="UPC191" s="50"/>
      <c r="UPD191" s="50"/>
      <c r="UPE191" s="50"/>
      <c r="UPF191" s="50"/>
      <c r="UPG191" s="50"/>
      <c r="UPH191" s="50"/>
      <c r="UPI191" s="50"/>
      <c r="UPJ191" s="50"/>
      <c r="UPK191" s="50"/>
      <c r="UPL191" s="50"/>
      <c r="UPM191" s="50"/>
      <c r="UPN191" s="50"/>
      <c r="UPO191" s="50"/>
      <c r="UPP191" s="50"/>
      <c r="UPQ191" s="50"/>
      <c r="UPR191" s="50"/>
      <c r="UPS191" s="50"/>
      <c r="UPT191" s="50"/>
      <c r="UPU191" s="50"/>
      <c r="UPV191" s="50"/>
      <c r="UPW191" s="50"/>
      <c r="UPX191" s="50"/>
      <c r="UPY191" s="50"/>
      <c r="UPZ191" s="50"/>
      <c r="UQA191" s="50"/>
      <c r="UQB191" s="50"/>
      <c r="UQC191" s="50"/>
      <c r="UQD191" s="50"/>
      <c r="UQE191" s="50"/>
      <c r="UQF191" s="50"/>
      <c r="UQG191" s="50"/>
      <c r="UQH191" s="50"/>
      <c r="UQI191" s="50"/>
      <c r="UQJ191" s="50"/>
      <c r="UQK191" s="50"/>
      <c r="UQL191" s="50"/>
      <c r="UQM191" s="50"/>
      <c r="UQN191" s="50"/>
      <c r="UQO191" s="50"/>
      <c r="UQP191" s="50"/>
      <c r="UQQ191" s="50"/>
      <c r="UQR191" s="50"/>
      <c r="UQS191" s="50"/>
      <c r="UQT191" s="50"/>
      <c r="UQU191" s="50"/>
      <c r="UQV191" s="50"/>
      <c r="UQW191" s="50"/>
      <c r="UQX191" s="50"/>
      <c r="UQY191" s="50"/>
      <c r="UQZ191" s="50"/>
      <c r="URA191" s="50"/>
      <c r="URB191" s="50"/>
      <c r="URC191" s="50"/>
      <c r="URD191" s="50"/>
      <c r="URE191" s="50"/>
      <c r="URF191" s="50"/>
      <c r="URG191" s="50"/>
      <c r="URH191" s="50"/>
      <c r="URI191" s="50"/>
      <c r="URJ191" s="50"/>
      <c r="URK191" s="50"/>
      <c r="URL191" s="50"/>
      <c r="URM191" s="50"/>
      <c r="URN191" s="50"/>
      <c r="URO191" s="50"/>
      <c r="URP191" s="50"/>
      <c r="URQ191" s="50"/>
      <c r="URR191" s="50"/>
      <c r="URS191" s="50"/>
      <c r="URT191" s="50"/>
      <c r="URU191" s="50"/>
      <c r="URV191" s="50"/>
      <c r="URW191" s="50"/>
      <c r="URX191" s="50"/>
      <c r="URY191" s="50"/>
      <c r="URZ191" s="50"/>
      <c r="USA191" s="50"/>
      <c r="USB191" s="50"/>
      <c r="USC191" s="50"/>
      <c r="USD191" s="50"/>
      <c r="USE191" s="50"/>
      <c r="USF191" s="50"/>
      <c r="USG191" s="50"/>
      <c r="USH191" s="50"/>
      <c r="USI191" s="50"/>
      <c r="USJ191" s="50"/>
      <c r="USK191" s="50"/>
      <c r="USL191" s="50"/>
      <c r="USM191" s="50"/>
      <c r="USN191" s="50"/>
      <c r="USO191" s="50"/>
      <c r="USP191" s="50"/>
      <c r="USQ191" s="50"/>
      <c r="USR191" s="50"/>
      <c r="USS191" s="50"/>
      <c r="UST191" s="50"/>
      <c r="USU191" s="50"/>
      <c r="USV191" s="50"/>
      <c r="USW191" s="50"/>
      <c r="USX191" s="50"/>
      <c r="USY191" s="50"/>
      <c r="USZ191" s="50"/>
      <c r="UTA191" s="50"/>
      <c r="UTB191" s="50"/>
      <c r="UTC191" s="50"/>
      <c r="UTD191" s="50"/>
      <c r="UTE191" s="50"/>
      <c r="UTF191" s="50"/>
      <c r="UTG191" s="50"/>
      <c r="UTH191" s="50"/>
      <c r="UTI191" s="50"/>
      <c r="UTJ191" s="50"/>
      <c r="UTK191" s="50"/>
      <c r="UTL191" s="50"/>
      <c r="UTM191" s="50"/>
      <c r="UTN191" s="50"/>
      <c r="UTO191" s="50"/>
      <c r="UTP191" s="50"/>
      <c r="UTQ191" s="50"/>
      <c r="UTR191" s="50"/>
      <c r="UTS191" s="50"/>
      <c r="UTT191" s="50"/>
      <c r="UTU191" s="50"/>
      <c r="UTV191" s="50"/>
      <c r="UTW191" s="50"/>
      <c r="UTX191" s="50"/>
      <c r="UTY191" s="50"/>
      <c r="UTZ191" s="50"/>
      <c r="UUA191" s="50"/>
      <c r="UUB191" s="50"/>
      <c r="UUC191" s="50"/>
      <c r="UUD191" s="50"/>
      <c r="UUE191" s="50"/>
      <c r="UUF191" s="50"/>
      <c r="UUG191" s="50"/>
      <c r="UUH191" s="50"/>
      <c r="UUI191" s="50"/>
      <c r="UUJ191" s="50"/>
      <c r="UUK191" s="50"/>
      <c r="UUL191" s="50"/>
      <c r="UUM191" s="50"/>
      <c r="UUN191" s="50"/>
      <c r="UUO191" s="50"/>
      <c r="UUP191" s="50"/>
      <c r="UUQ191" s="50"/>
      <c r="UUR191" s="50"/>
      <c r="UUS191" s="50"/>
      <c r="UUT191" s="50"/>
      <c r="UUU191" s="50"/>
      <c r="UUV191" s="50"/>
      <c r="UUW191" s="50"/>
      <c r="UUX191" s="50"/>
      <c r="UUY191" s="50"/>
      <c r="UUZ191" s="50"/>
      <c r="UVA191" s="50"/>
      <c r="UVB191" s="50"/>
      <c r="UVC191" s="50"/>
      <c r="UVD191" s="50"/>
      <c r="UVE191" s="50"/>
      <c r="UVF191" s="50"/>
      <c r="UVG191" s="50"/>
      <c r="UVH191" s="50"/>
      <c r="UVI191" s="50"/>
      <c r="UVJ191" s="50"/>
      <c r="UVK191" s="50"/>
      <c r="UVL191" s="50"/>
      <c r="UVM191" s="50"/>
      <c r="UVN191" s="50"/>
      <c r="UVO191" s="50"/>
      <c r="UVP191" s="50"/>
      <c r="UVQ191" s="50"/>
      <c r="UVR191" s="50"/>
      <c r="UVS191" s="50"/>
      <c r="UVT191" s="50"/>
      <c r="UVU191" s="50"/>
      <c r="UVV191" s="50"/>
      <c r="UVW191" s="50"/>
      <c r="UVX191" s="50"/>
      <c r="UVY191" s="50"/>
      <c r="UVZ191" s="50"/>
      <c r="UWA191" s="50"/>
      <c r="UWB191" s="50"/>
      <c r="UWC191" s="50"/>
      <c r="UWD191" s="50"/>
      <c r="UWE191" s="50"/>
      <c r="UWF191" s="50"/>
      <c r="UWG191" s="50"/>
      <c r="UWH191" s="50"/>
      <c r="UWI191" s="50"/>
      <c r="UWJ191" s="50"/>
      <c r="UWK191" s="50"/>
      <c r="UWL191" s="50"/>
      <c r="UWM191" s="50"/>
      <c r="UWN191" s="50"/>
      <c r="UWO191" s="50"/>
      <c r="UWP191" s="50"/>
      <c r="UWQ191" s="50"/>
      <c r="UWR191" s="50"/>
      <c r="UWS191" s="50"/>
      <c r="UWT191" s="50"/>
      <c r="UWU191" s="50"/>
      <c r="UWV191" s="50"/>
      <c r="UWW191" s="50"/>
      <c r="UWX191" s="50"/>
      <c r="UWY191" s="50"/>
      <c r="UWZ191" s="50"/>
      <c r="UXA191" s="50"/>
      <c r="UXB191" s="50"/>
      <c r="UXC191" s="50"/>
      <c r="UXD191" s="50"/>
      <c r="UXE191" s="50"/>
      <c r="UXF191" s="50"/>
      <c r="UXG191" s="50"/>
      <c r="UXH191" s="50"/>
      <c r="UXI191" s="50"/>
      <c r="UXJ191" s="50"/>
      <c r="UXK191" s="50"/>
      <c r="UXL191" s="50"/>
      <c r="UXM191" s="50"/>
      <c r="UXN191" s="50"/>
      <c r="UXO191" s="50"/>
      <c r="UXP191" s="50"/>
      <c r="UXQ191" s="50"/>
      <c r="UXR191" s="50"/>
      <c r="UXS191" s="50"/>
      <c r="UXT191" s="50"/>
      <c r="UXU191" s="50"/>
      <c r="UXV191" s="50"/>
      <c r="UXW191" s="50"/>
      <c r="UXX191" s="50"/>
      <c r="UXY191" s="50"/>
      <c r="UXZ191" s="50"/>
      <c r="UYA191" s="50"/>
      <c r="UYB191" s="50"/>
      <c r="UYC191" s="50"/>
      <c r="UYD191" s="50"/>
      <c r="UYE191" s="50"/>
      <c r="UYF191" s="50"/>
      <c r="UYG191" s="50"/>
      <c r="UYH191" s="50"/>
      <c r="UYI191" s="50"/>
      <c r="UYJ191" s="50"/>
      <c r="UYK191" s="50"/>
      <c r="UYL191" s="50"/>
      <c r="UYM191" s="50"/>
      <c r="UYN191" s="50"/>
      <c r="UYO191" s="50"/>
      <c r="UYP191" s="50"/>
      <c r="UYQ191" s="50"/>
      <c r="UYR191" s="50"/>
      <c r="UYS191" s="50"/>
      <c r="UYT191" s="50"/>
      <c r="UYU191" s="50"/>
      <c r="UYV191" s="50"/>
      <c r="UYW191" s="50"/>
      <c r="UYX191" s="50"/>
      <c r="UYY191" s="50"/>
      <c r="UYZ191" s="50"/>
      <c r="UZA191" s="50"/>
      <c r="UZB191" s="50"/>
      <c r="UZC191" s="50"/>
      <c r="UZD191" s="50"/>
      <c r="UZE191" s="50"/>
      <c r="UZF191" s="50"/>
      <c r="UZG191" s="50"/>
      <c r="UZH191" s="50"/>
      <c r="UZI191" s="50"/>
      <c r="UZJ191" s="50"/>
      <c r="UZK191" s="50"/>
      <c r="UZL191" s="50"/>
      <c r="UZM191" s="50"/>
      <c r="UZN191" s="50"/>
      <c r="UZO191" s="50"/>
      <c r="UZP191" s="50"/>
      <c r="UZQ191" s="50"/>
      <c r="UZR191" s="50"/>
      <c r="UZS191" s="50"/>
      <c r="UZT191" s="50"/>
      <c r="UZU191" s="50"/>
      <c r="UZV191" s="50"/>
      <c r="UZW191" s="50"/>
      <c r="UZX191" s="50"/>
      <c r="UZY191" s="50"/>
      <c r="UZZ191" s="50"/>
      <c r="VAA191" s="50"/>
      <c r="VAB191" s="50"/>
      <c r="VAC191" s="50"/>
      <c r="VAD191" s="50"/>
      <c r="VAE191" s="50"/>
      <c r="VAF191" s="50"/>
      <c r="VAG191" s="50"/>
      <c r="VAH191" s="50"/>
      <c r="VAI191" s="50"/>
      <c r="VAJ191" s="50"/>
      <c r="VAK191" s="50"/>
      <c r="VAL191" s="50"/>
      <c r="VAM191" s="50"/>
      <c r="VAN191" s="50"/>
      <c r="VAO191" s="50"/>
      <c r="VAP191" s="50"/>
      <c r="VAQ191" s="50"/>
      <c r="VAR191" s="50"/>
      <c r="VAS191" s="50"/>
      <c r="VAT191" s="50"/>
      <c r="VAU191" s="50"/>
      <c r="VAV191" s="50"/>
      <c r="VAW191" s="50"/>
      <c r="VAX191" s="50"/>
      <c r="VAY191" s="50"/>
      <c r="VAZ191" s="50"/>
      <c r="VBA191" s="50"/>
      <c r="VBB191" s="50"/>
      <c r="VBC191" s="50"/>
      <c r="VBD191" s="50"/>
      <c r="VBE191" s="50"/>
      <c r="VBF191" s="50"/>
      <c r="VBG191" s="50"/>
      <c r="VBH191" s="50"/>
      <c r="VBI191" s="50"/>
      <c r="VBJ191" s="50"/>
      <c r="VBK191" s="50"/>
      <c r="VBL191" s="50"/>
      <c r="VBM191" s="50"/>
      <c r="VBN191" s="50"/>
      <c r="VBO191" s="50"/>
      <c r="VBP191" s="50"/>
      <c r="VBQ191" s="50"/>
      <c r="VBR191" s="50"/>
      <c r="VBS191" s="50"/>
      <c r="VBT191" s="50"/>
      <c r="VBU191" s="50"/>
      <c r="VBV191" s="50"/>
      <c r="VBW191" s="50"/>
      <c r="VBX191" s="50"/>
      <c r="VBY191" s="50"/>
      <c r="VBZ191" s="50"/>
      <c r="VCA191" s="50"/>
      <c r="VCB191" s="50"/>
      <c r="VCC191" s="50"/>
      <c r="VCD191" s="50"/>
      <c r="VCE191" s="50"/>
      <c r="VCF191" s="50"/>
      <c r="VCG191" s="50"/>
      <c r="VCH191" s="50"/>
      <c r="VCI191" s="50"/>
      <c r="VCJ191" s="50"/>
      <c r="VCK191" s="50"/>
      <c r="VCL191" s="50"/>
      <c r="VCM191" s="50"/>
      <c r="VCN191" s="50"/>
      <c r="VCO191" s="50"/>
      <c r="VCP191" s="50"/>
      <c r="VCQ191" s="50"/>
      <c r="VCR191" s="50"/>
      <c r="VCS191" s="50"/>
      <c r="VCT191" s="50"/>
      <c r="VCU191" s="50"/>
      <c r="VCV191" s="50"/>
      <c r="VCW191" s="50"/>
      <c r="VCX191" s="50"/>
      <c r="VCY191" s="50"/>
      <c r="VCZ191" s="50"/>
      <c r="VDA191" s="50"/>
      <c r="VDB191" s="50"/>
      <c r="VDC191" s="50"/>
      <c r="VDD191" s="50"/>
      <c r="VDE191" s="50"/>
      <c r="VDF191" s="50"/>
      <c r="VDG191" s="50"/>
      <c r="VDH191" s="50"/>
      <c r="VDI191" s="50"/>
      <c r="VDJ191" s="50"/>
      <c r="VDK191" s="50"/>
      <c r="VDL191" s="50"/>
      <c r="VDM191" s="50"/>
      <c r="VDN191" s="50"/>
      <c r="VDO191" s="50"/>
      <c r="VDP191" s="50"/>
      <c r="VDQ191" s="50"/>
      <c r="VDR191" s="50"/>
      <c r="VDS191" s="50"/>
      <c r="VDT191" s="50"/>
      <c r="VDU191" s="50"/>
      <c r="VDV191" s="50"/>
      <c r="VDW191" s="50"/>
      <c r="VDX191" s="50"/>
      <c r="VDY191" s="50"/>
      <c r="VDZ191" s="50"/>
      <c r="VEA191" s="50"/>
      <c r="VEB191" s="50"/>
      <c r="VEC191" s="50"/>
      <c r="VED191" s="50"/>
      <c r="VEE191" s="50"/>
      <c r="VEF191" s="50"/>
      <c r="VEG191" s="50"/>
      <c r="VEH191" s="50"/>
      <c r="VEI191" s="50"/>
      <c r="VEJ191" s="50"/>
      <c r="VEK191" s="50"/>
      <c r="VEL191" s="50"/>
      <c r="VEM191" s="50"/>
      <c r="VEN191" s="50"/>
      <c r="VEO191" s="50"/>
      <c r="VEP191" s="50"/>
      <c r="VEQ191" s="50"/>
      <c r="VER191" s="50"/>
      <c r="VES191" s="50"/>
      <c r="VET191" s="50"/>
      <c r="VEU191" s="50"/>
      <c r="VEV191" s="50"/>
      <c r="VEW191" s="50"/>
      <c r="VEX191" s="50"/>
      <c r="VEY191" s="50"/>
      <c r="VEZ191" s="50"/>
      <c r="VFA191" s="50"/>
      <c r="VFB191" s="50"/>
      <c r="VFC191" s="50"/>
      <c r="VFD191" s="50"/>
      <c r="VFE191" s="50"/>
      <c r="VFF191" s="50"/>
      <c r="VFG191" s="50"/>
      <c r="VFH191" s="50"/>
      <c r="VFI191" s="50"/>
      <c r="VFJ191" s="50"/>
      <c r="VFK191" s="50"/>
      <c r="VFL191" s="50"/>
      <c r="VFM191" s="50"/>
      <c r="VFN191" s="50"/>
      <c r="VFO191" s="50"/>
      <c r="VFP191" s="50"/>
      <c r="VFQ191" s="50"/>
      <c r="VFR191" s="50"/>
      <c r="VFS191" s="50"/>
      <c r="VFT191" s="50"/>
      <c r="VFU191" s="50"/>
      <c r="VFV191" s="50"/>
      <c r="VFW191" s="50"/>
      <c r="VFX191" s="50"/>
      <c r="VFY191" s="50"/>
      <c r="VFZ191" s="50"/>
      <c r="VGA191" s="50"/>
      <c r="VGB191" s="50"/>
      <c r="VGC191" s="50"/>
      <c r="VGD191" s="50"/>
      <c r="VGE191" s="50"/>
      <c r="VGF191" s="50"/>
      <c r="VGG191" s="50"/>
      <c r="VGH191" s="50"/>
      <c r="VGI191" s="50"/>
      <c r="VGJ191" s="50"/>
      <c r="VGK191" s="50"/>
      <c r="VGL191" s="50"/>
      <c r="VGM191" s="50"/>
      <c r="VGN191" s="50"/>
      <c r="VGO191" s="50"/>
      <c r="VGP191" s="50"/>
      <c r="VGQ191" s="50"/>
      <c r="VGR191" s="50"/>
      <c r="VGS191" s="50"/>
      <c r="VGT191" s="50"/>
      <c r="VGU191" s="50"/>
      <c r="VGV191" s="50"/>
      <c r="VGW191" s="50"/>
      <c r="VGX191" s="50"/>
      <c r="VGY191" s="50"/>
      <c r="VGZ191" s="50"/>
      <c r="VHA191" s="50"/>
      <c r="VHB191" s="50"/>
      <c r="VHC191" s="50"/>
      <c r="VHD191" s="50"/>
      <c r="VHE191" s="50"/>
      <c r="VHF191" s="50"/>
      <c r="VHG191" s="50"/>
      <c r="VHH191" s="50"/>
      <c r="VHI191" s="50"/>
      <c r="VHJ191" s="50"/>
      <c r="VHK191" s="50"/>
      <c r="VHL191" s="50"/>
      <c r="VHM191" s="50"/>
      <c r="VHN191" s="50"/>
      <c r="VHO191" s="50"/>
      <c r="VHP191" s="50"/>
      <c r="VHQ191" s="50"/>
      <c r="VHR191" s="50"/>
      <c r="VHS191" s="50"/>
      <c r="VHT191" s="50"/>
      <c r="VHU191" s="50"/>
      <c r="VHV191" s="50"/>
      <c r="VHW191" s="50"/>
      <c r="VHX191" s="50"/>
      <c r="VHY191" s="50"/>
      <c r="VHZ191" s="50"/>
      <c r="VIA191" s="50"/>
      <c r="VIB191" s="50"/>
      <c r="VIC191" s="50"/>
      <c r="VID191" s="50"/>
      <c r="VIE191" s="50"/>
      <c r="VIF191" s="50"/>
      <c r="VIG191" s="50"/>
      <c r="VIH191" s="50"/>
      <c r="VII191" s="50"/>
      <c r="VIJ191" s="50"/>
      <c r="VIK191" s="50"/>
      <c r="VIL191" s="50"/>
      <c r="VIM191" s="50"/>
      <c r="VIN191" s="50"/>
      <c r="VIO191" s="50"/>
      <c r="VIP191" s="50"/>
      <c r="VIQ191" s="50"/>
      <c r="VIR191" s="50"/>
      <c r="VIS191" s="50"/>
      <c r="VIT191" s="50"/>
      <c r="VIU191" s="50"/>
      <c r="VIV191" s="50"/>
      <c r="VIW191" s="50"/>
      <c r="VIX191" s="50"/>
      <c r="VIY191" s="50"/>
      <c r="VIZ191" s="50"/>
      <c r="VJA191" s="50"/>
      <c r="VJB191" s="50"/>
      <c r="VJC191" s="50"/>
      <c r="VJD191" s="50"/>
      <c r="VJE191" s="50"/>
      <c r="VJF191" s="50"/>
      <c r="VJG191" s="50"/>
      <c r="VJH191" s="50"/>
      <c r="VJI191" s="50"/>
      <c r="VJJ191" s="50"/>
      <c r="VJK191" s="50"/>
      <c r="VJL191" s="50"/>
      <c r="VJM191" s="50"/>
      <c r="VJN191" s="50"/>
      <c r="VJO191" s="50"/>
      <c r="VJP191" s="50"/>
      <c r="VJQ191" s="50"/>
      <c r="VJR191" s="50"/>
      <c r="VJS191" s="50"/>
      <c r="VJT191" s="50"/>
      <c r="VJU191" s="50"/>
      <c r="VJV191" s="50"/>
      <c r="VJW191" s="50"/>
      <c r="VJX191" s="50"/>
      <c r="VJY191" s="50"/>
      <c r="VJZ191" s="50"/>
      <c r="VKA191" s="50"/>
      <c r="VKB191" s="50"/>
      <c r="VKC191" s="50"/>
      <c r="VKD191" s="50"/>
      <c r="VKE191" s="50"/>
      <c r="VKF191" s="50"/>
      <c r="VKG191" s="50"/>
      <c r="VKH191" s="50"/>
      <c r="VKI191" s="50"/>
      <c r="VKJ191" s="50"/>
      <c r="VKK191" s="50"/>
      <c r="VKL191" s="50"/>
      <c r="VKM191" s="50"/>
      <c r="VKN191" s="50"/>
      <c r="VKO191" s="50"/>
      <c r="VKP191" s="50"/>
      <c r="VKQ191" s="50"/>
      <c r="VKR191" s="50"/>
      <c r="VKS191" s="50"/>
      <c r="VKT191" s="50"/>
      <c r="VKU191" s="50"/>
      <c r="VKV191" s="50"/>
      <c r="VKW191" s="50"/>
      <c r="VKX191" s="50"/>
      <c r="VKY191" s="50"/>
      <c r="VKZ191" s="50"/>
      <c r="VLA191" s="50"/>
      <c r="VLB191" s="50"/>
      <c r="VLC191" s="50"/>
      <c r="VLD191" s="50"/>
      <c r="VLE191" s="50"/>
      <c r="VLF191" s="50"/>
      <c r="VLG191" s="50"/>
      <c r="VLH191" s="50"/>
      <c r="VLI191" s="50"/>
      <c r="VLJ191" s="50"/>
      <c r="VLK191" s="50"/>
      <c r="VLL191" s="50"/>
      <c r="VLM191" s="50"/>
      <c r="VLN191" s="50"/>
      <c r="VLO191" s="50"/>
      <c r="VLP191" s="50"/>
      <c r="VLQ191" s="50"/>
      <c r="VLR191" s="50"/>
      <c r="VLS191" s="50"/>
      <c r="VLT191" s="50"/>
      <c r="VLU191" s="50"/>
      <c r="VLV191" s="50"/>
      <c r="VLW191" s="50"/>
      <c r="VLX191" s="50"/>
      <c r="VLY191" s="50"/>
      <c r="VLZ191" s="50"/>
      <c r="VMA191" s="50"/>
      <c r="VMB191" s="50"/>
      <c r="VMC191" s="50"/>
      <c r="VMD191" s="50"/>
      <c r="VME191" s="50"/>
      <c r="VMF191" s="50"/>
      <c r="VMG191" s="50"/>
      <c r="VMH191" s="50"/>
      <c r="VMI191" s="50"/>
      <c r="VMJ191" s="50"/>
      <c r="VMK191" s="50"/>
      <c r="VML191" s="50"/>
      <c r="VMM191" s="50"/>
      <c r="VMN191" s="50"/>
      <c r="VMO191" s="50"/>
      <c r="VMP191" s="50"/>
      <c r="VMQ191" s="50"/>
      <c r="VMR191" s="50"/>
      <c r="VMS191" s="50"/>
      <c r="VMT191" s="50"/>
      <c r="VMU191" s="50"/>
      <c r="VMV191" s="50"/>
      <c r="VMW191" s="50"/>
      <c r="VMX191" s="50"/>
      <c r="VMY191" s="50"/>
      <c r="VMZ191" s="50"/>
      <c r="VNA191" s="50"/>
      <c r="VNB191" s="50"/>
      <c r="VNC191" s="50"/>
      <c r="VND191" s="50"/>
      <c r="VNE191" s="50"/>
      <c r="VNF191" s="50"/>
      <c r="VNG191" s="50"/>
      <c r="VNH191" s="50"/>
      <c r="VNI191" s="50"/>
      <c r="VNJ191" s="50"/>
      <c r="VNK191" s="50"/>
      <c r="VNL191" s="50"/>
      <c r="VNM191" s="50"/>
      <c r="VNN191" s="50"/>
      <c r="VNO191" s="50"/>
      <c r="VNP191" s="50"/>
      <c r="VNQ191" s="50"/>
      <c r="VNR191" s="50"/>
      <c r="VNS191" s="50"/>
      <c r="VNT191" s="50"/>
      <c r="VNU191" s="50"/>
      <c r="VNV191" s="50"/>
      <c r="VNW191" s="50"/>
      <c r="VNX191" s="50"/>
      <c r="VNY191" s="50"/>
      <c r="VNZ191" s="50"/>
      <c r="VOA191" s="50"/>
      <c r="VOB191" s="50"/>
      <c r="VOC191" s="50"/>
      <c r="VOD191" s="50"/>
      <c r="VOE191" s="50"/>
      <c r="VOF191" s="50"/>
      <c r="VOG191" s="50"/>
      <c r="VOH191" s="50"/>
      <c r="VOI191" s="50"/>
      <c r="VOJ191" s="50"/>
      <c r="VOK191" s="50"/>
      <c r="VOL191" s="50"/>
      <c r="VOM191" s="50"/>
      <c r="VON191" s="50"/>
      <c r="VOO191" s="50"/>
      <c r="VOP191" s="50"/>
      <c r="VOQ191" s="50"/>
      <c r="VOR191" s="50"/>
      <c r="VOS191" s="50"/>
      <c r="VOT191" s="50"/>
      <c r="VOU191" s="50"/>
      <c r="VOV191" s="50"/>
      <c r="VOW191" s="50"/>
      <c r="VOX191" s="50"/>
      <c r="VOY191" s="50"/>
      <c r="VOZ191" s="50"/>
      <c r="VPA191" s="50"/>
      <c r="VPB191" s="50"/>
      <c r="VPC191" s="50"/>
      <c r="VPD191" s="50"/>
      <c r="VPE191" s="50"/>
      <c r="VPF191" s="50"/>
      <c r="VPG191" s="50"/>
      <c r="VPH191" s="50"/>
      <c r="VPI191" s="50"/>
      <c r="VPJ191" s="50"/>
      <c r="VPK191" s="50"/>
      <c r="VPL191" s="50"/>
      <c r="VPM191" s="50"/>
      <c r="VPN191" s="50"/>
      <c r="VPO191" s="50"/>
      <c r="VPP191" s="50"/>
      <c r="VPQ191" s="50"/>
      <c r="VPR191" s="50"/>
      <c r="VPS191" s="50"/>
      <c r="VPT191" s="50"/>
      <c r="VPU191" s="50"/>
      <c r="VPV191" s="50"/>
      <c r="VPW191" s="50"/>
      <c r="VPX191" s="50"/>
      <c r="VPY191" s="50"/>
      <c r="VPZ191" s="50"/>
      <c r="VQA191" s="50"/>
      <c r="VQB191" s="50"/>
      <c r="VQC191" s="50"/>
      <c r="VQD191" s="50"/>
      <c r="VQE191" s="50"/>
      <c r="VQF191" s="50"/>
      <c r="VQG191" s="50"/>
      <c r="VQH191" s="50"/>
      <c r="VQI191" s="50"/>
      <c r="VQJ191" s="50"/>
      <c r="VQK191" s="50"/>
      <c r="VQL191" s="50"/>
      <c r="VQM191" s="50"/>
      <c r="VQN191" s="50"/>
      <c r="VQO191" s="50"/>
      <c r="VQP191" s="50"/>
      <c r="VQQ191" s="50"/>
      <c r="VQR191" s="50"/>
      <c r="VQS191" s="50"/>
      <c r="VQT191" s="50"/>
      <c r="VQU191" s="50"/>
      <c r="VQV191" s="50"/>
      <c r="VQW191" s="50"/>
      <c r="VQX191" s="50"/>
      <c r="VQY191" s="50"/>
      <c r="VQZ191" s="50"/>
      <c r="VRA191" s="50"/>
      <c r="VRB191" s="50"/>
      <c r="VRC191" s="50"/>
      <c r="VRD191" s="50"/>
      <c r="VRE191" s="50"/>
      <c r="VRF191" s="50"/>
      <c r="VRG191" s="50"/>
      <c r="VRH191" s="50"/>
      <c r="VRI191" s="50"/>
      <c r="VRJ191" s="50"/>
      <c r="VRK191" s="50"/>
      <c r="VRL191" s="50"/>
      <c r="VRM191" s="50"/>
      <c r="VRN191" s="50"/>
      <c r="VRO191" s="50"/>
      <c r="VRP191" s="50"/>
      <c r="VRQ191" s="50"/>
      <c r="VRR191" s="50"/>
      <c r="VRS191" s="50"/>
      <c r="VRT191" s="50"/>
      <c r="VRU191" s="50"/>
      <c r="VRV191" s="50"/>
      <c r="VRW191" s="50"/>
      <c r="VRX191" s="50"/>
      <c r="VRY191" s="50"/>
      <c r="VRZ191" s="50"/>
      <c r="VSA191" s="50"/>
      <c r="VSB191" s="50"/>
      <c r="VSC191" s="50"/>
      <c r="VSD191" s="50"/>
      <c r="VSE191" s="50"/>
      <c r="VSF191" s="50"/>
      <c r="VSG191" s="50"/>
      <c r="VSH191" s="50"/>
      <c r="VSI191" s="50"/>
      <c r="VSJ191" s="50"/>
      <c r="VSK191" s="50"/>
      <c r="VSL191" s="50"/>
      <c r="VSM191" s="50"/>
      <c r="VSN191" s="50"/>
      <c r="VSO191" s="50"/>
      <c r="VSP191" s="50"/>
      <c r="VSQ191" s="50"/>
      <c r="VSR191" s="50"/>
      <c r="VSS191" s="50"/>
      <c r="VST191" s="50"/>
      <c r="VSU191" s="50"/>
      <c r="VSV191" s="50"/>
      <c r="VSW191" s="50"/>
      <c r="VSX191" s="50"/>
      <c r="VSY191" s="50"/>
      <c r="VSZ191" s="50"/>
      <c r="VTA191" s="50"/>
      <c r="VTB191" s="50"/>
      <c r="VTC191" s="50"/>
      <c r="VTD191" s="50"/>
      <c r="VTE191" s="50"/>
      <c r="VTF191" s="50"/>
      <c r="VTG191" s="50"/>
      <c r="VTH191" s="50"/>
      <c r="VTI191" s="50"/>
      <c r="VTJ191" s="50"/>
      <c r="VTK191" s="50"/>
      <c r="VTL191" s="50"/>
      <c r="VTM191" s="50"/>
      <c r="VTN191" s="50"/>
      <c r="VTO191" s="50"/>
      <c r="VTP191" s="50"/>
      <c r="VTQ191" s="50"/>
      <c r="VTR191" s="50"/>
      <c r="VTS191" s="50"/>
      <c r="VTT191" s="50"/>
      <c r="VTU191" s="50"/>
      <c r="VTV191" s="50"/>
      <c r="VTW191" s="50"/>
      <c r="VTX191" s="50"/>
      <c r="VTY191" s="50"/>
      <c r="VTZ191" s="50"/>
      <c r="VUA191" s="50"/>
      <c r="VUB191" s="50"/>
      <c r="VUC191" s="50"/>
      <c r="VUD191" s="50"/>
      <c r="VUE191" s="50"/>
      <c r="VUF191" s="50"/>
      <c r="VUG191" s="50"/>
      <c r="VUH191" s="50"/>
      <c r="VUI191" s="50"/>
      <c r="VUJ191" s="50"/>
      <c r="VUK191" s="50"/>
      <c r="VUL191" s="50"/>
      <c r="VUM191" s="50"/>
      <c r="VUN191" s="50"/>
      <c r="VUO191" s="50"/>
      <c r="VUP191" s="50"/>
      <c r="VUQ191" s="50"/>
      <c r="VUR191" s="50"/>
      <c r="VUS191" s="50"/>
      <c r="VUT191" s="50"/>
      <c r="VUU191" s="50"/>
      <c r="VUV191" s="50"/>
      <c r="VUW191" s="50"/>
      <c r="VUX191" s="50"/>
      <c r="VUY191" s="50"/>
      <c r="VUZ191" s="50"/>
      <c r="VVA191" s="50"/>
      <c r="VVB191" s="50"/>
      <c r="VVC191" s="50"/>
      <c r="VVD191" s="50"/>
      <c r="VVE191" s="50"/>
      <c r="VVF191" s="50"/>
      <c r="VVG191" s="50"/>
      <c r="VVH191" s="50"/>
      <c r="VVI191" s="50"/>
      <c r="VVJ191" s="50"/>
      <c r="VVK191" s="50"/>
      <c r="VVL191" s="50"/>
      <c r="VVM191" s="50"/>
      <c r="VVN191" s="50"/>
      <c r="VVO191" s="50"/>
      <c r="VVP191" s="50"/>
      <c r="VVQ191" s="50"/>
      <c r="VVR191" s="50"/>
      <c r="VVS191" s="50"/>
      <c r="VVT191" s="50"/>
      <c r="VVU191" s="50"/>
      <c r="VVV191" s="50"/>
      <c r="VVW191" s="50"/>
      <c r="VVX191" s="50"/>
      <c r="VVY191" s="50"/>
      <c r="VVZ191" s="50"/>
      <c r="VWA191" s="50"/>
      <c r="VWB191" s="50"/>
      <c r="VWC191" s="50"/>
      <c r="VWD191" s="50"/>
      <c r="VWE191" s="50"/>
      <c r="VWF191" s="50"/>
      <c r="VWG191" s="50"/>
      <c r="VWH191" s="50"/>
      <c r="VWI191" s="50"/>
      <c r="VWJ191" s="50"/>
      <c r="VWK191" s="50"/>
      <c r="VWL191" s="50"/>
      <c r="VWM191" s="50"/>
      <c r="VWN191" s="50"/>
      <c r="VWO191" s="50"/>
      <c r="VWP191" s="50"/>
      <c r="VWQ191" s="50"/>
      <c r="VWR191" s="50"/>
      <c r="VWS191" s="50"/>
      <c r="VWT191" s="50"/>
      <c r="VWU191" s="50"/>
      <c r="VWV191" s="50"/>
      <c r="VWW191" s="50"/>
      <c r="VWX191" s="50"/>
      <c r="VWY191" s="50"/>
      <c r="VWZ191" s="50"/>
      <c r="VXA191" s="50"/>
      <c r="VXB191" s="50"/>
      <c r="VXC191" s="50"/>
      <c r="VXD191" s="50"/>
      <c r="VXE191" s="50"/>
      <c r="VXF191" s="50"/>
      <c r="VXG191" s="50"/>
      <c r="VXH191" s="50"/>
      <c r="VXI191" s="50"/>
      <c r="VXJ191" s="50"/>
      <c r="VXK191" s="50"/>
      <c r="VXL191" s="50"/>
      <c r="VXM191" s="50"/>
      <c r="VXN191" s="50"/>
      <c r="VXO191" s="50"/>
      <c r="VXP191" s="50"/>
      <c r="VXQ191" s="50"/>
      <c r="VXR191" s="50"/>
      <c r="VXS191" s="50"/>
      <c r="VXT191" s="50"/>
      <c r="VXU191" s="50"/>
      <c r="VXV191" s="50"/>
      <c r="VXW191" s="50"/>
      <c r="VXX191" s="50"/>
      <c r="VXY191" s="50"/>
      <c r="VXZ191" s="50"/>
      <c r="VYA191" s="50"/>
      <c r="VYB191" s="50"/>
      <c r="VYC191" s="50"/>
      <c r="VYD191" s="50"/>
      <c r="VYE191" s="50"/>
      <c r="VYF191" s="50"/>
      <c r="VYG191" s="50"/>
      <c r="VYH191" s="50"/>
      <c r="VYI191" s="50"/>
      <c r="VYJ191" s="50"/>
      <c r="VYK191" s="50"/>
      <c r="VYL191" s="50"/>
      <c r="VYM191" s="50"/>
      <c r="VYN191" s="50"/>
      <c r="VYO191" s="50"/>
      <c r="VYP191" s="50"/>
      <c r="VYQ191" s="50"/>
      <c r="VYR191" s="50"/>
      <c r="VYS191" s="50"/>
      <c r="VYT191" s="50"/>
      <c r="VYU191" s="50"/>
      <c r="VYV191" s="50"/>
      <c r="VYW191" s="50"/>
      <c r="VYX191" s="50"/>
      <c r="VYY191" s="50"/>
      <c r="VYZ191" s="50"/>
      <c r="VZA191" s="50"/>
      <c r="VZB191" s="50"/>
      <c r="VZC191" s="50"/>
      <c r="VZD191" s="50"/>
      <c r="VZE191" s="50"/>
      <c r="VZF191" s="50"/>
      <c r="VZG191" s="50"/>
      <c r="VZH191" s="50"/>
      <c r="VZI191" s="50"/>
      <c r="VZJ191" s="50"/>
      <c r="VZK191" s="50"/>
      <c r="VZL191" s="50"/>
      <c r="VZM191" s="50"/>
      <c r="VZN191" s="50"/>
      <c r="VZO191" s="50"/>
      <c r="VZP191" s="50"/>
      <c r="VZQ191" s="50"/>
      <c r="VZR191" s="50"/>
      <c r="VZS191" s="50"/>
      <c r="VZT191" s="50"/>
      <c r="VZU191" s="50"/>
      <c r="VZV191" s="50"/>
      <c r="VZW191" s="50"/>
      <c r="VZX191" s="50"/>
      <c r="VZY191" s="50"/>
      <c r="VZZ191" s="50"/>
      <c r="WAA191" s="50"/>
      <c r="WAB191" s="50"/>
      <c r="WAC191" s="50"/>
      <c r="WAD191" s="50"/>
      <c r="WAE191" s="50"/>
      <c r="WAF191" s="50"/>
      <c r="WAG191" s="50"/>
      <c r="WAH191" s="50"/>
      <c r="WAI191" s="50"/>
      <c r="WAJ191" s="50"/>
      <c r="WAK191" s="50"/>
      <c r="WAL191" s="50"/>
      <c r="WAM191" s="50"/>
      <c r="WAN191" s="50"/>
      <c r="WAO191" s="50"/>
      <c r="WAP191" s="50"/>
      <c r="WAQ191" s="50"/>
      <c r="WAR191" s="50"/>
      <c r="WAS191" s="50"/>
      <c r="WAT191" s="50"/>
      <c r="WAU191" s="50"/>
      <c r="WAV191" s="50"/>
      <c r="WAW191" s="50"/>
      <c r="WAX191" s="50"/>
      <c r="WAY191" s="50"/>
      <c r="WAZ191" s="50"/>
      <c r="WBA191" s="50"/>
      <c r="WBB191" s="50"/>
      <c r="WBC191" s="50"/>
      <c r="WBD191" s="50"/>
      <c r="WBE191" s="50"/>
      <c r="WBF191" s="50"/>
      <c r="WBG191" s="50"/>
      <c r="WBH191" s="50"/>
      <c r="WBI191" s="50"/>
      <c r="WBJ191" s="50"/>
      <c r="WBK191" s="50"/>
      <c r="WBL191" s="50"/>
      <c r="WBM191" s="50"/>
      <c r="WBN191" s="50"/>
      <c r="WBO191" s="50"/>
      <c r="WBP191" s="50"/>
      <c r="WBQ191" s="50"/>
      <c r="WBR191" s="50"/>
      <c r="WBS191" s="50"/>
      <c r="WBT191" s="50"/>
      <c r="WBU191" s="50"/>
      <c r="WBV191" s="50"/>
      <c r="WBW191" s="50"/>
      <c r="WBX191" s="50"/>
      <c r="WBY191" s="50"/>
      <c r="WBZ191" s="50"/>
      <c r="WCA191" s="50"/>
      <c r="WCB191" s="50"/>
      <c r="WCC191" s="50"/>
      <c r="WCD191" s="50"/>
      <c r="WCE191" s="50"/>
      <c r="WCF191" s="50"/>
      <c r="WCG191" s="50"/>
      <c r="WCH191" s="50"/>
      <c r="WCI191" s="50"/>
      <c r="WCJ191" s="50"/>
      <c r="WCK191" s="50"/>
      <c r="WCL191" s="50"/>
      <c r="WCM191" s="50"/>
      <c r="WCN191" s="50"/>
      <c r="WCO191" s="50"/>
      <c r="WCP191" s="50"/>
      <c r="WCQ191" s="50"/>
      <c r="WCR191" s="50"/>
      <c r="WCS191" s="50"/>
      <c r="WCT191" s="50"/>
      <c r="WCU191" s="50"/>
      <c r="WCV191" s="50"/>
      <c r="WCW191" s="50"/>
      <c r="WCX191" s="50"/>
      <c r="WCY191" s="50"/>
      <c r="WCZ191" s="50"/>
      <c r="WDA191" s="50"/>
      <c r="WDB191" s="50"/>
      <c r="WDC191" s="50"/>
      <c r="WDD191" s="50"/>
      <c r="WDE191" s="50"/>
      <c r="WDF191" s="50"/>
      <c r="WDG191" s="50"/>
      <c r="WDH191" s="50"/>
      <c r="WDI191" s="50"/>
      <c r="WDJ191" s="50"/>
      <c r="WDK191" s="50"/>
      <c r="WDL191" s="50"/>
      <c r="WDM191" s="50"/>
      <c r="WDN191" s="50"/>
      <c r="WDO191" s="50"/>
      <c r="WDP191" s="50"/>
      <c r="WDQ191" s="50"/>
      <c r="WDR191" s="50"/>
      <c r="WDS191" s="50"/>
      <c r="WDT191" s="50"/>
      <c r="WDU191" s="50"/>
      <c r="WDV191" s="50"/>
      <c r="WDW191" s="50"/>
      <c r="WDX191" s="50"/>
      <c r="WDY191" s="50"/>
      <c r="WDZ191" s="50"/>
      <c r="WEA191" s="50"/>
      <c r="WEB191" s="50"/>
      <c r="WEC191" s="50"/>
      <c r="WED191" s="50"/>
      <c r="WEE191" s="50"/>
      <c r="WEF191" s="50"/>
      <c r="WEG191" s="50"/>
      <c r="WEH191" s="50"/>
      <c r="WEI191" s="50"/>
      <c r="WEJ191" s="50"/>
      <c r="WEK191" s="50"/>
      <c r="WEL191" s="50"/>
      <c r="WEM191" s="50"/>
      <c r="WEN191" s="50"/>
      <c r="WEO191" s="50"/>
      <c r="WEP191" s="50"/>
      <c r="WEQ191" s="50"/>
      <c r="WER191" s="50"/>
      <c r="WES191" s="50"/>
      <c r="WET191" s="50"/>
      <c r="WEU191" s="50"/>
      <c r="WEV191" s="50"/>
      <c r="WEW191" s="50"/>
      <c r="WEX191" s="50"/>
      <c r="WEY191" s="50"/>
      <c r="WEZ191" s="50"/>
      <c r="WFA191" s="50"/>
      <c r="WFB191" s="50"/>
      <c r="WFC191" s="50"/>
      <c r="WFD191" s="50"/>
      <c r="WFE191" s="50"/>
      <c r="WFF191" s="50"/>
      <c r="WFG191" s="50"/>
      <c r="WFH191" s="50"/>
      <c r="WFI191" s="50"/>
      <c r="WFJ191" s="50"/>
      <c r="WFK191" s="50"/>
      <c r="WFL191" s="50"/>
      <c r="WFM191" s="50"/>
      <c r="WFN191" s="50"/>
      <c r="WFO191" s="50"/>
      <c r="WFP191" s="50"/>
      <c r="WFQ191" s="50"/>
      <c r="WFR191" s="50"/>
      <c r="WFS191" s="50"/>
      <c r="WFT191" s="50"/>
      <c r="WFU191" s="50"/>
      <c r="WFV191" s="50"/>
      <c r="WFW191" s="50"/>
      <c r="WFX191" s="50"/>
      <c r="WFY191" s="50"/>
      <c r="WFZ191" s="50"/>
      <c r="WGA191" s="50"/>
      <c r="WGB191" s="50"/>
      <c r="WGC191" s="50"/>
      <c r="WGD191" s="50"/>
      <c r="WGE191" s="50"/>
      <c r="WGF191" s="50"/>
      <c r="WGG191" s="50"/>
      <c r="WGH191" s="50"/>
      <c r="WGI191" s="50"/>
      <c r="WGJ191" s="50"/>
      <c r="WGK191" s="50"/>
      <c r="WGL191" s="50"/>
      <c r="WGM191" s="50"/>
      <c r="WGN191" s="50"/>
      <c r="WGO191" s="50"/>
      <c r="WGP191" s="50"/>
      <c r="WGQ191" s="50"/>
      <c r="WGR191" s="50"/>
      <c r="WGS191" s="50"/>
      <c r="WGT191" s="50"/>
      <c r="WGU191" s="50"/>
      <c r="WGV191" s="50"/>
      <c r="WGW191" s="50"/>
      <c r="WGX191" s="50"/>
      <c r="WGY191" s="50"/>
      <c r="WGZ191" s="50"/>
      <c r="WHA191" s="50"/>
      <c r="WHB191" s="50"/>
      <c r="WHC191" s="50"/>
      <c r="WHD191" s="50"/>
      <c r="WHE191" s="50"/>
      <c r="WHF191" s="50"/>
      <c r="WHG191" s="50"/>
      <c r="WHH191" s="50"/>
      <c r="WHI191" s="50"/>
      <c r="WHJ191" s="50"/>
      <c r="WHK191" s="50"/>
      <c r="WHL191" s="50"/>
      <c r="WHM191" s="50"/>
      <c r="WHN191" s="50"/>
      <c r="WHO191" s="50"/>
      <c r="WHP191" s="50"/>
      <c r="WHQ191" s="50"/>
      <c r="WHR191" s="50"/>
      <c r="WHS191" s="50"/>
      <c r="WHT191" s="50"/>
      <c r="WHU191" s="50"/>
      <c r="WHV191" s="50"/>
      <c r="WHW191" s="50"/>
      <c r="WHX191" s="50"/>
      <c r="WHY191" s="50"/>
      <c r="WHZ191" s="50"/>
      <c r="WIA191" s="50"/>
      <c r="WIB191" s="50"/>
      <c r="WIC191" s="50"/>
      <c r="WID191" s="50"/>
      <c r="WIE191" s="50"/>
      <c r="WIF191" s="50"/>
      <c r="WIG191" s="50"/>
      <c r="WIH191" s="50"/>
      <c r="WII191" s="50"/>
      <c r="WIJ191" s="50"/>
      <c r="WIK191" s="50"/>
      <c r="WIL191" s="50"/>
      <c r="WIM191" s="50"/>
      <c r="WIN191" s="50"/>
      <c r="WIO191" s="50"/>
      <c r="WIP191" s="50"/>
      <c r="WIQ191" s="50"/>
      <c r="WIR191" s="50"/>
      <c r="WIS191" s="50"/>
      <c r="WIT191" s="50"/>
      <c r="WIU191" s="50"/>
      <c r="WIV191" s="50"/>
      <c r="WIW191" s="50"/>
      <c r="WIX191" s="50"/>
      <c r="WIY191" s="50"/>
      <c r="WIZ191" s="50"/>
      <c r="WJA191" s="50"/>
      <c r="WJB191" s="50"/>
      <c r="WJC191" s="50"/>
      <c r="WJD191" s="50"/>
      <c r="WJE191" s="50"/>
      <c r="WJF191" s="50"/>
      <c r="WJG191" s="50"/>
      <c r="WJH191" s="50"/>
      <c r="WJI191" s="50"/>
      <c r="WJJ191" s="50"/>
      <c r="WJK191" s="50"/>
      <c r="WJL191" s="50"/>
      <c r="WJM191" s="50"/>
      <c r="WJN191" s="50"/>
      <c r="WJO191" s="50"/>
      <c r="WJP191" s="50"/>
      <c r="WJQ191" s="50"/>
      <c r="WJR191" s="50"/>
      <c r="WJS191" s="50"/>
      <c r="WJT191" s="50"/>
      <c r="WJU191" s="50"/>
      <c r="WJV191" s="50"/>
      <c r="WJW191" s="50"/>
      <c r="WJX191" s="50"/>
      <c r="WJY191" s="50"/>
      <c r="WJZ191" s="50"/>
      <c r="WKA191" s="50"/>
      <c r="WKB191" s="50"/>
      <c r="WKC191" s="50"/>
      <c r="WKD191" s="50"/>
      <c r="WKE191" s="50"/>
      <c r="WKF191" s="50"/>
      <c r="WKG191" s="50"/>
      <c r="WKH191" s="50"/>
      <c r="WKI191" s="50"/>
      <c r="WKJ191" s="50"/>
      <c r="WKK191" s="50"/>
      <c r="WKL191" s="50"/>
      <c r="WKM191" s="50"/>
      <c r="WKN191" s="50"/>
      <c r="WKO191" s="50"/>
      <c r="WKP191" s="50"/>
      <c r="WKQ191" s="50"/>
      <c r="WKR191" s="50"/>
      <c r="WKS191" s="50"/>
      <c r="WKT191" s="50"/>
      <c r="WKU191" s="50"/>
      <c r="WKV191" s="50"/>
      <c r="WKW191" s="50"/>
      <c r="WKX191" s="50"/>
      <c r="WKY191" s="50"/>
      <c r="WKZ191" s="50"/>
      <c r="WLA191" s="50"/>
      <c r="WLB191" s="50"/>
      <c r="WLC191" s="50"/>
      <c r="WLD191" s="50"/>
      <c r="WLE191" s="50"/>
      <c r="WLF191" s="50"/>
      <c r="WLG191" s="50"/>
      <c r="WLH191" s="50"/>
      <c r="WLI191" s="50"/>
      <c r="WLJ191" s="50"/>
      <c r="WLK191" s="50"/>
      <c r="WLL191" s="50"/>
      <c r="WLM191" s="50"/>
      <c r="WLN191" s="50"/>
      <c r="WLO191" s="50"/>
      <c r="WLP191" s="50"/>
      <c r="WLQ191" s="50"/>
      <c r="WLR191" s="50"/>
      <c r="WLS191" s="50"/>
      <c r="WLT191" s="50"/>
      <c r="WLU191" s="50"/>
      <c r="WLV191" s="50"/>
      <c r="WLW191" s="50"/>
      <c r="WLX191" s="50"/>
      <c r="WLY191" s="50"/>
      <c r="WLZ191" s="50"/>
      <c r="WMA191" s="50"/>
      <c r="WMB191" s="50"/>
      <c r="WMC191" s="50"/>
      <c r="WMD191" s="50"/>
      <c r="WME191" s="50"/>
      <c r="WMF191" s="50"/>
      <c r="WMG191" s="50"/>
      <c r="WMH191" s="50"/>
      <c r="WMI191" s="50"/>
      <c r="WMJ191" s="50"/>
      <c r="WMK191" s="50"/>
      <c r="WML191" s="50"/>
      <c r="WMM191" s="50"/>
      <c r="WMN191" s="50"/>
      <c r="WMO191" s="50"/>
      <c r="WMP191" s="50"/>
      <c r="WMQ191" s="50"/>
      <c r="WMR191" s="50"/>
      <c r="WMS191" s="50"/>
      <c r="WMT191" s="50"/>
      <c r="WMU191" s="50"/>
      <c r="WMV191" s="50"/>
      <c r="WMW191" s="50"/>
      <c r="WMX191" s="50"/>
      <c r="WMY191" s="50"/>
      <c r="WMZ191" s="50"/>
      <c r="WNA191" s="50"/>
      <c r="WNB191" s="50"/>
      <c r="WNC191" s="50"/>
      <c r="WND191" s="50"/>
      <c r="WNE191" s="50"/>
      <c r="WNF191" s="50"/>
      <c r="WNG191" s="50"/>
      <c r="WNH191" s="50"/>
      <c r="WNI191" s="50"/>
      <c r="WNJ191" s="50"/>
      <c r="WNK191" s="50"/>
      <c r="WNL191" s="50"/>
      <c r="WNM191" s="50"/>
      <c r="WNN191" s="50"/>
      <c r="WNO191" s="50"/>
      <c r="WNP191" s="50"/>
      <c r="WNQ191" s="50"/>
      <c r="WNR191" s="50"/>
      <c r="WNS191" s="50"/>
      <c r="WNT191" s="50"/>
      <c r="WNU191" s="50"/>
      <c r="WNV191" s="50"/>
      <c r="WNW191" s="50"/>
      <c r="WNX191" s="50"/>
      <c r="WNY191" s="50"/>
      <c r="WNZ191" s="50"/>
      <c r="WOA191" s="50"/>
      <c r="WOB191" s="50"/>
      <c r="WOC191" s="50"/>
      <c r="WOD191" s="50"/>
      <c r="WOE191" s="50"/>
      <c r="WOF191" s="50"/>
      <c r="WOG191" s="50"/>
      <c r="WOH191" s="50"/>
      <c r="WOI191" s="50"/>
      <c r="WOJ191" s="50"/>
      <c r="WOK191" s="50"/>
      <c r="WOL191" s="50"/>
      <c r="WOM191" s="50"/>
      <c r="WON191" s="50"/>
      <c r="WOO191" s="50"/>
      <c r="WOP191" s="50"/>
      <c r="WOQ191" s="50"/>
      <c r="WOR191" s="50"/>
      <c r="WOS191" s="50"/>
      <c r="WOT191" s="50"/>
      <c r="WOU191" s="50"/>
      <c r="WOV191" s="50"/>
      <c r="WOW191" s="50"/>
      <c r="WOX191" s="50"/>
      <c r="WOY191" s="50"/>
      <c r="WOZ191" s="50"/>
      <c r="WPA191" s="50"/>
      <c r="WPB191" s="50"/>
      <c r="WPC191" s="50"/>
      <c r="WPD191" s="50"/>
      <c r="WPE191" s="50"/>
      <c r="WPF191" s="50"/>
      <c r="WPG191" s="50"/>
      <c r="WPH191" s="50"/>
      <c r="WPI191" s="50"/>
      <c r="WPJ191" s="50"/>
      <c r="WPK191" s="50"/>
      <c r="WPL191" s="50"/>
      <c r="WPM191" s="50"/>
      <c r="WPN191" s="50"/>
      <c r="WPO191" s="50"/>
      <c r="WPP191" s="50"/>
      <c r="WPQ191" s="50"/>
      <c r="WPR191" s="50"/>
      <c r="WPS191" s="50"/>
      <c r="WPT191" s="50"/>
      <c r="WPU191" s="50"/>
      <c r="WPV191" s="50"/>
      <c r="WPW191" s="50"/>
      <c r="WPX191" s="50"/>
      <c r="WPY191" s="50"/>
      <c r="WPZ191" s="50"/>
      <c r="WQA191" s="50"/>
      <c r="WQB191" s="50"/>
      <c r="WQC191" s="50"/>
      <c r="WQD191" s="50"/>
      <c r="WQE191" s="50"/>
      <c r="WQF191" s="50"/>
      <c r="WQG191" s="50"/>
      <c r="WQH191" s="50"/>
      <c r="WQI191" s="50"/>
      <c r="WQJ191" s="50"/>
      <c r="WQK191" s="50"/>
      <c r="WQL191" s="50"/>
      <c r="WQM191" s="50"/>
      <c r="WQN191" s="50"/>
      <c r="WQO191" s="50"/>
      <c r="WQP191" s="50"/>
      <c r="WQQ191" s="50"/>
      <c r="WQR191" s="50"/>
      <c r="WQS191" s="50"/>
      <c r="WQT191" s="50"/>
      <c r="WQU191" s="50"/>
      <c r="WQV191" s="50"/>
      <c r="WQW191" s="50"/>
      <c r="WQX191" s="50"/>
      <c r="WQY191" s="50"/>
      <c r="WQZ191" s="50"/>
      <c r="WRA191" s="50"/>
      <c r="WRB191" s="50"/>
      <c r="WRC191" s="50"/>
      <c r="WRD191" s="50"/>
      <c r="WRE191" s="50"/>
      <c r="WRF191" s="50"/>
      <c r="WRG191" s="50"/>
      <c r="WRH191" s="50"/>
      <c r="WRI191" s="50"/>
      <c r="WRJ191" s="50"/>
      <c r="WRK191" s="50"/>
      <c r="WRL191" s="50"/>
      <c r="WRM191" s="50"/>
      <c r="WRN191" s="50"/>
      <c r="WRO191" s="50"/>
      <c r="WRP191" s="50"/>
      <c r="WRQ191" s="50"/>
      <c r="WRR191" s="50"/>
      <c r="WRS191" s="50"/>
      <c r="WRT191" s="50"/>
      <c r="WRU191" s="50"/>
      <c r="WRV191" s="50"/>
      <c r="WRW191" s="50"/>
      <c r="WRX191" s="50"/>
      <c r="WRY191" s="50"/>
      <c r="WRZ191" s="50"/>
      <c r="WSA191" s="50"/>
      <c r="WSB191" s="50"/>
      <c r="WSC191" s="50"/>
      <c r="WSD191" s="50"/>
      <c r="WSE191" s="50"/>
      <c r="WSF191" s="50"/>
      <c r="WSG191" s="50"/>
      <c r="WSH191" s="50"/>
      <c r="WSI191" s="50"/>
      <c r="WSJ191" s="50"/>
      <c r="WSK191" s="50"/>
      <c r="WSL191" s="50"/>
      <c r="WSM191" s="50"/>
      <c r="WSN191" s="50"/>
      <c r="WSO191" s="50"/>
      <c r="WSP191" s="50"/>
      <c r="WSQ191" s="50"/>
      <c r="WSR191" s="50"/>
      <c r="WSS191" s="50"/>
      <c r="WST191" s="50"/>
      <c r="WSU191" s="50"/>
      <c r="WSV191" s="50"/>
      <c r="WSW191" s="50"/>
      <c r="WSX191" s="50"/>
      <c r="WSY191" s="50"/>
      <c r="WSZ191" s="50"/>
      <c r="WTA191" s="50"/>
      <c r="WTB191" s="50"/>
      <c r="WTC191" s="50"/>
      <c r="WTD191" s="50"/>
      <c r="WTE191" s="50"/>
      <c r="WTF191" s="50"/>
      <c r="WTG191" s="50"/>
      <c r="WTH191" s="50"/>
      <c r="WTI191" s="50"/>
      <c r="WTJ191" s="50"/>
      <c r="WTK191" s="50"/>
      <c r="WTL191" s="50"/>
      <c r="WTM191" s="50"/>
      <c r="WTN191" s="50"/>
      <c r="WTO191" s="50"/>
      <c r="WTP191" s="50"/>
      <c r="WTQ191" s="50"/>
      <c r="WTR191" s="50"/>
      <c r="WTS191" s="50"/>
      <c r="WTT191" s="50"/>
      <c r="WTU191" s="50"/>
      <c r="WTV191" s="50"/>
      <c r="WTW191" s="50"/>
      <c r="WTX191" s="50"/>
      <c r="WTY191" s="50"/>
      <c r="WTZ191" s="50"/>
      <c r="WUA191" s="50"/>
      <c r="WUB191" s="50"/>
      <c r="WUC191" s="50"/>
      <c r="WUD191" s="50"/>
      <c r="WUE191" s="50"/>
      <c r="WUF191" s="50"/>
      <c r="WUG191" s="50"/>
      <c r="WUH191" s="50"/>
      <c r="WUI191" s="50"/>
      <c r="WUJ191" s="50"/>
      <c r="WUK191" s="50"/>
      <c r="WUL191" s="50"/>
      <c r="WUM191" s="50"/>
      <c r="WUN191" s="50"/>
      <c r="WUO191" s="50"/>
      <c r="WUP191" s="50"/>
      <c r="WUQ191" s="50"/>
      <c r="WUR191" s="50"/>
      <c r="WUS191" s="50"/>
      <c r="WUT191" s="50"/>
      <c r="WUU191" s="50"/>
      <c r="WUV191" s="50"/>
      <c r="WUW191" s="50"/>
      <c r="WUX191" s="50"/>
      <c r="WUY191" s="50"/>
      <c r="WUZ191" s="50"/>
      <c r="WVA191" s="50"/>
      <c r="WVB191" s="50"/>
      <c r="WVC191" s="50"/>
      <c r="WVD191" s="50"/>
      <c r="WVE191" s="50"/>
      <c r="WVF191" s="50"/>
      <c r="WVG191" s="50"/>
      <c r="WVH191" s="50"/>
      <c r="WVI191" s="50"/>
      <c r="WVJ191" s="50"/>
      <c r="WVK191" s="50"/>
      <c r="WVL191" s="50"/>
      <c r="WVM191" s="50"/>
      <c r="WVN191" s="50"/>
      <c r="WVO191" s="50"/>
      <c r="WVP191" s="50"/>
      <c r="WVQ191" s="50"/>
      <c r="WVR191" s="50"/>
      <c r="WVS191" s="50"/>
      <c r="WVT191" s="50"/>
      <c r="WVU191" s="50"/>
      <c r="WVV191" s="50"/>
      <c r="WVW191" s="50"/>
      <c r="WVX191" s="50"/>
      <c r="WVY191" s="50"/>
      <c r="WVZ191" s="50"/>
      <c r="WWA191" s="50"/>
      <c r="WWB191" s="50"/>
      <c r="WWC191" s="50"/>
      <c r="WWD191" s="50"/>
      <c r="WWE191" s="50"/>
      <c r="WWF191" s="50"/>
      <c r="WWG191" s="50"/>
      <c r="WWH191" s="50"/>
      <c r="WWI191" s="50"/>
      <c r="WWJ191" s="50"/>
      <c r="WWK191" s="50"/>
      <c r="WWL191" s="50"/>
      <c r="WWM191" s="50"/>
      <c r="WWN191" s="50"/>
      <c r="WWO191" s="50"/>
      <c r="WWP191" s="50"/>
      <c r="WWQ191" s="50"/>
      <c r="WWR191" s="50"/>
      <c r="WWS191" s="50"/>
      <c r="WWT191" s="50"/>
      <c r="WWU191" s="50"/>
      <c r="WWV191" s="50"/>
      <c r="WWW191" s="50"/>
      <c r="WWX191" s="50"/>
      <c r="WWY191" s="50"/>
      <c r="WWZ191" s="50"/>
      <c r="WXA191" s="50"/>
      <c r="WXB191" s="50"/>
      <c r="WXC191" s="50"/>
      <c r="WXD191" s="50"/>
      <c r="WXE191" s="50"/>
      <c r="WXF191" s="50"/>
      <c r="WXG191" s="50"/>
      <c r="WXH191" s="50"/>
      <c r="WXI191" s="50"/>
      <c r="WXJ191" s="50"/>
      <c r="WXK191" s="50"/>
      <c r="WXL191" s="50"/>
      <c r="WXM191" s="50"/>
      <c r="WXN191" s="50"/>
      <c r="WXO191" s="50"/>
      <c r="WXP191" s="50"/>
      <c r="WXQ191" s="50"/>
      <c r="WXR191" s="50"/>
      <c r="WXS191" s="50"/>
      <c r="WXT191" s="50"/>
      <c r="WXU191" s="50"/>
      <c r="WXV191" s="50"/>
      <c r="WXW191" s="50"/>
      <c r="WXX191" s="50"/>
      <c r="WXY191" s="50"/>
      <c r="WXZ191" s="50"/>
      <c r="WYA191" s="50"/>
      <c r="WYB191" s="50"/>
      <c r="WYC191" s="50"/>
      <c r="WYD191" s="50"/>
      <c r="WYE191" s="50"/>
      <c r="WYF191" s="50"/>
      <c r="WYG191" s="50"/>
      <c r="WYH191" s="50"/>
      <c r="WYI191" s="50"/>
      <c r="WYJ191" s="50"/>
      <c r="WYK191" s="50"/>
      <c r="WYL191" s="50"/>
      <c r="WYM191" s="50"/>
      <c r="WYN191" s="50"/>
      <c r="WYO191" s="50"/>
      <c r="WYP191" s="50"/>
      <c r="WYQ191" s="50"/>
      <c r="WYR191" s="50"/>
      <c r="WYS191" s="50"/>
      <c r="WYT191" s="50"/>
      <c r="WYU191" s="50"/>
      <c r="WYV191" s="50"/>
      <c r="WYW191" s="50"/>
      <c r="WYX191" s="50"/>
      <c r="WYY191" s="50"/>
      <c r="WYZ191" s="50"/>
      <c r="WZA191" s="50"/>
      <c r="WZB191" s="50"/>
      <c r="WZC191" s="50"/>
      <c r="WZD191" s="50"/>
      <c r="WZE191" s="50"/>
      <c r="WZF191" s="50"/>
      <c r="WZG191" s="50"/>
      <c r="WZH191" s="50"/>
      <c r="WZI191" s="50"/>
      <c r="WZJ191" s="50"/>
      <c r="WZK191" s="50"/>
      <c r="WZL191" s="50"/>
      <c r="WZM191" s="50"/>
      <c r="WZN191" s="50"/>
      <c r="WZO191" s="50"/>
      <c r="WZP191" s="50"/>
      <c r="WZQ191" s="50"/>
      <c r="WZR191" s="50"/>
      <c r="WZS191" s="50"/>
      <c r="WZT191" s="50"/>
      <c r="WZU191" s="50"/>
      <c r="WZV191" s="50"/>
      <c r="WZW191" s="50"/>
      <c r="WZX191" s="50"/>
      <c r="WZY191" s="50"/>
      <c r="WZZ191" s="50"/>
      <c r="XAA191" s="50"/>
      <c r="XAB191" s="50"/>
      <c r="XAC191" s="50"/>
      <c r="XAD191" s="50"/>
      <c r="XAE191" s="50"/>
      <c r="XAF191" s="50"/>
      <c r="XAG191" s="50"/>
      <c r="XAH191" s="50"/>
      <c r="XAI191" s="50"/>
      <c r="XAJ191" s="50"/>
      <c r="XAK191" s="50"/>
      <c r="XAL191" s="50"/>
      <c r="XAM191" s="50"/>
      <c r="XAN191" s="50"/>
      <c r="XAO191" s="50"/>
      <c r="XAP191" s="50"/>
      <c r="XAQ191" s="50"/>
      <c r="XAR191" s="50"/>
      <c r="XAS191" s="50"/>
      <c r="XAT191" s="50"/>
      <c r="XAU191" s="50"/>
      <c r="XAV191" s="50"/>
      <c r="XAW191" s="50"/>
      <c r="XAX191" s="50"/>
      <c r="XAY191" s="50"/>
      <c r="XAZ191" s="50"/>
      <c r="XBA191" s="50"/>
      <c r="XBB191" s="50"/>
      <c r="XBC191" s="50"/>
      <c r="XBD191" s="50"/>
      <c r="XBE191" s="50"/>
      <c r="XBF191" s="50"/>
      <c r="XBG191" s="50"/>
      <c r="XBH191" s="50"/>
      <c r="XBI191" s="50"/>
      <c r="XBJ191" s="50"/>
      <c r="XBK191" s="50"/>
      <c r="XBL191" s="50"/>
      <c r="XBM191" s="50"/>
      <c r="XBN191" s="50"/>
      <c r="XBO191" s="50"/>
      <c r="XBP191" s="50"/>
      <c r="XBQ191" s="50"/>
      <c r="XBR191" s="50"/>
      <c r="XBS191" s="50"/>
      <c r="XBT191" s="50"/>
      <c r="XBU191" s="50"/>
      <c r="XBV191" s="50"/>
      <c r="XBW191" s="50"/>
      <c r="XBX191" s="50"/>
      <c r="XBY191" s="50"/>
      <c r="XBZ191" s="50"/>
      <c r="XCA191" s="50"/>
      <c r="XCB191" s="50"/>
      <c r="XCC191" s="50"/>
      <c r="XCD191" s="50"/>
      <c r="XCE191" s="50"/>
      <c r="XCF191" s="50"/>
      <c r="XCG191" s="50"/>
      <c r="XCH191" s="50"/>
      <c r="XCI191" s="50"/>
      <c r="XCJ191" s="50"/>
      <c r="XCK191" s="50"/>
      <c r="XCL191" s="50"/>
      <c r="XCM191" s="50"/>
      <c r="XCN191" s="50"/>
      <c r="XCO191" s="50"/>
      <c r="XCP191" s="50"/>
      <c r="XCQ191" s="50"/>
      <c r="XCR191" s="50"/>
      <c r="XCS191" s="50"/>
      <c r="XCT191" s="50"/>
      <c r="XCU191" s="50"/>
      <c r="XCV191" s="50"/>
      <c r="XCW191" s="50"/>
      <c r="XCX191" s="50"/>
      <c r="XCY191" s="50"/>
      <c r="XCZ191" s="50"/>
      <c r="XDA191" s="50"/>
      <c r="XDB191" s="50"/>
      <c r="XDC191" s="50"/>
      <c r="XDD191" s="50"/>
      <c r="XDE191" s="50"/>
      <c r="XDF191" s="50"/>
      <c r="XDG191" s="50"/>
      <c r="XDH191" s="50"/>
      <c r="XDI191" s="50"/>
      <c r="XDJ191" s="50"/>
      <c r="XDK191" s="50"/>
      <c r="XDL191" s="50"/>
      <c r="XDM191" s="50"/>
      <c r="XDN191" s="50"/>
      <c r="XDO191" s="50"/>
      <c r="XDP191" s="50"/>
      <c r="XDQ191" s="50"/>
      <c r="XDR191" s="50"/>
      <c r="XDS191" s="50"/>
      <c r="XDT191" s="50"/>
      <c r="XDU191" s="50"/>
      <c r="XDV191" s="50"/>
      <c r="XDW191" s="50"/>
      <c r="XDX191" s="50"/>
      <c r="XDY191" s="50"/>
      <c r="XDZ191" s="50"/>
      <c r="XEA191" s="50"/>
      <c r="XEB191" s="50"/>
      <c r="XEC191" s="50"/>
      <c r="XED191" s="50"/>
      <c r="XEE191" s="50"/>
      <c r="XEF191" s="50"/>
      <c r="XEG191" s="50"/>
      <c r="XEH191" s="50"/>
      <c r="XEI191" s="50"/>
      <c r="XEJ191" s="50"/>
      <c r="XEK191" s="50"/>
      <c r="XEL191" s="50"/>
      <c r="XEM191" s="50"/>
      <c r="XEN191" s="50"/>
      <c r="XEO191" s="50"/>
      <c r="XEP191" s="50"/>
      <c r="XEQ191" s="50"/>
      <c r="XER191" s="50"/>
      <c r="XES191" s="50"/>
      <c r="XET191" s="50"/>
      <c r="XEU191" s="50"/>
      <c r="XEV191" s="50"/>
      <c r="XEW191" s="50"/>
      <c r="XEX191" s="50"/>
      <c r="XEY191" s="50"/>
      <c r="XEZ191" s="50"/>
      <c r="XFA191" s="50"/>
      <c r="XFB191" s="50"/>
      <c r="XFC191" s="50"/>
      <c r="XFD191" s="50"/>
    </row>
    <row r="192" spans="1:16384">
      <c r="A192" t="s">
        <v>284</v>
      </c>
      <c r="C192">
        <v>3621</v>
      </c>
      <c r="D192" t="s">
        <v>322</v>
      </c>
      <c r="E192">
        <v>2009</v>
      </c>
      <c r="F192">
        <v>1</v>
      </c>
      <c r="G192" s="27">
        <v>0</v>
      </c>
      <c r="H192" t="s">
        <v>78</v>
      </c>
      <c r="I192">
        <v>7</v>
      </c>
      <c r="J192">
        <f t="shared" ref="J192:J198" si="131">E192+I192</f>
        <v>2016</v>
      </c>
      <c r="K192" s="14">
        <f t="shared" ref="K192:K198" si="132">+J192+(F192/12)</f>
        <v>2016.0833333333333</v>
      </c>
      <c r="L192" s="79">
        <f>'Orig Trucks 2183'!P46</f>
        <v>177771.16</v>
      </c>
      <c r="M192" s="79">
        <f>L192-L192*G192</f>
        <v>177771.16</v>
      </c>
      <c r="N192" s="79">
        <f t="shared" ref="N192:N198" si="133">M192/I192/12</f>
        <v>2116.3233333333333</v>
      </c>
      <c r="O192" s="79">
        <f t="shared" ref="O192:O198" si="134">+N192*12</f>
        <v>25395.879999999997</v>
      </c>
      <c r="P192" s="79">
        <f t="shared" ref="P192:P198" si="135">+IF(K192&lt;=$M$5,0,IF(J192=$M$4,N192*F192,O192))</f>
        <v>0</v>
      </c>
      <c r="Q192" s="79">
        <f t="shared" ref="Q192:Q198" si="136">+IF(P192=0,M192,IF($M$3-E192&lt;1,0,(($M$3-E192)*O192)))</f>
        <v>177771.16</v>
      </c>
      <c r="R192" s="79">
        <f t="shared" ref="R192:R198" si="137">+IF(P192=0,Q192,Q192+P192)</f>
        <v>177771.16</v>
      </c>
      <c r="S192" s="79">
        <f t="shared" ref="S192:S198" si="138">+L192-R192</f>
        <v>0</v>
      </c>
    </row>
    <row r="193" spans="1:19">
      <c r="A193" s="2"/>
      <c r="B193" s="61">
        <v>3621</v>
      </c>
      <c r="C193" s="2"/>
      <c r="D193" s="2" t="s">
        <v>668</v>
      </c>
      <c r="E193" s="2">
        <v>2018</v>
      </c>
      <c r="F193" s="2">
        <v>5</v>
      </c>
      <c r="G193" s="71">
        <v>0</v>
      </c>
      <c r="H193" s="2" t="s">
        <v>78</v>
      </c>
      <c r="I193" s="2">
        <f>+IF(J192-$M$4&gt;=3,J192-$M$4,3)</f>
        <v>3</v>
      </c>
      <c r="J193" s="2">
        <f t="shared" si="131"/>
        <v>2021</v>
      </c>
      <c r="K193" s="15">
        <f t="shared" si="132"/>
        <v>2021.4166666666667</v>
      </c>
      <c r="L193" s="114">
        <f>'Orig Trucks 2183'!N46-'Trucks 2183'!L192</f>
        <v>44442.790000000008</v>
      </c>
      <c r="M193" s="114">
        <f>L193-(L193*G193)</f>
        <v>44442.790000000008</v>
      </c>
      <c r="N193" s="114">
        <f t="shared" si="133"/>
        <v>1234.5219444444447</v>
      </c>
      <c r="O193" s="114">
        <f t="shared" si="134"/>
        <v>14814.263333333336</v>
      </c>
      <c r="P193" s="114">
        <f t="shared" si="135"/>
        <v>14814.263333333336</v>
      </c>
      <c r="Q193" s="114">
        <f t="shared" si="136"/>
        <v>0</v>
      </c>
      <c r="R193" s="114">
        <f t="shared" si="137"/>
        <v>14814.263333333336</v>
      </c>
      <c r="S193" s="114">
        <f t="shared" si="138"/>
        <v>29628.526666666672</v>
      </c>
    </row>
    <row r="194" spans="1:19">
      <c r="A194" t="s">
        <v>284</v>
      </c>
      <c r="C194">
        <v>3622</v>
      </c>
      <c r="D194" t="s">
        <v>321</v>
      </c>
      <c r="E194">
        <v>2008</v>
      </c>
      <c r="F194">
        <v>10</v>
      </c>
      <c r="G194" s="27">
        <v>0</v>
      </c>
      <c r="H194" t="s">
        <v>78</v>
      </c>
      <c r="I194">
        <v>7</v>
      </c>
      <c r="J194">
        <f t="shared" si="131"/>
        <v>2015</v>
      </c>
      <c r="K194" s="14">
        <f t="shared" si="132"/>
        <v>2015.8333333333333</v>
      </c>
      <c r="L194" s="79">
        <f>'Orig Trucks 2183'!P44</f>
        <v>177771.16</v>
      </c>
      <c r="M194" s="79">
        <f>L194-L194*G194</f>
        <v>177771.16</v>
      </c>
      <c r="N194" s="79">
        <f t="shared" si="133"/>
        <v>2116.3233333333333</v>
      </c>
      <c r="O194" s="79">
        <f t="shared" si="134"/>
        <v>25395.879999999997</v>
      </c>
      <c r="P194" s="79">
        <f t="shared" si="135"/>
        <v>0</v>
      </c>
      <c r="Q194" s="79">
        <f t="shared" si="136"/>
        <v>177771.16</v>
      </c>
      <c r="R194" s="79">
        <f t="shared" si="137"/>
        <v>177771.16</v>
      </c>
      <c r="S194" s="79">
        <f t="shared" si="138"/>
        <v>0</v>
      </c>
    </row>
    <row r="195" spans="1:19">
      <c r="A195" s="2"/>
      <c r="B195" s="61">
        <v>3622</v>
      </c>
      <c r="C195" s="2"/>
      <c r="D195" s="2" t="s">
        <v>666</v>
      </c>
      <c r="E195" s="2">
        <v>2018</v>
      </c>
      <c r="F195" s="2">
        <v>5</v>
      </c>
      <c r="G195" s="71">
        <v>0</v>
      </c>
      <c r="H195" s="2" t="s">
        <v>78</v>
      </c>
      <c r="I195" s="2">
        <f>+IF(J194-$M$4&gt;=3,J194-$M$4,3)</f>
        <v>3</v>
      </c>
      <c r="J195" s="2">
        <f t="shared" si="131"/>
        <v>2021</v>
      </c>
      <c r="K195" s="15">
        <f t="shared" si="132"/>
        <v>2021.4166666666667</v>
      </c>
      <c r="L195" s="114">
        <f>'Orig Trucks 2183'!N44-'Trucks 2183'!L194</f>
        <v>44442.790000000008</v>
      </c>
      <c r="M195" s="114">
        <f>L195-(L195*G195)</f>
        <v>44442.790000000008</v>
      </c>
      <c r="N195" s="114">
        <f t="shared" si="133"/>
        <v>1234.5219444444447</v>
      </c>
      <c r="O195" s="114">
        <f t="shared" si="134"/>
        <v>14814.263333333336</v>
      </c>
      <c r="P195" s="114">
        <f t="shared" si="135"/>
        <v>14814.263333333336</v>
      </c>
      <c r="Q195" s="114">
        <f t="shared" si="136"/>
        <v>0</v>
      </c>
      <c r="R195" s="114">
        <f t="shared" si="137"/>
        <v>14814.263333333336</v>
      </c>
      <c r="S195" s="114">
        <f t="shared" si="138"/>
        <v>29628.526666666672</v>
      </c>
    </row>
    <row r="196" spans="1:19">
      <c r="B196" s="22">
        <v>88756</v>
      </c>
      <c r="C196">
        <v>3629</v>
      </c>
      <c r="D196" t="s">
        <v>442</v>
      </c>
      <c r="E196">
        <v>2011</v>
      </c>
      <c r="F196">
        <v>11</v>
      </c>
      <c r="G196" s="27">
        <v>0</v>
      </c>
      <c r="H196" t="s">
        <v>78</v>
      </c>
      <c r="I196">
        <v>7</v>
      </c>
      <c r="J196">
        <f t="shared" si="131"/>
        <v>2018</v>
      </c>
      <c r="K196" s="14">
        <f t="shared" si="132"/>
        <v>2018.9166666666667</v>
      </c>
      <c r="L196" s="79">
        <f>'Orig Trucks 2183'!P55</f>
        <v>231239.864</v>
      </c>
      <c r="M196" s="79">
        <f>L196-L196*G196</f>
        <v>231239.864</v>
      </c>
      <c r="N196" s="79">
        <f t="shared" si="133"/>
        <v>2752.8555238095237</v>
      </c>
      <c r="O196" s="79">
        <f t="shared" si="134"/>
        <v>33034.266285714286</v>
      </c>
      <c r="P196" s="79">
        <f t="shared" si="135"/>
        <v>0</v>
      </c>
      <c r="Q196" s="79">
        <f t="shared" si="136"/>
        <v>231239.864</v>
      </c>
      <c r="R196" s="79">
        <f t="shared" si="137"/>
        <v>231239.864</v>
      </c>
      <c r="S196" s="79">
        <f t="shared" si="138"/>
        <v>0</v>
      </c>
    </row>
    <row r="197" spans="1:19">
      <c r="A197" s="2"/>
      <c r="B197" s="61">
        <v>3629</v>
      </c>
      <c r="C197" s="2"/>
      <c r="D197" s="2" t="s">
        <v>672</v>
      </c>
      <c r="E197" s="2">
        <v>2018</v>
      </c>
      <c r="F197" s="2">
        <v>5</v>
      </c>
      <c r="G197" s="71">
        <v>0</v>
      </c>
      <c r="H197" s="2" t="s">
        <v>78</v>
      </c>
      <c r="I197" s="2">
        <f>+IF(J196-$M$4&gt;=3,J196-$M$4,3)</f>
        <v>3</v>
      </c>
      <c r="J197" s="2">
        <f t="shared" si="131"/>
        <v>2021</v>
      </c>
      <c r="K197" s="15">
        <f t="shared" si="132"/>
        <v>2021.4166666666667</v>
      </c>
      <c r="L197" s="114">
        <f>'Orig Trucks 2183'!N55-'Trucks 2183'!L196</f>
        <v>57809.966000000015</v>
      </c>
      <c r="M197" s="114">
        <f>L197-(L197*G197)</f>
        <v>57809.966000000015</v>
      </c>
      <c r="N197" s="114">
        <f t="shared" si="133"/>
        <v>1605.8323888888892</v>
      </c>
      <c r="O197" s="114">
        <f t="shared" si="134"/>
        <v>19269.988666666672</v>
      </c>
      <c r="P197" s="114">
        <f t="shared" si="135"/>
        <v>19269.988666666672</v>
      </c>
      <c r="Q197" s="114">
        <f t="shared" si="136"/>
        <v>0</v>
      </c>
      <c r="R197" s="114">
        <f t="shared" si="137"/>
        <v>19269.988666666672</v>
      </c>
      <c r="S197" s="114">
        <f t="shared" si="138"/>
        <v>38539.977333333343</v>
      </c>
    </row>
    <row r="198" spans="1:19" s="2" customFormat="1">
      <c r="B198" s="61"/>
      <c r="D198" s="2" t="s">
        <v>796</v>
      </c>
      <c r="E198" s="2">
        <v>2018</v>
      </c>
      <c r="F198" s="2">
        <v>5</v>
      </c>
      <c r="G198" s="71">
        <v>0</v>
      </c>
      <c r="H198" s="2" t="s">
        <v>78</v>
      </c>
      <c r="I198" s="2">
        <v>3</v>
      </c>
      <c r="J198" s="2">
        <f t="shared" si="131"/>
        <v>2021</v>
      </c>
      <c r="K198" s="15">
        <f t="shared" si="132"/>
        <v>2021.4166666666667</v>
      </c>
      <c r="L198" s="114">
        <f>+SUM(L248,L282,L285)</f>
        <v>95702.448000000019</v>
      </c>
      <c r="M198" s="114">
        <f t="shared" ref="M198" si="139">L198-L198*G198</f>
        <v>95702.448000000019</v>
      </c>
      <c r="N198" s="114">
        <f t="shared" si="133"/>
        <v>2658.4013333333337</v>
      </c>
      <c r="O198" s="114">
        <f t="shared" si="134"/>
        <v>31900.816000000006</v>
      </c>
      <c r="P198" s="114">
        <f t="shared" si="135"/>
        <v>31900.816000000006</v>
      </c>
      <c r="Q198" s="114">
        <f t="shared" si="136"/>
        <v>0</v>
      </c>
      <c r="R198" s="114">
        <f t="shared" si="137"/>
        <v>31900.816000000006</v>
      </c>
      <c r="S198" s="114">
        <f t="shared" si="138"/>
        <v>63801.632000000012</v>
      </c>
    </row>
    <row r="199" spans="1:19">
      <c r="L199" s="79"/>
      <c r="M199" s="79"/>
      <c r="N199" s="79"/>
      <c r="O199" s="79"/>
      <c r="P199" s="79"/>
      <c r="Q199" s="79"/>
      <c r="R199" s="79"/>
      <c r="S199" s="79"/>
    </row>
    <row r="200" spans="1:19">
      <c r="C200" s="9">
        <v>3</v>
      </c>
      <c r="D200" s="9" t="s">
        <v>277</v>
      </c>
      <c r="L200" s="81">
        <f>SUM(L186:L199)</f>
        <v>1379356.7604000003</v>
      </c>
      <c r="M200" s="81">
        <f t="shared" ref="M200:S200" si="140">SUM(M186:M199)</f>
        <v>1379356.7604000003</v>
      </c>
      <c r="N200" s="81">
        <f t="shared" si="140"/>
        <v>20581.654610052912</v>
      </c>
      <c r="O200" s="81">
        <f t="shared" si="140"/>
        <v>246979.85532063496</v>
      </c>
      <c r="P200" s="81">
        <f t="shared" si="140"/>
        <v>140606.53777777779</v>
      </c>
      <c r="Q200" s="81">
        <f t="shared" si="140"/>
        <v>920675.10595555557</v>
      </c>
      <c r="R200" s="81">
        <f t="shared" si="140"/>
        <v>1061281.6437333336</v>
      </c>
      <c r="S200" s="81">
        <f t="shared" si="140"/>
        <v>318075.1166666667</v>
      </c>
    </row>
    <row r="201" spans="1:19">
      <c r="K201" s="17"/>
      <c r="L201" s="79"/>
      <c r="M201" s="79"/>
      <c r="N201" s="79"/>
      <c r="O201" s="79"/>
      <c r="P201" s="79"/>
      <c r="Q201" s="79"/>
      <c r="R201" s="79"/>
      <c r="S201" s="79"/>
    </row>
    <row r="202" spans="1:19">
      <c r="L202" s="79"/>
      <c r="M202" s="79"/>
      <c r="N202" s="79"/>
      <c r="O202" s="79"/>
      <c r="P202" s="79"/>
      <c r="Q202" s="79"/>
      <c r="R202" s="79"/>
      <c r="S202" s="79"/>
    </row>
    <row r="203" spans="1:19">
      <c r="D203" s="9" t="s">
        <v>532</v>
      </c>
      <c r="L203" s="79"/>
      <c r="M203" s="79"/>
      <c r="N203" s="79"/>
      <c r="O203" s="79"/>
      <c r="P203" s="79"/>
      <c r="Q203" s="79"/>
      <c r="R203" s="79"/>
      <c r="S203" s="79"/>
    </row>
    <row r="204" spans="1:19">
      <c r="A204" s="7">
        <v>114278</v>
      </c>
      <c r="B204" s="22" t="s">
        <v>285</v>
      </c>
      <c r="C204" s="7">
        <v>1029</v>
      </c>
      <c r="D204" s="7" t="s">
        <v>538</v>
      </c>
      <c r="E204" s="7">
        <v>2000</v>
      </c>
      <c r="F204" s="7">
        <v>6</v>
      </c>
      <c r="G204" s="27">
        <v>0.2</v>
      </c>
      <c r="H204" s="7" t="s">
        <v>78</v>
      </c>
      <c r="I204" s="7">
        <v>7</v>
      </c>
      <c r="J204" s="7">
        <f t="shared" ref="J204:J221" si="141">E204+I204</f>
        <v>2007</v>
      </c>
      <c r="K204" s="14">
        <f t="shared" ref="K204:K221" si="142">+J204+(F204/12)</f>
        <v>2007.5</v>
      </c>
      <c r="L204" s="79">
        <v>95126.41</v>
      </c>
      <c r="M204" s="79">
        <f>L204</f>
        <v>95126.41</v>
      </c>
      <c r="N204" s="79">
        <f t="shared" ref="N204:N221" si="143">M204/I204/12</f>
        <v>1132.4572619047619</v>
      </c>
      <c r="O204" s="79">
        <f t="shared" ref="O204:O221" si="144">+N204*12</f>
        <v>13589.487142857142</v>
      </c>
      <c r="P204" s="79">
        <f t="shared" ref="P204:P221" si="145">+IF(K204&lt;=$M$5,0,IF(J204&gt;$M$4,O204,N204*F204))</f>
        <v>0</v>
      </c>
      <c r="Q204" s="79">
        <f t="shared" ref="Q204:Q221" si="146">+IF(P204=0,M204,IF($M$3-E204&lt;1,0,(($M$3-E204)*O204)))</f>
        <v>95126.41</v>
      </c>
      <c r="R204" s="79">
        <f t="shared" ref="R204:R221" si="147">+IF(P204=0,Q204,Q204+P204)</f>
        <v>95126.41</v>
      </c>
      <c r="S204" s="79">
        <f t="shared" ref="S204:S221" si="148">+L204-R204</f>
        <v>0</v>
      </c>
    </row>
    <row r="205" spans="1:19">
      <c r="A205" t="s">
        <v>151</v>
      </c>
      <c r="B205" s="22">
        <v>114280</v>
      </c>
      <c r="C205">
        <v>1035</v>
      </c>
      <c r="D205" t="s">
        <v>539</v>
      </c>
      <c r="E205">
        <v>2002</v>
      </c>
      <c r="F205">
        <v>6</v>
      </c>
      <c r="G205" s="27">
        <v>0.2</v>
      </c>
      <c r="H205" t="s">
        <v>78</v>
      </c>
      <c r="I205">
        <v>7</v>
      </c>
      <c r="J205">
        <f>E205+I205</f>
        <v>2009</v>
      </c>
      <c r="K205" s="14">
        <f>+J205+(F205/12)</f>
        <v>2009.5</v>
      </c>
      <c r="L205" s="79">
        <v>101881.5</v>
      </c>
      <c r="M205" s="79">
        <f t="shared" ref="M205:M224" si="149">L205</f>
        <v>101881.5</v>
      </c>
      <c r="N205" s="79">
        <f>M205/I205/12</f>
        <v>1212.875</v>
      </c>
      <c r="O205" s="79">
        <f>+N205*12</f>
        <v>14554.5</v>
      </c>
      <c r="P205" s="79">
        <f>+IF(K205&lt;=$M$5,0,IF(J205=$M$4,N205*F205,O205))</f>
        <v>0</v>
      </c>
      <c r="Q205" s="79">
        <f>+IF(P205=0,M205,IF($M$3-E205&lt;1,0,(($M$3-E205)*O205)))</f>
        <v>101881.5</v>
      </c>
      <c r="R205" s="79">
        <f>+IF(P205=0,Q205,Q205+P205)</f>
        <v>101881.5</v>
      </c>
      <c r="S205" s="79">
        <f>+L205-R205</f>
        <v>0</v>
      </c>
    </row>
    <row r="206" spans="1:19">
      <c r="A206" s="7">
        <v>114268</v>
      </c>
      <c r="B206" s="22" t="s">
        <v>285</v>
      </c>
      <c r="C206" s="7">
        <v>1036</v>
      </c>
      <c r="D206" s="7" t="s">
        <v>539</v>
      </c>
      <c r="E206" s="7">
        <v>2002</v>
      </c>
      <c r="F206" s="7">
        <v>6</v>
      </c>
      <c r="G206" s="27">
        <v>0.2</v>
      </c>
      <c r="H206" s="7" t="s">
        <v>78</v>
      </c>
      <c r="I206" s="7">
        <v>7</v>
      </c>
      <c r="J206" s="7">
        <f t="shared" si="141"/>
        <v>2009</v>
      </c>
      <c r="K206" s="14">
        <f t="shared" si="142"/>
        <v>2009.5</v>
      </c>
      <c r="L206" s="79">
        <v>101881.5</v>
      </c>
      <c r="M206" s="79">
        <f t="shared" si="149"/>
        <v>101881.5</v>
      </c>
      <c r="N206" s="79">
        <f t="shared" si="143"/>
        <v>1212.875</v>
      </c>
      <c r="O206" s="79">
        <f t="shared" si="144"/>
        <v>14554.5</v>
      </c>
      <c r="P206" s="79">
        <f t="shared" si="145"/>
        <v>0</v>
      </c>
      <c r="Q206" s="79">
        <f t="shared" si="146"/>
        <v>101881.5</v>
      </c>
      <c r="R206" s="79">
        <f t="shared" si="147"/>
        <v>101881.5</v>
      </c>
      <c r="S206" s="79">
        <f t="shared" si="148"/>
        <v>0</v>
      </c>
    </row>
    <row r="207" spans="1:19">
      <c r="A207" s="7">
        <v>114306</v>
      </c>
      <c r="B207" s="22" t="s">
        <v>285</v>
      </c>
      <c r="C207" s="7">
        <v>1038</v>
      </c>
      <c r="D207" s="7" t="s">
        <v>540</v>
      </c>
      <c r="E207" s="7">
        <v>2003</v>
      </c>
      <c r="F207" s="7">
        <v>5</v>
      </c>
      <c r="G207" s="27">
        <v>0.2</v>
      </c>
      <c r="H207" s="7" t="s">
        <v>78</v>
      </c>
      <c r="I207" s="7">
        <v>7</v>
      </c>
      <c r="J207" s="7">
        <f t="shared" si="141"/>
        <v>2010</v>
      </c>
      <c r="K207" s="14">
        <f t="shared" si="142"/>
        <v>2010.4166666666667</v>
      </c>
      <c r="L207" s="79">
        <v>100843.52</v>
      </c>
      <c r="M207" s="79">
        <f t="shared" si="149"/>
        <v>100843.52</v>
      </c>
      <c r="N207" s="79">
        <f t="shared" si="143"/>
        <v>1200.5180952380954</v>
      </c>
      <c r="O207" s="79">
        <f t="shared" si="144"/>
        <v>14406.217142857146</v>
      </c>
      <c r="P207" s="79">
        <f t="shared" si="145"/>
        <v>0</v>
      </c>
      <c r="Q207" s="79">
        <f t="shared" si="146"/>
        <v>100843.52</v>
      </c>
      <c r="R207" s="79">
        <f t="shared" si="147"/>
        <v>100843.52</v>
      </c>
      <c r="S207" s="79">
        <f t="shared" si="148"/>
        <v>0</v>
      </c>
    </row>
    <row r="208" spans="1:19">
      <c r="A208" t="s">
        <v>285</v>
      </c>
      <c r="B208" s="22">
        <v>61085</v>
      </c>
      <c r="C208">
        <v>1041</v>
      </c>
      <c r="D208" t="s">
        <v>148</v>
      </c>
      <c r="E208">
        <v>2004</v>
      </c>
      <c r="F208">
        <v>9</v>
      </c>
      <c r="G208" s="27">
        <v>0.2</v>
      </c>
      <c r="H208" t="s">
        <v>78</v>
      </c>
      <c r="I208">
        <v>7</v>
      </c>
      <c r="J208">
        <f t="shared" ref="J208:J214" si="150">E208+I208</f>
        <v>2011</v>
      </c>
      <c r="K208" s="14">
        <f t="shared" ref="K208:K214" si="151">+J208+(F208/12)</f>
        <v>2011.75</v>
      </c>
      <c r="L208" s="79">
        <v>112934.39999999999</v>
      </c>
      <c r="M208" s="79">
        <f t="shared" si="149"/>
        <v>112934.39999999999</v>
      </c>
      <c r="N208" s="79">
        <f t="shared" ref="N208:N214" si="152">M208/I208/12</f>
        <v>1344.4571428571428</v>
      </c>
      <c r="O208" s="79">
        <f t="shared" ref="O208:O214" si="153">+N208*12</f>
        <v>16133.485714285714</v>
      </c>
      <c r="P208" s="79">
        <f t="shared" ref="P208:P214" si="154">+IF(K208&lt;=$M$5,0,IF(J208=$M$4,N208*F208,O208))</f>
        <v>0</v>
      </c>
      <c r="Q208" s="79">
        <f t="shared" ref="Q208:Q214" si="155">+IF(P208=0,M208,IF($M$3-E208&lt;1,0,(($M$3-E208)*O208)))</f>
        <v>112934.39999999999</v>
      </c>
      <c r="R208" s="79">
        <f t="shared" ref="R208:R214" si="156">+IF(P208=0,Q208,Q208+P208)</f>
        <v>112934.39999999999</v>
      </c>
      <c r="S208" s="79">
        <f t="shared" ref="S208:S214" si="157">+L208-R208</f>
        <v>0</v>
      </c>
    </row>
    <row r="209" spans="1:19">
      <c r="A209" t="s">
        <v>285</v>
      </c>
      <c r="C209">
        <v>1041</v>
      </c>
      <c r="D209" t="s">
        <v>87</v>
      </c>
      <c r="E209">
        <v>2004</v>
      </c>
      <c r="F209">
        <v>9</v>
      </c>
      <c r="G209" s="27">
        <v>0.2</v>
      </c>
      <c r="H209" t="s">
        <v>78</v>
      </c>
      <c r="I209">
        <v>7</v>
      </c>
      <c r="J209">
        <f t="shared" si="150"/>
        <v>2011</v>
      </c>
      <c r="K209" s="14">
        <f t="shared" si="151"/>
        <v>2011.75</v>
      </c>
      <c r="L209" s="79">
        <v>2730.88</v>
      </c>
      <c r="M209" s="79">
        <f t="shared" si="149"/>
        <v>2730.88</v>
      </c>
      <c r="N209" s="79">
        <f t="shared" si="152"/>
        <v>32.51047619047619</v>
      </c>
      <c r="O209" s="79">
        <f t="shared" si="153"/>
        <v>390.12571428571425</v>
      </c>
      <c r="P209" s="79">
        <f t="shared" si="154"/>
        <v>0</v>
      </c>
      <c r="Q209" s="79">
        <f t="shared" si="155"/>
        <v>2730.88</v>
      </c>
      <c r="R209" s="79">
        <f t="shared" si="156"/>
        <v>2730.88</v>
      </c>
      <c r="S209" s="79">
        <f t="shared" si="157"/>
        <v>0</v>
      </c>
    </row>
    <row r="210" spans="1:19">
      <c r="A210" t="s">
        <v>285</v>
      </c>
      <c r="B210" s="22">
        <v>61093</v>
      </c>
      <c r="C210">
        <v>1042</v>
      </c>
      <c r="D210" t="s">
        <v>374</v>
      </c>
      <c r="E210">
        <v>2005</v>
      </c>
      <c r="F210">
        <v>12</v>
      </c>
      <c r="G210" s="27">
        <v>0.2</v>
      </c>
      <c r="H210" t="s">
        <v>78</v>
      </c>
      <c r="I210">
        <v>7</v>
      </c>
      <c r="J210">
        <f t="shared" si="150"/>
        <v>2012</v>
      </c>
      <c r="K210" s="14">
        <f t="shared" si="151"/>
        <v>2013</v>
      </c>
      <c r="L210" s="79">
        <v>125862.5</v>
      </c>
      <c r="M210" s="79">
        <f t="shared" si="149"/>
        <v>125862.5</v>
      </c>
      <c r="N210" s="79">
        <f t="shared" si="152"/>
        <v>1498.3630952380952</v>
      </c>
      <c r="O210" s="79">
        <f t="shared" si="153"/>
        <v>17980.357142857141</v>
      </c>
      <c r="P210" s="79">
        <f t="shared" si="154"/>
        <v>0</v>
      </c>
      <c r="Q210" s="79">
        <f t="shared" si="155"/>
        <v>125862.5</v>
      </c>
      <c r="R210" s="79">
        <f t="shared" si="156"/>
        <v>125862.5</v>
      </c>
      <c r="S210" s="79">
        <f t="shared" si="157"/>
        <v>0</v>
      </c>
    </row>
    <row r="211" spans="1:19">
      <c r="A211" t="s">
        <v>285</v>
      </c>
      <c r="B211" s="22">
        <v>61094</v>
      </c>
      <c r="C211">
        <v>1045</v>
      </c>
      <c r="D211" t="s">
        <v>375</v>
      </c>
      <c r="E211">
        <v>2006</v>
      </c>
      <c r="F211">
        <v>1</v>
      </c>
      <c r="G211" s="27">
        <v>0.2</v>
      </c>
      <c r="H211" t="s">
        <v>78</v>
      </c>
      <c r="I211">
        <v>7</v>
      </c>
      <c r="J211">
        <f t="shared" si="150"/>
        <v>2013</v>
      </c>
      <c r="K211" s="14">
        <f t="shared" si="151"/>
        <v>2013.0833333333333</v>
      </c>
      <c r="L211" s="79">
        <v>126105.78</v>
      </c>
      <c r="M211" s="79">
        <f t="shared" si="149"/>
        <v>126105.78</v>
      </c>
      <c r="N211" s="79">
        <f t="shared" si="152"/>
        <v>1501.2592857142856</v>
      </c>
      <c r="O211" s="79">
        <f t="shared" si="153"/>
        <v>18015.111428571428</v>
      </c>
      <c r="P211" s="79">
        <f t="shared" si="154"/>
        <v>0</v>
      </c>
      <c r="Q211" s="79">
        <f t="shared" si="155"/>
        <v>126105.78</v>
      </c>
      <c r="R211" s="79">
        <f t="shared" si="156"/>
        <v>126105.78</v>
      </c>
      <c r="S211" s="79">
        <f t="shared" si="157"/>
        <v>0</v>
      </c>
    </row>
    <row r="212" spans="1:19">
      <c r="A212" t="s">
        <v>285</v>
      </c>
      <c r="B212" s="22">
        <v>61095</v>
      </c>
      <c r="C212">
        <v>1046</v>
      </c>
      <c r="D212" t="s">
        <v>375</v>
      </c>
      <c r="E212">
        <v>2006</v>
      </c>
      <c r="F212">
        <v>5</v>
      </c>
      <c r="G212" s="27">
        <v>0.2</v>
      </c>
      <c r="H212" t="s">
        <v>78</v>
      </c>
      <c r="I212">
        <v>7</v>
      </c>
      <c r="J212">
        <f t="shared" si="150"/>
        <v>2013</v>
      </c>
      <c r="K212" s="14">
        <f t="shared" si="151"/>
        <v>2013.4166666666667</v>
      </c>
      <c r="L212" s="79">
        <v>126105.78</v>
      </c>
      <c r="M212" s="79">
        <f t="shared" si="149"/>
        <v>126105.78</v>
      </c>
      <c r="N212" s="79">
        <f t="shared" si="152"/>
        <v>1501.2592857142856</v>
      </c>
      <c r="O212" s="79">
        <f t="shared" si="153"/>
        <v>18015.111428571428</v>
      </c>
      <c r="P212" s="79">
        <f t="shared" si="154"/>
        <v>0</v>
      </c>
      <c r="Q212" s="79">
        <f t="shared" si="155"/>
        <v>126105.78</v>
      </c>
      <c r="R212" s="79">
        <f t="shared" si="156"/>
        <v>126105.78</v>
      </c>
      <c r="S212" s="79">
        <f t="shared" si="157"/>
        <v>0</v>
      </c>
    </row>
    <row r="213" spans="1:19">
      <c r="A213" t="s">
        <v>285</v>
      </c>
      <c r="B213" s="22">
        <v>61107</v>
      </c>
      <c r="C213">
        <v>1049</v>
      </c>
      <c r="D213" t="s">
        <v>149</v>
      </c>
      <c r="E213">
        <v>2006</v>
      </c>
      <c r="F213">
        <v>11</v>
      </c>
      <c r="G213" s="27">
        <v>0.2</v>
      </c>
      <c r="H213" t="s">
        <v>78</v>
      </c>
      <c r="I213">
        <v>7</v>
      </c>
      <c r="J213">
        <f t="shared" si="150"/>
        <v>2013</v>
      </c>
      <c r="K213" s="14">
        <f t="shared" si="151"/>
        <v>2013.9166666666667</v>
      </c>
      <c r="L213" s="79">
        <v>126621.44</v>
      </c>
      <c r="M213" s="79">
        <f t="shared" si="149"/>
        <v>126621.44</v>
      </c>
      <c r="N213" s="79">
        <f t="shared" si="152"/>
        <v>1507.3980952380953</v>
      </c>
      <c r="O213" s="79">
        <f t="shared" si="153"/>
        <v>18088.777142857143</v>
      </c>
      <c r="P213" s="79">
        <f t="shared" si="154"/>
        <v>0</v>
      </c>
      <c r="Q213" s="79">
        <f t="shared" si="155"/>
        <v>126621.44</v>
      </c>
      <c r="R213" s="79">
        <f t="shared" si="156"/>
        <v>126621.44</v>
      </c>
      <c r="S213" s="79">
        <f t="shared" si="157"/>
        <v>0</v>
      </c>
    </row>
    <row r="214" spans="1:19">
      <c r="A214">
        <v>61092</v>
      </c>
      <c r="B214" s="22" t="s">
        <v>286</v>
      </c>
      <c r="C214">
        <v>2026</v>
      </c>
      <c r="D214" t="s">
        <v>152</v>
      </c>
      <c r="E214">
        <v>2006</v>
      </c>
      <c r="F214">
        <v>8</v>
      </c>
      <c r="G214" s="27">
        <v>0.2</v>
      </c>
      <c r="H214" t="s">
        <v>78</v>
      </c>
      <c r="I214">
        <v>7</v>
      </c>
      <c r="J214">
        <f t="shared" si="150"/>
        <v>2013</v>
      </c>
      <c r="K214" s="14">
        <f t="shared" si="151"/>
        <v>2013.6666666666667</v>
      </c>
      <c r="L214" s="79">
        <v>208742.37</v>
      </c>
      <c r="M214" s="79">
        <f t="shared" si="149"/>
        <v>208742.37</v>
      </c>
      <c r="N214" s="79">
        <f t="shared" si="152"/>
        <v>2485.0282142857145</v>
      </c>
      <c r="O214" s="79">
        <f t="shared" si="153"/>
        <v>29820.338571428576</v>
      </c>
      <c r="P214" s="79">
        <f t="shared" si="154"/>
        <v>0</v>
      </c>
      <c r="Q214" s="79">
        <f t="shared" si="155"/>
        <v>208742.37</v>
      </c>
      <c r="R214" s="79">
        <f t="shared" si="156"/>
        <v>208742.37</v>
      </c>
      <c r="S214" s="79">
        <f t="shared" si="157"/>
        <v>0</v>
      </c>
    </row>
    <row r="215" spans="1:19">
      <c r="A215" s="7">
        <v>114303</v>
      </c>
      <c r="B215" s="22" t="s">
        <v>285</v>
      </c>
      <c r="C215" s="7">
        <v>1014</v>
      </c>
      <c r="D215" s="7" t="s">
        <v>543</v>
      </c>
      <c r="E215" s="7">
        <v>2008</v>
      </c>
      <c r="F215" s="7">
        <v>11</v>
      </c>
      <c r="G215" s="27">
        <v>0.33</v>
      </c>
      <c r="H215" s="7" t="s">
        <v>78</v>
      </c>
      <c r="I215" s="7">
        <v>5</v>
      </c>
      <c r="J215" s="7">
        <f t="shared" si="141"/>
        <v>2013</v>
      </c>
      <c r="K215" s="14">
        <f t="shared" si="142"/>
        <v>2013.9166666666667</v>
      </c>
      <c r="L215" s="79">
        <v>5500</v>
      </c>
      <c r="M215" s="79">
        <f t="shared" si="149"/>
        <v>5500</v>
      </c>
      <c r="N215" s="79">
        <f t="shared" si="143"/>
        <v>91.666666666666671</v>
      </c>
      <c r="O215" s="79">
        <f t="shared" si="144"/>
        <v>1100</v>
      </c>
      <c r="P215" s="79">
        <f t="shared" si="145"/>
        <v>0</v>
      </c>
      <c r="Q215" s="79">
        <f t="shared" si="146"/>
        <v>5500</v>
      </c>
      <c r="R215" s="79">
        <f t="shared" si="147"/>
        <v>5500</v>
      </c>
      <c r="S215" s="79">
        <f t="shared" si="148"/>
        <v>0</v>
      </c>
    </row>
    <row r="216" spans="1:19">
      <c r="A216" s="7">
        <v>61159</v>
      </c>
      <c r="B216" s="22" t="s">
        <v>544</v>
      </c>
      <c r="C216" s="7">
        <v>9576</v>
      </c>
      <c r="D216" s="7" t="s">
        <v>564</v>
      </c>
      <c r="E216" s="7">
        <v>2008</v>
      </c>
      <c r="F216" s="7">
        <v>11</v>
      </c>
      <c r="G216" s="27">
        <v>0.33</v>
      </c>
      <c r="H216" s="7" t="s">
        <v>78</v>
      </c>
      <c r="I216" s="7">
        <v>5</v>
      </c>
      <c r="J216" s="7">
        <f t="shared" si="141"/>
        <v>2013</v>
      </c>
      <c r="K216" s="14">
        <f t="shared" si="142"/>
        <v>2013.9166666666667</v>
      </c>
      <c r="L216" s="79">
        <v>23327</v>
      </c>
      <c r="M216" s="79">
        <f t="shared" si="149"/>
        <v>23327</v>
      </c>
      <c r="N216" s="79">
        <f t="shared" si="143"/>
        <v>388.7833333333333</v>
      </c>
      <c r="O216" s="79">
        <f t="shared" si="144"/>
        <v>4665.3999999999996</v>
      </c>
      <c r="P216" s="79">
        <f t="shared" si="145"/>
        <v>0</v>
      </c>
      <c r="Q216" s="79">
        <f t="shared" si="146"/>
        <v>23327</v>
      </c>
      <c r="R216" s="79">
        <f t="shared" si="147"/>
        <v>23327</v>
      </c>
      <c r="S216" s="79">
        <f t="shared" si="148"/>
        <v>0</v>
      </c>
    </row>
    <row r="217" spans="1:19">
      <c r="A217">
        <v>114279</v>
      </c>
      <c r="B217" s="22" t="s">
        <v>285</v>
      </c>
      <c r="C217">
        <v>1029</v>
      </c>
      <c r="D217" t="s">
        <v>545</v>
      </c>
      <c r="E217">
        <v>2009</v>
      </c>
      <c r="F217">
        <v>6</v>
      </c>
      <c r="G217" s="27">
        <v>0</v>
      </c>
      <c r="H217" t="s">
        <v>78</v>
      </c>
      <c r="I217">
        <v>3</v>
      </c>
      <c r="J217">
        <f t="shared" si="141"/>
        <v>2012</v>
      </c>
      <c r="K217" s="14">
        <f t="shared" si="142"/>
        <v>2012.5</v>
      </c>
      <c r="L217" s="79">
        <v>2915.87</v>
      </c>
      <c r="M217" s="79">
        <f t="shared" si="149"/>
        <v>2915.87</v>
      </c>
      <c r="N217" s="79">
        <f t="shared" si="143"/>
        <v>80.996388888888887</v>
      </c>
      <c r="O217" s="79">
        <f t="shared" si="144"/>
        <v>971.95666666666671</v>
      </c>
      <c r="P217" s="79">
        <f t="shared" si="145"/>
        <v>0</v>
      </c>
      <c r="Q217" s="79">
        <f t="shared" si="146"/>
        <v>2915.87</v>
      </c>
      <c r="R217" s="79">
        <f t="shared" si="147"/>
        <v>2915.87</v>
      </c>
      <c r="S217" s="79">
        <f t="shared" si="148"/>
        <v>0</v>
      </c>
    </row>
    <row r="218" spans="1:19">
      <c r="A218" s="7"/>
      <c r="B218" s="22" t="s">
        <v>311</v>
      </c>
      <c r="C218" s="7">
        <v>68613</v>
      </c>
      <c r="D218" s="7" t="s">
        <v>324</v>
      </c>
      <c r="E218" s="7">
        <v>2009</v>
      </c>
      <c r="F218" s="7">
        <v>7</v>
      </c>
      <c r="G218" s="27">
        <v>0.33</v>
      </c>
      <c r="H218" s="7" t="s">
        <v>78</v>
      </c>
      <c r="I218" s="7">
        <v>5</v>
      </c>
      <c r="J218" s="7">
        <f t="shared" si="141"/>
        <v>2014</v>
      </c>
      <c r="K218" s="14">
        <f t="shared" si="142"/>
        <v>2014.5833333333333</v>
      </c>
      <c r="L218" s="79">
        <v>8065.49</v>
      </c>
      <c r="M218" s="79">
        <f t="shared" si="149"/>
        <v>8065.49</v>
      </c>
      <c r="N218" s="79">
        <f t="shared" si="143"/>
        <v>134.42483333333334</v>
      </c>
      <c r="O218" s="79">
        <f t="shared" si="144"/>
        <v>1613.098</v>
      </c>
      <c r="P218" s="79">
        <f t="shared" si="145"/>
        <v>0</v>
      </c>
      <c r="Q218" s="79">
        <f t="shared" si="146"/>
        <v>8065.49</v>
      </c>
      <c r="R218" s="79">
        <f t="shared" si="147"/>
        <v>8065.49</v>
      </c>
      <c r="S218" s="79">
        <f t="shared" si="148"/>
        <v>0</v>
      </c>
    </row>
    <row r="219" spans="1:19">
      <c r="A219">
        <v>88722</v>
      </c>
      <c r="D219" t="s">
        <v>548</v>
      </c>
      <c r="E219">
        <v>2011</v>
      </c>
      <c r="F219">
        <v>12</v>
      </c>
      <c r="G219" s="27">
        <v>0</v>
      </c>
      <c r="H219" t="s">
        <v>78</v>
      </c>
      <c r="I219">
        <v>5</v>
      </c>
      <c r="J219">
        <f t="shared" si="141"/>
        <v>2016</v>
      </c>
      <c r="K219" s="14">
        <f t="shared" si="142"/>
        <v>2017</v>
      </c>
      <c r="L219" s="79">
        <f>(487.65*3)+(476.03*13)</f>
        <v>7651.3399999999992</v>
      </c>
      <c r="M219" s="79">
        <f t="shared" si="149"/>
        <v>7651.3399999999992</v>
      </c>
      <c r="N219" s="79">
        <f t="shared" si="143"/>
        <v>127.52233333333332</v>
      </c>
      <c r="O219" s="79">
        <f t="shared" si="144"/>
        <v>1530.2679999999998</v>
      </c>
      <c r="P219" s="79">
        <f t="shared" si="145"/>
        <v>0</v>
      </c>
      <c r="Q219" s="79">
        <f t="shared" si="146"/>
        <v>7651.3399999999992</v>
      </c>
      <c r="R219" s="79">
        <f t="shared" si="147"/>
        <v>7651.3399999999992</v>
      </c>
      <c r="S219" s="79">
        <f t="shared" si="148"/>
        <v>0</v>
      </c>
    </row>
    <row r="220" spans="1:19">
      <c r="A220" t="s">
        <v>476</v>
      </c>
      <c r="B220" s="22">
        <v>99666</v>
      </c>
      <c r="C220">
        <v>2011</v>
      </c>
      <c r="D220" t="s">
        <v>477</v>
      </c>
      <c r="E220">
        <v>2012</v>
      </c>
      <c r="F220">
        <v>12</v>
      </c>
      <c r="G220" s="27">
        <v>0</v>
      </c>
      <c r="H220" t="s">
        <v>78</v>
      </c>
      <c r="I220">
        <v>10</v>
      </c>
      <c r="J220">
        <f>E220+I220</f>
        <v>2022</v>
      </c>
      <c r="K220" s="14">
        <f>+J220+(F220/12)</f>
        <v>2023</v>
      </c>
      <c r="L220" s="79">
        <v>301281</v>
      </c>
      <c r="M220" s="79">
        <f t="shared" si="149"/>
        <v>301281</v>
      </c>
      <c r="N220" s="79">
        <f>M220/I220/12</f>
        <v>2510.6749999999997</v>
      </c>
      <c r="O220" s="79">
        <f>+N220*12</f>
        <v>30128.1</v>
      </c>
      <c r="P220" s="79">
        <f>+IF(K220&lt;=$M$5,0,IF(J220=$M$4,N220*F220,O220))</f>
        <v>30128.1</v>
      </c>
      <c r="Q220" s="79">
        <f>+IF(P220=0,M220,IF($M$3-E220&lt;1,0,(($M$3-E220)*O220)))</f>
        <v>180768.59999999998</v>
      </c>
      <c r="R220" s="79">
        <f>+IF(P220=0,Q220,Q220+P220)</f>
        <v>210896.69999999998</v>
      </c>
      <c r="S220" s="79">
        <f>+L220-R220</f>
        <v>90384.300000000017</v>
      </c>
    </row>
    <row r="221" spans="1:19">
      <c r="B221" s="22" t="s">
        <v>594</v>
      </c>
      <c r="D221" t="s">
        <v>592</v>
      </c>
      <c r="E221">
        <v>2016</v>
      </c>
      <c r="F221">
        <v>4</v>
      </c>
      <c r="G221" s="27">
        <v>0</v>
      </c>
      <c r="H221" t="s">
        <v>78</v>
      </c>
      <c r="I221">
        <v>1</v>
      </c>
      <c r="J221">
        <f t="shared" si="141"/>
        <v>2017</v>
      </c>
      <c r="K221" s="14">
        <f t="shared" si="142"/>
        <v>2017.3333333333333</v>
      </c>
      <c r="L221" s="79">
        <f>((14612.94+16641.82+675)/75)*10</f>
        <v>4257.3013333333338</v>
      </c>
      <c r="M221" s="79">
        <f t="shared" si="149"/>
        <v>4257.3013333333338</v>
      </c>
      <c r="N221" s="79">
        <f t="shared" si="143"/>
        <v>354.77511111111113</v>
      </c>
      <c r="O221" s="79">
        <f t="shared" si="144"/>
        <v>4257.3013333333338</v>
      </c>
      <c r="P221" s="79">
        <f t="shared" si="145"/>
        <v>0</v>
      </c>
      <c r="Q221" s="79">
        <f t="shared" si="146"/>
        <v>4257.3013333333338</v>
      </c>
      <c r="R221" s="79">
        <f t="shared" si="147"/>
        <v>4257.3013333333338</v>
      </c>
      <c r="S221" s="79">
        <f t="shared" si="148"/>
        <v>0</v>
      </c>
    </row>
    <row r="222" spans="1:19">
      <c r="A222" s="50"/>
      <c r="B222" s="62" t="s">
        <v>728</v>
      </c>
      <c r="C222" s="50">
        <v>1083</v>
      </c>
      <c r="D222" s="50" t="s">
        <v>726</v>
      </c>
      <c r="E222" s="50">
        <v>2018</v>
      </c>
      <c r="F222" s="50">
        <v>3</v>
      </c>
      <c r="G222" s="73">
        <v>0</v>
      </c>
      <c r="H222" s="50" t="s">
        <v>78</v>
      </c>
      <c r="I222" s="50">
        <v>10</v>
      </c>
      <c r="J222" s="50">
        <f>E222+I222</f>
        <v>2028</v>
      </c>
      <c r="K222" s="51">
        <f>+J222+(F222/12)</f>
        <v>2028.25</v>
      </c>
      <c r="L222" s="86">
        <f>99882+84963.78</f>
        <v>184845.78</v>
      </c>
      <c r="M222" s="79">
        <f t="shared" si="149"/>
        <v>184845.78</v>
      </c>
      <c r="N222" s="86">
        <f>M222/I222/12</f>
        <v>1540.3815000000002</v>
      </c>
      <c r="O222" s="86">
        <f>+N222*12</f>
        <v>18484.578000000001</v>
      </c>
      <c r="P222" s="86">
        <f>+IF(K222&lt;=$M$5,0,IF(J222=$M$4,N222*F222,O222))</f>
        <v>18484.578000000001</v>
      </c>
      <c r="Q222" s="86">
        <f>+IF(P222=0,M222,IF($M$3-E222&lt;1,0,(($M$3-E222)*O222)))</f>
        <v>0</v>
      </c>
      <c r="R222" s="86">
        <f>+IF(P222=0,Q222,Q222+P222)</f>
        <v>18484.578000000001</v>
      </c>
      <c r="S222" s="86">
        <f>+L222-R222</f>
        <v>166361.20199999999</v>
      </c>
    </row>
    <row r="223" spans="1:19">
      <c r="A223" s="50"/>
      <c r="B223" s="62" t="s">
        <v>729</v>
      </c>
      <c r="C223" s="50">
        <v>1083</v>
      </c>
      <c r="D223" s="50" t="s">
        <v>731</v>
      </c>
      <c r="E223" s="50">
        <v>2018</v>
      </c>
      <c r="F223" s="50">
        <v>3</v>
      </c>
      <c r="G223" s="73">
        <v>0</v>
      </c>
      <c r="H223" s="50" t="s">
        <v>78</v>
      </c>
      <c r="I223" s="50">
        <v>10</v>
      </c>
      <c r="J223" s="50">
        <f>E223+I223</f>
        <v>2028</v>
      </c>
      <c r="K223" s="51">
        <f>+J223+(F223/12)</f>
        <v>2028.25</v>
      </c>
      <c r="L223" s="86">
        <v>794.16</v>
      </c>
      <c r="M223" s="79">
        <f t="shared" si="149"/>
        <v>794.16</v>
      </c>
      <c r="N223" s="86">
        <f>M223/I223/12</f>
        <v>6.6179999999999994</v>
      </c>
      <c r="O223" s="86">
        <f>+N223*12</f>
        <v>79.415999999999997</v>
      </c>
      <c r="P223" s="86">
        <f>+IF(K223&lt;=$M$5,0,IF(J223=$M$4,N223*F223,O223))</f>
        <v>79.415999999999997</v>
      </c>
      <c r="Q223" s="86">
        <f>+IF(P223=0,M223,IF($M$3-E223&lt;1,0,(($M$3-E223)*O223)))</f>
        <v>0</v>
      </c>
      <c r="R223" s="86">
        <f>+IF(P223=0,Q223,Q223+P223)</f>
        <v>79.415999999999997</v>
      </c>
      <c r="S223" s="86">
        <f>+L223-R223</f>
        <v>714.74399999999991</v>
      </c>
    </row>
    <row r="224" spans="1:19">
      <c r="A224" s="50"/>
      <c r="B224" s="62">
        <v>191686</v>
      </c>
      <c r="C224" s="50">
        <v>4522</v>
      </c>
      <c r="D224" s="50" t="s">
        <v>717</v>
      </c>
      <c r="E224" s="50">
        <v>2018</v>
      </c>
      <c r="F224" s="50">
        <v>1</v>
      </c>
      <c r="G224" s="73">
        <v>0</v>
      </c>
      <c r="H224" s="50" t="s">
        <v>78</v>
      </c>
      <c r="I224" s="50">
        <v>10</v>
      </c>
      <c r="J224" s="50">
        <f>E224+I224</f>
        <v>2028</v>
      </c>
      <c r="K224" s="51">
        <f>+J224+(F224/12)</f>
        <v>2028.0833333333333</v>
      </c>
      <c r="L224" s="86">
        <v>150065.09</v>
      </c>
      <c r="M224" s="79">
        <f t="shared" si="149"/>
        <v>150065.09</v>
      </c>
      <c r="N224" s="86">
        <f>M224/I224/12</f>
        <v>1250.5424166666667</v>
      </c>
      <c r="O224" s="86">
        <f>+N224*12</f>
        <v>15006.509</v>
      </c>
      <c r="P224" s="86">
        <f>+IF(K224&lt;=$M$5,0,IF(J224=$M$4,N224*F224,O224))</f>
        <v>15006.509</v>
      </c>
      <c r="Q224" s="86">
        <f>+IF(P224=0,M224,IF($M$3-E224&lt;1,0,(($M$3-E224)*O224)))</f>
        <v>0</v>
      </c>
      <c r="R224" s="86">
        <f>+IF(P224=0,Q224,Q224+P224)</f>
        <v>15006.509</v>
      </c>
      <c r="S224" s="86">
        <f>+L224-R224</f>
        <v>135058.58100000001</v>
      </c>
    </row>
    <row r="225" spans="1:20">
      <c r="L225" s="79"/>
      <c r="M225" s="79"/>
      <c r="N225" s="79"/>
      <c r="O225" s="79"/>
      <c r="P225" s="79"/>
      <c r="Q225" s="79"/>
      <c r="R225" s="79"/>
      <c r="S225" s="79"/>
    </row>
    <row r="226" spans="1:20">
      <c r="C226" s="9">
        <v>16</v>
      </c>
      <c r="D226" s="9" t="s">
        <v>549</v>
      </c>
      <c r="L226" s="81">
        <f t="shared" ref="L226:S226" si="158">SUM(L204:L225)</f>
        <v>1917539.1113333337</v>
      </c>
      <c r="M226" s="81">
        <f t="shared" si="158"/>
        <v>1917539.1113333337</v>
      </c>
      <c r="N226" s="81">
        <f t="shared" si="158"/>
        <v>21115.386535714282</v>
      </c>
      <c r="O226" s="81">
        <f t="shared" si="158"/>
        <v>253384.63842857146</v>
      </c>
      <c r="P226" s="81">
        <f t="shared" si="158"/>
        <v>63698.602999999996</v>
      </c>
      <c r="Q226" s="81">
        <f t="shared" si="158"/>
        <v>1461321.6813333337</v>
      </c>
      <c r="R226" s="81">
        <f t="shared" si="158"/>
        <v>1525020.2843333336</v>
      </c>
      <c r="S226" s="81">
        <f t="shared" si="158"/>
        <v>392518.82700000005</v>
      </c>
    </row>
    <row r="227" spans="1:20">
      <c r="K227" s="18"/>
      <c r="L227" s="79"/>
      <c r="M227" s="79"/>
      <c r="N227" s="79"/>
      <c r="O227" s="79"/>
      <c r="P227" s="79"/>
      <c r="Q227" s="79"/>
      <c r="R227" s="79"/>
      <c r="S227" s="79"/>
    </row>
    <row r="228" spans="1:20" ht="13.5" thickBot="1">
      <c r="D228" t="s">
        <v>83</v>
      </c>
      <c r="L228" s="82">
        <f t="shared" ref="L228:S228" si="159">SUM(L200,L181,L132,L90,L226)</f>
        <v>20552266.9586</v>
      </c>
      <c r="M228" s="82">
        <f t="shared" si="159"/>
        <v>20552266.9586</v>
      </c>
      <c r="N228" s="82">
        <f t="shared" si="159"/>
        <v>232067.78396359787</v>
      </c>
      <c r="O228" s="82">
        <f t="shared" si="159"/>
        <v>2784813.407563176</v>
      </c>
      <c r="P228" s="82">
        <f t="shared" si="159"/>
        <v>1887579.9536555556</v>
      </c>
      <c r="Q228" s="82">
        <f t="shared" si="159"/>
        <v>7670198.3866777793</v>
      </c>
      <c r="R228" s="82">
        <f t="shared" si="159"/>
        <v>9557778.3403333332</v>
      </c>
      <c r="S228" s="82">
        <f t="shared" si="159"/>
        <v>10994488.618266668</v>
      </c>
    </row>
    <row r="229" spans="1:20" ht="13.5" thickTop="1"/>
    <row r="238" spans="1:20" hidden="1">
      <c r="A238" s="30"/>
      <c r="B238" s="63"/>
      <c r="C238" s="30"/>
      <c r="D238" s="29" t="s">
        <v>754</v>
      </c>
      <c r="E238" s="30"/>
      <c r="F238" s="30"/>
      <c r="G238" s="75"/>
      <c r="H238" s="30"/>
      <c r="I238" s="30"/>
      <c r="J238" s="30"/>
      <c r="K238" s="31"/>
      <c r="L238" s="32"/>
      <c r="M238" s="32"/>
      <c r="N238" s="32"/>
      <c r="O238" s="32"/>
      <c r="P238" s="32"/>
      <c r="Q238" s="32"/>
      <c r="R238" s="32"/>
      <c r="S238" s="32"/>
    </row>
    <row r="239" spans="1:20" hidden="1">
      <c r="A239" s="7" t="s">
        <v>290</v>
      </c>
      <c r="C239" s="7">
        <v>5035</v>
      </c>
      <c r="D239" s="7" t="s">
        <v>458</v>
      </c>
      <c r="E239" s="7">
        <v>1998</v>
      </c>
      <c r="F239" s="7">
        <v>12</v>
      </c>
      <c r="G239" s="27">
        <v>0</v>
      </c>
      <c r="H239" s="7" t="s">
        <v>78</v>
      </c>
      <c r="I239" s="7">
        <v>7</v>
      </c>
      <c r="J239" s="7">
        <f t="shared" ref="J239:J266" si="160">E239+I239</f>
        <v>2005</v>
      </c>
      <c r="K239" s="11">
        <f t="shared" ref="K239:K266" si="161">+J239+(F239/12)</f>
        <v>2006</v>
      </c>
      <c r="L239" s="1">
        <f>'Orig Trucks 2183'!P120</f>
        <v>35121.599999999999</v>
      </c>
      <c r="M239" s="1">
        <f>L239-L239*G239</f>
        <v>35121.599999999999</v>
      </c>
      <c r="N239" s="1">
        <f t="shared" ref="N239:N266" si="162">M239/I239/12</f>
        <v>418.1142857142857</v>
      </c>
      <c r="O239" s="1">
        <f t="shared" ref="O239:O266" si="163">+N239*12</f>
        <v>5017.3714285714286</v>
      </c>
      <c r="P239" s="1">
        <f>+IF(K239&lt;=$M$5,0,IF(J239&gt;$M$4,O239,N239*F239))</f>
        <v>0</v>
      </c>
      <c r="Q239" s="1">
        <f t="shared" ref="Q239:Q266" si="164">+IF(P239=0,M239,IF($M$3-E239&lt;1,0,(($M$3-E239)*O239)))</f>
        <v>35121.599999999999</v>
      </c>
      <c r="R239" s="1">
        <f t="shared" ref="R239:R266" si="165">+IF(P239=0,Q239,Q239+P239)</f>
        <v>35121.599999999999</v>
      </c>
      <c r="S239" s="1">
        <f t="shared" ref="S239:S266" si="166">+L239-R239</f>
        <v>0</v>
      </c>
    </row>
    <row r="240" spans="1:20" hidden="1">
      <c r="A240" s="2"/>
      <c r="B240" s="61">
        <v>5035</v>
      </c>
      <c r="C240" s="2"/>
      <c r="D240" s="2" t="s">
        <v>685</v>
      </c>
      <c r="E240" s="2">
        <v>2018</v>
      </c>
      <c r="F240" s="2">
        <v>5</v>
      </c>
      <c r="G240" s="71">
        <v>0</v>
      </c>
      <c r="H240" s="2" t="s">
        <v>78</v>
      </c>
      <c r="I240" s="2">
        <f>+IF(J239-$M$4&gt;=3,J239-$M$4,3)</f>
        <v>3</v>
      </c>
      <c r="J240" s="2">
        <f t="shared" si="160"/>
        <v>2021</v>
      </c>
      <c r="K240" s="13">
        <f t="shared" si="161"/>
        <v>2021.4166666666667</v>
      </c>
      <c r="L240" s="3">
        <f>'Orig Trucks 2183'!N120-'Trucks 2183'!L239</f>
        <v>8780.4000000000015</v>
      </c>
      <c r="M240" s="3">
        <f>L240-(L240*G240)</f>
        <v>8780.4000000000015</v>
      </c>
      <c r="N240" s="3">
        <f t="shared" si="162"/>
        <v>243.90000000000006</v>
      </c>
      <c r="O240" s="3">
        <f t="shared" si="163"/>
        <v>2926.8000000000006</v>
      </c>
      <c r="P240" s="3">
        <f>+IF(K240&lt;=$M$5,0,IF(J240&gt;$M$4,O240,N240*F240))</f>
        <v>2926.8000000000006</v>
      </c>
      <c r="Q240" s="3">
        <f t="shared" si="164"/>
        <v>0</v>
      </c>
      <c r="R240" s="3">
        <f t="shared" si="165"/>
        <v>2926.8000000000006</v>
      </c>
      <c r="S240" s="3">
        <f t="shared" si="166"/>
        <v>5853.6</v>
      </c>
      <c r="T240" s="50" t="s">
        <v>794</v>
      </c>
    </row>
    <row r="241" spans="1:20" hidden="1">
      <c r="A241" s="7" t="s">
        <v>290</v>
      </c>
      <c r="C241" s="7">
        <v>5036</v>
      </c>
      <c r="D241" s="7" t="s">
        <v>451</v>
      </c>
      <c r="E241" s="7">
        <v>1998</v>
      </c>
      <c r="F241" s="7">
        <v>1</v>
      </c>
      <c r="G241" s="27">
        <v>0</v>
      </c>
      <c r="H241" s="7" t="s">
        <v>78</v>
      </c>
      <c r="I241" s="7">
        <v>7</v>
      </c>
      <c r="J241" s="7">
        <f t="shared" si="160"/>
        <v>2005</v>
      </c>
      <c r="K241" s="11">
        <f t="shared" si="161"/>
        <v>2005.0833333333333</v>
      </c>
      <c r="L241" s="1">
        <f>'Orig Trucks 2183'!P119</f>
        <v>35121.599999999999</v>
      </c>
      <c r="M241" s="1">
        <f>L241-L241*G241</f>
        <v>35121.599999999999</v>
      </c>
      <c r="N241" s="1">
        <f t="shared" si="162"/>
        <v>418.1142857142857</v>
      </c>
      <c r="O241" s="1">
        <f t="shared" si="163"/>
        <v>5017.3714285714286</v>
      </c>
      <c r="P241" s="1">
        <f>+IF(K241&lt;=$M$5,0,IF(J241&gt;$M$4,O241,N241*F241))</f>
        <v>0</v>
      </c>
      <c r="Q241" s="1">
        <f t="shared" si="164"/>
        <v>35121.599999999999</v>
      </c>
      <c r="R241" s="1">
        <f t="shared" si="165"/>
        <v>35121.599999999999</v>
      </c>
      <c r="S241" s="1">
        <f t="shared" si="166"/>
        <v>0</v>
      </c>
    </row>
    <row r="242" spans="1:20" hidden="1">
      <c r="A242" s="2"/>
      <c r="B242" s="61">
        <v>5036</v>
      </c>
      <c r="C242" s="2"/>
      <c r="D242" s="2" t="s">
        <v>684</v>
      </c>
      <c r="E242" s="2">
        <v>2018</v>
      </c>
      <c r="F242" s="2">
        <v>5</v>
      </c>
      <c r="G242" s="71">
        <v>0</v>
      </c>
      <c r="H242" s="2" t="s">
        <v>78</v>
      </c>
      <c r="I242" s="2">
        <f>+IF(J241-$M$4&gt;=3,J241-$M$4,3)</f>
        <v>3</v>
      </c>
      <c r="J242" s="2">
        <f t="shared" si="160"/>
        <v>2021</v>
      </c>
      <c r="K242" s="13">
        <f t="shared" si="161"/>
        <v>2021.4166666666667</v>
      </c>
      <c r="L242" s="3">
        <f>'Orig Trucks 2183'!N119-'Trucks 2183'!L241</f>
        <v>8780.4000000000015</v>
      </c>
      <c r="M242" s="3">
        <f>L242-(L242*G242)</f>
        <v>8780.4000000000015</v>
      </c>
      <c r="N242" s="3">
        <f t="shared" si="162"/>
        <v>243.90000000000006</v>
      </c>
      <c r="O242" s="3">
        <f t="shared" si="163"/>
        <v>2926.8000000000006</v>
      </c>
      <c r="P242" s="3">
        <f>+IF(K242&lt;=$M$5,0,IF(J242&gt;$M$4,O242,N242*F242))</f>
        <v>2926.8000000000006</v>
      </c>
      <c r="Q242" s="3">
        <f t="shared" si="164"/>
        <v>0</v>
      </c>
      <c r="R242" s="3">
        <f t="shared" si="165"/>
        <v>2926.8000000000006</v>
      </c>
      <c r="S242" s="3">
        <f t="shared" si="166"/>
        <v>5853.6</v>
      </c>
      <c r="T242" s="50" t="s">
        <v>794</v>
      </c>
    </row>
    <row r="243" spans="1:20" hidden="1">
      <c r="A243" t="s">
        <v>288</v>
      </c>
      <c r="C243">
        <v>4510</v>
      </c>
      <c r="D243" t="s">
        <v>180</v>
      </c>
      <c r="E243">
        <v>1996</v>
      </c>
      <c r="F243">
        <v>11</v>
      </c>
      <c r="G243" s="27">
        <v>0</v>
      </c>
      <c r="H243" t="s">
        <v>78</v>
      </c>
      <c r="I243">
        <v>7</v>
      </c>
      <c r="J243">
        <f t="shared" si="160"/>
        <v>2003</v>
      </c>
      <c r="K243" s="14">
        <f t="shared" si="161"/>
        <v>2003.9166666666667</v>
      </c>
      <c r="L243" s="1">
        <f>'Orig Trucks 2183'!P16</f>
        <v>32973.599999999999</v>
      </c>
      <c r="M243" s="1">
        <f>L243-L243*G243</f>
        <v>32973.599999999999</v>
      </c>
      <c r="N243" s="1">
        <f t="shared" si="162"/>
        <v>392.54285714285714</v>
      </c>
      <c r="O243" s="1">
        <f t="shared" si="163"/>
        <v>4710.5142857142855</v>
      </c>
      <c r="P243" s="1">
        <f>+IF(K243&lt;=$M$5,0,IF(J243=$M$4,N243*F243,O243))</f>
        <v>0</v>
      </c>
      <c r="Q243" s="1">
        <f t="shared" si="164"/>
        <v>32973.599999999999</v>
      </c>
      <c r="R243" s="1">
        <f t="shared" si="165"/>
        <v>32973.599999999999</v>
      </c>
      <c r="S243" s="1">
        <f t="shared" si="166"/>
        <v>0</v>
      </c>
    </row>
    <row r="244" spans="1:20" hidden="1">
      <c r="A244" s="2"/>
      <c r="B244" s="61">
        <v>4510</v>
      </c>
      <c r="C244" s="2"/>
      <c r="D244" s="2" t="s">
        <v>650</v>
      </c>
      <c r="E244" s="2">
        <v>2018</v>
      </c>
      <c r="F244" s="2">
        <v>5</v>
      </c>
      <c r="G244" s="71">
        <v>0</v>
      </c>
      <c r="H244" s="2" t="s">
        <v>78</v>
      </c>
      <c r="I244" s="2">
        <f>+IF(J243-$M$4&gt;=3,J243-$M$4,3)</f>
        <v>3</v>
      </c>
      <c r="J244" s="2">
        <f t="shared" si="160"/>
        <v>2021</v>
      </c>
      <c r="K244" s="15">
        <f t="shared" si="161"/>
        <v>2021.4166666666667</v>
      </c>
      <c r="L244" s="3">
        <f>'Orig Trucks 2183'!N16-'Trucks 2183'!L243</f>
        <v>8243.4000000000015</v>
      </c>
      <c r="M244" s="3">
        <f>L244-(L244*G244)</f>
        <v>8243.4000000000015</v>
      </c>
      <c r="N244" s="3">
        <f t="shared" si="162"/>
        <v>228.98333333333338</v>
      </c>
      <c r="O244" s="3">
        <f t="shared" si="163"/>
        <v>2747.8000000000006</v>
      </c>
      <c r="P244" s="3">
        <f>+IF(K244&lt;=$M$5,0,IF(J244=$M$4,N244*F244,O244))</f>
        <v>2747.8000000000006</v>
      </c>
      <c r="Q244" s="3">
        <f t="shared" si="164"/>
        <v>0</v>
      </c>
      <c r="R244" s="3">
        <f t="shared" si="165"/>
        <v>2747.8000000000006</v>
      </c>
      <c r="S244" s="3">
        <f t="shared" si="166"/>
        <v>5495.6</v>
      </c>
      <c r="T244" s="50" t="s">
        <v>147</v>
      </c>
    </row>
    <row r="245" spans="1:20" hidden="1">
      <c r="A245" t="s">
        <v>288</v>
      </c>
      <c r="C245">
        <v>4510</v>
      </c>
      <c r="D245" t="s">
        <v>181</v>
      </c>
      <c r="E245">
        <v>1996</v>
      </c>
      <c r="F245">
        <v>11</v>
      </c>
      <c r="G245" s="27">
        <v>0</v>
      </c>
      <c r="H245" t="s">
        <v>78</v>
      </c>
      <c r="I245">
        <v>7</v>
      </c>
      <c r="J245">
        <f t="shared" si="160"/>
        <v>2003</v>
      </c>
      <c r="K245" s="14">
        <f t="shared" si="161"/>
        <v>2003.9166666666667</v>
      </c>
      <c r="L245" s="1">
        <f>'Orig Trucks 2183'!P17</f>
        <v>349.6</v>
      </c>
      <c r="M245" s="1">
        <f>L245-L245*G245</f>
        <v>349.6</v>
      </c>
      <c r="N245" s="1">
        <f t="shared" si="162"/>
        <v>4.1619047619047622</v>
      </c>
      <c r="O245" s="1">
        <f t="shared" si="163"/>
        <v>49.94285714285715</v>
      </c>
      <c r="P245" s="1">
        <f>+IF(K245&lt;=$M$5,0,IF(J245=$M$4,N245*F245,O245))</f>
        <v>0</v>
      </c>
      <c r="Q245" s="1">
        <f t="shared" si="164"/>
        <v>349.6</v>
      </c>
      <c r="R245" s="1">
        <f t="shared" si="165"/>
        <v>349.6</v>
      </c>
      <c r="S245" s="1">
        <f t="shared" si="166"/>
        <v>0</v>
      </c>
    </row>
    <row r="246" spans="1:20" hidden="1">
      <c r="A246" s="2"/>
      <c r="B246" s="61">
        <v>4510</v>
      </c>
      <c r="C246" s="2"/>
      <c r="D246" s="2" t="s">
        <v>650</v>
      </c>
      <c r="E246" s="2">
        <v>2018</v>
      </c>
      <c r="F246" s="2">
        <v>5</v>
      </c>
      <c r="G246" s="71">
        <v>0</v>
      </c>
      <c r="H246" s="2" t="s">
        <v>78</v>
      </c>
      <c r="I246" s="2">
        <f>+IF(J245-$M$4&gt;=3,J245-$M$4,3)</f>
        <v>3</v>
      </c>
      <c r="J246" s="2">
        <f t="shared" si="160"/>
        <v>2021</v>
      </c>
      <c r="K246" s="15">
        <f t="shared" si="161"/>
        <v>2021.4166666666667</v>
      </c>
      <c r="L246" s="3">
        <f>'Orig Trucks 2183'!N17-'Trucks 2183'!L245</f>
        <v>87.399999999999977</v>
      </c>
      <c r="M246" s="3">
        <f>L246-(L246*G246)</f>
        <v>87.399999999999977</v>
      </c>
      <c r="N246" s="3">
        <f t="shared" si="162"/>
        <v>2.4277777777777771</v>
      </c>
      <c r="O246" s="3">
        <f t="shared" si="163"/>
        <v>29.133333333333326</v>
      </c>
      <c r="P246" s="3">
        <f>+IF(K246&lt;=$M$5,0,IF(J246=$M$4,N246*F246,O246))</f>
        <v>29.133333333333326</v>
      </c>
      <c r="Q246" s="3">
        <f t="shared" si="164"/>
        <v>0</v>
      </c>
      <c r="R246" s="3">
        <f t="shared" si="165"/>
        <v>29.133333333333326</v>
      </c>
      <c r="S246" s="3">
        <f t="shared" si="166"/>
        <v>58.266666666666652</v>
      </c>
      <c r="T246" s="50" t="s">
        <v>147</v>
      </c>
    </row>
    <row r="247" spans="1:20" hidden="1">
      <c r="A247" s="7" t="s">
        <v>284</v>
      </c>
      <c r="C247" s="7">
        <v>3558</v>
      </c>
      <c r="D247" s="7" t="s">
        <v>379</v>
      </c>
      <c r="E247" s="7">
        <v>2000</v>
      </c>
      <c r="F247" s="7">
        <v>5</v>
      </c>
      <c r="G247" s="27">
        <v>0</v>
      </c>
      <c r="H247" s="7" t="s">
        <v>78</v>
      </c>
      <c r="I247" s="7">
        <v>7</v>
      </c>
      <c r="J247" s="7">
        <f t="shared" si="160"/>
        <v>2007</v>
      </c>
      <c r="K247" s="11">
        <f t="shared" si="161"/>
        <v>2007.4166666666667</v>
      </c>
      <c r="L247" s="1">
        <f>'Orig Trucks 2183'!P156</f>
        <v>120269.856</v>
      </c>
      <c r="M247" s="1">
        <f>L247-L247*G247</f>
        <v>120269.856</v>
      </c>
      <c r="N247" s="1">
        <f t="shared" si="162"/>
        <v>1431.7839999999999</v>
      </c>
      <c r="O247" s="1">
        <f t="shared" si="163"/>
        <v>17181.407999999999</v>
      </c>
      <c r="P247" s="1">
        <f t="shared" ref="P247:P252" si="167">+IF(K247&lt;=$M$5,0,IF(J247&gt;$M$4,O247,N247*F247))</f>
        <v>0</v>
      </c>
      <c r="Q247" s="1">
        <f t="shared" si="164"/>
        <v>120269.856</v>
      </c>
      <c r="R247" s="1">
        <f t="shared" si="165"/>
        <v>120269.856</v>
      </c>
      <c r="S247" s="1">
        <f t="shared" si="166"/>
        <v>0</v>
      </c>
    </row>
    <row r="248" spans="1:20" hidden="1">
      <c r="A248" s="2"/>
      <c r="B248" s="61">
        <v>3558</v>
      </c>
      <c r="C248" s="2"/>
      <c r="D248" s="2" t="s">
        <v>698</v>
      </c>
      <c r="E248" s="2">
        <v>2018</v>
      </c>
      <c r="F248" s="2">
        <v>5</v>
      </c>
      <c r="G248" s="71">
        <v>0</v>
      </c>
      <c r="H248" s="2" t="s">
        <v>78</v>
      </c>
      <c r="I248" s="2">
        <f>+IF(J247-$M$4&gt;=3,J247-$M$4,3)</f>
        <v>3</v>
      </c>
      <c r="J248" s="2">
        <f t="shared" si="160"/>
        <v>2021</v>
      </c>
      <c r="K248" s="13">
        <f t="shared" si="161"/>
        <v>2021.4166666666667</v>
      </c>
      <c r="L248" s="3">
        <f>'Orig Trucks 2183'!N156-'Trucks 2183'!L247</f>
        <v>30067.464000000007</v>
      </c>
      <c r="M248" s="3">
        <f>L248-(L248*G248)</f>
        <v>30067.464000000007</v>
      </c>
      <c r="N248" s="3">
        <f t="shared" si="162"/>
        <v>835.20733333333362</v>
      </c>
      <c r="O248" s="3">
        <f t="shared" si="163"/>
        <v>10022.488000000003</v>
      </c>
      <c r="P248" s="3">
        <f t="shared" si="167"/>
        <v>10022.488000000003</v>
      </c>
      <c r="Q248" s="3">
        <f t="shared" si="164"/>
        <v>0</v>
      </c>
      <c r="R248" s="3">
        <f t="shared" si="165"/>
        <v>10022.488000000003</v>
      </c>
      <c r="S248" s="3">
        <f t="shared" si="166"/>
        <v>20044.976000000002</v>
      </c>
      <c r="T248" s="50" t="s">
        <v>157</v>
      </c>
    </row>
    <row r="249" spans="1:20" hidden="1">
      <c r="A249" t="s">
        <v>284</v>
      </c>
      <c r="C249">
        <v>3558</v>
      </c>
      <c r="D249" t="s">
        <v>339</v>
      </c>
      <c r="E249">
        <v>2009</v>
      </c>
      <c r="F249">
        <v>5</v>
      </c>
      <c r="G249" s="27">
        <v>0</v>
      </c>
      <c r="H249" t="s">
        <v>78</v>
      </c>
      <c r="I249">
        <v>3</v>
      </c>
      <c r="J249">
        <f t="shared" si="160"/>
        <v>2012</v>
      </c>
      <c r="K249" s="11">
        <f t="shared" si="161"/>
        <v>2012.4166666666667</v>
      </c>
      <c r="L249" s="1">
        <v>2685.06</v>
      </c>
      <c r="M249" s="1">
        <f>L249-L249*G249</f>
        <v>2685.06</v>
      </c>
      <c r="N249" s="1">
        <f t="shared" si="162"/>
        <v>74.584999999999994</v>
      </c>
      <c r="O249" s="1">
        <f t="shared" si="163"/>
        <v>895.02</v>
      </c>
      <c r="P249" s="1">
        <f t="shared" si="167"/>
        <v>0</v>
      </c>
      <c r="Q249" s="1">
        <f t="shared" si="164"/>
        <v>2685.06</v>
      </c>
      <c r="R249" s="1">
        <f t="shared" si="165"/>
        <v>2685.06</v>
      </c>
      <c r="S249" s="1">
        <f t="shared" si="166"/>
        <v>0</v>
      </c>
    </row>
    <row r="250" spans="1:20" hidden="1">
      <c r="A250" s="7" t="s">
        <v>292</v>
      </c>
      <c r="C250" s="7">
        <v>5043</v>
      </c>
      <c r="D250" s="7" t="s">
        <v>453</v>
      </c>
      <c r="E250" s="7">
        <v>2002</v>
      </c>
      <c r="F250" s="7">
        <v>6</v>
      </c>
      <c r="G250" s="27">
        <v>0</v>
      </c>
      <c r="H250" s="7" t="s">
        <v>78</v>
      </c>
      <c r="I250" s="7">
        <v>7</v>
      </c>
      <c r="J250" s="7">
        <f t="shared" si="160"/>
        <v>2009</v>
      </c>
      <c r="K250" s="11">
        <f t="shared" si="161"/>
        <v>2009.5</v>
      </c>
      <c r="L250" s="1">
        <f>'Orig Trucks 2183'!P125</f>
        <v>59345.864000000001</v>
      </c>
      <c r="M250" s="1">
        <f>L250-L250*G250</f>
        <v>59345.864000000001</v>
      </c>
      <c r="N250" s="1">
        <f t="shared" si="162"/>
        <v>706.49838095238101</v>
      </c>
      <c r="O250" s="1">
        <f t="shared" si="163"/>
        <v>8477.9805714285721</v>
      </c>
      <c r="P250" s="1">
        <f t="shared" si="167"/>
        <v>0</v>
      </c>
      <c r="Q250" s="1">
        <f t="shared" si="164"/>
        <v>59345.864000000001</v>
      </c>
      <c r="R250" s="1">
        <f t="shared" si="165"/>
        <v>59345.864000000001</v>
      </c>
      <c r="S250" s="1">
        <f t="shared" si="166"/>
        <v>0</v>
      </c>
    </row>
    <row r="251" spans="1:20" hidden="1">
      <c r="A251" s="2"/>
      <c r="B251" s="61">
        <v>5043</v>
      </c>
      <c r="C251" s="2"/>
      <c r="D251" s="2" t="s">
        <v>688</v>
      </c>
      <c r="E251" s="2">
        <v>2018</v>
      </c>
      <c r="F251" s="2">
        <v>5</v>
      </c>
      <c r="G251" s="71">
        <v>0</v>
      </c>
      <c r="H251" s="2" t="s">
        <v>78</v>
      </c>
      <c r="I251" s="2">
        <f>+IF(J250-$M$4&gt;=3,J250-$M$4,3)</f>
        <v>3</v>
      </c>
      <c r="J251" s="2">
        <f t="shared" si="160"/>
        <v>2021</v>
      </c>
      <c r="K251" s="13">
        <f t="shared" si="161"/>
        <v>2021.4166666666667</v>
      </c>
      <c r="L251" s="3">
        <f>'Orig Trucks 2183'!N125-'Trucks 2183'!L250</f>
        <v>14836.466</v>
      </c>
      <c r="M251" s="3">
        <f>L251-(L251*G251)</f>
        <v>14836.466</v>
      </c>
      <c r="N251" s="3">
        <f t="shared" si="162"/>
        <v>412.12405555555557</v>
      </c>
      <c r="O251" s="3">
        <f t="shared" si="163"/>
        <v>4945.4886666666671</v>
      </c>
      <c r="P251" s="3">
        <f t="shared" si="167"/>
        <v>4945.4886666666671</v>
      </c>
      <c r="Q251" s="3">
        <f t="shared" si="164"/>
        <v>0</v>
      </c>
      <c r="R251" s="3">
        <f t="shared" si="165"/>
        <v>4945.4886666666671</v>
      </c>
      <c r="S251" s="3">
        <f t="shared" si="166"/>
        <v>9890.9773333333324</v>
      </c>
      <c r="T251" s="50" t="s">
        <v>794</v>
      </c>
    </row>
    <row r="252" spans="1:20" hidden="1">
      <c r="A252" t="s">
        <v>292</v>
      </c>
      <c r="C252">
        <v>5043</v>
      </c>
      <c r="D252" t="s">
        <v>335</v>
      </c>
      <c r="E252">
        <v>2009</v>
      </c>
      <c r="F252">
        <v>5</v>
      </c>
      <c r="G252" s="27">
        <v>0</v>
      </c>
      <c r="H252" t="s">
        <v>78</v>
      </c>
      <c r="I252">
        <v>3</v>
      </c>
      <c r="J252">
        <f t="shared" si="160"/>
        <v>2012</v>
      </c>
      <c r="K252" s="11">
        <f t="shared" si="161"/>
        <v>2012.4166666666667</v>
      </c>
      <c r="L252" s="1">
        <v>2801.33</v>
      </c>
      <c r="M252" s="1">
        <f>L252-L252*G252</f>
        <v>2801.33</v>
      </c>
      <c r="N252" s="1">
        <f t="shared" si="162"/>
        <v>77.814722222222215</v>
      </c>
      <c r="O252" s="1">
        <f t="shared" si="163"/>
        <v>933.77666666666664</v>
      </c>
      <c r="P252" s="1">
        <f t="shared" si="167"/>
        <v>0</v>
      </c>
      <c r="Q252" s="1">
        <f t="shared" si="164"/>
        <v>2801.33</v>
      </c>
      <c r="R252" s="1">
        <f t="shared" si="165"/>
        <v>2801.33</v>
      </c>
      <c r="S252" s="1">
        <f t="shared" si="166"/>
        <v>0</v>
      </c>
    </row>
    <row r="253" spans="1:20" hidden="1">
      <c r="A253" t="s">
        <v>288</v>
      </c>
      <c r="C253">
        <v>4510</v>
      </c>
      <c r="D253" t="s">
        <v>327</v>
      </c>
      <c r="E253">
        <v>2009</v>
      </c>
      <c r="F253">
        <v>6</v>
      </c>
      <c r="G253" s="27">
        <v>0</v>
      </c>
      <c r="H253" t="s">
        <v>78</v>
      </c>
      <c r="I253">
        <v>3</v>
      </c>
      <c r="J253">
        <f t="shared" si="160"/>
        <v>2012</v>
      </c>
      <c r="K253" s="14">
        <f t="shared" si="161"/>
        <v>2012.5</v>
      </c>
      <c r="L253" s="1">
        <v>4493.79</v>
      </c>
      <c r="M253" s="1">
        <f>L253-L253*G253</f>
        <v>4493.79</v>
      </c>
      <c r="N253" s="1">
        <f t="shared" si="162"/>
        <v>124.8275</v>
      </c>
      <c r="O253" s="1">
        <f t="shared" si="163"/>
        <v>1497.93</v>
      </c>
      <c r="P253" s="1">
        <f>+IF(K253&lt;=$M$5,0,IF(J253=$M$4,N253*F253,O253))</f>
        <v>0</v>
      </c>
      <c r="Q253" s="1">
        <f t="shared" si="164"/>
        <v>4493.79</v>
      </c>
      <c r="R253" s="1">
        <f t="shared" si="165"/>
        <v>4493.79</v>
      </c>
      <c r="S253" s="1">
        <f t="shared" si="166"/>
        <v>0</v>
      </c>
    </row>
    <row r="254" spans="1:20" hidden="1">
      <c r="A254" s="7" t="s">
        <v>290</v>
      </c>
      <c r="C254" s="7">
        <v>5035</v>
      </c>
      <c r="D254" s="7" t="s">
        <v>305</v>
      </c>
      <c r="E254" s="7">
        <v>1999</v>
      </c>
      <c r="F254" s="7">
        <v>8</v>
      </c>
      <c r="G254" s="27">
        <v>0</v>
      </c>
      <c r="H254" s="7" t="s">
        <v>78</v>
      </c>
      <c r="I254" s="7">
        <v>7</v>
      </c>
      <c r="J254" s="7">
        <f t="shared" si="160"/>
        <v>2006</v>
      </c>
      <c r="K254" s="11">
        <f t="shared" si="161"/>
        <v>2006.6666666666667</v>
      </c>
      <c r="L254" s="1">
        <f>'Orig Trucks 2183'!P121</f>
        <v>17376</v>
      </c>
      <c r="M254" s="1">
        <f>L254-L254*G254</f>
        <v>17376</v>
      </c>
      <c r="N254" s="1">
        <f t="shared" si="162"/>
        <v>206.85714285714286</v>
      </c>
      <c r="O254" s="1">
        <f t="shared" si="163"/>
        <v>2482.2857142857142</v>
      </c>
      <c r="P254" s="1">
        <f>+IF(K254&lt;=$M$5,0,IF(J254&gt;$M$4,O254,N254*F254))</f>
        <v>0</v>
      </c>
      <c r="Q254" s="1">
        <f t="shared" si="164"/>
        <v>17376</v>
      </c>
      <c r="R254" s="1">
        <f t="shared" si="165"/>
        <v>17376</v>
      </c>
      <c r="S254" s="1">
        <f t="shared" si="166"/>
        <v>0</v>
      </c>
    </row>
    <row r="255" spans="1:20" hidden="1">
      <c r="A255" s="2"/>
      <c r="B255" s="61">
        <v>5035</v>
      </c>
      <c r="C255" s="2"/>
      <c r="D255" s="2" t="s">
        <v>685</v>
      </c>
      <c r="E255" s="2">
        <v>2018</v>
      </c>
      <c r="F255" s="2">
        <v>5</v>
      </c>
      <c r="G255" s="71">
        <v>0</v>
      </c>
      <c r="H255" s="2" t="s">
        <v>78</v>
      </c>
      <c r="I255" s="2">
        <f>+IF(J254-$M$4&gt;=3,J254-$M$4,3)</f>
        <v>3</v>
      </c>
      <c r="J255" s="2">
        <f t="shared" si="160"/>
        <v>2021</v>
      </c>
      <c r="K255" s="13">
        <f t="shared" si="161"/>
        <v>2021.4166666666667</v>
      </c>
      <c r="L255" s="3">
        <f>'Orig Trucks 2183'!N121-'Trucks 2183'!L254</f>
        <v>4344</v>
      </c>
      <c r="M255" s="3">
        <f>L255-(L255*G255)</f>
        <v>4344</v>
      </c>
      <c r="N255" s="3">
        <f t="shared" si="162"/>
        <v>120.66666666666667</v>
      </c>
      <c r="O255" s="3">
        <f t="shared" si="163"/>
        <v>1448</v>
      </c>
      <c r="P255" s="3">
        <f>+IF(K255&lt;=$M$5,0,IF(J255&gt;$M$4,O255,N255*F255))</f>
        <v>1448</v>
      </c>
      <c r="Q255" s="3">
        <f t="shared" si="164"/>
        <v>0</v>
      </c>
      <c r="R255" s="3">
        <f t="shared" si="165"/>
        <v>1448</v>
      </c>
      <c r="S255" s="3">
        <f t="shared" si="166"/>
        <v>2896</v>
      </c>
      <c r="T255" s="50" t="s">
        <v>794</v>
      </c>
    </row>
    <row r="256" spans="1:20" hidden="1">
      <c r="A256" s="50"/>
      <c r="B256" s="62">
        <v>191685</v>
      </c>
      <c r="C256" s="50"/>
      <c r="D256" s="50" t="s">
        <v>718</v>
      </c>
      <c r="E256" s="50">
        <v>2018</v>
      </c>
      <c r="F256" s="50">
        <v>1</v>
      </c>
      <c r="G256" s="73">
        <v>0</v>
      </c>
      <c r="H256" s="50" t="s">
        <v>78</v>
      </c>
      <c r="I256" s="50">
        <v>10</v>
      </c>
      <c r="J256" s="50">
        <f t="shared" si="160"/>
        <v>2028</v>
      </c>
      <c r="K256" s="51">
        <f t="shared" si="161"/>
        <v>2028.0833333333333</v>
      </c>
      <c r="L256" s="52">
        <v>115762.12</v>
      </c>
      <c r="M256" s="52">
        <f>L256-L256*G256</f>
        <v>115762.12</v>
      </c>
      <c r="N256" s="52">
        <f t="shared" si="162"/>
        <v>964.68433333333326</v>
      </c>
      <c r="O256" s="52">
        <f t="shared" si="163"/>
        <v>11576.212</v>
      </c>
      <c r="P256" s="52">
        <f>+IF(K256&lt;=$M$5,0,IF(J256=$M$4,N256*F256,O256))</f>
        <v>11576.212</v>
      </c>
      <c r="Q256" s="52">
        <f t="shared" si="164"/>
        <v>0</v>
      </c>
      <c r="R256" s="52">
        <f t="shared" si="165"/>
        <v>11576.212</v>
      </c>
      <c r="S256" s="52">
        <f t="shared" si="166"/>
        <v>104185.908</v>
      </c>
    </row>
    <row r="257" spans="1:20" hidden="1">
      <c r="A257" s="7" t="s">
        <v>283</v>
      </c>
      <c r="C257" s="7">
        <v>4030</v>
      </c>
      <c r="D257" s="7" t="s">
        <v>163</v>
      </c>
      <c r="E257" s="7">
        <v>2002</v>
      </c>
      <c r="F257" s="7">
        <v>6</v>
      </c>
      <c r="G257" s="27">
        <v>0</v>
      </c>
      <c r="H257" s="7" t="s">
        <v>78</v>
      </c>
      <c r="I257" s="7">
        <v>7</v>
      </c>
      <c r="J257" s="7">
        <f t="shared" si="160"/>
        <v>2009</v>
      </c>
      <c r="K257" s="11">
        <f t="shared" si="161"/>
        <v>2009.5</v>
      </c>
      <c r="L257" s="1">
        <f>'Orig Trucks 2183'!P83</f>
        <v>72496.775999999998</v>
      </c>
      <c r="M257" s="1">
        <f>L257-L257*G257</f>
        <v>72496.775999999998</v>
      </c>
      <c r="N257" s="1">
        <f t="shared" si="162"/>
        <v>863.0568571428571</v>
      </c>
      <c r="O257" s="1">
        <f t="shared" si="163"/>
        <v>10356.682285714285</v>
      </c>
      <c r="P257" s="1">
        <f>+IF(K257&lt;=$M$5,0,IF(J257&gt;$M$4,O257,N257*F257))</f>
        <v>0</v>
      </c>
      <c r="Q257" s="1">
        <f t="shared" si="164"/>
        <v>72496.775999999998</v>
      </c>
      <c r="R257" s="1">
        <f t="shared" si="165"/>
        <v>72496.775999999998</v>
      </c>
      <c r="S257" s="1">
        <f t="shared" si="166"/>
        <v>0</v>
      </c>
    </row>
    <row r="258" spans="1:20" hidden="1">
      <c r="A258" s="2"/>
      <c r="B258" s="61">
        <v>4030</v>
      </c>
      <c r="C258" s="2"/>
      <c r="D258" s="2" t="s">
        <v>675</v>
      </c>
      <c r="E258" s="2">
        <v>2018</v>
      </c>
      <c r="F258" s="2">
        <v>5</v>
      </c>
      <c r="G258" s="71">
        <v>0</v>
      </c>
      <c r="H258" s="2" t="s">
        <v>78</v>
      </c>
      <c r="I258" s="2">
        <f>+IF(J257-$M$4&gt;=3,J257-$M$4,3)</f>
        <v>3</v>
      </c>
      <c r="J258" s="2">
        <f t="shared" si="160"/>
        <v>2021</v>
      </c>
      <c r="K258" s="13">
        <f t="shared" si="161"/>
        <v>2021.4166666666667</v>
      </c>
      <c r="L258" s="3">
        <f>'Orig Trucks 2183'!N83-'Trucks 2183'!L257</f>
        <v>18124.194000000003</v>
      </c>
      <c r="M258" s="3">
        <f>L258-(L258*G258)</f>
        <v>18124.194000000003</v>
      </c>
      <c r="N258" s="3">
        <f t="shared" si="162"/>
        <v>503.4498333333334</v>
      </c>
      <c r="O258" s="3">
        <f t="shared" si="163"/>
        <v>6041.398000000001</v>
      </c>
      <c r="P258" s="3">
        <f>+IF(K258&lt;=$M$5,0,IF(J258&gt;$M$4,O258,N258*F258))</f>
        <v>6041.398000000001</v>
      </c>
      <c r="Q258" s="3">
        <f t="shared" si="164"/>
        <v>0</v>
      </c>
      <c r="R258" s="3">
        <f t="shared" si="165"/>
        <v>6041.398000000001</v>
      </c>
      <c r="S258" s="3">
        <f t="shared" si="166"/>
        <v>12082.796000000002</v>
      </c>
      <c r="T258" s="50" t="s">
        <v>795</v>
      </c>
    </row>
    <row r="259" spans="1:20" hidden="1">
      <c r="A259" s="7" t="s">
        <v>530</v>
      </c>
      <c r="C259" s="7">
        <v>4033</v>
      </c>
      <c r="D259" s="7" t="s">
        <v>174</v>
      </c>
      <c r="E259" s="7">
        <v>2002</v>
      </c>
      <c r="F259" s="7">
        <v>9</v>
      </c>
      <c r="G259" s="27">
        <v>0</v>
      </c>
      <c r="H259" s="7" t="s">
        <v>78</v>
      </c>
      <c r="I259" s="7">
        <v>7</v>
      </c>
      <c r="J259" s="7">
        <f t="shared" si="160"/>
        <v>2009</v>
      </c>
      <c r="K259" s="11">
        <f t="shared" si="161"/>
        <v>2009.75</v>
      </c>
      <c r="L259" s="1">
        <f>'Orig Trucks 2183'!P84</f>
        <v>80386.36</v>
      </c>
      <c r="M259" s="1">
        <f>L259-L259*G259</f>
        <v>80386.36</v>
      </c>
      <c r="N259" s="1">
        <f t="shared" si="162"/>
        <v>956.98047619047622</v>
      </c>
      <c r="O259" s="1">
        <f t="shared" si="163"/>
        <v>11483.765714285715</v>
      </c>
      <c r="P259" s="1">
        <f>+IF(K259&lt;=$M$5,0,IF(J259&gt;$M$4,O259,N259*F259))</f>
        <v>0</v>
      </c>
      <c r="Q259" s="1">
        <f t="shared" si="164"/>
        <v>80386.36</v>
      </c>
      <c r="R259" s="1">
        <f t="shared" si="165"/>
        <v>80386.36</v>
      </c>
      <c r="S259" s="1">
        <f t="shared" si="166"/>
        <v>0</v>
      </c>
    </row>
    <row r="260" spans="1:20" hidden="1">
      <c r="A260" s="2"/>
      <c r="B260" s="61">
        <v>4033</v>
      </c>
      <c r="C260" s="2"/>
      <c r="D260" s="2" t="s">
        <v>676</v>
      </c>
      <c r="E260" s="2">
        <v>2018</v>
      </c>
      <c r="F260" s="2">
        <v>5</v>
      </c>
      <c r="G260" s="71">
        <v>0</v>
      </c>
      <c r="H260" s="2" t="s">
        <v>78</v>
      </c>
      <c r="I260" s="2">
        <f>+IF(J259-$M$4&gt;=3,J259-$M$4,3)</f>
        <v>3</v>
      </c>
      <c r="J260" s="2">
        <f t="shared" si="160"/>
        <v>2021</v>
      </c>
      <c r="K260" s="13">
        <f t="shared" si="161"/>
        <v>2021.4166666666667</v>
      </c>
      <c r="L260" s="3">
        <f>'Orig Trucks 2183'!N84-'Trucks 2183'!L259</f>
        <v>20096.589999999997</v>
      </c>
      <c r="M260" s="3">
        <f>L260-(L260*G260)</f>
        <v>20096.589999999997</v>
      </c>
      <c r="N260" s="3">
        <f t="shared" si="162"/>
        <v>558.23861111111103</v>
      </c>
      <c r="O260" s="3">
        <f t="shared" si="163"/>
        <v>6698.8633333333328</v>
      </c>
      <c r="P260" s="3">
        <f>+IF(K260&lt;=$M$5,0,IF(J260&gt;$M$4,O260,N260*F260))</f>
        <v>6698.8633333333328</v>
      </c>
      <c r="Q260" s="3">
        <f t="shared" si="164"/>
        <v>0</v>
      </c>
      <c r="R260" s="3">
        <f t="shared" si="165"/>
        <v>6698.8633333333328</v>
      </c>
      <c r="S260" s="3">
        <f t="shared" si="166"/>
        <v>13397.726666666664</v>
      </c>
      <c r="T260" s="50" t="s">
        <v>795</v>
      </c>
    </row>
    <row r="261" spans="1:20" hidden="1">
      <c r="A261" t="s">
        <v>284</v>
      </c>
      <c r="C261">
        <v>3606</v>
      </c>
      <c r="D261" t="s">
        <v>377</v>
      </c>
      <c r="E261">
        <v>2007</v>
      </c>
      <c r="F261">
        <v>7</v>
      </c>
      <c r="G261" s="27">
        <v>0</v>
      </c>
      <c r="H261" t="s">
        <v>78</v>
      </c>
      <c r="I261">
        <v>7</v>
      </c>
      <c r="J261">
        <f t="shared" si="160"/>
        <v>2014</v>
      </c>
      <c r="K261" s="14">
        <f t="shared" si="161"/>
        <v>2014.5833333333333</v>
      </c>
      <c r="L261" s="1">
        <f>'Orig Trucks 2183'!P43</f>
        <v>155764.03200000001</v>
      </c>
      <c r="M261" s="1">
        <f>L261-L261*G261</f>
        <v>155764.03200000001</v>
      </c>
      <c r="N261" s="1">
        <f t="shared" si="162"/>
        <v>1854.3337142857144</v>
      </c>
      <c r="O261" s="1">
        <f t="shared" si="163"/>
        <v>22252.004571428573</v>
      </c>
      <c r="P261" s="1">
        <f>+IF(K261&lt;=$M$5,0,IF(J261=$M$4,N261*F261,O261))</f>
        <v>0</v>
      </c>
      <c r="Q261" s="1">
        <f t="shared" si="164"/>
        <v>155764.03200000001</v>
      </c>
      <c r="R261" s="1">
        <f t="shared" si="165"/>
        <v>155764.03200000001</v>
      </c>
      <c r="S261" s="1">
        <f t="shared" si="166"/>
        <v>0</v>
      </c>
    </row>
    <row r="262" spans="1:20" hidden="1">
      <c r="A262" s="2"/>
      <c r="B262" s="61">
        <v>3606</v>
      </c>
      <c r="C262" s="2"/>
      <c r="D262" s="2" t="s">
        <v>665</v>
      </c>
      <c r="E262" s="2">
        <v>2018</v>
      </c>
      <c r="F262" s="2">
        <v>5</v>
      </c>
      <c r="G262" s="71">
        <v>0</v>
      </c>
      <c r="H262" s="2" t="s">
        <v>78</v>
      </c>
      <c r="I262" s="2">
        <f>+IF(J261-$M$4&gt;=3,J261-$M$4,3)</f>
        <v>3</v>
      </c>
      <c r="J262" s="2">
        <f t="shared" si="160"/>
        <v>2021</v>
      </c>
      <c r="K262" s="15">
        <f t="shared" si="161"/>
        <v>2021.4166666666667</v>
      </c>
      <c r="L262" s="3">
        <f>'Orig Trucks 2183'!N43-'Trucks 2183'!L261</f>
        <v>38941.008000000002</v>
      </c>
      <c r="M262" s="3">
        <f>L262-(L262*G262)</f>
        <v>38941.008000000002</v>
      </c>
      <c r="N262" s="3">
        <f t="shared" si="162"/>
        <v>1081.6946666666668</v>
      </c>
      <c r="O262" s="3">
        <f t="shared" si="163"/>
        <v>12980.336000000001</v>
      </c>
      <c r="P262" s="3">
        <f>+IF(K262&lt;=$M$5,0,IF(J262=$M$4,N262*F262,O262))</f>
        <v>12980.336000000001</v>
      </c>
      <c r="Q262" s="3">
        <f t="shared" si="164"/>
        <v>0</v>
      </c>
      <c r="R262" s="3">
        <f t="shared" si="165"/>
        <v>12980.336000000001</v>
      </c>
      <c r="S262" s="3">
        <f t="shared" si="166"/>
        <v>25960.671999999999</v>
      </c>
      <c r="T262" s="50" t="s">
        <v>147</v>
      </c>
    </row>
    <row r="263" spans="1:20" hidden="1">
      <c r="A263" t="s">
        <v>283</v>
      </c>
      <c r="C263">
        <v>4033</v>
      </c>
      <c r="D263" t="s">
        <v>82</v>
      </c>
      <c r="E263">
        <v>2009</v>
      </c>
      <c r="F263">
        <v>5</v>
      </c>
      <c r="G263" s="27">
        <v>0</v>
      </c>
      <c r="H263" t="s">
        <v>78</v>
      </c>
      <c r="I263">
        <v>3</v>
      </c>
      <c r="J263">
        <f t="shared" si="160"/>
        <v>2012</v>
      </c>
      <c r="K263" s="11">
        <f t="shared" si="161"/>
        <v>2012.4166666666667</v>
      </c>
      <c r="L263" s="1">
        <v>3577.2</v>
      </c>
      <c r="M263" s="1">
        <f>L263-L263*G263</f>
        <v>3577.2</v>
      </c>
      <c r="N263" s="1">
        <f t="shared" si="162"/>
        <v>99.36666666666666</v>
      </c>
      <c r="O263" s="1">
        <f t="shared" si="163"/>
        <v>1192.3999999999999</v>
      </c>
      <c r="P263" s="1">
        <f>+IF(K263&lt;=$M$5,0,IF(J263&gt;$M$4,O263,N263*F263))</f>
        <v>0</v>
      </c>
      <c r="Q263" s="1">
        <f t="shared" si="164"/>
        <v>3577.2</v>
      </c>
      <c r="R263" s="1">
        <f t="shared" si="165"/>
        <v>3577.2</v>
      </c>
      <c r="S263" s="1">
        <f t="shared" si="166"/>
        <v>0</v>
      </c>
    </row>
    <row r="264" spans="1:20" hidden="1">
      <c r="A264" t="s">
        <v>283</v>
      </c>
      <c r="C264">
        <v>4033</v>
      </c>
      <c r="D264" t="s">
        <v>331</v>
      </c>
      <c r="E264">
        <v>2009</v>
      </c>
      <c r="F264">
        <v>5</v>
      </c>
      <c r="G264" s="27">
        <v>0</v>
      </c>
      <c r="H264" t="s">
        <v>78</v>
      </c>
      <c r="I264">
        <v>3</v>
      </c>
      <c r="J264">
        <f t="shared" si="160"/>
        <v>2012</v>
      </c>
      <c r="K264" s="11">
        <f t="shared" si="161"/>
        <v>2012.4166666666667</v>
      </c>
      <c r="L264" s="1">
        <v>5775.33</v>
      </c>
      <c r="M264" s="1">
        <f>L264-L264*G264</f>
        <v>5775.33</v>
      </c>
      <c r="N264" s="1">
        <f t="shared" si="162"/>
        <v>160.42583333333332</v>
      </c>
      <c r="O264" s="1">
        <f t="shared" si="163"/>
        <v>1925.1099999999997</v>
      </c>
      <c r="P264" s="1">
        <f>+IF(K264&lt;=$M$5,0,IF(J264&gt;$M$4,O264,N264*F264))</f>
        <v>0</v>
      </c>
      <c r="Q264" s="1">
        <f t="shared" si="164"/>
        <v>5775.33</v>
      </c>
      <c r="R264" s="1">
        <f t="shared" si="165"/>
        <v>5775.33</v>
      </c>
      <c r="S264" s="1">
        <f t="shared" si="166"/>
        <v>0</v>
      </c>
    </row>
    <row r="265" spans="1:20" hidden="1">
      <c r="B265" s="22">
        <v>117825</v>
      </c>
      <c r="C265">
        <v>4033</v>
      </c>
      <c r="D265" t="s">
        <v>531</v>
      </c>
      <c r="E265">
        <v>2014</v>
      </c>
      <c r="F265">
        <v>11</v>
      </c>
      <c r="G265" s="27">
        <v>0</v>
      </c>
      <c r="H265" t="s">
        <v>78</v>
      </c>
      <c r="I265">
        <v>3</v>
      </c>
      <c r="J265">
        <f t="shared" si="160"/>
        <v>2017</v>
      </c>
      <c r="K265" s="11">
        <f t="shared" si="161"/>
        <v>2017.9166666666667</v>
      </c>
      <c r="L265" s="1">
        <v>7331.82</v>
      </c>
      <c r="M265" s="1">
        <f>L265-L265*G265</f>
        <v>7331.82</v>
      </c>
      <c r="N265" s="1">
        <f t="shared" si="162"/>
        <v>203.66166666666666</v>
      </c>
      <c r="O265" s="1">
        <f t="shared" si="163"/>
        <v>2443.94</v>
      </c>
      <c r="P265" s="1">
        <f>+IF(K265&lt;=$M$5,0,IF(J265&gt;$M$4,O265,N265*F265))</f>
        <v>0</v>
      </c>
      <c r="Q265" s="1">
        <f t="shared" si="164"/>
        <v>7331.82</v>
      </c>
      <c r="R265" s="1">
        <f t="shared" si="165"/>
        <v>7331.82</v>
      </c>
      <c r="S265" s="1">
        <f t="shared" si="166"/>
        <v>0</v>
      </c>
    </row>
    <row r="266" spans="1:20" hidden="1">
      <c r="A266" s="56" t="s">
        <v>288</v>
      </c>
      <c r="B266" s="64" t="s">
        <v>569</v>
      </c>
      <c r="C266" s="56">
        <v>8924</v>
      </c>
      <c r="D266" s="56" t="s">
        <v>570</v>
      </c>
      <c r="E266" s="56">
        <v>2015</v>
      </c>
      <c r="F266" s="56">
        <v>5</v>
      </c>
      <c r="G266" s="74">
        <v>0</v>
      </c>
      <c r="H266" s="56" t="s">
        <v>78</v>
      </c>
      <c r="I266" s="56">
        <v>3</v>
      </c>
      <c r="J266" s="56">
        <f t="shared" si="160"/>
        <v>2018</v>
      </c>
      <c r="K266" s="65">
        <f t="shared" si="161"/>
        <v>2018.4166666666667</v>
      </c>
      <c r="L266" s="66">
        <f>29396+30486</f>
        <v>59882</v>
      </c>
      <c r="M266" s="66">
        <f>L266-L266*G266</f>
        <v>59882</v>
      </c>
      <c r="N266" s="66">
        <f t="shared" si="162"/>
        <v>1663.3888888888889</v>
      </c>
      <c r="O266" s="66">
        <f t="shared" si="163"/>
        <v>19960.666666666668</v>
      </c>
      <c r="P266" s="66">
        <f>+IF(K266&lt;=$M$5,0,IF(J266=$M$4,N266*F266,O266))</f>
        <v>0</v>
      </c>
      <c r="Q266" s="66">
        <f t="shared" si="164"/>
        <v>59882</v>
      </c>
      <c r="R266" s="66">
        <f t="shared" si="165"/>
        <v>59882</v>
      </c>
      <c r="S266" s="66">
        <f t="shared" si="166"/>
        <v>0</v>
      </c>
    </row>
    <row r="267" spans="1:20" hidden="1">
      <c r="A267" s="7" t="s">
        <v>283</v>
      </c>
      <c r="C267" s="7">
        <v>4025</v>
      </c>
      <c r="D267" s="7" t="s">
        <v>378</v>
      </c>
      <c r="E267" s="7">
        <v>2000</v>
      </c>
      <c r="F267" s="7">
        <v>4</v>
      </c>
      <c r="G267" s="27">
        <v>0</v>
      </c>
      <c r="H267" s="7" t="s">
        <v>78</v>
      </c>
      <c r="I267" s="7">
        <v>7</v>
      </c>
      <c r="J267" s="7">
        <f t="shared" ref="J267:J275" si="168">E267+I267</f>
        <v>2007</v>
      </c>
      <c r="K267" s="11">
        <f t="shared" ref="K267:K275" si="169">+J267+(F267/12)</f>
        <v>2007.3333333333333</v>
      </c>
      <c r="L267" s="1">
        <f>'Orig Trucks 2183'!P82</f>
        <v>97205.135999999999</v>
      </c>
      <c r="M267" s="1">
        <f>L267-L267*G267</f>
        <v>97205.135999999999</v>
      </c>
      <c r="N267" s="1">
        <f t="shared" ref="N267:N275" si="170">M267/I267/12</f>
        <v>1157.204</v>
      </c>
      <c r="O267" s="1">
        <f t="shared" ref="O267:O275" si="171">+N267*12</f>
        <v>13886.448</v>
      </c>
      <c r="P267" s="1">
        <f>+IF(K267&lt;=$M$5,0,IF(J267&gt;$M$4,O267,N267*F267))</f>
        <v>0</v>
      </c>
      <c r="Q267" s="1">
        <f t="shared" ref="Q267:Q275" si="172">+IF(P267=0,M267,IF($M$3-E267&lt;1,0,(($M$3-E267)*O267)))</f>
        <v>97205.135999999999</v>
      </c>
      <c r="R267" s="1">
        <f t="shared" ref="R267:R275" si="173">+IF(P267=0,Q267,Q267+P267)</f>
        <v>97205.135999999999</v>
      </c>
      <c r="S267" s="1">
        <f t="shared" ref="S267:S275" si="174">+L267-R267</f>
        <v>0</v>
      </c>
    </row>
    <row r="268" spans="1:20" hidden="1">
      <c r="A268" s="2"/>
      <c r="B268" s="61">
        <v>4025</v>
      </c>
      <c r="C268" s="2"/>
      <c r="D268" s="2" t="s">
        <v>674</v>
      </c>
      <c r="E268" s="2">
        <v>2018</v>
      </c>
      <c r="F268" s="2">
        <v>5</v>
      </c>
      <c r="G268" s="71">
        <v>0</v>
      </c>
      <c r="H268" s="2" t="s">
        <v>78</v>
      </c>
      <c r="I268" s="2">
        <f>+IF(J267-$M$4&gt;=3,J267-$M$4,3)</f>
        <v>3</v>
      </c>
      <c r="J268" s="2">
        <f t="shared" si="168"/>
        <v>2021</v>
      </c>
      <c r="K268" s="13">
        <f t="shared" si="169"/>
        <v>2021.4166666666667</v>
      </c>
      <c r="L268" s="3">
        <f>'Orig Trucks 2183'!N82-'Trucks 2183'!L267</f>
        <v>24301.284</v>
      </c>
      <c r="M268" s="3">
        <f>L268-(L268*G268)</f>
        <v>24301.284</v>
      </c>
      <c r="N268" s="3">
        <f t="shared" si="170"/>
        <v>675.03566666666666</v>
      </c>
      <c r="O268" s="3">
        <f t="shared" si="171"/>
        <v>8100.4279999999999</v>
      </c>
      <c r="P268" s="3">
        <f>+IF(K268&lt;=$M$5,0,IF(J268&gt;$M$4,O268,N268*F268))</f>
        <v>8100.4279999999999</v>
      </c>
      <c r="Q268" s="3">
        <f t="shared" si="172"/>
        <v>0</v>
      </c>
      <c r="R268" s="3">
        <f t="shared" si="173"/>
        <v>8100.4279999999999</v>
      </c>
      <c r="S268" s="3">
        <f t="shared" si="174"/>
        <v>16200.856</v>
      </c>
      <c r="T268" s="50" t="s">
        <v>795</v>
      </c>
    </row>
    <row r="269" spans="1:20" hidden="1">
      <c r="A269" t="s">
        <v>283</v>
      </c>
      <c r="C269">
        <v>4025</v>
      </c>
      <c r="D269" t="s">
        <v>329</v>
      </c>
      <c r="E269">
        <v>2009</v>
      </c>
      <c r="F269">
        <v>6</v>
      </c>
      <c r="G269" s="27">
        <v>0</v>
      </c>
      <c r="H269" t="s">
        <v>78</v>
      </c>
      <c r="I269">
        <v>3</v>
      </c>
      <c r="J269">
        <f t="shared" si="168"/>
        <v>2012</v>
      </c>
      <c r="K269" s="11">
        <f t="shared" si="169"/>
        <v>2012.5</v>
      </c>
      <c r="L269" s="1">
        <v>4615.03</v>
      </c>
      <c r="M269" s="1">
        <f>L269-L269*G269</f>
        <v>4615.03</v>
      </c>
      <c r="N269" s="1">
        <f t="shared" si="170"/>
        <v>128.19527777777776</v>
      </c>
      <c r="O269" s="1">
        <f t="shared" si="171"/>
        <v>1538.3433333333332</v>
      </c>
      <c r="P269" s="1">
        <f>+IF(K269&lt;=$M$5,0,IF(J269&gt;$M$4,O269,N269*F269))</f>
        <v>0</v>
      </c>
      <c r="Q269" s="1">
        <f t="shared" si="172"/>
        <v>4615.03</v>
      </c>
      <c r="R269" s="1">
        <f t="shared" si="173"/>
        <v>4615.03</v>
      </c>
      <c r="S269" s="1">
        <f t="shared" si="174"/>
        <v>0</v>
      </c>
    </row>
    <row r="270" spans="1:20" hidden="1">
      <c r="A270" t="s">
        <v>283</v>
      </c>
      <c r="C270">
        <v>4030</v>
      </c>
      <c r="D270" t="s">
        <v>330</v>
      </c>
      <c r="E270">
        <v>2009</v>
      </c>
      <c r="F270">
        <v>6</v>
      </c>
      <c r="G270" s="27">
        <v>0</v>
      </c>
      <c r="H270" t="s">
        <v>78</v>
      </c>
      <c r="I270">
        <v>3</v>
      </c>
      <c r="J270">
        <f t="shared" si="168"/>
        <v>2012</v>
      </c>
      <c r="K270" s="11">
        <f t="shared" si="169"/>
        <v>2012.5</v>
      </c>
      <c r="L270" s="1">
        <v>2556.91</v>
      </c>
      <c r="M270" s="1">
        <f>L270-L270*G270</f>
        <v>2556.91</v>
      </c>
      <c r="N270" s="1">
        <f t="shared" si="170"/>
        <v>71.025277777777774</v>
      </c>
      <c r="O270" s="1">
        <f t="shared" si="171"/>
        <v>852.30333333333328</v>
      </c>
      <c r="P270" s="1">
        <f>+IF(K270&lt;=$M$5,0,IF(J270&gt;$M$4,O270,N270*F270))</f>
        <v>0</v>
      </c>
      <c r="Q270" s="1">
        <f t="shared" si="172"/>
        <v>2556.91</v>
      </c>
      <c r="R270" s="1">
        <f t="shared" si="173"/>
        <v>2556.91</v>
      </c>
      <c r="S270" s="1">
        <f t="shared" si="174"/>
        <v>0</v>
      </c>
    </row>
    <row r="271" spans="1:20" hidden="1">
      <c r="B271" s="22">
        <v>95840</v>
      </c>
      <c r="C271">
        <v>4030</v>
      </c>
      <c r="D271" t="s">
        <v>468</v>
      </c>
      <c r="E271">
        <v>2012</v>
      </c>
      <c r="F271">
        <v>7</v>
      </c>
      <c r="G271" s="27">
        <v>0</v>
      </c>
      <c r="H271" t="s">
        <v>78</v>
      </c>
      <c r="I271">
        <v>3</v>
      </c>
      <c r="J271">
        <f t="shared" si="168"/>
        <v>2015</v>
      </c>
      <c r="K271" s="11">
        <f t="shared" si="169"/>
        <v>2015.5833333333333</v>
      </c>
      <c r="L271" s="1">
        <v>45311</v>
      </c>
      <c r="M271" s="1">
        <f>L271-L271*G271</f>
        <v>45311</v>
      </c>
      <c r="N271" s="1">
        <f t="shared" si="170"/>
        <v>1258.6388888888889</v>
      </c>
      <c r="O271" s="1">
        <f t="shared" si="171"/>
        <v>15103.666666666668</v>
      </c>
      <c r="P271" s="1">
        <f>+IF(K271&lt;=$M$5,0,IF(J271&gt;$M$4,O271,N271*F271))</f>
        <v>0</v>
      </c>
      <c r="Q271" s="1">
        <f t="shared" si="172"/>
        <v>45311</v>
      </c>
      <c r="R271" s="1">
        <f t="shared" si="173"/>
        <v>45311</v>
      </c>
      <c r="S271" s="1">
        <f t="shared" si="174"/>
        <v>0</v>
      </c>
    </row>
    <row r="272" spans="1:20" hidden="1">
      <c r="A272" t="s">
        <v>288</v>
      </c>
      <c r="C272">
        <v>5001</v>
      </c>
      <c r="D272" t="s">
        <v>303</v>
      </c>
      <c r="E272">
        <v>1996</v>
      </c>
      <c r="F272">
        <v>1</v>
      </c>
      <c r="G272" s="27">
        <v>0</v>
      </c>
      <c r="H272" t="s">
        <v>78</v>
      </c>
      <c r="I272">
        <v>5</v>
      </c>
      <c r="J272">
        <f t="shared" si="168"/>
        <v>2001</v>
      </c>
      <c r="K272" s="14">
        <f t="shared" si="169"/>
        <v>2001.0833333333333</v>
      </c>
      <c r="L272" s="1">
        <f>+'Orig Trucks 2183'!P14</f>
        <v>20909.36</v>
      </c>
      <c r="M272" s="1">
        <f>L272-(L272*G272)</f>
        <v>20909.36</v>
      </c>
      <c r="N272" s="1">
        <f t="shared" si="170"/>
        <v>348.48933333333338</v>
      </c>
      <c r="O272" s="1">
        <f t="shared" si="171"/>
        <v>4181.8720000000003</v>
      </c>
      <c r="P272" s="1">
        <f>+IF(K272&lt;=$M$5,0,IF(J272=$M$4,N272*F272,O272))</f>
        <v>0</v>
      </c>
      <c r="Q272" s="1">
        <f t="shared" si="172"/>
        <v>20909.36</v>
      </c>
      <c r="R272" s="1">
        <f t="shared" si="173"/>
        <v>20909.36</v>
      </c>
      <c r="S272" s="1">
        <f t="shared" si="174"/>
        <v>0</v>
      </c>
    </row>
    <row r="273" spans="1:20" hidden="1">
      <c r="A273" s="2"/>
      <c r="B273" s="61">
        <v>5001</v>
      </c>
      <c r="C273" s="2"/>
      <c r="D273" s="2" t="s">
        <v>649</v>
      </c>
      <c r="E273" s="2">
        <v>2018</v>
      </c>
      <c r="F273" s="2">
        <v>5</v>
      </c>
      <c r="G273" s="71">
        <v>0</v>
      </c>
      <c r="H273" s="2" t="s">
        <v>78</v>
      </c>
      <c r="I273" s="2">
        <f>+IF(J272-$M$4&gt;=3,J272-$M$4,3)</f>
        <v>3</v>
      </c>
      <c r="J273" s="2">
        <f t="shared" si="168"/>
        <v>2021</v>
      </c>
      <c r="K273" s="15">
        <f t="shared" si="169"/>
        <v>2021.4166666666667</v>
      </c>
      <c r="L273" s="3">
        <f>+'Orig Trucks 2183'!N14-'Trucks 2183'!L272</f>
        <v>10298.64</v>
      </c>
      <c r="M273" s="3">
        <f>L273-(L273*G273)</f>
        <v>10298.64</v>
      </c>
      <c r="N273" s="3">
        <f t="shared" si="170"/>
        <v>286.07333333333332</v>
      </c>
      <c r="O273" s="3">
        <f t="shared" si="171"/>
        <v>3432.88</v>
      </c>
      <c r="P273" s="3">
        <f>+IF(K273&lt;=$M$5,0,IF(J273=$M$4,N273*F273,O273))</f>
        <v>3432.88</v>
      </c>
      <c r="Q273" s="3">
        <f t="shared" si="172"/>
        <v>0</v>
      </c>
      <c r="R273" s="3">
        <f t="shared" si="173"/>
        <v>3432.88</v>
      </c>
      <c r="S273" s="3">
        <f t="shared" si="174"/>
        <v>6865.7599999999993</v>
      </c>
      <c r="T273" s="50" t="s">
        <v>147</v>
      </c>
    </row>
    <row r="274" spans="1:20" hidden="1">
      <c r="A274" s="7" t="s">
        <v>290</v>
      </c>
      <c r="C274" s="7">
        <v>5036</v>
      </c>
      <c r="D274" s="7" t="s">
        <v>452</v>
      </c>
      <c r="E274" s="7">
        <v>1999</v>
      </c>
      <c r="F274" s="7">
        <v>10</v>
      </c>
      <c r="G274" s="27">
        <v>0</v>
      </c>
      <c r="H274" s="7" t="s">
        <v>78</v>
      </c>
      <c r="I274" s="7">
        <v>7</v>
      </c>
      <c r="J274" s="7">
        <f t="shared" si="168"/>
        <v>2006</v>
      </c>
      <c r="K274" s="11">
        <f t="shared" si="169"/>
        <v>2006.8333333333333</v>
      </c>
      <c r="L274" s="1">
        <f>'Orig Trucks 2183'!P122</f>
        <v>17344</v>
      </c>
      <c r="M274" s="1">
        <f>L274-L274*G274</f>
        <v>17344</v>
      </c>
      <c r="N274" s="1">
        <f t="shared" si="170"/>
        <v>206.47619047619048</v>
      </c>
      <c r="O274" s="1">
        <f t="shared" si="171"/>
        <v>2477.7142857142858</v>
      </c>
      <c r="P274" s="1">
        <f>+IF(K274&lt;=$M$5,0,IF(J274&gt;$M$4,O274,N274*F274))</f>
        <v>0</v>
      </c>
      <c r="Q274" s="1">
        <f t="shared" si="172"/>
        <v>17344</v>
      </c>
      <c r="R274" s="1">
        <f t="shared" si="173"/>
        <v>17344</v>
      </c>
      <c r="S274" s="1">
        <f t="shared" si="174"/>
        <v>0</v>
      </c>
    </row>
    <row r="275" spans="1:20" hidden="1">
      <c r="A275" s="2"/>
      <c r="B275" s="61">
        <v>5036</v>
      </c>
      <c r="C275" s="2"/>
      <c r="D275" s="2" t="s">
        <v>684</v>
      </c>
      <c r="E275" s="2">
        <v>2018</v>
      </c>
      <c r="F275" s="2">
        <v>5</v>
      </c>
      <c r="G275" s="71">
        <v>0</v>
      </c>
      <c r="H275" s="2" t="s">
        <v>78</v>
      </c>
      <c r="I275" s="2">
        <f>+IF(J274-$M$4&gt;=3,J274-$M$4,3)</f>
        <v>3</v>
      </c>
      <c r="J275" s="2">
        <f t="shared" si="168"/>
        <v>2021</v>
      </c>
      <c r="K275" s="13">
        <f t="shared" si="169"/>
        <v>2021.4166666666667</v>
      </c>
      <c r="L275" s="3">
        <f>'Orig Trucks 2183'!N122-'Trucks 2183'!L274</f>
        <v>4336</v>
      </c>
      <c r="M275" s="3">
        <f>L275-(L275*G275)</f>
        <v>4336</v>
      </c>
      <c r="N275" s="3">
        <f t="shared" si="170"/>
        <v>120.44444444444444</v>
      </c>
      <c r="O275" s="3">
        <f t="shared" si="171"/>
        <v>1445.3333333333333</v>
      </c>
      <c r="P275" s="3">
        <f>+IF(K275&lt;=$M$5,0,IF(J275&gt;$M$4,O275,N275*F275))</f>
        <v>1445.3333333333333</v>
      </c>
      <c r="Q275" s="3">
        <f t="shared" si="172"/>
        <v>0</v>
      </c>
      <c r="R275" s="3">
        <f t="shared" si="173"/>
        <v>1445.3333333333333</v>
      </c>
      <c r="S275" s="3">
        <f t="shared" si="174"/>
        <v>2890.666666666667</v>
      </c>
      <c r="T275" s="50" t="s">
        <v>794</v>
      </c>
    </row>
    <row r="276" spans="1:20" hidden="1">
      <c r="A276" s="7">
        <v>114281</v>
      </c>
      <c r="B276" s="22" t="s">
        <v>286</v>
      </c>
      <c r="C276" s="7">
        <v>2022</v>
      </c>
      <c r="D276" s="7" t="s">
        <v>542</v>
      </c>
      <c r="E276" s="7">
        <v>2004</v>
      </c>
      <c r="F276" s="7">
        <v>12</v>
      </c>
      <c r="G276" s="27">
        <v>0</v>
      </c>
      <c r="H276" s="7" t="s">
        <v>78</v>
      </c>
      <c r="I276" s="7">
        <v>7</v>
      </c>
      <c r="J276" s="7">
        <f t="shared" ref="J276:J288" si="175">E276+I276</f>
        <v>2011</v>
      </c>
      <c r="K276" s="11">
        <f t="shared" ref="K276:K288" si="176">+J276+(F276/12)</f>
        <v>2012</v>
      </c>
      <c r="L276" s="1">
        <f>'Orig Trucks 2183'!P177</f>
        <v>145043.37599999999</v>
      </c>
      <c r="M276" s="1">
        <f>L276-L276*G276</f>
        <v>145043.37599999999</v>
      </c>
      <c r="N276" s="1">
        <f t="shared" ref="N276:N288" si="177">M276/I276/12</f>
        <v>1726.706857142857</v>
      </c>
      <c r="O276" s="1">
        <f t="shared" ref="O276:O288" si="178">+N276*12</f>
        <v>20720.482285714283</v>
      </c>
      <c r="P276" s="1">
        <f>+IF(K276&lt;=$M$5,0,IF(J276&gt;$M$4,O276,N276*F276))</f>
        <v>0</v>
      </c>
      <c r="Q276" s="1">
        <f t="shared" ref="Q276:Q288" si="179">+IF(P276=0,M276,IF($M$3-E276&lt;1,0,(($M$3-E276)*O276)))</f>
        <v>145043.37599999999</v>
      </c>
      <c r="R276" s="1">
        <f t="shared" ref="R276:R288" si="180">+IF(P276=0,Q276,Q276+P276)</f>
        <v>145043.37599999999</v>
      </c>
      <c r="S276" s="1">
        <f t="shared" ref="S276:S288" si="181">+L276-R276</f>
        <v>0</v>
      </c>
    </row>
    <row r="277" spans="1:20" hidden="1">
      <c r="A277" s="2"/>
      <c r="B277" s="61">
        <v>2022</v>
      </c>
      <c r="C277" s="2"/>
      <c r="D277" s="2" t="s">
        <v>703</v>
      </c>
      <c r="E277" s="2">
        <v>2018</v>
      </c>
      <c r="F277" s="2">
        <v>5</v>
      </c>
      <c r="G277" s="71">
        <v>0</v>
      </c>
      <c r="H277" s="2" t="s">
        <v>78</v>
      </c>
      <c r="I277" s="2">
        <f>+IF(J276-$M$4&gt;=3,J276-$M$4,3)</f>
        <v>3</v>
      </c>
      <c r="J277" s="2">
        <f t="shared" si="175"/>
        <v>2021</v>
      </c>
      <c r="K277" s="13">
        <f t="shared" si="176"/>
        <v>2021.4166666666667</v>
      </c>
      <c r="L277" s="3">
        <f>'Orig Trucks 2183'!N177-'Trucks 2183'!L276</f>
        <v>36260.844000000012</v>
      </c>
      <c r="M277" s="3">
        <f>L277-(L277*G277)</f>
        <v>36260.844000000012</v>
      </c>
      <c r="N277" s="3">
        <f t="shared" si="177"/>
        <v>1007.245666666667</v>
      </c>
      <c r="O277" s="3">
        <f t="shared" si="178"/>
        <v>12086.948000000004</v>
      </c>
      <c r="P277" s="3">
        <f>+IF(K277&lt;=$M$5,0,IF(J277&gt;$M$4,O277,N277*F277))</f>
        <v>12086.948000000004</v>
      </c>
      <c r="Q277" s="3">
        <f t="shared" si="179"/>
        <v>0</v>
      </c>
      <c r="R277" s="3">
        <f t="shared" si="180"/>
        <v>12086.948000000004</v>
      </c>
      <c r="S277" s="3">
        <f t="shared" si="181"/>
        <v>24173.896000000008</v>
      </c>
      <c r="T277" s="50" t="s">
        <v>816</v>
      </c>
    </row>
    <row r="278" spans="1:20" hidden="1">
      <c r="A278">
        <v>114282</v>
      </c>
      <c r="B278" s="22" t="s">
        <v>286</v>
      </c>
      <c r="C278">
        <v>2022</v>
      </c>
      <c r="D278" t="s">
        <v>547</v>
      </c>
      <c r="E278">
        <v>2009</v>
      </c>
      <c r="F278">
        <v>6</v>
      </c>
      <c r="G278" s="27">
        <v>0</v>
      </c>
      <c r="H278" t="s">
        <v>78</v>
      </c>
      <c r="I278">
        <v>3</v>
      </c>
      <c r="J278">
        <f t="shared" si="175"/>
        <v>2012</v>
      </c>
      <c r="K278" s="11">
        <f t="shared" si="176"/>
        <v>2012.5</v>
      </c>
      <c r="L278" s="1">
        <v>9254.61</v>
      </c>
      <c r="M278" s="1">
        <f>L278-L278*G278</f>
        <v>9254.61</v>
      </c>
      <c r="N278" s="1">
        <f t="shared" si="177"/>
        <v>257.07250000000005</v>
      </c>
      <c r="O278" s="1">
        <f t="shared" si="178"/>
        <v>3084.8700000000008</v>
      </c>
      <c r="P278" s="1">
        <f>+IF(K278&lt;=$M$5,0,IF(J278&gt;$M$4,O278,N278*F278))</f>
        <v>0</v>
      </c>
      <c r="Q278" s="1">
        <f t="shared" si="179"/>
        <v>9254.61</v>
      </c>
      <c r="R278" s="1">
        <f t="shared" si="180"/>
        <v>9254.61</v>
      </c>
      <c r="S278" s="1">
        <f t="shared" si="181"/>
        <v>0</v>
      </c>
    </row>
    <row r="279" spans="1:20" hidden="1">
      <c r="A279" t="s">
        <v>155</v>
      </c>
      <c r="B279" s="22">
        <v>61074</v>
      </c>
      <c r="C279">
        <v>3561</v>
      </c>
      <c r="D279" t="s">
        <v>373</v>
      </c>
      <c r="E279">
        <v>2001</v>
      </c>
      <c r="F279">
        <v>4</v>
      </c>
      <c r="G279" s="27">
        <v>0</v>
      </c>
      <c r="H279" t="s">
        <v>78</v>
      </c>
      <c r="I279">
        <v>7</v>
      </c>
      <c r="J279">
        <f t="shared" si="175"/>
        <v>2008</v>
      </c>
      <c r="K279" s="14">
        <f t="shared" si="176"/>
        <v>2008.3333333333333</v>
      </c>
      <c r="L279" s="1">
        <f>'Orig Trucks 2183'!P19</f>
        <v>124885.656</v>
      </c>
      <c r="M279" s="1">
        <f>L279-L279*G279</f>
        <v>124885.656</v>
      </c>
      <c r="N279" s="1">
        <f t="shared" si="177"/>
        <v>1486.7340000000002</v>
      </c>
      <c r="O279" s="1">
        <f t="shared" si="178"/>
        <v>17840.808000000001</v>
      </c>
      <c r="P279" s="1">
        <f>+IF(K279&lt;=$M$5,0,IF(J279=$M$4,N279*F279,O279))</f>
        <v>0</v>
      </c>
      <c r="Q279" s="1">
        <f t="shared" si="179"/>
        <v>124885.656</v>
      </c>
      <c r="R279" s="1">
        <f t="shared" si="180"/>
        <v>124885.656</v>
      </c>
      <c r="S279" s="1">
        <f t="shared" si="181"/>
        <v>0</v>
      </c>
    </row>
    <row r="280" spans="1:20" hidden="1">
      <c r="A280" s="2"/>
      <c r="B280" s="61">
        <v>3561</v>
      </c>
      <c r="C280" s="2"/>
      <c r="D280" s="2" t="s">
        <v>652</v>
      </c>
      <c r="E280" s="2">
        <v>2018</v>
      </c>
      <c r="F280" s="2">
        <v>5</v>
      </c>
      <c r="G280" s="71">
        <v>0</v>
      </c>
      <c r="H280" s="2" t="s">
        <v>78</v>
      </c>
      <c r="I280" s="2">
        <f>+IF(J279-$M$4&gt;=3,J279-$M$4,3)</f>
        <v>3</v>
      </c>
      <c r="J280" s="2">
        <f t="shared" si="175"/>
        <v>2021</v>
      </c>
      <c r="K280" s="15">
        <f t="shared" si="176"/>
        <v>2021.4166666666667</v>
      </c>
      <c r="L280" s="3">
        <f>'Orig Trucks 2183'!N19-'Trucks 2183'!L279</f>
        <v>31221.414000000004</v>
      </c>
      <c r="M280" s="3">
        <f>L280-(L280*G280)</f>
        <v>31221.414000000004</v>
      </c>
      <c r="N280" s="3">
        <f t="shared" si="177"/>
        <v>867.26150000000007</v>
      </c>
      <c r="O280" s="3">
        <f t="shared" si="178"/>
        <v>10407.138000000001</v>
      </c>
      <c r="P280" s="3">
        <f>+IF(K280&lt;=$M$5,0,IF(J280=$M$4,N280*F280,O280))</f>
        <v>10407.138000000001</v>
      </c>
      <c r="Q280" s="3">
        <f t="shared" si="179"/>
        <v>0</v>
      </c>
      <c r="R280" s="3">
        <f t="shared" si="180"/>
        <v>10407.138000000001</v>
      </c>
      <c r="S280" s="3">
        <f t="shared" si="181"/>
        <v>20814.276000000005</v>
      </c>
      <c r="T280" s="50" t="s">
        <v>147</v>
      </c>
    </row>
    <row r="281" spans="1:20" hidden="1">
      <c r="A281" s="7" t="s">
        <v>284</v>
      </c>
      <c r="C281" s="7">
        <v>3572</v>
      </c>
      <c r="D281" s="7" t="s">
        <v>380</v>
      </c>
      <c r="E281" s="7">
        <v>2003</v>
      </c>
      <c r="F281" s="7">
        <v>1</v>
      </c>
      <c r="G281" s="27">
        <v>0</v>
      </c>
      <c r="H281" s="7" t="s">
        <v>78</v>
      </c>
      <c r="I281" s="7">
        <v>7</v>
      </c>
      <c r="J281" s="7">
        <f t="shared" si="175"/>
        <v>2010</v>
      </c>
      <c r="K281" s="11">
        <f t="shared" si="176"/>
        <v>2010.0833333333333</v>
      </c>
      <c r="L281" s="1">
        <f>'Orig Trucks 2183'!P157</f>
        <v>128499.40800000001</v>
      </c>
      <c r="M281" s="1">
        <f>L281-L281*G281</f>
        <v>128499.40800000001</v>
      </c>
      <c r="N281" s="1">
        <f t="shared" si="177"/>
        <v>1529.7548571428572</v>
      </c>
      <c r="O281" s="1">
        <f t="shared" si="178"/>
        <v>18357.058285714287</v>
      </c>
      <c r="P281" s="1">
        <f>+IF(K281&lt;=$M$5,0,IF(J281&gt;$M$4,O281,N281*F281))</f>
        <v>0</v>
      </c>
      <c r="Q281" s="1">
        <f t="shared" si="179"/>
        <v>128499.40800000001</v>
      </c>
      <c r="R281" s="1">
        <f t="shared" si="180"/>
        <v>128499.40800000001</v>
      </c>
      <c r="S281" s="1">
        <f t="shared" si="181"/>
        <v>0</v>
      </c>
    </row>
    <row r="282" spans="1:20" hidden="1">
      <c r="A282" s="2"/>
      <c r="B282" s="61">
        <v>3572</v>
      </c>
      <c r="C282" s="2"/>
      <c r="D282" s="2" t="s">
        <v>699</v>
      </c>
      <c r="E282" s="2">
        <v>2018</v>
      </c>
      <c r="F282" s="2">
        <v>5</v>
      </c>
      <c r="G282" s="71">
        <v>0</v>
      </c>
      <c r="H282" s="2" t="s">
        <v>78</v>
      </c>
      <c r="I282" s="2">
        <f>+IF(J281-$M$4&gt;=3,J281-$M$4,3)</f>
        <v>3</v>
      </c>
      <c r="J282" s="2">
        <f t="shared" si="175"/>
        <v>2021</v>
      </c>
      <c r="K282" s="13">
        <f t="shared" si="176"/>
        <v>2021.4166666666667</v>
      </c>
      <c r="L282" s="3">
        <f>'Orig Trucks 2183'!N157-'Trucks 2183'!L281</f>
        <v>32124.851999999999</v>
      </c>
      <c r="M282" s="3">
        <f>L282-(L282*G282)</f>
        <v>32124.851999999999</v>
      </c>
      <c r="N282" s="3">
        <f t="shared" si="177"/>
        <v>892.35699999999997</v>
      </c>
      <c r="O282" s="3">
        <f t="shared" si="178"/>
        <v>10708.284</v>
      </c>
      <c r="P282" s="3">
        <f>+IF(K282&lt;=$M$5,0,IF(J282&gt;$M$4,O282,N282*F282))</f>
        <v>10708.284</v>
      </c>
      <c r="Q282" s="3">
        <f t="shared" si="179"/>
        <v>0</v>
      </c>
      <c r="R282" s="3">
        <f t="shared" si="180"/>
        <v>10708.284</v>
      </c>
      <c r="S282" s="3">
        <f t="shared" si="181"/>
        <v>21416.567999999999</v>
      </c>
      <c r="T282" s="50" t="s">
        <v>157</v>
      </c>
    </row>
    <row r="283" spans="1:20" hidden="1">
      <c r="A283" t="s">
        <v>284</v>
      </c>
      <c r="C283">
        <v>3572</v>
      </c>
      <c r="D283" t="s">
        <v>340</v>
      </c>
      <c r="E283">
        <v>2009</v>
      </c>
      <c r="F283">
        <v>5</v>
      </c>
      <c r="G283" s="27">
        <v>0</v>
      </c>
      <c r="H283" t="s">
        <v>78</v>
      </c>
      <c r="I283">
        <v>3</v>
      </c>
      <c r="J283">
        <f t="shared" si="175"/>
        <v>2012</v>
      </c>
      <c r="K283" s="11">
        <f t="shared" si="176"/>
        <v>2012.4166666666667</v>
      </c>
      <c r="L283" s="1">
        <v>3162.58</v>
      </c>
      <c r="M283" s="1">
        <f>L283-L283*G283</f>
        <v>3162.58</v>
      </c>
      <c r="N283" s="1">
        <f t="shared" si="177"/>
        <v>87.849444444444444</v>
      </c>
      <c r="O283" s="1">
        <f t="shared" si="178"/>
        <v>1054.1933333333334</v>
      </c>
      <c r="P283" s="1">
        <f>+IF(K283&lt;=$M$5,0,IF(J283&gt;$M$4,O283,N283*F283))</f>
        <v>0</v>
      </c>
      <c r="Q283" s="1">
        <f t="shared" si="179"/>
        <v>3162.58</v>
      </c>
      <c r="R283" s="1">
        <f t="shared" si="180"/>
        <v>3162.58</v>
      </c>
      <c r="S283" s="1">
        <f t="shared" si="181"/>
        <v>0</v>
      </c>
    </row>
    <row r="284" spans="1:20" hidden="1">
      <c r="A284" t="s">
        <v>284</v>
      </c>
      <c r="C284">
        <v>3575</v>
      </c>
      <c r="D284" t="s">
        <v>159</v>
      </c>
      <c r="E284">
        <v>2004</v>
      </c>
      <c r="F284">
        <v>12</v>
      </c>
      <c r="G284" s="27">
        <v>0</v>
      </c>
      <c r="H284" t="s">
        <v>78</v>
      </c>
      <c r="I284">
        <v>7</v>
      </c>
      <c r="J284">
        <f t="shared" si="175"/>
        <v>2011</v>
      </c>
      <c r="K284" s="14">
        <f t="shared" si="176"/>
        <v>2012</v>
      </c>
      <c r="L284" s="1">
        <f>'Orig Trucks 2183'!P25</f>
        <v>134040.52799999999</v>
      </c>
      <c r="M284" s="1">
        <f>L284-L284*G284</f>
        <v>134040.52799999999</v>
      </c>
      <c r="N284" s="1">
        <f t="shared" si="177"/>
        <v>1595.7205714285712</v>
      </c>
      <c r="O284" s="1">
        <f t="shared" si="178"/>
        <v>19148.646857142856</v>
      </c>
      <c r="P284" s="1">
        <f t="shared" ref="P284:P292" si="182">+IF(K284&lt;=$M$5,0,IF(J284=$M$4,N284*F284,O284))</f>
        <v>0</v>
      </c>
      <c r="Q284" s="1">
        <f t="shared" si="179"/>
        <v>134040.52799999999</v>
      </c>
      <c r="R284" s="1">
        <f t="shared" si="180"/>
        <v>134040.52799999999</v>
      </c>
      <c r="S284" s="1">
        <f t="shared" si="181"/>
        <v>0</v>
      </c>
    </row>
    <row r="285" spans="1:20" hidden="1">
      <c r="A285" s="2"/>
      <c r="B285" s="61">
        <v>3575</v>
      </c>
      <c r="C285" s="2"/>
      <c r="D285" s="2" t="s">
        <v>654</v>
      </c>
      <c r="E285" s="2">
        <v>2018</v>
      </c>
      <c r="F285" s="2">
        <v>5</v>
      </c>
      <c r="G285" s="71">
        <v>0</v>
      </c>
      <c r="H285" s="2" t="s">
        <v>78</v>
      </c>
      <c r="I285" s="2">
        <f>+IF(J284-$M$4&gt;=3,J284-$M$4,3)</f>
        <v>3</v>
      </c>
      <c r="J285" s="2">
        <f t="shared" si="175"/>
        <v>2021</v>
      </c>
      <c r="K285" s="15">
        <f t="shared" si="176"/>
        <v>2021.4166666666667</v>
      </c>
      <c r="L285" s="3">
        <f>'Orig Trucks 2183'!N25-'Trucks 2183'!L284</f>
        <v>33510.132000000012</v>
      </c>
      <c r="M285" s="3">
        <f>L285-(L285*G285)</f>
        <v>33510.132000000012</v>
      </c>
      <c r="N285" s="3">
        <f t="shared" si="177"/>
        <v>930.83700000000033</v>
      </c>
      <c r="O285" s="3">
        <f t="shared" si="178"/>
        <v>11170.044000000004</v>
      </c>
      <c r="P285" s="3">
        <f t="shared" si="182"/>
        <v>11170.044000000004</v>
      </c>
      <c r="Q285" s="3">
        <f t="shared" si="179"/>
        <v>0</v>
      </c>
      <c r="R285" s="3">
        <f t="shared" si="180"/>
        <v>11170.044000000004</v>
      </c>
      <c r="S285" s="3">
        <f t="shared" si="181"/>
        <v>22340.088000000011</v>
      </c>
      <c r="T285" s="50" t="s">
        <v>157</v>
      </c>
    </row>
    <row r="286" spans="1:20" hidden="1">
      <c r="A286" t="s">
        <v>284</v>
      </c>
      <c r="C286">
        <v>3575</v>
      </c>
      <c r="D286" t="s">
        <v>320</v>
      </c>
      <c r="E286">
        <v>2009</v>
      </c>
      <c r="F286">
        <v>5</v>
      </c>
      <c r="G286" s="27">
        <v>0</v>
      </c>
      <c r="H286" t="s">
        <v>78</v>
      </c>
      <c r="I286">
        <v>3</v>
      </c>
      <c r="J286">
        <f t="shared" si="175"/>
        <v>2012</v>
      </c>
      <c r="K286" s="14">
        <f t="shared" si="176"/>
        <v>2012.4166666666667</v>
      </c>
      <c r="L286" s="1">
        <v>2786.78</v>
      </c>
      <c r="M286" s="1">
        <f>L286-L286*G286</f>
        <v>2786.78</v>
      </c>
      <c r="N286" s="1">
        <f t="shared" si="177"/>
        <v>77.410555555555561</v>
      </c>
      <c r="O286" s="1">
        <f t="shared" si="178"/>
        <v>928.92666666666673</v>
      </c>
      <c r="P286" s="1">
        <f t="shared" si="182"/>
        <v>0</v>
      </c>
      <c r="Q286" s="1">
        <f t="shared" si="179"/>
        <v>2786.78</v>
      </c>
      <c r="R286" s="1">
        <f t="shared" si="180"/>
        <v>2786.78</v>
      </c>
      <c r="S286" s="1">
        <f t="shared" si="181"/>
        <v>0</v>
      </c>
    </row>
    <row r="287" spans="1:20" hidden="1">
      <c r="A287" t="s">
        <v>284</v>
      </c>
      <c r="C287">
        <v>3593</v>
      </c>
      <c r="D287" t="s">
        <v>376</v>
      </c>
      <c r="E287">
        <v>2006</v>
      </c>
      <c r="F287">
        <v>5</v>
      </c>
      <c r="G287" s="27">
        <v>0</v>
      </c>
      <c r="H287" t="s">
        <v>78</v>
      </c>
      <c r="I287">
        <v>7</v>
      </c>
      <c r="J287">
        <f t="shared" si="175"/>
        <v>2013</v>
      </c>
      <c r="K287" s="14">
        <f t="shared" si="176"/>
        <v>2013.4166666666667</v>
      </c>
      <c r="L287" s="1">
        <f>'Orig Trucks 2183'!P34</f>
        <v>146842.576</v>
      </c>
      <c r="M287" s="1">
        <f>L287-L287*G287</f>
        <v>146842.576</v>
      </c>
      <c r="N287" s="1">
        <f t="shared" si="177"/>
        <v>1748.1259047619048</v>
      </c>
      <c r="O287" s="1">
        <f t="shared" si="178"/>
        <v>20977.510857142857</v>
      </c>
      <c r="P287" s="1">
        <f t="shared" si="182"/>
        <v>0</v>
      </c>
      <c r="Q287" s="1">
        <f t="shared" si="179"/>
        <v>146842.576</v>
      </c>
      <c r="R287" s="1">
        <f t="shared" si="180"/>
        <v>146842.576</v>
      </c>
      <c r="S287" s="1">
        <f t="shared" si="181"/>
        <v>0</v>
      </c>
    </row>
    <row r="288" spans="1:20" hidden="1">
      <c r="A288" s="2"/>
      <c r="B288" s="61">
        <v>3593</v>
      </c>
      <c r="C288" s="2"/>
      <c r="D288" s="2" t="s">
        <v>659</v>
      </c>
      <c r="E288" s="2">
        <v>2018</v>
      </c>
      <c r="F288" s="2">
        <v>5</v>
      </c>
      <c r="G288" s="71">
        <v>0</v>
      </c>
      <c r="H288" s="2" t="s">
        <v>78</v>
      </c>
      <c r="I288" s="2">
        <f>+IF(J287-$M$4&gt;=3,J287-$M$4,3)</f>
        <v>3</v>
      </c>
      <c r="J288" s="2">
        <f t="shared" si="175"/>
        <v>2021</v>
      </c>
      <c r="K288" s="15">
        <f t="shared" si="176"/>
        <v>2021.4166666666667</v>
      </c>
      <c r="L288" s="3">
        <f>'Orig Trucks 2183'!N34-'Trucks 2183'!L287</f>
        <v>36710.644</v>
      </c>
      <c r="M288" s="3">
        <f>L288-(L288*G288)</f>
        <v>36710.644</v>
      </c>
      <c r="N288" s="3">
        <f t="shared" si="177"/>
        <v>1019.7401111111111</v>
      </c>
      <c r="O288" s="3">
        <f t="shared" si="178"/>
        <v>12236.881333333333</v>
      </c>
      <c r="P288" s="3">
        <f t="shared" si="182"/>
        <v>12236.881333333333</v>
      </c>
      <c r="Q288" s="3">
        <f t="shared" si="179"/>
        <v>0</v>
      </c>
      <c r="R288" s="3">
        <f t="shared" si="180"/>
        <v>12236.881333333333</v>
      </c>
      <c r="S288" s="3">
        <f t="shared" si="181"/>
        <v>24473.762666666669</v>
      </c>
      <c r="T288" s="50" t="s">
        <v>147</v>
      </c>
    </row>
    <row r="289" spans="1:20" hidden="1">
      <c r="A289" t="s">
        <v>312</v>
      </c>
      <c r="C289">
        <v>11088</v>
      </c>
      <c r="D289" t="s">
        <v>326</v>
      </c>
      <c r="E289">
        <v>2006</v>
      </c>
      <c r="F289">
        <v>10</v>
      </c>
      <c r="G289" s="27">
        <v>0</v>
      </c>
      <c r="H289" t="s">
        <v>78</v>
      </c>
      <c r="I289">
        <v>5</v>
      </c>
      <c r="J289">
        <f t="shared" ref="J289:J297" si="183">E289+I289</f>
        <v>2011</v>
      </c>
      <c r="K289" s="14">
        <f t="shared" ref="K289:K297" si="184">+J289+(F289/12)</f>
        <v>2011.8333333333333</v>
      </c>
      <c r="L289" s="1">
        <f>'Orig Trucks 2183'!P36</f>
        <v>102268.9474</v>
      </c>
      <c r="M289" s="1">
        <f>L289-L289*G289</f>
        <v>102268.9474</v>
      </c>
      <c r="N289" s="1">
        <f t="shared" ref="N289:N297" si="185">M289/I289/12</f>
        <v>1704.4824566666666</v>
      </c>
      <c r="O289" s="1">
        <f t="shared" ref="O289:O297" si="186">+N289*12</f>
        <v>20453.789479999999</v>
      </c>
      <c r="P289" s="1">
        <f t="shared" si="182"/>
        <v>0</v>
      </c>
      <c r="Q289" s="1">
        <f t="shared" ref="Q289:Q297" si="187">+IF(P289=0,M289,IF($M$3-E289&lt;1,0,(($M$3-E289)*O289)))</f>
        <v>102268.9474</v>
      </c>
      <c r="R289" s="1">
        <f t="shared" ref="R289:R297" si="188">+IF(P289=0,Q289,Q289+P289)</f>
        <v>102268.9474</v>
      </c>
      <c r="S289" s="1">
        <f t="shared" ref="S289:S297" si="189">+L289-R289</f>
        <v>0</v>
      </c>
    </row>
    <row r="290" spans="1:20" hidden="1">
      <c r="A290" s="2"/>
      <c r="B290" s="61">
        <v>11088</v>
      </c>
      <c r="C290" s="2"/>
      <c r="D290" s="2" t="s">
        <v>660</v>
      </c>
      <c r="E290" s="2">
        <v>2018</v>
      </c>
      <c r="F290" s="2">
        <v>5</v>
      </c>
      <c r="G290" s="71">
        <v>0</v>
      </c>
      <c r="H290" s="2" t="s">
        <v>78</v>
      </c>
      <c r="I290" s="2">
        <f>+IF(J289-$M$4&gt;=3,J289-$M$4,3)</f>
        <v>3</v>
      </c>
      <c r="J290" s="2">
        <f t="shared" si="183"/>
        <v>2021</v>
      </c>
      <c r="K290" s="15">
        <f t="shared" si="184"/>
        <v>2021.4166666666667</v>
      </c>
      <c r="L290" s="3">
        <f>'Orig Trucks 2183'!N36-'Trucks 2183'!L289</f>
        <v>50371.272599999997</v>
      </c>
      <c r="M290" s="3">
        <f>L290-(L290*G290)</f>
        <v>50371.272599999997</v>
      </c>
      <c r="N290" s="3">
        <f t="shared" si="185"/>
        <v>1399.2020166666664</v>
      </c>
      <c r="O290" s="3">
        <f t="shared" si="186"/>
        <v>16790.424199999998</v>
      </c>
      <c r="P290" s="3">
        <f t="shared" si="182"/>
        <v>16790.424199999998</v>
      </c>
      <c r="Q290" s="3">
        <f t="shared" si="187"/>
        <v>0</v>
      </c>
      <c r="R290" s="3">
        <f t="shared" si="188"/>
        <v>16790.424199999998</v>
      </c>
      <c r="S290" s="3">
        <f t="shared" si="189"/>
        <v>33580.848400000003</v>
      </c>
      <c r="T290" s="50" t="s">
        <v>147</v>
      </c>
    </row>
    <row r="291" spans="1:20" hidden="1">
      <c r="B291" s="22">
        <v>128673</v>
      </c>
      <c r="C291">
        <v>2521</v>
      </c>
      <c r="D291" t="s">
        <v>584</v>
      </c>
      <c r="E291">
        <v>2015</v>
      </c>
      <c r="F291">
        <v>12</v>
      </c>
      <c r="G291" s="27">
        <v>0</v>
      </c>
      <c r="H291" t="s">
        <v>78</v>
      </c>
      <c r="I291">
        <v>10</v>
      </c>
      <c r="J291">
        <f t="shared" si="183"/>
        <v>2025</v>
      </c>
      <c r="K291" s="14">
        <f t="shared" si="184"/>
        <v>2026</v>
      </c>
      <c r="L291" s="1">
        <v>291925.26</v>
      </c>
      <c r="M291" s="1">
        <f>L291-L291*G291</f>
        <v>291925.26</v>
      </c>
      <c r="N291" s="1">
        <f t="shared" si="185"/>
        <v>2432.7105000000001</v>
      </c>
      <c r="O291" s="1">
        <f t="shared" si="186"/>
        <v>29192.526000000002</v>
      </c>
      <c r="P291" s="1">
        <f t="shared" si="182"/>
        <v>29192.526000000002</v>
      </c>
      <c r="Q291" s="1">
        <f t="shared" si="187"/>
        <v>87577.578000000009</v>
      </c>
      <c r="R291" s="1">
        <f t="shared" si="188"/>
        <v>116770.10400000001</v>
      </c>
      <c r="S291" s="1">
        <f t="shared" si="189"/>
        <v>175155.15600000002</v>
      </c>
    </row>
    <row r="292" spans="1:20" hidden="1">
      <c r="B292" s="22">
        <v>128674</v>
      </c>
      <c r="C292">
        <v>2517</v>
      </c>
      <c r="D292" t="s">
        <v>585</v>
      </c>
      <c r="E292">
        <v>2015</v>
      </c>
      <c r="F292">
        <v>12</v>
      </c>
      <c r="G292" s="27">
        <v>0</v>
      </c>
      <c r="H292" t="s">
        <v>78</v>
      </c>
      <c r="I292">
        <v>10</v>
      </c>
      <c r="J292">
        <f t="shared" si="183"/>
        <v>2025</v>
      </c>
      <c r="K292" s="14">
        <f t="shared" si="184"/>
        <v>2026</v>
      </c>
      <c r="L292" s="1">
        <v>340829.73</v>
      </c>
      <c r="M292" s="1">
        <f>L292-L292*G292</f>
        <v>340829.73</v>
      </c>
      <c r="N292" s="1">
        <f t="shared" si="185"/>
        <v>2840.24775</v>
      </c>
      <c r="O292" s="1">
        <f t="shared" si="186"/>
        <v>34082.972999999998</v>
      </c>
      <c r="P292" s="1">
        <f t="shared" si="182"/>
        <v>34082.972999999998</v>
      </c>
      <c r="Q292" s="1">
        <f t="shared" si="187"/>
        <v>102248.91899999999</v>
      </c>
      <c r="R292" s="1">
        <f t="shared" si="188"/>
        <v>136331.89199999999</v>
      </c>
      <c r="S292" s="1">
        <f t="shared" si="189"/>
        <v>204497.83799999999</v>
      </c>
    </row>
    <row r="293" spans="1:20" hidden="1">
      <c r="A293" s="50"/>
      <c r="B293" s="62">
        <v>207558</v>
      </c>
      <c r="C293" s="56"/>
      <c r="D293" s="83" t="s">
        <v>755</v>
      </c>
      <c r="E293" s="50">
        <v>2005</v>
      </c>
      <c r="F293" s="50">
        <v>12</v>
      </c>
      <c r="G293" s="73">
        <v>0</v>
      </c>
      <c r="H293" s="83" t="s">
        <v>78</v>
      </c>
      <c r="I293" s="83">
        <v>10</v>
      </c>
      <c r="J293" s="50">
        <f t="shared" si="183"/>
        <v>2015</v>
      </c>
      <c r="K293" s="51">
        <f t="shared" si="184"/>
        <v>2016</v>
      </c>
      <c r="L293" s="52">
        <v>67497</v>
      </c>
      <c r="M293" s="52">
        <f>L293-L293*G293</f>
        <v>67497</v>
      </c>
      <c r="N293" s="52">
        <f t="shared" si="185"/>
        <v>562.47500000000002</v>
      </c>
      <c r="O293" s="52">
        <f t="shared" si="186"/>
        <v>6749.7000000000007</v>
      </c>
      <c r="P293" s="52">
        <f>+IF(K293&lt;=$M$5,0,IF(J293&gt;$M$4,O293,N293*F293))</f>
        <v>0</v>
      </c>
      <c r="Q293" s="52">
        <f t="shared" si="187"/>
        <v>67497</v>
      </c>
      <c r="R293" s="52">
        <f t="shared" si="188"/>
        <v>67497</v>
      </c>
      <c r="S293" s="52">
        <f t="shared" si="189"/>
        <v>0</v>
      </c>
    </row>
    <row r="294" spans="1:20" hidden="1">
      <c r="A294" t="s">
        <v>285</v>
      </c>
      <c r="B294" s="22">
        <v>74778</v>
      </c>
      <c r="C294">
        <v>1040</v>
      </c>
      <c r="D294" t="s">
        <v>148</v>
      </c>
      <c r="E294">
        <v>2004</v>
      </c>
      <c r="F294">
        <v>9</v>
      </c>
      <c r="G294" s="27">
        <v>0</v>
      </c>
      <c r="H294" t="s">
        <v>78</v>
      </c>
      <c r="I294">
        <v>7</v>
      </c>
      <c r="J294">
        <f t="shared" si="183"/>
        <v>2011</v>
      </c>
      <c r="K294" s="14">
        <f t="shared" si="184"/>
        <v>2011.75</v>
      </c>
      <c r="L294" s="1">
        <f>'Orig Trucks 2183'!P21</f>
        <v>90347.51999999999</v>
      </c>
      <c r="M294" s="1">
        <f>L294-L294*G294</f>
        <v>90347.51999999999</v>
      </c>
      <c r="N294" s="1">
        <f t="shared" si="185"/>
        <v>1075.5657142857142</v>
      </c>
      <c r="O294" s="1">
        <f t="shared" si="186"/>
        <v>12906.788571428569</v>
      </c>
      <c r="P294" s="1">
        <f>+IF(K294&lt;=$M$5,0,IF(J294=$M$4,N294*F294,O294))</f>
        <v>0</v>
      </c>
      <c r="Q294" s="1">
        <f t="shared" si="187"/>
        <v>90347.51999999999</v>
      </c>
      <c r="R294" s="1">
        <f t="shared" si="188"/>
        <v>90347.51999999999</v>
      </c>
      <c r="S294" s="1">
        <f t="shared" si="189"/>
        <v>0</v>
      </c>
    </row>
    <row r="295" spans="1:20" hidden="1">
      <c r="A295" s="2"/>
      <c r="B295" s="61">
        <v>1040</v>
      </c>
      <c r="C295" s="2"/>
      <c r="D295" s="2" t="s">
        <v>653</v>
      </c>
      <c r="E295" s="2">
        <v>2018</v>
      </c>
      <c r="F295" s="2">
        <v>5</v>
      </c>
      <c r="G295" s="71">
        <v>0</v>
      </c>
      <c r="H295" s="2" t="s">
        <v>78</v>
      </c>
      <c r="I295" s="2">
        <f>+IF(J294-$M$4&gt;=3,J294-$M$4,3)</f>
        <v>3</v>
      </c>
      <c r="J295" s="2">
        <f t="shared" si="183"/>
        <v>2021</v>
      </c>
      <c r="K295" s="15">
        <f t="shared" si="184"/>
        <v>2021.4166666666667</v>
      </c>
      <c r="L295" s="3">
        <f>'Orig Trucks 2183'!N21-'Trucks 2183'!L294</f>
        <v>22586.880000000005</v>
      </c>
      <c r="M295" s="3">
        <f>L295-(L295*G295)</f>
        <v>22586.880000000005</v>
      </c>
      <c r="N295" s="3">
        <f t="shared" si="185"/>
        <v>627.41333333333353</v>
      </c>
      <c r="O295" s="3">
        <f t="shared" si="186"/>
        <v>7528.9600000000028</v>
      </c>
      <c r="P295" s="3">
        <f>+IF(K295&lt;=$M$5,0,IF(J295=$M$4,N295*F295,O295))</f>
        <v>7528.9600000000028</v>
      </c>
      <c r="Q295" s="3">
        <f t="shared" si="187"/>
        <v>0</v>
      </c>
      <c r="R295" s="3">
        <f t="shared" si="188"/>
        <v>7528.9600000000028</v>
      </c>
      <c r="S295" s="3">
        <f t="shared" si="189"/>
        <v>15057.920000000002</v>
      </c>
      <c r="T295" s="50" t="s">
        <v>147</v>
      </c>
    </row>
    <row r="296" spans="1:20" hidden="1">
      <c r="A296" t="s">
        <v>285</v>
      </c>
      <c r="C296">
        <v>1040</v>
      </c>
      <c r="D296" t="s">
        <v>84</v>
      </c>
      <c r="E296">
        <v>2004</v>
      </c>
      <c r="F296">
        <v>9</v>
      </c>
      <c r="G296" s="27">
        <v>0</v>
      </c>
      <c r="H296" t="s">
        <v>78</v>
      </c>
      <c r="I296">
        <v>7</v>
      </c>
      <c r="J296">
        <f t="shared" si="183"/>
        <v>2011</v>
      </c>
      <c r="K296" s="14">
        <f t="shared" si="184"/>
        <v>2011.75</v>
      </c>
      <c r="L296" s="1">
        <f>'Orig Trucks 2183'!P22</f>
        <v>2184.7040000000002</v>
      </c>
      <c r="M296" s="1">
        <f>L296-L296*G296</f>
        <v>2184.7040000000002</v>
      </c>
      <c r="N296" s="1">
        <f t="shared" si="185"/>
        <v>26.008380952380957</v>
      </c>
      <c r="O296" s="1">
        <f t="shared" si="186"/>
        <v>312.10057142857147</v>
      </c>
      <c r="P296" s="1">
        <f>+IF(K296&lt;=$M$5,0,IF(J296=$M$4,N296*F296,O296))</f>
        <v>0</v>
      </c>
      <c r="Q296" s="1">
        <f t="shared" si="187"/>
        <v>2184.7040000000002</v>
      </c>
      <c r="R296" s="1">
        <f t="shared" si="188"/>
        <v>2184.7040000000002</v>
      </c>
      <c r="S296" s="1">
        <f t="shared" si="189"/>
        <v>0</v>
      </c>
    </row>
    <row r="297" spans="1:20" hidden="1">
      <c r="A297" s="2"/>
      <c r="B297" s="61">
        <v>1040</v>
      </c>
      <c r="C297" s="2"/>
      <c r="D297" s="2" t="s">
        <v>653</v>
      </c>
      <c r="E297" s="2">
        <v>2018</v>
      </c>
      <c r="F297" s="2">
        <v>5</v>
      </c>
      <c r="G297" s="71">
        <v>0</v>
      </c>
      <c r="H297" s="2" t="s">
        <v>78</v>
      </c>
      <c r="I297" s="2">
        <f>+IF(J296-$M$4&gt;=3,J296-$M$4,3)</f>
        <v>3</v>
      </c>
      <c r="J297" s="2">
        <f t="shared" si="183"/>
        <v>2021</v>
      </c>
      <c r="K297" s="15">
        <f t="shared" si="184"/>
        <v>2021.4166666666667</v>
      </c>
      <c r="L297" s="3">
        <f>'Orig Trucks 2183'!N22-'Trucks 2183'!L296</f>
        <v>546.17599999999993</v>
      </c>
      <c r="M297" s="3">
        <f>L297-(L297*G297)</f>
        <v>546.17599999999993</v>
      </c>
      <c r="N297" s="3">
        <f t="shared" si="185"/>
        <v>15.171555555555555</v>
      </c>
      <c r="O297" s="3">
        <f t="shared" si="186"/>
        <v>182.05866666666665</v>
      </c>
      <c r="P297" s="3">
        <f>+IF(K297&lt;=$M$5,0,IF(J297=$M$4,N297*F297,O297))</f>
        <v>182.05866666666665</v>
      </c>
      <c r="Q297" s="3">
        <f t="shared" si="187"/>
        <v>0</v>
      </c>
      <c r="R297" s="3">
        <f t="shared" si="188"/>
        <v>182.05866666666665</v>
      </c>
      <c r="S297" s="3">
        <f t="shared" si="189"/>
        <v>364.11733333333325</v>
      </c>
      <c r="T297" s="50" t="s">
        <v>147</v>
      </c>
    </row>
  </sheetData>
  <sortState ref="A112:S138">
    <sortCondition ref="F112:F138"/>
  </sortState>
  <phoneticPr fontId="4" type="noConversion"/>
  <pageMargins left="0" right="0" top="0" bottom="0" header="0.5" footer="0.5"/>
  <pageSetup scale="63" fitToHeight="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5"/>
  <sheetViews>
    <sheetView showGridLines="0" tabSelected="1" view="pageBreakPreview" zoomScale="60" zoomScaleNormal="100" workbookViewId="0">
      <pane xSplit="2" ySplit="11" topLeftCell="C86" activePane="bottomRight" state="frozen"/>
      <selection activeCell="K49" sqref="K49"/>
      <selection pane="topRight" activeCell="K49" sqref="K49"/>
      <selection pane="bottomLeft" activeCell="K49" sqref="K49"/>
      <selection pane="bottomRight" activeCell="P120" sqref="P120"/>
    </sheetView>
  </sheetViews>
  <sheetFormatPr defaultColWidth="11.42578125" defaultRowHeight="12.75"/>
  <cols>
    <col min="1" max="1" width="25.42578125" style="118" bestFit="1" customWidth="1"/>
    <col min="2" max="2" width="8.7109375" style="50" bestFit="1" customWidth="1"/>
    <col min="3" max="3" width="49.85546875" bestFit="1" customWidth="1"/>
    <col min="4" max="4" width="11" bestFit="1" customWidth="1"/>
    <col min="5" max="5" width="4.28515625" bestFit="1" customWidth="1"/>
    <col min="6" max="6" width="8.140625" bestFit="1" customWidth="1"/>
    <col min="7" max="7" width="8" bestFit="1" customWidth="1"/>
    <col min="8" max="8" width="6.42578125" style="22" bestFit="1" customWidth="1"/>
    <col min="9" max="9" width="6" bestFit="1" customWidth="1"/>
    <col min="10" max="10" width="9.28515625" bestFit="1" customWidth="1"/>
    <col min="11" max="12" width="14" bestFit="1" customWidth="1"/>
    <col min="13" max="13" width="12.28515625" customWidth="1"/>
    <col min="14" max="14" width="12.85546875" bestFit="1" customWidth="1"/>
    <col min="15" max="15" width="11.42578125" bestFit="1" customWidth="1"/>
    <col min="16" max="17" width="14" bestFit="1" customWidth="1"/>
    <col min="18" max="18" width="12.85546875" bestFit="1" customWidth="1"/>
    <col min="19" max="21" width="11.42578125" style="50"/>
    <col min="22" max="22" width="11.5703125" style="50" bestFit="1" customWidth="1"/>
    <col min="23" max="16384" width="11.42578125" style="50"/>
  </cols>
  <sheetData>
    <row r="1" spans="1:18">
      <c r="C1" s="9" t="s">
        <v>341</v>
      </c>
    </row>
    <row r="2" spans="1:18">
      <c r="C2" s="9" t="s">
        <v>26</v>
      </c>
      <c r="L2" s="106">
        <f>'Trucks 2183'!M2</f>
        <v>8</v>
      </c>
      <c r="M2" s="26" t="s">
        <v>744</v>
      </c>
    </row>
    <row r="3" spans="1:18">
      <c r="C3" s="76">
        <f>'Summary 2183'!H7</f>
        <v>43585</v>
      </c>
      <c r="L3">
        <f>'Trucks 2183'!M3</f>
        <v>2018</v>
      </c>
      <c r="M3" s="26" t="s">
        <v>745</v>
      </c>
    </row>
    <row r="4" spans="1:18">
      <c r="L4">
        <f>'Trucks 2183'!M4</f>
        <v>2019</v>
      </c>
      <c r="M4" s="26" t="s">
        <v>249</v>
      </c>
    </row>
    <row r="5" spans="1:18">
      <c r="L5" s="20">
        <f>'Trucks 2183'!M5</f>
        <v>2019.6666666666667</v>
      </c>
      <c r="M5" s="26" t="s">
        <v>746</v>
      </c>
    </row>
    <row r="8" spans="1:18">
      <c r="P8" t="s">
        <v>188</v>
      </c>
      <c r="Q8" t="s">
        <v>43</v>
      </c>
    </row>
    <row r="9" spans="1:18">
      <c r="B9" s="50" t="s">
        <v>45</v>
      </c>
      <c r="D9" t="s">
        <v>46</v>
      </c>
      <c r="F9" t="s">
        <v>47</v>
      </c>
      <c r="G9" t="s">
        <v>45</v>
      </c>
      <c r="I9" t="s">
        <v>48</v>
      </c>
      <c r="K9" t="s">
        <v>45</v>
      </c>
      <c r="L9" t="s">
        <v>45</v>
      </c>
      <c r="P9" t="s">
        <v>54</v>
      </c>
      <c r="Q9" t="s">
        <v>54</v>
      </c>
      <c r="R9" t="s">
        <v>55</v>
      </c>
    </row>
    <row r="10" spans="1:18">
      <c r="B10" s="50" t="s">
        <v>189</v>
      </c>
      <c r="D10" t="s">
        <v>57</v>
      </c>
      <c r="F10" t="s">
        <v>58</v>
      </c>
      <c r="G10" t="s">
        <v>100</v>
      </c>
      <c r="H10" s="23" t="s">
        <v>59</v>
      </c>
      <c r="I10" t="s">
        <v>60</v>
      </c>
      <c r="J10" t="s">
        <v>742</v>
      </c>
      <c r="K10" t="s">
        <v>49</v>
      </c>
      <c r="L10" t="s">
        <v>62</v>
      </c>
      <c r="M10" t="s">
        <v>63</v>
      </c>
      <c r="N10" t="s">
        <v>747</v>
      </c>
      <c r="O10" t="s">
        <v>65</v>
      </c>
      <c r="P10" t="s">
        <v>68</v>
      </c>
      <c r="Q10" t="s">
        <v>68</v>
      </c>
      <c r="R10" t="s">
        <v>6</v>
      </c>
    </row>
    <row r="11" spans="1:18">
      <c r="A11" s="118" t="s">
        <v>71</v>
      </c>
      <c r="B11" s="50" t="s">
        <v>72</v>
      </c>
      <c r="C11" t="s">
        <v>73</v>
      </c>
      <c r="D11" t="s">
        <v>48</v>
      </c>
      <c r="E11" t="s">
        <v>74</v>
      </c>
      <c r="F11" t="s">
        <v>51</v>
      </c>
      <c r="G11" t="s">
        <v>75</v>
      </c>
      <c r="H11" s="23" t="s">
        <v>76</v>
      </c>
      <c r="I11" t="s">
        <v>62</v>
      </c>
      <c r="J11" t="s">
        <v>743</v>
      </c>
      <c r="K11" t="s">
        <v>173</v>
      </c>
      <c r="L11" t="s">
        <v>173</v>
      </c>
      <c r="M11" t="s">
        <v>62</v>
      </c>
      <c r="N11" t="s">
        <v>62</v>
      </c>
      <c r="O11" t="s">
        <v>77</v>
      </c>
      <c r="P11" s="21">
        <f>+'Summary 2183'!F7</f>
        <v>43221</v>
      </c>
      <c r="Q11" s="21">
        <f>+C3</f>
        <v>43585</v>
      </c>
      <c r="R11" s="21">
        <f>Q11</f>
        <v>43585</v>
      </c>
    </row>
    <row r="12" spans="1:18">
      <c r="C12" s="113" t="s">
        <v>390</v>
      </c>
      <c r="D12" s="112"/>
      <c r="E12" s="112"/>
      <c r="F12" s="112"/>
      <c r="G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18">
      <c r="B13" s="50">
        <v>15</v>
      </c>
      <c r="C13" s="112" t="s">
        <v>193</v>
      </c>
      <c r="D13" s="112">
        <v>1993</v>
      </c>
      <c r="E13" s="112">
        <v>10</v>
      </c>
      <c r="F13" s="112">
        <v>0</v>
      </c>
      <c r="G13" s="112" t="s">
        <v>78</v>
      </c>
      <c r="H13" s="22" t="s">
        <v>9</v>
      </c>
      <c r="I13" s="112">
        <f t="shared" ref="I13:I44" si="0">D13+H13</f>
        <v>2003</v>
      </c>
      <c r="J13" s="20">
        <f t="shared" ref="J13:J44" si="1">+I13+(E13/12)</f>
        <v>2003.8333333333333</v>
      </c>
      <c r="K13" s="79">
        <v>4039</v>
      </c>
      <c r="L13" s="79">
        <f t="shared" ref="L13:L44" si="2">K13-K13*F13</f>
        <v>4039</v>
      </c>
      <c r="M13" s="79">
        <f t="shared" ref="M13:M44" si="3">L13/H13/12</f>
        <v>33.658333333333331</v>
      </c>
      <c r="N13" s="79">
        <f t="shared" ref="N13:N44" si="4">+M13*12</f>
        <v>403.9</v>
      </c>
      <c r="O13" s="79">
        <f t="shared" ref="O13:O44" si="5">+IF(J13&lt;=$L$5,0,IF(I13&gt;$L$4,N13,(M13*E13)))</f>
        <v>0</v>
      </c>
      <c r="P13" s="79">
        <f t="shared" ref="P13:P44" si="6">+IF(O13=0,L13,IF($L$3-D13&lt;1,0,(($L$3-D13)*O13)))</f>
        <v>4039</v>
      </c>
      <c r="Q13" s="79">
        <f t="shared" ref="Q13:Q44" si="7">+IF(O13=0,P13,P13+O13)</f>
        <v>4039</v>
      </c>
      <c r="R13" s="79">
        <f t="shared" ref="R13:R44" si="8">+K13-Q13</f>
        <v>0</v>
      </c>
    </row>
    <row r="14" spans="1:18">
      <c r="B14" s="50">
        <v>18</v>
      </c>
      <c r="C14" s="112" t="s">
        <v>243</v>
      </c>
      <c r="D14" s="112">
        <v>1993</v>
      </c>
      <c r="E14" s="112">
        <v>7</v>
      </c>
      <c r="F14" s="112">
        <v>0</v>
      </c>
      <c r="G14" s="112" t="s">
        <v>78</v>
      </c>
      <c r="H14" s="22" t="s">
        <v>9</v>
      </c>
      <c r="I14" s="112">
        <f t="shared" si="0"/>
        <v>2003</v>
      </c>
      <c r="J14" s="20">
        <f t="shared" si="1"/>
        <v>2003.5833333333333</v>
      </c>
      <c r="K14" s="79">
        <v>5477</v>
      </c>
      <c r="L14" s="79">
        <f t="shared" si="2"/>
        <v>5477</v>
      </c>
      <c r="M14" s="79">
        <f t="shared" si="3"/>
        <v>45.641666666666673</v>
      </c>
      <c r="N14" s="79">
        <f t="shared" si="4"/>
        <v>547.70000000000005</v>
      </c>
      <c r="O14" s="79">
        <f t="shared" si="5"/>
        <v>0</v>
      </c>
      <c r="P14" s="79">
        <f t="shared" si="6"/>
        <v>5477</v>
      </c>
      <c r="Q14" s="79">
        <f t="shared" si="7"/>
        <v>5477</v>
      </c>
      <c r="R14" s="79">
        <f t="shared" si="8"/>
        <v>0</v>
      </c>
    </row>
    <row r="15" spans="1:18">
      <c r="B15" s="50">
        <v>2</v>
      </c>
      <c r="C15" s="112" t="s">
        <v>242</v>
      </c>
      <c r="D15" s="112">
        <v>1993</v>
      </c>
      <c r="E15" s="112">
        <v>8</v>
      </c>
      <c r="F15" s="112">
        <v>0</v>
      </c>
      <c r="G15" s="112" t="s">
        <v>78</v>
      </c>
      <c r="H15" s="22" t="s">
        <v>9</v>
      </c>
      <c r="I15" s="112">
        <f t="shared" si="0"/>
        <v>2003</v>
      </c>
      <c r="J15" s="20">
        <f t="shared" si="1"/>
        <v>2003.6666666666667</v>
      </c>
      <c r="K15" s="79">
        <v>609</v>
      </c>
      <c r="L15" s="79">
        <f t="shared" si="2"/>
        <v>609</v>
      </c>
      <c r="M15" s="79">
        <f t="shared" si="3"/>
        <v>5.0750000000000002</v>
      </c>
      <c r="N15" s="79">
        <f t="shared" si="4"/>
        <v>60.900000000000006</v>
      </c>
      <c r="O15" s="79">
        <f t="shared" si="5"/>
        <v>0</v>
      </c>
      <c r="P15" s="79">
        <f t="shared" si="6"/>
        <v>609</v>
      </c>
      <c r="Q15" s="79">
        <f t="shared" si="7"/>
        <v>609</v>
      </c>
      <c r="R15" s="79">
        <f t="shared" si="8"/>
        <v>0</v>
      </c>
    </row>
    <row r="16" spans="1:18">
      <c r="B16" s="50">
        <v>4</v>
      </c>
      <c r="C16" t="s">
        <v>178</v>
      </c>
      <c r="D16">
        <v>1993</v>
      </c>
      <c r="E16">
        <v>5</v>
      </c>
      <c r="F16">
        <v>0</v>
      </c>
      <c r="G16" t="s">
        <v>78</v>
      </c>
      <c r="H16" s="22" t="s">
        <v>9</v>
      </c>
      <c r="I16">
        <f t="shared" si="0"/>
        <v>2003</v>
      </c>
      <c r="J16" s="20">
        <f t="shared" si="1"/>
        <v>2003.4166666666667</v>
      </c>
      <c r="K16" s="79">
        <v>2007</v>
      </c>
      <c r="L16" s="79">
        <f t="shared" si="2"/>
        <v>2007</v>
      </c>
      <c r="M16" s="79">
        <f t="shared" si="3"/>
        <v>16.724999999999998</v>
      </c>
      <c r="N16" s="79">
        <f t="shared" si="4"/>
        <v>200.7</v>
      </c>
      <c r="O16" s="79">
        <f t="shared" si="5"/>
        <v>0</v>
      </c>
      <c r="P16" s="79">
        <f t="shared" si="6"/>
        <v>2007</v>
      </c>
      <c r="Q16" s="79">
        <f t="shared" si="7"/>
        <v>2007</v>
      </c>
      <c r="R16" s="79">
        <f t="shared" si="8"/>
        <v>0</v>
      </c>
    </row>
    <row r="17" spans="2:18">
      <c r="B17" s="50">
        <v>3</v>
      </c>
      <c r="C17" t="s">
        <v>178</v>
      </c>
      <c r="D17">
        <v>1993</v>
      </c>
      <c r="E17">
        <v>5</v>
      </c>
      <c r="F17">
        <v>0</v>
      </c>
      <c r="G17" t="s">
        <v>78</v>
      </c>
      <c r="H17" s="22" t="s">
        <v>9</v>
      </c>
      <c r="I17">
        <f t="shared" si="0"/>
        <v>2003</v>
      </c>
      <c r="J17" s="20">
        <f t="shared" si="1"/>
        <v>2003.4166666666667</v>
      </c>
      <c r="K17" s="79">
        <v>1505</v>
      </c>
      <c r="L17" s="79">
        <f t="shared" si="2"/>
        <v>1505</v>
      </c>
      <c r="M17" s="79">
        <f t="shared" si="3"/>
        <v>12.541666666666666</v>
      </c>
      <c r="N17" s="79">
        <f t="shared" si="4"/>
        <v>150.5</v>
      </c>
      <c r="O17" s="79">
        <f t="shared" si="5"/>
        <v>0</v>
      </c>
      <c r="P17" s="79">
        <f t="shared" si="6"/>
        <v>1505</v>
      </c>
      <c r="Q17" s="79">
        <f t="shared" si="7"/>
        <v>1505</v>
      </c>
      <c r="R17" s="79">
        <f t="shared" si="8"/>
        <v>0</v>
      </c>
    </row>
    <row r="18" spans="2:18">
      <c r="B18" s="50">
        <v>3</v>
      </c>
      <c r="C18" t="s">
        <v>178</v>
      </c>
      <c r="D18">
        <v>1993</v>
      </c>
      <c r="E18">
        <v>5</v>
      </c>
      <c r="F18">
        <v>0</v>
      </c>
      <c r="G18" t="s">
        <v>78</v>
      </c>
      <c r="H18" s="22" t="s">
        <v>9</v>
      </c>
      <c r="I18">
        <f t="shared" si="0"/>
        <v>2003</v>
      </c>
      <c r="J18" s="20">
        <f t="shared" si="1"/>
        <v>2003.4166666666667</v>
      </c>
      <c r="K18" s="79">
        <v>1505</v>
      </c>
      <c r="L18" s="79">
        <f t="shared" si="2"/>
        <v>1505</v>
      </c>
      <c r="M18" s="79">
        <f t="shared" si="3"/>
        <v>12.541666666666666</v>
      </c>
      <c r="N18" s="79">
        <f t="shared" si="4"/>
        <v>150.5</v>
      </c>
      <c r="O18" s="79">
        <f t="shared" si="5"/>
        <v>0</v>
      </c>
      <c r="P18" s="79">
        <f t="shared" si="6"/>
        <v>1505</v>
      </c>
      <c r="Q18" s="79">
        <f t="shared" si="7"/>
        <v>1505</v>
      </c>
      <c r="R18" s="79">
        <f t="shared" si="8"/>
        <v>0</v>
      </c>
    </row>
    <row r="19" spans="2:18">
      <c r="B19" s="50">
        <v>20</v>
      </c>
      <c r="C19" t="s">
        <v>194</v>
      </c>
      <c r="D19">
        <v>1994</v>
      </c>
      <c r="E19">
        <v>7</v>
      </c>
      <c r="F19">
        <v>0</v>
      </c>
      <c r="G19" t="s">
        <v>78</v>
      </c>
      <c r="H19" s="22" t="s">
        <v>9</v>
      </c>
      <c r="I19">
        <f t="shared" si="0"/>
        <v>2004</v>
      </c>
      <c r="J19" s="20">
        <f t="shared" si="1"/>
        <v>2004.5833333333333</v>
      </c>
      <c r="K19" s="79">
        <v>5578</v>
      </c>
      <c r="L19" s="79">
        <f t="shared" si="2"/>
        <v>5578</v>
      </c>
      <c r="M19" s="79">
        <f t="shared" si="3"/>
        <v>46.483333333333327</v>
      </c>
      <c r="N19" s="79">
        <f t="shared" si="4"/>
        <v>557.79999999999995</v>
      </c>
      <c r="O19" s="79">
        <f t="shared" si="5"/>
        <v>0</v>
      </c>
      <c r="P19" s="79">
        <f t="shared" si="6"/>
        <v>5578</v>
      </c>
      <c r="Q19" s="79">
        <f t="shared" si="7"/>
        <v>5578</v>
      </c>
      <c r="R19" s="79">
        <f t="shared" si="8"/>
        <v>0</v>
      </c>
    </row>
    <row r="20" spans="2:18">
      <c r="B20" s="50">
        <v>22</v>
      </c>
      <c r="C20" t="s">
        <v>195</v>
      </c>
      <c r="D20">
        <v>1994</v>
      </c>
      <c r="E20">
        <v>8</v>
      </c>
      <c r="F20">
        <v>0</v>
      </c>
      <c r="G20" t="s">
        <v>78</v>
      </c>
      <c r="H20" s="22" t="s">
        <v>8</v>
      </c>
      <c r="I20">
        <f t="shared" si="0"/>
        <v>1999</v>
      </c>
      <c r="J20" s="20">
        <f t="shared" si="1"/>
        <v>1999.6666666666667</v>
      </c>
      <c r="K20" s="79">
        <v>7033</v>
      </c>
      <c r="L20" s="79">
        <f t="shared" si="2"/>
        <v>7033</v>
      </c>
      <c r="M20" s="79">
        <f t="shared" si="3"/>
        <v>117.21666666666665</v>
      </c>
      <c r="N20" s="79">
        <f t="shared" si="4"/>
        <v>1406.6</v>
      </c>
      <c r="O20" s="79">
        <f t="shared" si="5"/>
        <v>0</v>
      </c>
      <c r="P20" s="79">
        <f t="shared" si="6"/>
        <v>7033</v>
      </c>
      <c r="Q20" s="79">
        <f t="shared" si="7"/>
        <v>7033</v>
      </c>
      <c r="R20" s="79">
        <f t="shared" si="8"/>
        <v>0</v>
      </c>
    </row>
    <row r="21" spans="2:18">
      <c r="B21" s="50">
        <v>5</v>
      </c>
      <c r="C21" t="s">
        <v>175</v>
      </c>
      <c r="D21">
        <v>1994</v>
      </c>
      <c r="E21">
        <v>9</v>
      </c>
      <c r="F21">
        <v>0</v>
      </c>
      <c r="G21" t="s">
        <v>78</v>
      </c>
      <c r="H21" s="22" t="s">
        <v>9</v>
      </c>
      <c r="I21">
        <f t="shared" si="0"/>
        <v>2004</v>
      </c>
      <c r="J21" s="20">
        <f t="shared" si="1"/>
        <v>2004.75</v>
      </c>
      <c r="K21" s="79">
        <v>1812</v>
      </c>
      <c r="L21" s="79">
        <f t="shared" si="2"/>
        <v>1812</v>
      </c>
      <c r="M21" s="79">
        <f t="shared" si="3"/>
        <v>15.1</v>
      </c>
      <c r="N21" s="79">
        <f t="shared" si="4"/>
        <v>181.2</v>
      </c>
      <c r="O21" s="79">
        <f t="shared" si="5"/>
        <v>0</v>
      </c>
      <c r="P21" s="79">
        <f t="shared" si="6"/>
        <v>1812</v>
      </c>
      <c r="Q21" s="79">
        <f t="shared" si="7"/>
        <v>1812</v>
      </c>
      <c r="R21" s="79">
        <f t="shared" si="8"/>
        <v>0</v>
      </c>
    </row>
    <row r="22" spans="2:18">
      <c r="B22" s="50">
        <v>2</v>
      </c>
      <c r="C22" t="s">
        <v>299</v>
      </c>
      <c r="D22">
        <v>1994</v>
      </c>
      <c r="E22">
        <v>9</v>
      </c>
      <c r="F22">
        <v>0</v>
      </c>
      <c r="G22" t="s">
        <v>78</v>
      </c>
      <c r="H22" s="22" t="s">
        <v>9</v>
      </c>
      <c r="I22">
        <f t="shared" si="0"/>
        <v>2004</v>
      </c>
      <c r="J22" s="20">
        <f t="shared" si="1"/>
        <v>2004.75</v>
      </c>
      <c r="K22" s="79">
        <v>8396</v>
      </c>
      <c r="L22" s="79">
        <f t="shared" si="2"/>
        <v>8396</v>
      </c>
      <c r="M22" s="79">
        <f t="shared" si="3"/>
        <v>69.966666666666669</v>
      </c>
      <c r="N22" s="79">
        <f t="shared" si="4"/>
        <v>839.6</v>
      </c>
      <c r="O22" s="79">
        <f t="shared" si="5"/>
        <v>0</v>
      </c>
      <c r="P22" s="79">
        <f t="shared" si="6"/>
        <v>8396</v>
      </c>
      <c r="Q22" s="79">
        <f t="shared" si="7"/>
        <v>8396</v>
      </c>
      <c r="R22" s="79">
        <f t="shared" si="8"/>
        <v>0</v>
      </c>
    </row>
    <row r="23" spans="2:18">
      <c r="B23" s="50">
        <v>6</v>
      </c>
      <c r="C23" t="s">
        <v>300</v>
      </c>
      <c r="D23">
        <v>1994</v>
      </c>
      <c r="E23">
        <v>9</v>
      </c>
      <c r="F23">
        <v>0</v>
      </c>
      <c r="G23" t="s">
        <v>78</v>
      </c>
      <c r="H23" s="22" t="s">
        <v>9</v>
      </c>
      <c r="I23">
        <f t="shared" si="0"/>
        <v>2004</v>
      </c>
      <c r="J23" s="20">
        <f t="shared" si="1"/>
        <v>2004.75</v>
      </c>
      <c r="K23" s="79">
        <v>2099</v>
      </c>
      <c r="L23" s="79">
        <f t="shared" si="2"/>
        <v>2099</v>
      </c>
      <c r="M23" s="79">
        <f t="shared" si="3"/>
        <v>17.491666666666667</v>
      </c>
      <c r="N23" s="79">
        <f t="shared" si="4"/>
        <v>209.9</v>
      </c>
      <c r="O23" s="79">
        <f t="shared" si="5"/>
        <v>0</v>
      </c>
      <c r="P23" s="79">
        <f t="shared" si="6"/>
        <v>2099</v>
      </c>
      <c r="Q23" s="79">
        <f t="shared" si="7"/>
        <v>2099</v>
      </c>
      <c r="R23" s="79">
        <f t="shared" si="8"/>
        <v>0</v>
      </c>
    </row>
    <row r="24" spans="2:18">
      <c r="B24" s="50">
        <v>3</v>
      </c>
      <c r="C24" t="s">
        <v>137</v>
      </c>
      <c r="D24">
        <v>1994</v>
      </c>
      <c r="E24">
        <v>4</v>
      </c>
      <c r="F24">
        <v>0</v>
      </c>
      <c r="G24" t="s">
        <v>78</v>
      </c>
      <c r="H24" s="22" t="s">
        <v>9</v>
      </c>
      <c r="I24">
        <f t="shared" si="0"/>
        <v>2004</v>
      </c>
      <c r="J24" s="20">
        <f t="shared" si="1"/>
        <v>2004.3333333333333</v>
      </c>
      <c r="K24" s="79">
        <v>1602</v>
      </c>
      <c r="L24" s="79">
        <f t="shared" si="2"/>
        <v>1602</v>
      </c>
      <c r="M24" s="79">
        <f t="shared" si="3"/>
        <v>13.35</v>
      </c>
      <c r="N24" s="79">
        <f t="shared" si="4"/>
        <v>160.19999999999999</v>
      </c>
      <c r="O24" s="79">
        <f t="shared" si="5"/>
        <v>0</v>
      </c>
      <c r="P24" s="79">
        <f t="shared" si="6"/>
        <v>1602</v>
      </c>
      <c r="Q24" s="79">
        <f t="shared" si="7"/>
        <v>1602</v>
      </c>
      <c r="R24" s="79">
        <f t="shared" si="8"/>
        <v>0</v>
      </c>
    </row>
    <row r="25" spans="2:18">
      <c r="B25" s="50">
        <v>7</v>
      </c>
      <c r="C25" t="s">
        <v>179</v>
      </c>
      <c r="D25">
        <v>1994</v>
      </c>
      <c r="E25">
        <v>4</v>
      </c>
      <c r="F25">
        <v>0</v>
      </c>
      <c r="G25" t="s">
        <v>78</v>
      </c>
      <c r="H25" s="22" t="s">
        <v>9</v>
      </c>
      <c r="I25">
        <f t="shared" si="0"/>
        <v>2004</v>
      </c>
      <c r="J25" s="20">
        <f t="shared" si="1"/>
        <v>2004.3333333333333</v>
      </c>
      <c r="K25" s="79">
        <v>3739</v>
      </c>
      <c r="L25" s="79">
        <f t="shared" si="2"/>
        <v>3739</v>
      </c>
      <c r="M25" s="79">
        <f t="shared" si="3"/>
        <v>31.158333333333331</v>
      </c>
      <c r="N25" s="79">
        <f t="shared" si="4"/>
        <v>373.9</v>
      </c>
      <c r="O25" s="79">
        <f t="shared" si="5"/>
        <v>0</v>
      </c>
      <c r="P25" s="79">
        <f t="shared" si="6"/>
        <v>3739</v>
      </c>
      <c r="Q25" s="79">
        <f t="shared" si="7"/>
        <v>3739</v>
      </c>
      <c r="R25" s="79">
        <f t="shared" si="8"/>
        <v>0</v>
      </c>
    </row>
    <row r="26" spans="2:18">
      <c r="B26" s="50">
        <v>20</v>
      </c>
      <c r="C26" t="s">
        <v>263</v>
      </c>
      <c r="D26">
        <v>1995</v>
      </c>
      <c r="E26">
        <v>11</v>
      </c>
      <c r="F26">
        <v>0</v>
      </c>
      <c r="G26" t="s">
        <v>78</v>
      </c>
      <c r="H26" s="22" t="s">
        <v>9</v>
      </c>
      <c r="I26">
        <f t="shared" si="0"/>
        <v>2005</v>
      </c>
      <c r="J26" s="20">
        <f t="shared" si="1"/>
        <v>2005.9166666666667</v>
      </c>
      <c r="K26" s="79">
        <v>7466</v>
      </c>
      <c r="L26" s="79">
        <f t="shared" si="2"/>
        <v>7466</v>
      </c>
      <c r="M26" s="79">
        <f t="shared" si="3"/>
        <v>62.216666666666669</v>
      </c>
      <c r="N26" s="79">
        <f t="shared" si="4"/>
        <v>746.6</v>
      </c>
      <c r="O26" s="79">
        <f t="shared" si="5"/>
        <v>0</v>
      </c>
      <c r="P26" s="79">
        <f t="shared" si="6"/>
        <v>7466</v>
      </c>
      <c r="Q26" s="79">
        <f t="shared" si="7"/>
        <v>7466</v>
      </c>
      <c r="R26" s="79">
        <f t="shared" si="8"/>
        <v>0</v>
      </c>
    </row>
    <row r="27" spans="2:18">
      <c r="B27" s="50">
        <v>15</v>
      </c>
      <c r="C27" t="s">
        <v>201</v>
      </c>
      <c r="D27">
        <v>1995</v>
      </c>
      <c r="E27">
        <v>7</v>
      </c>
      <c r="F27">
        <v>0</v>
      </c>
      <c r="G27" t="s">
        <v>78</v>
      </c>
      <c r="H27" s="22" t="s">
        <v>9</v>
      </c>
      <c r="I27">
        <f t="shared" si="0"/>
        <v>2005</v>
      </c>
      <c r="J27" s="20">
        <f t="shared" si="1"/>
        <v>2005.5833333333333</v>
      </c>
      <c r="K27" s="79">
        <v>4950</v>
      </c>
      <c r="L27" s="79">
        <f t="shared" si="2"/>
        <v>4950</v>
      </c>
      <c r="M27" s="79">
        <f t="shared" si="3"/>
        <v>41.25</v>
      </c>
      <c r="N27" s="79">
        <f t="shared" si="4"/>
        <v>495</v>
      </c>
      <c r="O27" s="79">
        <f t="shared" si="5"/>
        <v>0</v>
      </c>
      <c r="P27" s="79">
        <f t="shared" si="6"/>
        <v>4950</v>
      </c>
      <c r="Q27" s="79">
        <f t="shared" si="7"/>
        <v>4950</v>
      </c>
      <c r="R27" s="79">
        <f t="shared" si="8"/>
        <v>0</v>
      </c>
    </row>
    <row r="28" spans="2:18">
      <c r="B28" s="50">
        <v>15</v>
      </c>
      <c r="C28" t="s">
        <v>23</v>
      </c>
      <c r="D28">
        <v>1995</v>
      </c>
      <c r="E28">
        <v>11</v>
      </c>
      <c r="F28">
        <v>0</v>
      </c>
      <c r="G28" t="s">
        <v>78</v>
      </c>
      <c r="H28" s="22" t="s">
        <v>9</v>
      </c>
      <c r="I28">
        <f t="shared" si="0"/>
        <v>2005</v>
      </c>
      <c r="J28" s="20">
        <f t="shared" si="1"/>
        <v>2005.9166666666667</v>
      </c>
      <c r="K28" s="79">
        <v>9251</v>
      </c>
      <c r="L28" s="79">
        <f t="shared" si="2"/>
        <v>9251</v>
      </c>
      <c r="M28" s="79">
        <f t="shared" si="3"/>
        <v>77.091666666666669</v>
      </c>
      <c r="N28" s="79">
        <f t="shared" si="4"/>
        <v>925.1</v>
      </c>
      <c r="O28" s="79">
        <f t="shared" si="5"/>
        <v>0</v>
      </c>
      <c r="P28" s="79">
        <f t="shared" si="6"/>
        <v>9251</v>
      </c>
      <c r="Q28" s="79">
        <f t="shared" si="7"/>
        <v>9251</v>
      </c>
      <c r="R28" s="79">
        <f t="shared" si="8"/>
        <v>0</v>
      </c>
    </row>
    <row r="29" spans="2:18">
      <c r="B29" s="50">
        <v>50</v>
      </c>
      <c r="C29" t="s">
        <v>191</v>
      </c>
      <c r="D29">
        <v>1996</v>
      </c>
      <c r="E29">
        <v>9</v>
      </c>
      <c r="F29">
        <v>0</v>
      </c>
      <c r="G29" t="s">
        <v>78</v>
      </c>
      <c r="H29" s="22" t="s">
        <v>9</v>
      </c>
      <c r="I29">
        <f t="shared" si="0"/>
        <v>2006</v>
      </c>
      <c r="J29" s="20">
        <f t="shared" si="1"/>
        <v>2006.75</v>
      </c>
      <c r="K29" s="79">
        <v>17853</v>
      </c>
      <c r="L29" s="79">
        <f t="shared" si="2"/>
        <v>17853</v>
      </c>
      <c r="M29" s="79">
        <f t="shared" si="3"/>
        <v>148.77500000000001</v>
      </c>
      <c r="N29" s="79">
        <f t="shared" si="4"/>
        <v>1785.3000000000002</v>
      </c>
      <c r="O29" s="79">
        <f t="shared" si="5"/>
        <v>0</v>
      </c>
      <c r="P29" s="79">
        <f t="shared" si="6"/>
        <v>17853</v>
      </c>
      <c r="Q29" s="79">
        <f t="shared" si="7"/>
        <v>17853</v>
      </c>
      <c r="R29" s="79">
        <f t="shared" si="8"/>
        <v>0</v>
      </c>
    </row>
    <row r="30" spans="2:18">
      <c r="B30" s="50">
        <v>50</v>
      </c>
      <c r="C30" t="s">
        <v>191</v>
      </c>
      <c r="D30">
        <v>1996</v>
      </c>
      <c r="E30">
        <v>12</v>
      </c>
      <c r="F30">
        <v>0</v>
      </c>
      <c r="G30" t="s">
        <v>78</v>
      </c>
      <c r="H30" s="22" t="s">
        <v>9</v>
      </c>
      <c r="I30">
        <f t="shared" si="0"/>
        <v>2006</v>
      </c>
      <c r="J30" s="20">
        <f t="shared" si="1"/>
        <v>2007</v>
      </c>
      <c r="K30" s="79">
        <v>17853</v>
      </c>
      <c r="L30" s="79">
        <f t="shared" si="2"/>
        <v>17853</v>
      </c>
      <c r="M30" s="79">
        <f t="shared" si="3"/>
        <v>148.77500000000001</v>
      </c>
      <c r="N30" s="79">
        <f t="shared" si="4"/>
        <v>1785.3000000000002</v>
      </c>
      <c r="O30" s="79">
        <f t="shared" si="5"/>
        <v>0</v>
      </c>
      <c r="P30" s="79">
        <f t="shared" si="6"/>
        <v>17853</v>
      </c>
      <c r="Q30" s="79">
        <f t="shared" si="7"/>
        <v>17853</v>
      </c>
      <c r="R30" s="79">
        <f t="shared" si="8"/>
        <v>0</v>
      </c>
    </row>
    <row r="31" spans="2:18">
      <c r="B31" s="50">
        <v>25</v>
      </c>
      <c r="C31" t="s">
        <v>263</v>
      </c>
      <c r="D31">
        <v>1996</v>
      </c>
      <c r="E31">
        <v>7</v>
      </c>
      <c r="F31">
        <v>0</v>
      </c>
      <c r="G31" t="s">
        <v>78</v>
      </c>
      <c r="H31" s="22" t="s">
        <v>9</v>
      </c>
      <c r="I31">
        <f t="shared" si="0"/>
        <v>2006</v>
      </c>
      <c r="J31" s="20">
        <f t="shared" si="1"/>
        <v>2006.5833333333333</v>
      </c>
      <c r="K31" s="79">
        <v>9332</v>
      </c>
      <c r="L31" s="79">
        <f t="shared" si="2"/>
        <v>9332</v>
      </c>
      <c r="M31" s="79">
        <f t="shared" si="3"/>
        <v>77.766666666666666</v>
      </c>
      <c r="N31" s="79">
        <f t="shared" si="4"/>
        <v>933.2</v>
      </c>
      <c r="O31" s="79">
        <f t="shared" si="5"/>
        <v>0</v>
      </c>
      <c r="P31" s="79">
        <f t="shared" si="6"/>
        <v>9332</v>
      </c>
      <c r="Q31" s="79">
        <f t="shared" si="7"/>
        <v>9332</v>
      </c>
      <c r="R31" s="79">
        <f t="shared" si="8"/>
        <v>0</v>
      </c>
    </row>
    <row r="32" spans="2:18">
      <c r="B32" s="50">
        <v>12</v>
      </c>
      <c r="C32" t="s">
        <v>221</v>
      </c>
      <c r="D32">
        <v>1996</v>
      </c>
      <c r="E32">
        <v>3</v>
      </c>
      <c r="F32">
        <v>0</v>
      </c>
      <c r="G32" t="s">
        <v>78</v>
      </c>
      <c r="H32" s="22" t="s">
        <v>9</v>
      </c>
      <c r="I32">
        <f t="shared" si="0"/>
        <v>2006</v>
      </c>
      <c r="J32" s="20">
        <f t="shared" si="1"/>
        <v>2006.25</v>
      </c>
      <c r="K32" s="79">
        <v>2072</v>
      </c>
      <c r="L32" s="79">
        <f t="shared" si="2"/>
        <v>2072</v>
      </c>
      <c r="M32" s="79">
        <f t="shared" si="3"/>
        <v>17.266666666666666</v>
      </c>
      <c r="N32" s="79">
        <f t="shared" si="4"/>
        <v>207.2</v>
      </c>
      <c r="O32" s="79">
        <f t="shared" si="5"/>
        <v>0</v>
      </c>
      <c r="P32" s="79">
        <f t="shared" si="6"/>
        <v>2072</v>
      </c>
      <c r="Q32" s="79">
        <f t="shared" si="7"/>
        <v>2072</v>
      </c>
      <c r="R32" s="79">
        <f t="shared" si="8"/>
        <v>0</v>
      </c>
    </row>
    <row r="33" spans="2:18">
      <c r="B33" s="50">
        <v>10</v>
      </c>
      <c r="C33" t="s">
        <v>221</v>
      </c>
      <c r="D33">
        <v>1996</v>
      </c>
      <c r="E33">
        <v>8</v>
      </c>
      <c r="F33">
        <v>0</v>
      </c>
      <c r="G33" t="s">
        <v>78</v>
      </c>
      <c r="H33" s="22" t="s">
        <v>9</v>
      </c>
      <c r="I33">
        <f t="shared" si="0"/>
        <v>2006</v>
      </c>
      <c r="J33" s="20">
        <f t="shared" si="1"/>
        <v>2006.6666666666667</v>
      </c>
      <c r="K33" s="79">
        <v>4155</v>
      </c>
      <c r="L33" s="79">
        <f t="shared" si="2"/>
        <v>4155</v>
      </c>
      <c r="M33" s="79">
        <f t="shared" si="3"/>
        <v>34.625</v>
      </c>
      <c r="N33" s="79">
        <f t="shared" si="4"/>
        <v>415.5</v>
      </c>
      <c r="O33" s="79">
        <f t="shared" si="5"/>
        <v>0</v>
      </c>
      <c r="P33" s="79">
        <f t="shared" si="6"/>
        <v>4155</v>
      </c>
      <c r="Q33" s="79">
        <f t="shared" si="7"/>
        <v>4155</v>
      </c>
      <c r="R33" s="79">
        <f t="shared" si="8"/>
        <v>0</v>
      </c>
    </row>
    <row r="34" spans="2:18">
      <c r="B34" s="50">
        <v>12</v>
      </c>
      <c r="C34" t="s">
        <v>222</v>
      </c>
      <c r="D34">
        <v>1996</v>
      </c>
      <c r="E34">
        <v>9</v>
      </c>
      <c r="F34">
        <v>0</v>
      </c>
      <c r="G34" t="s">
        <v>78</v>
      </c>
      <c r="H34" s="22" t="s">
        <v>9</v>
      </c>
      <c r="I34">
        <f t="shared" si="0"/>
        <v>2006</v>
      </c>
      <c r="J34" s="20">
        <f t="shared" si="1"/>
        <v>2006.75</v>
      </c>
      <c r="K34" s="79">
        <v>4986</v>
      </c>
      <c r="L34" s="79">
        <f t="shared" si="2"/>
        <v>4986</v>
      </c>
      <c r="M34" s="79">
        <f t="shared" si="3"/>
        <v>41.550000000000004</v>
      </c>
      <c r="N34" s="79">
        <f t="shared" si="4"/>
        <v>498.6</v>
      </c>
      <c r="O34" s="79">
        <f t="shared" si="5"/>
        <v>0</v>
      </c>
      <c r="P34" s="79">
        <f t="shared" si="6"/>
        <v>4986</v>
      </c>
      <c r="Q34" s="79">
        <f t="shared" si="7"/>
        <v>4986</v>
      </c>
      <c r="R34" s="79">
        <f t="shared" si="8"/>
        <v>0</v>
      </c>
    </row>
    <row r="35" spans="2:18">
      <c r="B35" s="50">
        <v>4</v>
      </c>
      <c r="C35" t="s">
        <v>198</v>
      </c>
      <c r="D35">
        <v>1997</v>
      </c>
      <c r="E35">
        <v>12</v>
      </c>
      <c r="F35">
        <v>0</v>
      </c>
      <c r="G35" t="s">
        <v>78</v>
      </c>
      <c r="H35" s="22" t="s">
        <v>9</v>
      </c>
      <c r="I35">
        <f t="shared" si="0"/>
        <v>2007</v>
      </c>
      <c r="J35" s="20">
        <f t="shared" si="1"/>
        <v>2008</v>
      </c>
      <c r="K35" s="79">
        <v>1620</v>
      </c>
      <c r="L35" s="79">
        <f t="shared" si="2"/>
        <v>1620</v>
      </c>
      <c r="M35" s="79">
        <f t="shared" si="3"/>
        <v>13.5</v>
      </c>
      <c r="N35" s="79">
        <f t="shared" si="4"/>
        <v>162</v>
      </c>
      <c r="O35" s="79">
        <f t="shared" si="5"/>
        <v>0</v>
      </c>
      <c r="P35" s="79">
        <f t="shared" si="6"/>
        <v>1620</v>
      </c>
      <c r="Q35" s="79">
        <f t="shared" si="7"/>
        <v>1620</v>
      </c>
      <c r="R35" s="79">
        <f t="shared" si="8"/>
        <v>0</v>
      </c>
    </row>
    <row r="36" spans="2:18">
      <c r="B36" s="50">
        <v>10</v>
      </c>
      <c r="C36" t="s">
        <v>200</v>
      </c>
      <c r="D36">
        <v>1997</v>
      </c>
      <c r="E36">
        <v>8</v>
      </c>
      <c r="F36">
        <v>0</v>
      </c>
      <c r="G36" t="s">
        <v>78</v>
      </c>
      <c r="H36" s="22" t="s">
        <v>9</v>
      </c>
      <c r="I36">
        <f t="shared" si="0"/>
        <v>2007</v>
      </c>
      <c r="J36" s="20">
        <f t="shared" si="1"/>
        <v>2007.6666666666667</v>
      </c>
      <c r="K36" s="79">
        <v>3475.2</v>
      </c>
      <c r="L36" s="79">
        <f t="shared" si="2"/>
        <v>3475.2</v>
      </c>
      <c r="M36" s="79">
        <f t="shared" si="3"/>
        <v>28.959999999999997</v>
      </c>
      <c r="N36" s="79">
        <f t="shared" si="4"/>
        <v>347.52</v>
      </c>
      <c r="O36" s="79">
        <f t="shared" si="5"/>
        <v>0</v>
      </c>
      <c r="P36" s="79">
        <f t="shared" si="6"/>
        <v>3475.2</v>
      </c>
      <c r="Q36" s="79">
        <f t="shared" si="7"/>
        <v>3475.2</v>
      </c>
      <c r="R36" s="79">
        <f t="shared" si="8"/>
        <v>0</v>
      </c>
    </row>
    <row r="37" spans="2:18">
      <c r="B37" s="50">
        <v>10</v>
      </c>
      <c r="C37" t="s">
        <v>200</v>
      </c>
      <c r="D37">
        <v>1997</v>
      </c>
      <c r="E37">
        <v>11</v>
      </c>
      <c r="F37">
        <v>0</v>
      </c>
      <c r="G37" t="s">
        <v>78</v>
      </c>
      <c r="H37" s="22" t="s">
        <v>9</v>
      </c>
      <c r="I37">
        <f t="shared" si="0"/>
        <v>2007</v>
      </c>
      <c r="J37" s="20">
        <f t="shared" si="1"/>
        <v>2007.9166666666667</v>
      </c>
      <c r="K37" s="79">
        <v>3475.2</v>
      </c>
      <c r="L37" s="79">
        <f t="shared" si="2"/>
        <v>3475.2</v>
      </c>
      <c r="M37" s="79">
        <f t="shared" si="3"/>
        <v>28.959999999999997</v>
      </c>
      <c r="N37" s="79">
        <f t="shared" si="4"/>
        <v>347.52</v>
      </c>
      <c r="O37" s="79">
        <f t="shared" si="5"/>
        <v>0</v>
      </c>
      <c r="P37" s="79">
        <f t="shared" si="6"/>
        <v>3475.2</v>
      </c>
      <c r="Q37" s="79">
        <f t="shared" si="7"/>
        <v>3475.2</v>
      </c>
      <c r="R37" s="79">
        <f t="shared" si="8"/>
        <v>0</v>
      </c>
    </row>
    <row r="38" spans="2:18">
      <c r="B38" s="50">
        <v>10</v>
      </c>
      <c r="C38" s="112" t="s">
        <v>200</v>
      </c>
      <c r="D38" s="112">
        <v>1998</v>
      </c>
      <c r="E38" s="112">
        <v>3</v>
      </c>
      <c r="F38" s="112">
        <v>0</v>
      </c>
      <c r="G38" s="112" t="s">
        <v>78</v>
      </c>
      <c r="H38" s="22" t="s">
        <v>9</v>
      </c>
      <c r="I38" s="112">
        <f t="shared" si="0"/>
        <v>2008</v>
      </c>
      <c r="J38" s="20">
        <f t="shared" si="1"/>
        <v>2008.25</v>
      </c>
      <c r="K38" s="79">
        <v>3475.2</v>
      </c>
      <c r="L38" s="79">
        <f t="shared" si="2"/>
        <v>3475.2</v>
      </c>
      <c r="M38" s="79">
        <f t="shared" si="3"/>
        <v>28.959999999999997</v>
      </c>
      <c r="N38" s="79">
        <f t="shared" si="4"/>
        <v>347.52</v>
      </c>
      <c r="O38" s="79">
        <f t="shared" si="5"/>
        <v>0</v>
      </c>
      <c r="P38" s="79">
        <f t="shared" si="6"/>
        <v>3475.2</v>
      </c>
      <c r="Q38" s="79">
        <f t="shared" si="7"/>
        <v>3475.2</v>
      </c>
      <c r="R38" s="79">
        <f t="shared" si="8"/>
        <v>0</v>
      </c>
    </row>
    <row r="39" spans="2:18">
      <c r="B39" s="50">
        <v>20</v>
      </c>
      <c r="C39" t="s">
        <v>298</v>
      </c>
      <c r="D39">
        <v>1998</v>
      </c>
      <c r="E39">
        <v>9</v>
      </c>
      <c r="F39">
        <v>0</v>
      </c>
      <c r="G39" t="s">
        <v>78</v>
      </c>
      <c r="H39" s="22" t="s">
        <v>9</v>
      </c>
      <c r="I39">
        <f t="shared" si="0"/>
        <v>2008</v>
      </c>
      <c r="J39" s="20">
        <f t="shared" si="1"/>
        <v>2008.75</v>
      </c>
      <c r="K39" s="79">
        <v>6950.4</v>
      </c>
      <c r="L39" s="79">
        <f t="shared" si="2"/>
        <v>6950.4</v>
      </c>
      <c r="M39" s="79">
        <f t="shared" si="3"/>
        <v>57.919999999999995</v>
      </c>
      <c r="N39" s="79">
        <f t="shared" si="4"/>
        <v>695.04</v>
      </c>
      <c r="O39" s="79">
        <f t="shared" si="5"/>
        <v>0</v>
      </c>
      <c r="P39" s="79">
        <f t="shared" si="6"/>
        <v>6950.4</v>
      </c>
      <c r="Q39" s="79">
        <f t="shared" si="7"/>
        <v>6950.4</v>
      </c>
      <c r="R39" s="79">
        <f t="shared" si="8"/>
        <v>0</v>
      </c>
    </row>
    <row r="40" spans="2:18">
      <c r="B40" s="50">
        <v>17</v>
      </c>
      <c r="C40" t="s">
        <v>178</v>
      </c>
      <c r="D40">
        <v>1998</v>
      </c>
      <c r="E40">
        <v>6</v>
      </c>
      <c r="F40">
        <v>0</v>
      </c>
      <c r="G40" t="s">
        <v>78</v>
      </c>
      <c r="H40" s="22" t="s">
        <v>9</v>
      </c>
      <c r="I40">
        <f t="shared" si="0"/>
        <v>2008</v>
      </c>
      <c r="J40" s="20">
        <f t="shared" si="1"/>
        <v>2008.5</v>
      </c>
      <c r="K40" s="79">
        <v>7387.2</v>
      </c>
      <c r="L40" s="79">
        <f t="shared" si="2"/>
        <v>7387.2</v>
      </c>
      <c r="M40" s="79">
        <f t="shared" si="3"/>
        <v>61.56</v>
      </c>
      <c r="N40" s="79">
        <f t="shared" si="4"/>
        <v>738.72</v>
      </c>
      <c r="O40" s="79">
        <f t="shared" si="5"/>
        <v>0</v>
      </c>
      <c r="P40" s="79">
        <f t="shared" si="6"/>
        <v>7387.2</v>
      </c>
      <c r="Q40" s="79">
        <f t="shared" si="7"/>
        <v>7387.2</v>
      </c>
      <c r="R40" s="79">
        <f t="shared" si="8"/>
        <v>0</v>
      </c>
    </row>
    <row r="41" spans="2:18">
      <c r="B41" s="50">
        <v>24</v>
      </c>
      <c r="C41" t="s">
        <v>279</v>
      </c>
      <c r="D41">
        <v>1999</v>
      </c>
      <c r="E41">
        <v>12</v>
      </c>
      <c r="F41">
        <v>0</v>
      </c>
      <c r="G41" t="s">
        <v>78</v>
      </c>
      <c r="H41" s="22" t="s">
        <v>9</v>
      </c>
      <c r="I41">
        <f t="shared" si="0"/>
        <v>2009</v>
      </c>
      <c r="J41" s="20">
        <f t="shared" si="1"/>
        <v>2010</v>
      </c>
      <c r="K41" s="79">
        <v>6906.96</v>
      </c>
      <c r="L41" s="79">
        <f t="shared" si="2"/>
        <v>6906.96</v>
      </c>
      <c r="M41" s="79">
        <f t="shared" si="3"/>
        <v>57.558</v>
      </c>
      <c r="N41" s="79">
        <f t="shared" si="4"/>
        <v>690.69600000000003</v>
      </c>
      <c r="O41" s="79">
        <f t="shared" si="5"/>
        <v>0</v>
      </c>
      <c r="P41" s="79">
        <f t="shared" si="6"/>
        <v>6906.96</v>
      </c>
      <c r="Q41" s="79">
        <f t="shared" si="7"/>
        <v>6906.96</v>
      </c>
      <c r="R41" s="79">
        <f t="shared" si="8"/>
        <v>0</v>
      </c>
    </row>
    <row r="42" spans="2:18">
      <c r="B42" s="50">
        <v>25</v>
      </c>
      <c r="C42" t="s">
        <v>297</v>
      </c>
      <c r="D42">
        <v>1999</v>
      </c>
      <c r="E42">
        <v>4</v>
      </c>
      <c r="F42">
        <v>0</v>
      </c>
      <c r="G42" t="s">
        <v>78</v>
      </c>
      <c r="H42" s="22" t="s">
        <v>9</v>
      </c>
      <c r="I42">
        <f t="shared" si="0"/>
        <v>2009</v>
      </c>
      <c r="J42" s="20">
        <f t="shared" si="1"/>
        <v>2009.3333333333333</v>
      </c>
      <c r="K42" s="79">
        <v>6689.76</v>
      </c>
      <c r="L42" s="79">
        <f t="shared" si="2"/>
        <v>6689.76</v>
      </c>
      <c r="M42" s="79">
        <f t="shared" si="3"/>
        <v>55.747999999999998</v>
      </c>
      <c r="N42" s="79">
        <f t="shared" si="4"/>
        <v>668.976</v>
      </c>
      <c r="O42" s="79">
        <f t="shared" si="5"/>
        <v>0</v>
      </c>
      <c r="P42" s="79">
        <f t="shared" si="6"/>
        <v>6689.76</v>
      </c>
      <c r="Q42" s="79">
        <f t="shared" si="7"/>
        <v>6689.76</v>
      </c>
      <c r="R42" s="79">
        <f t="shared" si="8"/>
        <v>0</v>
      </c>
    </row>
    <row r="43" spans="2:18">
      <c r="B43" s="50">
        <v>20</v>
      </c>
      <c r="C43" t="s">
        <v>297</v>
      </c>
      <c r="D43">
        <v>1999</v>
      </c>
      <c r="E43">
        <v>7</v>
      </c>
      <c r="F43">
        <v>0</v>
      </c>
      <c r="G43" t="s">
        <v>78</v>
      </c>
      <c r="H43" s="22" t="s">
        <v>9</v>
      </c>
      <c r="I43">
        <f t="shared" si="0"/>
        <v>2009</v>
      </c>
      <c r="J43" s="20">
        <f t="shared" si="1"/>
        <v>2009.5833333333333</v>
      </c>
      <c r="K43" s="79">
        <v>4013.86</v>
      </c>
      <c r="L43" s="79">
        <f t="shared" si="2"/>
        <v>4013.86</v>
      </c>
      <c r="M43" s="79">
        <f t="shared" si="3"/>
        <v>33.448833333333333</v>
      </c>
      <c r="N43" s="79">
        <f t="shared" si="4"/>
        <v>401.38599999999997</v>
      </c>
      <c r="O43" s="79">
        <f t="shared" si="5"/>
        <v>0</v>
      </c>
      <c r="P43" s="79">
        <f t="shared" si="6"/>
        <v>4013.86</v>
      </c>
      <c r="Q43" s="79">
        <f t="shared" si="7"/>
        <v>4013.86</v>
      </c>
      <c r="R43" s="79">
        <f t="shared" si="8"/>
        <v>0</v>
      </c>
    </row>
    <row r="44" spans="2:18">
      <c r="B44" s="50">
        <v>23</v>
      </c>
      <c r="C44" t="s">
        <v>190</v>
      </c>
      <c r="D44">
        <v>1999</v>
      </c>
      <c r="E44">
        <v>12</v>
      </c>
      <c r="F44">
        <v>0</v>
      </c>
      <c r="G44" t="s">
        <v>78</v>
      </c>
      <c r="H44" s="22" t="s">
        <v>9</v>
      </c>
      <c r="I44">
        <f t="shared" si="0"/>
        <v>2009</v>
      </c>
      <c r="J44" s="20">
        <f t="shared" si="1"/>
        <v>2010</v>
      </c>
      <c r="K44" s="79">
        <v>6429.12</v>
      </c>
      <c r="L44" s="79">
        <f t="shared" si="2"/>
        <v>6429.12</v>
      </c>
      <c r="M44" s="79">
        <f t="shared" si="3"/>
        <v>53.576000000000001</v>
      </c>
      <c r="N44" s="79">
        <f t="shared" si="4"/>
        <v>642.91200000000003</v>
      </c>
      <c r="O44" s="79">
        <f t="shared" si="5"/>
        <v>0</v>
      </c>
      <c r="P44" s="79">
        <f t="shared" si="6"/>
        <v>6429.12</v>
      </c>
      <c r="Q44" s="79">
        <f t="shared" si="7"/>
        <v>6429.12</v>
      </c>
      <c r="R44" s="79">
        <f t="shared" si="8"/>
        <v>0</v>
      </c>
    </row>
    <row r="45" spans="2:18">
      <c r="B45" s="50">
        <v>22</v>
      </c>
      <c r="C45" t="s">
        <v>95</v>
      </c>
      <c r="D45">
        <v>1999</v>
      </c>
      <c r="E45">
        <v>7</v>
      </c>
      <c r="F45">
        <v>0</v>
      </c>
      <c r="G45" t="s">
        <v>78</v>
      </c>
      <c r="H45" s="22" t="s">
        <v>9</v>
      </c>
      <c r="I45">
        <f t="shared" ref="I45:I76" si="9">D45+H45</f>
        <v>2009</v>
      </c>
      <c r="J45" s="20">
        <f t="shared" ref="J45:J76" si="10">+I45+(E45/12)</f>
        <v>2009.5833333333333</v>
      </c>
      <c r="K45" s="79">
        <v>6298.8</v>
      </c>
      <c r="L45" s="79">
        <f t="shared" ref="L45:L76" si="11">K45-K45*F45</f>
        <v>6298.8</v>
      </c>
      <c r="M45" s="79">
        <f t="shared" ref="M45:M76" si="12">L45/H45/12</f>
        <v>52.49</v>
      </c>
      <c r="N45" s="79">
        <f t="shared" ref="N45:N76" si="13">+M45*12</f>
        <v>629.88</v>
      </c>
      <c r="O45" s="79">
        <f t="shared" ref="O45:O76" si="14">+IF(J45&lt;=$L$5,0,IF(I45&gt;$L$4,N45,(M45*E45)))</f>
        <v>0</v>
      </c>
      <c r="P45" s="79">
        <f t="shared" ref="P45:P76" si="15">+IF(O45=0,L45,IF($L$3-D45&lt;1,0,(($L$3-D45)*O45)))</f>
        <v>6298.8</v>
      </c>
      <c r="Q45" s="79">
        <f t="shared" ref="Q45:Q76" si="16">+IF(O45=0,P45,P45+O45)</f>
        <v>6298.8</v>
      </c>
      <c r="R45" s="79">
        <f t="shared" ref="R45:R76" si="17">+K45-Q45</f>
        <v>0</v>
      </c>
    </row>
    <row r="46" spans="2:18">
      <c r="B46" s="50">
        <v>25</v>
      </c>
      <c r="C46" t="s">
        <v>97</v>
      </c>
      <c r="D46">
        <v>1999</v>
      </c>
      <c r="E46">
        <v>10</v>
      </c>
      <c r="F46">
        <v>0</v>
      </c>
      <c r="G46" t="s">
        <v>78</v>
      </c>
      <c r="H46" s="22" t="s">
        <v>9</v>
      </c>
      <c r="I46">
        <f t="shared" si="9"/>
        <v>2009</v>
      </c>
      <c r="J46" s="20">
        <f t="shared" si="10"/>
        <v>2009.8333333333333</v>
      </c>
      <c r="K46" s="79">
        <v>8427.36</v>
      </c>
      <c r="L46" s="79">
        <f t="shared" si="11"/>
        <v>8427.36</v>
      </c>
      <c r="M46" s="79">
        <f t="shared" si="12"/>
        <v>70.228000000000009</v>
      </c>
      <c r="N46" s="79">
        <f t="shared" si="13"/>
        <v>842.7360000000001</v>
      </c>
      <c r="O46" s="79">
        <f t="shared" si="14"/>
        <v>0</v>
      </c>
      <c r="P46" s="79">
        <f t="shared" si="15"/>
        <v>8427.36</v>
      </c>
      <c r="Q46" s="79">
        <f t="shared" si="16"/>
        <v>8427.36</v>
      </c>
      <c r="R46" s="79">
        <f t="shared" si="17"/>
        <v>0</v>
      </c>
    </row>
    <row r="47" spans="2:18">
      <c r="B47" s="50">
        <v>20</v>
      </c>
      <c r="C47" t="s">
        <v>199</v>
      </c>
      <c r="D47">
        <v>1999</v>
      </c>
      <c r="E47">
        <v>4</v>
      </c>
      <c r="F47">
        <v>0</v>
      </c>
      <c r="G47" t="s">
        <v>78</v>
      </c>
      <c r="H47" s="22" t="s">
        <v>9</v>
      </c>
      <c r="I47">
        <f t="shared" si="9"/>
        <v>2009</v>
      </c>
      <c r="J47" s="20">
        <f t="shared" si="10"/>
        <v>2009.3333333333333</v>
      </c>
      <c r="K47" s="79">
        <v>6739.2</v>
      </c>
      <c r="L47" s="79">
        <f t="shared" si="11"/>
        <v>6739.2</v>
      </c>
      <c r="M47" s="79">
        <f t="shared" si="12"/>
        <v>56.16</v>
      </c>
      <c r="N47" s="79">
        <f t="shared" si="13"/>
        <v>673.92</v>
      </c>
      <c r="O47" s="79">
        <f t="shared" si="14"/>
        <v>0</v>
      </c>
      <c r="P47" s="79">
        <f t="shared" si="15"/>
        <v>6739.2</v>
      </c>
      <c r="Q47" s="79">
        <f t="shared" si="16"/>
        <v>6739.2</v>
      </c>
      <c r="R47" s="79">
        <f t="shared" si="17"/>
        <v>0</v>
      </c>
    </row>
    <row r="48" spans="2:18">
      <c r="B48" s="50">
        <v>22</v>
      </c>
      <c r="C48" t="s">
        <v>230</v>
      </c>
      <c r="D48">
        <v>1999</v>
      </c>
      <c r="E48">
        <v>12</v>
      </c>
      <c r="F48">
        <v>0</v>
      </c>
      <c r="G48" t="s">
        <v>78</v>
      </c>
      <c r="H48" s="22" t="s">
        <v>9</v>
      </c>
      <c r="I48">
        <f t="shared" si="9"/>
        <v>2009</v>
      </c>
      <c r="J48" s="20">
        <f t="shared" si="10"/>
        <v>2010</v>
      </c>
      <c r="K48" s="79">
        <v>7645.44</v>
      </c>
      <c r="L48" s="79">
        <f t="shared" si="11"/>
        <v>7645.44</v>
      </c>
      <c r="M48" s="79">
        <f t="shared" si="12"/>
        <v>63.711999999999996</v>
      </c>
      <c r="N48" s="79">
        <f t="shared" si="13"/>
        <v>764.54399999999998</v>
      </c>
      <c r="O48" s="79">
        <f t="shared" si="14"/>
        <v>0</v>
      </c>
      <c r="P48" s="79">
        <f t="shared" si="15"/>
        <v>7645.44</v>
      </c>
      <c r="Q48" s="79">
        <f t="shared" si="16"/>
        <v>7645.44</v>
      </c>
      <c r="R48" s="79">
        <f t="shared" si="17"/>
        <v>0</v>
      </c>
    </row>
    <row r="49" spans="2:18">
      <c r="B49" s="50">
        <v>20</v>
      </c>
      <c r="C49" t="s">
        <v>94</v>
      </c>
      <c r="D49">
        <v>1999</v>
      </c>
      <c r="E49">
        <v>5</v>
      </c>
      <c r="F49">
        <v>0</v>
      </c>
      <c r="G49" t="s">
        <v>78</v>
      </c>
      <c r="H49" s="22" t="s">
        <v>9</v>
      </c>
      <c r="I49">
        <f t="shared" si="9"/>
        <v>2009</v>
      </c>
      <c r="J49" s="20">
        <f t="shared" si="10"/>
        <v>2009.4166666666667</v>
      </c>
      <c r="K49" s="79">
        <v>6950.4</v>
      </c>
      <c r="L49" s="79">
        <f t="shared" si="11"/>
        <v>6950.4</v>
      </c>
      <c r="M49" s="79">
        <f t="shared" si="12"/>
        <v>57.919999999999995</v>
      </c>
      <c r="N49" s="79">
        <f t="shared" si="13"/>
        <v>695.04</v>
      </c>
      <c r="O49" s="79">
        <f t="shared" si="14"/>
        <v>0</v>
      </c>
      <c r="P49" s="79">
        <f t="shared" si="15"/>
        <v>6950.4</v>
      </c>
      <c r="Q49" s="79">
        <f t="shared" si="16"/>
        <v>6950.4</v>
      </c>
      <c r="R49" s="79">
        <f t="shared" si="17"/>
        <v>0</v>
      </c>
    </row>
    <row r="50" spans="2:18">
      <c r="B50" s="50">
        <v>24</v>
      </c>
      <c r="C50" t="s">
        <v>96</v>
      </c>
      <c r="D50">
        <v>1999</v>
      </c>
      <c r="E50">
        <v>7</v>
      </c>
      <c r="F50">
        <v>0</v>
      </c>
      <c r="G50" t="s">
        <v>78</v>
      </c>
      <c r="H50" s="22" t="s">
        <v>9</v>
      </c>
      <c r="I50">
        <f t="shared" si="9"/>
        <v>2009</v>
      </c>
      <c r="J50" s="20">
        <f t="shared" si="10"/>
        <v>2009.5833333333333</v>
      </c>
      <c r="K50" s="79">
        <v>9035.52</v>
      </c>
      <c r="L50" s="79">
        <f t="shared" si="11"/>
        <v>9035.52</v>
      </c>
      <c r="M50" s="79">
        <f t="shared" si="12"/>
        <v>75.296000000000006</v>
      </c>
      <c r="N50" s="79">
        <f t="shared" si="13"/>
        <v>903.55200000000013</v>
      </c>
      <c r="O50" s="79">
        <f t="shared" si="14"/>
        <v>0</v>
      </c>
      <c r="P50" s="79">
        <f t="shared" si="15"/>
        <v>9035.52</v>
      </c>
      <c r="Q50" s="79">
        <f t="shared" si="16"/>
        <v>9035.52</v>
      </c>
      <c r="R50" s="79">
        <f t="shared" si="17"/>
        <v>0</v>
      </c>
    </row>
    <row r="51" spans="2:18">
      <c r="B51" s="50">
        <v>30</v>
      </c>
      <c r="C51" t="s">
        <v>279</v>
      </c>
      <c r="D51">
        <v>2000</v>
      </c>
      <c r="E51">
        <v>5</v>
      </c>
      <c r="F51">
        <v>0</v>
      </c>
      <c r="G51" t="s">
        <v>78</v>
      </c>
      <c r="H51" s="22" t="s">
        <v>9</v>
      </c>
      <c r="I51">
        <f t="shared" si="9"/>
        <v>2010</v>
      </c>
      <c r="J51" s="20">
        <f t="shared" si="10"/>
        <v>2010.4166666666667</v>
      </c>
      <c r="K51" s="79">
        <v>8688</v>
      </c>
      <c r="L51" s="79">
        <f t="shared" si="11"/>
        <v>8688</v>
      </c>
      <c r="M51" s="79">
        <f t="shared" si="12"/>
        <v>72.399999999999991</v>
      </c>
      <c r="N51" s="79">
        <f t="shared" si="13"/>
        <v>868.8</v>
      </c>
      <c r="O51" s="79">
        <f t="shared" si="14"/>
        <v>0</v>
      </c>
      <c r="P51" s="79">
        <f t="shared" si="15"/>
        <v>8688</v>
      </c>
      <c r="Q51" s="79">
        <f t="shared" si="16"/>
        <v>8688</v>
      </c>
      <c r="R51" s="79">
        <f t="shared" si="17"/>
        <v>0</v>
      </c>
    </row>
    <row r="52" spans="2:18">
      <c r="B52" s="50">
        <v>23</v>
      </c>
      <c r="C52" t="s">
        <v>98</v>
      </c>
      <c r="D52">
        <v>2000</v>
      </c>
      <c r="E52">
        <v>4</v>
      </c>
      <c r="F52">
        <v>0</v>
      </c>
      <c r="G52" t="s">
        <v>78</v>
      </c>
      <c r="H52" s="22" t="s">
        <v>9</v>
      </c>
      <c r="I52">
        <f t="shared" si="9"/>
        <v>2010</v>
      </c>
      <c r="J52" s="20">
        <f t="shared" si="10"/>
        <v>2010.3333333333333</v>
      </c>
      <c r="K52" s="79">
        <v>6429.12</v>
      </c>
      <c r="L52" s="79">
        <f t="shared" si="11"/>
        <v>6429.12</v>
      </c>
      <c r="M52" s="79">
        <f t="shared" si="12"/>
        <v>53.576000000000001</v>
      </c>
      <c r="N52" s="79">
        <f t="shared" si="13"/>
        <v>642.91200000000003</v>
      </c>
      <c r="O52" s="79">
        <f t="shared" si="14"/>
        <v>0</v>
      </c>
      <c r="P52" s="79">
        <f t="shared" si="15"/>
        <v>6429.12</v>
      </c>
      <c r="Q52" s="79">
        <f t="shared" si="16"/>
        <v>6429.12</v>
      </c>
      <c r="R52" s="79">
        <f t="shared" si="17"/>
        <v>0</v>
      </c>
    </row>
    <row r="53" spans="2:18">
      <c r="B53" s="50">
        <v>23</v>
      </c>
      <c r="C53" t="s">
        <v>134</v>
      </c>
      <c r="D53">
        <v>2000</v>
      </c>
      <c r="E53">
        <v>5</v>
      </c>
      <c r="F53">
        <v>0</v>
      </c>
      <c r="G53" t="s">
        <v>78</v>
      </c>
      <c r="H53" s="22" t="s">
        <v>9</v>
      </c>
      <c r="I53">
        <f t="shared" si="9"/>
        <v>2010</v>
      </c>
      <c r="J53" s="20">
        <f t="shared" si="10"/>
        <v>2010.4166666666667</v>
      </c>
      <c r="K53" s="79">
        <v>7384.8</v>
      </c>
      <c r="L53" s="79">
        <f t="shared" si="11"/>
        <v>7384.8</v>
      </c>
      <c r="M53" s="79">
        <f t="shared" si="12"/>
        <v>61.54</v>
      </c>
      <c r="N53" s="79">
        <f t="shared" si="13"/>
        <v>738.48</v>
      </c>
      <c r="O53" s="79">
        <f t="shared" si="14"/>
        <v>0</v>
      </c>
      <c r="P53" s="79">
        <f t="shared" si="15"/>
        <v>7384.8</v>
      </c>
      <c r="Q53" s="79">
        <f t="shared" si="16"/>
        <v>7384.8</v>
      </c>
      <c r="R53" s="79">
        <f t="shared" si="17"/>
        <v>0</v>
      </c>
    </row>
    <row r="54" spans="2:18">
      <c r="B54" s="50">
        <v>21</v>
      </c>
      <c r="C54" t="s">
        <v>133</v>
      </c>
      <c r="D54">
        <v>2000</v>
      </c>
      <c r="E54">
        <v>9</v>
      </c>
      <c r="F54">
        <v>0</v>
      </c>
      <c r="G54" t="s">
        <v>78</v>
      </c>
      <c r="H54" s="22" t="s">
        <v>9</v>
      </c>
      <c r="I54">
        <f t="shared" si="9"/>
        <v>2010</v>
      </c>
      <c r="J54" s="20">
        <f t="shared" si="10"/>
        <v>2010.75</v>
      </c>
      <c r="K54" s="79">
        <v>6550.18</v>
      </c>
      <c r="L54" s="79">
        <f t="shared" si="11"/>
        <v>6550.18</v>
      </c>
      <c r="M54" s="79">
        <f t="shared" si="12"/>
        <v>54.584833333333336</v>
      </c>
      <c r="N54" s="79">
        <f t="shared" si="13"/>
        <v>655.01800000000003</v>
      </c>
      <c r="O54" s="79">
        <f t="shared" si="14"/>
        <v>0</v>
      </c>
      <c r="P54" s="79">
        <f t="shared" si="15"/>
        <v>6550.18</v>
      </c>
      <c r="Q54" s="79">
        <f t="shared" si="16"/>
        <v>6550.18</v>
      </c>
      <c r="R54" s="79">
        <f t="shared" si="17"/>
        <v>0</v>
      </c>
    </row>
    <row r="55" spans="2:18">
      <c r="B55" s="50">
        <v>24</v>
      </c>
      <c r="C55" t="s">
        <v>263</v>
      </c>
      <c r="D55">
        <v>2000</v>
      </c>
      <c r="E55">
        <v>2</v>
      </c>
      <c r="F55">
        <v>0</v>
      </c>
      <c r="G55" t="s">
        <v>78</v>
      </c>
      <c r="H55" s="22" t="s">
        <v>9</v>
      </c>
      <c r="I55">
        <f t="shared" si="9"/>
        <v>2010</v>
      </c>
      <c r="J55" s="20">
        <f t="shared" si="10"/>
        <v>2010.1666666666667</v>
      </c>
      <c r="K55" s="79">
        <v>8145</v>
      </c>
      <c r="L55" s="79">
        <f t="shared" si="11"/>
        <v>8145</v>
      </c>
      <c r="M55" s="79">
        <f t="shared" si="12"/>
        <v>67.875</v>
      </c>
      <c r="N55" s="79">
        <f t="shared" si="13"/>
        <v>814.5</v>
      </c>
      <c r="O55" s="79">
        <f t="shared" si="14"/>
        <v>0</v>
      </c>
      <c r="P55" s="79">
        <f t="shared" si="15"/>
        <v>8145</v>
      </c>
      <c r="Q55" s="79">
        <f t="shared" si="16"/>
        <v>8145</v>
      </c>
      <c r="R55" s="79">
        <f t="shared" si="17"/>
        <v>0</v>
      </c>
    </row>
    <row r="56" spans="2:18">
      <c r="B56" s="50">
        <v>25</v>
      </c>
      <c r="C56" t="s">
        <v>263</v>
      </c>
      <c r="D56">
        <v>2000</v>
      </c>
      <c r="E56">
        <v>6</v>
      </c>
      <c r="F56">
        <v>0</v>
      </c>
      <c r="G56" t="s">
        <v>78</v>
      </c>
      <c r="H56" s="22" t="s">
        <v>9</v>
      </c>
      <c r="I56">
        <f t="shared" si="9"/>
        <v>2010</v>
      </c>
      <c r="J56" s="20">
        <f t="shared" si="10"/>
        <v>2010.5</v>
      </c>
      <c r="K56" s="79">
        <v>8427.36</v>
      </c>
      <c r="L56" s="79">
        <f t="shared" si="11"/>
        <v>8427.36</v>
      </c>
      <c r="M56" s="79">
        <f t="shared" si="12"/>
        <v>70.228000000000009</v>
      </c>
      <c r="N56" s="79">
        <f t="shared" si="13"/>
        <v>842.7360000000001</v>
      </c>
      <c r="O56" s="79">
        <f t="shared" si="14"/>
        <v>0</v>
      </c>
      <c r="P56" s="79">
        <f t="shared" si="15"/>
        <v>8427.36</v>
      </c>
      <c r="Q56" s="79">
        <f t="shared" si="16"/>
        <v>8427.36</v>
      </c>
      <c r="R56" s="79">
        <f t="shared" si="17"/>
        <v>0</v>
      </c>
    </row>
    <row r="57" spans="2:18">
      <c r="B57" s="50">
        <v>24</v>
      </c>
      <c r="C57" t="s">
        <v>230</v>
      </c>
      <c r="D57">
        <v>2000</v>
      </c>
      <c r="E57">
        <v>5</v>
      </c>
      <c r="F57">
        <v>0</v>
      </c>
      <c r="G57" t="s">
        <v>78</v>
      </c>
      <c r="H57" s="22" t="s">
        <v>9</v>
      </c>
      <c r="I57">
        <f t="shared" si="9"/>
        <v>2010</v>
      </c>
      <c r="J57" s="20">
        <f t="shared" si="10"/>
        <v>2010.4166666666667</v>
      </c>
      <c r="K57" s="79">
        <v>8145</v>
      </c>
      <c r="L57" s="79">
        <f t="shared" si="11"/>
        <v>8145</v>
      </c>
      <c r="M57" s="79">
        <f t="shared" si="12"/>
        <v>67.875</v>
      </c>
      <c r="N57" s="79">
        <f t="shared" si="13"/>
        <v>814.5</v>
      </c>
      <c r="O57" s="79">
        <f t="shared" si="14"/>
        <v>0</v>
      </c>
      <c r="P57" s="79">
        <f t="shared" si="15"/>
        <v>8145</v>
      </c>
      <c r="Q57" s="79">
        <f t="shared" si="16"/>
        <v>8145</v>
      </c>
      <c r="R57" s="79">
        <f t="shared" si="17"/>
        <v>0</v>
      </c>
    </row>
    <row r="58" spans="2:18">
      <c r="B58" s="50">
        <v>11</v>
      </c>
      <c r="C58" t="s">
        <v>230</v>
      </c>
      <c r="D58">
        <v>2000</v>
      </c>
      <c r="E58">
        <v>9</v>
      </c>
      <c r="F58">
        <v>0</v>
      </c>
      <c r="G58" t="s">
        <v>78</v>
      </c>
      <c r="H58" s="22" t="s">
        <v>9</v>
      </c>
      <c r="I58">
        <f t="shared" si="9"/>
        <v>2010</v>
      </c>
      <c r="J58" s="20">
        <f t="shared" si="10"/>
        <v>2010.75</v>
      </c>
      <c r="K58" s="79">
        <v>3822.72</v>
      </c>
      <c r="L58" s="79">
        <f t="shared" si="11"/>
        <v>3822.72</v>
      </c>
      <c r="M58" s="79">
        <f t="shared" si="12"/>
        <v>31.855999999999998</v>
      </c>
      <c r="N58" s="79">
        <f t="shared" si="13"/>
        <v>382.27199999999999</v>
      </c>
      <c r="O58" s="79">
        <f t="shared" si="14"/>
        <v>0</v>
      </c>
      <c r="P58" s="79">
        <f t="shared" si="15"/>
        <v>3822.72</v>
      </c>
      <c r="Q58" s="79">
        <f t="shared" si="16"/>
        <v>3822.72</v>
      </c>
      <c r="R58" s="79">
        <f t="shared" si="17"/>
        <v>0</v>
      </c>
    </row>
    <row r="59" spans="2:18">
      <c r="B59" s="50">
        <v>13</v>
      </c>
      <c r="C59" t="s">
        <v>260</v>
      </c>
      <c r="D59">
        <v>2000</v>
      </c>
      <c r="E59">
        <v>5</v>
      </c>
      <c r="F59">
        <v>0</v>
      </c>
      <c r="G59" t="s">
        <v>78</v>
      </c>
      <c r="H59" s="22" t="s">
        <v>9</v>
      </c>
      <c r="I59">
        <f t="shared" si="9"/>
        <v>2010</v>
      </c>
      <c r="J59" s="20">
        <f t="shared" si="10"/>
        <v>2010.4166666666667</v>
      </c>
      <c r="K59" s="79">
        <v>4865.28</v>
      </c>
      <c r="L59" s="79">
        <f t="shared" si="11"/>
        <v>4865.28</v>
      </c>
      <c r="M59" s="79">
        <f t="shared" si="12"/>
        <v>40.543999999999997</v>
      </c>
      <c r="N59" s="79">
        <f t="shared" si="13"/>
        <v>486.52799999999996</v>
      </c>
      <c r="O59" s="79">
        <f t="shared" si="14"/>
        <v>0</v>
      </c>
      <c r="P59" s="79">
        <f t="shared" si="15"/>
        <v>4865.28</v>
      </c>
      <c r="Q59" s="79">
        <f t="shared" si="16"/>
        <v>4865.28</v>
      </c>
      <c r="R59" s="79">
        <f t="shared" si="17"/>
        <v>0</v>
      </c>
    </row>
    <row r="60" spans="2:18">
      <c r="B60" s="50">
        <v>13</v>
      </c>
      <c r="C60" t="s">
        <v>260</v>
      </c>
      <c r="D60">
        <v>2000</v>
      </c>
      <c r="E60">
        <v>12</v>
      </c>
      <c r="F60">
        <v>0</v>
      </c>
      <c r="G60" t="s">
        <v>78</v>
      </c>
      <c r="H60" s="22" t="s">
        <v>9</v>
      </c>
      <c r="I60">
        <f t="shared" si="9"/>
        <v>2010</v>
      </c>
      <c r="J60" s="20">
        <f t="shared" si="10"/>
        <v>2011</v>
      </c>
      <c r="K60" s="79">
        <v>4756.68</v>
      </c>
      <c r="L60" s="79">
        <f t="shared" si="11"/>
        <v>4756.68</v>
      </c>
      <c r="M60" s="79">
        <f t="shared" si="12"/>
        <v>39.639000000000003</v>
      </c>
      <c r="N60" s="79">
        <f t="shared" si="13"/>
        <v>475.66800000000001</v>
      </c>
      <c r="O60" s="79">
        <f t="shared" si="14"/>
        <v>0</v>
      </c>
      <c r="P60" s="79">
        <f t="shared" si="15"/>
        <v>4756.68</v>
      </c>
      <c r="Q60" s="79">
        <f t="shared" si="16"/>
        <v>4756.68</v>
      </c>
      <c r="R60" s="79">
        <f t="shared" si="17"/>
        <v>0</v>
      </c>
    </row>
    <row r="61" spans="2:18">
      <c r="B61" s="50">
        <v>13</v>
      </c>
      <c r="C61" t="s">
        <v>140</v>
      </c>
      <c r="D61">
        <v>2000</v>
      </c>
      <c r="E61">
        <v>5</v>
      </c>
      <c r="F61">
        <v>0</v>
      </c>
      <c r="G61" t="s">
        <v>78</v>
      </c>
      <c r="H61" s="22" t="s">
        <v>9</v>
      </c>
      <c r="I61">
        <f t="shared" si="9"/>
        <v>2010</v>
      </c>
      <c r="J61" s="20">
        <f t="shared" si="10"/>
        <v>2010.4166666666667</v>
      </c>
      <c r="K61" s="79">
        <v>5408.28</v>
      </c>
      <c r="L61" s="79">
        <f t="shared" si="11"/>
        <v>5408.28</v>
      </c>
      <c r="M61" s="79">
        <f t="shared" si="12"/>
        <v>45.068999999999996</v>
      </c>
      <c r="N61" s="79">
        <f t="shared" si="13"/>
        <v>540.82799999999997</v>
      </c>
      <c r="O61" s="79">
        <f t="shared" si="14"/>
        <v>0</v>
      </c>
      <c r="P61" s="79">
        <f t="shared" si="15"/>
        <v>5408.28</v>
      </c>
      <c r="Q61" s="79">
        <f t="shared" si="16"/>
        <v>5408.28</v>
      </c>
      <c r="R61" s="79">
        <f t="shared" si="17"/>
        <v>0</v>
      </c>
    </row>
    <row r="62" spans="2:18">
      <c r="B62" s="50">
        <v>13</v>
      </c>
      <c r="C62" s="112" t="s">
        <v>140</v>
      </c>
      <c r="D62" s="112">
        <v>2000</v>
      </c>
      <c r="E62" s="112">
        <v>11</v>
      </c>
      <c r="F62" s="112">
        <v>0</v>
      </c>
      <c r="G62" s="112" t="s">
        <v>78</v>
      </c>
      <c r="H62" s="22" t="s">
        <v>9</v>
      </c>
      <c r="I62" s="112">
        <f t="shared" si="9"/>
        <v>2010</v>
      </c>
      <c r="J62" s="20">
        <f t="shared" si="10"/>
        <v>2010.9166666666667</v>
      </c>
      <c r="K62" s="79">
        <v>5125.92</v>
      </c>
      <c r="L62" s="79">
        <f t="shared" si="11"/>
        <v>5125.92</v>
      </c>
      <c r="M62" s="79">
        <f t="shared" si="12"/>
        <v>42.716000000000001</v>
      </c>
      <c r="N62" s="79">
        <f t="shared" si="13"/>
        <v>512.59199999999998</v>
      </c>
      <c r="O62" s="79">
        <f t="shared" si="14"/>
        <v>0</v>
      </c>
      <c r="P62" s="79">
        <f t="shared" si="15"/>
        <v>5125.92</v>
      </c>
      <c r="Q62" s="79">
        <f t="shared" si="16"/>
        <v>5125.92</v>
      </c>
      <c r="R62" s="79">
        <f t="shared" si="17"/>
        <v>0</v>
      </c>
    </row>
    <row r="63" spans="2:18">
      <c r="B63" s="50">
        <v>10</v>
      </c>
      <c r="C63" t="s">
        <v>140</v>
      </c>
      <c r="D63">
        <v>2000</v>
      </c>
      <c r="E63">
        <v>12</v>
      </c>
      <c r="F63">
        <v>0</v>
      </c>
      <c r="G63" t="s">
        <v>78</v>
      </c>
      <c r="H63" s="22" t="s">
        <v>9</v>
      </c>
      <c r="I63">
        <f t="shared" si="9"/>
        <v>2010</v>
      </c>
      <c r="J63" s="20">
        <f t="shared" si="10"/>
        <v>2011</v>
      </c>
      <c r="K63" s="79">
        <v>4083.36</v>
      </c>
      <c r="L63" s="79">
        <f t="shared" si="11"/>
        <v>4083.36</v>
      </c>
      <c r="M63" s="79">
        <f t="shared" si="12"/>
        <v>34.027999999999999</v>
      </c>
      <c r="N63" s="79">
        <f t="shared" si="13"/>
        <v>408.33600000000001</v>
      </c>
      <c r="O63" s="79">
        <f t="shared" si="14"/>
        <v>0</v>
      </c>
      <c r="P63" s="79">
        <f t="shared" si="15"/>
        <v>4083.36</v>
      </c>
      <c r="Q63" s="79">
        <f t="shared" si="16"/>
        <v>4083.36</v>
      </c>
      <c r="R63" s="79">
        <f t="shared" si="17"/>
        <v>0</v>
      </c>
    </row>
    <row r="64" spans="2:18">
      <c r="B64" s="50">
        <v>33</v>
      </c>
      <c r="C64" t="s">
        <v>244</v>
      </c>
      <c r="D64">
        <v>2000</v>
      </c>
      <c r="E64">
        <v>3</v>
      </c>
      <c r="F64">
        <v>0</v>
      </c>
      <c r="G64" t="s">
        <v>78</v>
      </c>
      <c r="H64" s="22" t="s">
        <v>9</v>
      </c>
      <c r="I64">
        <f t="shared" si="9"/>
        <v>2010</v>
      </c>
      <c r="J64" s="20">
        <f t="shared" si="10"/>
        <v>2010.25</v>
      </c>
      <c r="K64" s="79">
        <v>14769.6</v>
      </c>
      <c r="L64" s="79">
        <f t="shared" si="11"/>
        <v>14769.6</v>
      </c>
      <c r="M64" s="79">
        <f t="shared" si="12"/>
        <v>123.08</v>
      </c>
      <c r="N64" s="79">
        <f t="shared" si="13"/>
        <v>1476.96</v>
      </c>
      <c r="O64" s="79">
        <f t="shared" si="14"/>
        <v>0</v>
      </c>
      <c r="P64" s="79">
        <f t="shared" si="15"/>
        <v>14769.6</v>
      </c>
      <c r="Q64" s="79">
        <f t="shared" si="16"/>
        <v>14769.6</v>
      </c>
      <c r="R64" s="79">
        <f t="shared" si="17"/>
        <v>0</v>
      </c>
    </row>
    <row r="65" spans="2:18">
      <c r="B65" s="50">
        <v>15</v>
      </c>
      <c r="C65" t="s">
        <v>279</v>
      </c>
      <c r="D65">
        <v>2001</v>
      </c>
      <c r="E65">
        <v>3</v>
      </c>
      <c r="F65">
        <v>0</v>
      </c>
      <c r="G65" t="s">
        <v>78</v>
      </c>
      <c r="H65" s="22" t="s">
        <v>9</v>
      </c>
      <c r="I65">
        <f t="shared" si="9"/>
        <v>2011</v>
      </c>
      <c r="J65" s="20">
        <f t="shared" si="10"/>
        <v>2011.25</v>
      </c>
      <c r="K65" s="79">
        <v>4320.1099999999997</v>
      </c>
      <c r="L65" s="79">
        <f t="shared" si="11"/>
        <v>4320.1099999999997</v>
      </c>
      <c r="M65" s="79">
        <f t="shared" si="12"/>
        <v>36.000916666666662</v>
      </c>
      <c r="N65" s="79">
        <f t="shared" si="13"/>
        <v>432.01099999999997</v>
      </c>
      <c r="O65" s="79">
        <f t="shared" si="14"/>
        <v>0</v>
      </c>
      <c r="P65" s="79">
        <f t="shared" si="15"/>
        <v>4320.1099999999997</v>
      </c>
      <c r="Q65" s="79">
        <f t="shared" si="16"/>
        <v>4320.1099999999997</v>
      </c>
      <c r="R65" s="79">
        <f t="shared" si="17"/>
        <v>0</v>
      </c>
    </row>
    <row r="66" spans="2:18">
      <c r="B66" s="50">
        <v>12</v>
      </c>
      <c r="C66" t="s">
        <v>279</v>
      </c>
      <c r="D66">
        <v>2001</v>
      </c>
      <c r="E66">
        <v>3</v>
      </c>
      <c r="F66">
        <v>0</v>
      </c>
      <c r="G66" t="s">
        <v>78</v>
      </c>
      <c r="H66" s="22" t="s">
        <v>9</v>
      </c>
      <c r="I66">
        <f t="shared" si="9"/>
        <v>2011</v>
      </c>
      <c r="J66" s="20">
        <f t="shared" si="10"/>
        <v>2011.25</v>
      </c>
      <c r="K66" s="79">
        <v>3492.58</v>
      </c>
      <c r="L66" s="79">
        <f t="shared" si="11"/>
        <v>3492.58</v>
      </c>
      <c r="M66" s="79">
        <f t="shared" si="12"/>
        <v>29.104833333333332</v>
      </c>
      <c r="N66" s="79">
        <f t="shared" si="13"/>
        <v>349.25799999999998</v>
      </c>
      <c r="O66" s="79">
        <f t="shared" si="14"/>
        <v>0</v>
      </c>
      <c r="P66" s="79">
        <f t="shared" si="15"/>
        <v>3492.58</v>
      </c>
      <c r="Q66" s="79">
        <f t="shared" si="16"/>
        <v>3492.58</v>
      </c>
      <c r="R66" s="79">
        <f t="shared" si="17"/>
        <v>0</v>
      </c>
    </row>
    <row r="67" spans="2:18">
      <c r="B67" s="50">
        <v>12</v>
      </c>
      <c r="C67" t="s">
        <v>279</v>
      </c>
      <c r="D67">
        <v>2001</v>
      </c>
      <c r="E67">
        <v>6</v>
      </c>
      <c r="F67">
        <v>0</v>
      </c>
      <c r="G67" t="s">
        <v>78</v>
      </c>
      <c r="H67" s="22" t="s">
        <v>9</v>
      </c>
      <c r="I67">
        <f t="shared" si="9"/>
        <v>2011</v>
      </c>
      <c r="J67" s="20">
        <f t="shared" si="10"/>
        <v>2011.5</v>
      </c>
      <c r="K67" s="79">
        <v>3492.48</v>
      </c>
      <c r="L67" s="79">
        <f t="shared" si="11"/>
        <v>3492.48</v>
      </c>
      <c r="M67" s="79">
        <f t="shared" si="12"/>
        <v>29.103999999999999</v>
      </c>
      <c r="N67" s="79">
        <f t="shared" si="13"/>
        <v>349.24799999999999</v>
      </c>
      <c r="O67" s="79">
        <f t="shared" si="14"/>
        <v>0</v>
      </c>
      <c r="P67" s="79">
        <f t="shared" si="15"/>
        <v>3492.48</v>
      </c>
      <c r="Q67" s="79">
        <f t="shared" si="16"/>
        <v>3492.48</v>
      </c>
      <c r="R67" s="79">
        <f t="shared" si="17"/>
        <v>0</v>
      </c>
    </row>
    <row r="68" spans="2:18">
      <c r="B68" s="50">
        <v>23</v>
      </c>
      <c r="C68" t="s">
        <v>263</v>
      </c>
      <c r="D68">
        <v>2001</v>
      </c>
      <c r="E68">
        <v>7</v>
      </c>
      <c r="F68">
        <v>0</v>
      </c>
      <c r="G68" t="s">
        <v>78</v>
      </c>
      <c r="H68" s="22" t="s">
        <v>9</v>
      </c>
      <c r="I68">
        <f t="shared" si="9"/>
        <v>2011</v>
      </c>
      <c r="J68" s="20">
        <f t="shared" si="10"/>
        <v>2011.5833333333333</v>
      </c>
      <c r="K68" s="79">
        <v>7659.52</v>
      </c>
      <c r="L68" s="79">
        <f t="shared" si="11"/>
        <v>7659.52</v>
      </c>
      <c r="M68" s="79">
        <f t="shared" si="12"/>
        <v>63.829333333333331</v>
      </c>
      <c r="N68" s="79">
        <f t="shared" si="13"/>
        <v>765.952</v>
      </c>
      <c r="O68" s="79">
        <f t="shared" si="14"/>
        <v>0</v>
      </c>
      <c r="P68" s="79">
        <f t="shared" si="15"/>
        <v>7659.52</v>
      </c>
      <c r="Q68" s="79">
        <f t="shared" si="16"/>
        <v>7659.52</v>
      </c>
      <c r="R68" s="79">
        <f t="shared" si="17"/>
        <v>0</v>
      </c>
    </row>
    <row r="69" spans="2:18">
      <c r="B69" s="50">
        <v>7</v>
      </c>
      <c r="C69" t="s">
        <v>279</v>
      </c>
      <c r="D69">
        <v>2002</v>
      </c>
      <c r="E69">
        <v>8</v>
      </c>
      <c r="F69">
        <v>0</v>
      </c>
      <c r="G69" t="s">
        <v>78</v>
      </c>
      <c r="H69" s="22" t="s">
        <v>9</v>
      </c>
      <c r="I69">
        <f t="shared" si="9"/>
        <v>2012</v>
      </c>
      <c r="J69" s="20">
        <f t="shared" si="10"/>
        <v>2012.6666666666667</v>
      </c>
      <c r="K69" s="79">
        <v>1931.2</v>
      </c>
      <c r="L69" s="79">
        <f t="shared" si="11"/>
        <v>1931.2</v>
      </c>
      <c r="M69" s="79">
        <f t="shared" si="12"/>
        <v>16.093333333333334</v>
      </c>
      <c r="N69" s="79">
        <f t="shared" si="13"/>
        <v>193.12</v>
      </c>
      <c r="O69" s="79">
        <f t="shared" si="14"/>
        <v>0</v>
      </c>
      <c r="P69" s="79">
        <f t="shared" si="15"/>
        <v>1931.2</v>
      </c>
      <c r="Q69" s="79">
        <f t="shared" si="16"/>
        <v>1931.2</v>
      </c>
      <c r="R69" s="79">
        <f t="shared" si="17"/>
        <v>0</v>
      </c>
    </row>
    <row r="70" spans="2:18">
      <c r="B70" s="50">
        <v>12</v>
      </c>
      <c r="C70" t="s">
        <v>260</v>
      </c>
      <c r="D70">
        <v>2002</v>
      </c>
      <c r="E70">
        <v>6</v>
      </c>
      <c r="F70">
        <v>0</v>
      </c>
      <c r="G70" t="s">
        <v>78</v>
      </c>
      <c r="H70" s="22" t="s">
        <v>9</v>
      </c>
      <c r="I70">
        <f t="shared" si="9"/>
        <v>2012</v>
      </c>
      <c r="J70" s="20">
        <f t="shared" si="10"/>
        <v>2012.5</v>
      </c>
      <c r="K70" s="79">
        <v>4613.12</v>
      </c>
      <c r="L70" s="79">
        <f t="shared" si="11"/>
        <v>4613.12</v>
      </c>
      <c r="M70" s="79">
        <f t="shared" si="12"/>
        <v>38.442666666666668</v>
      </c>
      <c r="N70" s="79">
        <f t="shared" si="13"/>
        <v>461.31200000000001</v>
      </c>
      <c r="O70" s="79">
        <f t="shared" si="14"/>
        <v>0</v>
      </c>
      <c r="P70" s="79">
        <f t="shared" si="15"/>
        <v>4613.12</v>
      </c>
      <c r="Q70" s="79">
        <f t="shared" si="16"/>
        <v>4613.12</v>
      </c>
      <c r="R70" s="79">
        <f t="shared" si="17"/>
        <v>0</v>
      </c>
    </row>
    <row r="71" spans="2:18">
      <c r="B71" s="50">
        <v>35</v>
      </c>
      <c r="C71" t="s">
        <v>244</v>
      </c>
      <c r="D71">
        <v>2002</v>
      </c>
      <c r="E71">
        <v>11</v>
      </c>
      <c r="F71">
        <v>0</v>
      </c>
      <c r="G71" t="s">
        <v>78</v>
      </c>
      <c r="H71" s="22" t="s">
        <v>9</v>
      </c>
      <c r="I71">
        <f t="shared" si="9"/>
        <v>2012</v>
      </c>
      <c r="J71" s="20">
        <f t="shared" si="10"/>
        <v>2012.9166666666667</v>
      </c>
      <c r="K71" s="79">
        <v>15748.8</v>
      </c>
      <c r="L71" s="79">
        <f t="shared" si="11"/>
        <v>15748.8</v>
      </c>
      <c r="M71" s="79">
        <f t="shared" si="12"/>
        <v>131.23999999999998</v>
      </c>
      <c r="N71" s="79">
        <f t="shared" si="13"/>
        <v>1574.8799999999997</v>
      </c>
      <c r="O71" s="79">
        <f t="shared" si="14"/>
        <v>0</v>
      </c>
      <c r="P71" s="79">
        <f t="shared" si="15"/>
        <v>15748.8</v>
      </c>
      <c r="Q71" s="79">
        <f t="shared" si="16"/>
        <v>15748.8</v>
      </c>
      <c r="R71" s="79">
        <f t="shared" si="17"/>
        <v>0</v>
      </c>
    </row>
    <row r="72" spans="2:18" ht="14.25" customHeight="1">
      <c r="B72" s="50">
        <v>12</v>
      </c>
      <c r="C72" t="s">
        <v>279</v>
      </c>
      <c r="D72">
        <v>2003</v>
      </c>
      <c r="E72">
        <v>11</v>
      </c>
      <c r="F72">
        <v>0</v>
      </c>
      <c r="G72" t="s">
        <v>78</v>
      </c>
      <c r="H72" s="22" t="s">
        <v>9</v>
      </c>
      <c r="I72">
        <f t="shared" si="9"/>
        <v>2013</v>
      </c>
      <c r="J72" s="20">
        <f t="shared" si="10"/>
        <v>2013.9166666666667</v>
      </c>
      <c r="K72" s="79">
        <v>3481.6</v>
      </c>
      <c r="L72" s="79">
        <f t="shared" si="11"/>
        <v>3481.6</v>
      </c>
      <c r="M72" s="79">
        <f t="shared" si="12"/>
        <v>29.013333333333332</v>
      </c>
      <c r="N72" s="79">
        <f t="shared" si="13"/>
        <v>348.15999999999997</v>
      </c>
      <c r="O72" s="79">
        <f t="shared" si="14"/>
        <v>0</v>
      </c>
      <c r="P72" s="79">
        <f t="shared" si="15"/>
        <v>3481.6</v>
      </c>
      <c r="Q72" s="79">
        <f t="shared" si="16"/>
        <v>3481.6</v>
      </c>
      <c r="R72" s="79">
        <f t="shared" si="17"/>
        <v>0</v>
      </c>
    </row>
    <row r="73" spans="2:18">
      <c r="B73" s="50">
        <v>19</v>
      </c>
      <c r="C73" t="s">
        <v>190</v>
      </c>
      <c r="D73">
        <v>2003</v>
      </c>
      <c r="E73">
        <v>8</v>
      </c>
      <c r="F73">
        <v>0</v>
      </c>
      <c r="G73" t="s">
        <v>78</v>
      </c>
      <c r="H73" s="22" t="s">
        <v>9</v>
      </c>
      <c r="I73">
        <f t="shared" si="9"/>
        <v>2013</v>
      </c>
      <c r="J73" s="20">
        <f t="shared" si="10"/>
        <v>2013.6666666666667</v>
      </c>
      <c r="K73" s="79">
        <v>5304</v>
      </c>
      <c r="L73" s="79">
        <f t="shared" si="11"/>
        <v>5304</v>
      </c>
      <c r="M73" s="79">
        <f t="shared" si="12"/>
        <v>44.199999999999996</v>
      </c>
      <c r="N73" s="79">
        <f t="shared" si="13"/>
        <v>530.4</v>
      </c>
      <c r="O73" s="79">
        <f t="shared" si="14"/>
        <v>0</v>
      </c>
      <c r="P73" s="79">
        <f t="shared" si="15"/>
        <v>5304</v>
      </c>
      <c r="Q73" s="79">
        <f t="shared" si="16"/>
        <v>5304</v>
      </c>
      <c r="R73" s="79">
        <f t="shared" si="17"/>
        <v>0</v>
      </c>
    </row>
    <row r="74" spans="2:18">
      <c r="B74" s="50">
        <v>12</v>
      </c>
      <c r="C74" t="s">
        <v>263</v>
      </c>
      <c r="D74">
        <v>2003</v>
      </c>
      <c r="E74">
        <v>6</v>
      </c>
      <c r="F74">
        <v>0</v>
      </c>
      <c r="G74" t="s">
        <v>78</v>
      </c>
      <c r="H74" s="22" t="s">
        <v>9</v>
      </c>
      <c r="I74">
        <f t="shared" si="9"/>
        <v>2013</v>
      </c>
      <c r="J74" s="20">
        <f t="shared" si="10"/>
        <v>2013.5</v>
      </c>
      <c r="K74" s="79">
        <v>4243.2</v>
      </c>
      <c r="L74" s="79">
        <f t="shared" si="11"/>
        <v>4243.2</v>
      </c>
      <c r="M74" s="79">
        <f t="shared" si="12"/>
        <v>35.36</v>
      </c>
      <c r="N74" s="79">
        <f t="shared" si="13"/>
        <v>424.32</v>
      </c>
      <c r="O74" s="79">
        <f t="shared" si="14"/>
        <v>0</v>
      </c>
      <c r="P74" s="79">
        <f t="shared" si="15"/>
        <v>4243.2</v>
      </c>
      <c r="Q74" s="79">
        <f t="shared" si="16"/>
        <v>4243.2</v>
      </c>
      <c r="R74" s="79">
        <f t="shared" si="17"/>
        <v>0</v>
      </c>
    </row>
    <row r="75" spans="2:18">
      <c r="B75" s="50">
        <v>12</v>
      </c>
      <c r="C75" t="s">
        <v>263</v>
      </c>
      <c r="D75">
        <v>2003</v>
      </c>
      <c r="E75">
        <v>10</v>
      </c>
      <c r="F75">
        <v>0</v>
      </c>
      <c r="G75" t="s">
        <v>78</v>
      </c>
      <c r="H75" s="22" t="s">
        <v>9</v>
      </c>
      <c r="I75">
        <f t="shared" si="9"/>
        <v>2013</v>
      </c>
      <c r="J75" s="20">
        <f t="shared" si="10"/>
        <v>2013.8333333333333</v>
      </c>
      <c r="K75" s="79">
        <v>4243.2</v>
      </c>
      <c r="L75" s="79">
        <f t="shared" si="11"/>
        <v>4243.2</v>
      </c>
      <c r="M75" s="79">
        <f t="shared" si="12"/>
        <v>35.36</v>
      </c>
      <c r="N75" s="79">
        <f t="shared" si="13"/>
        <v>424.32</v>
      </c>
      <c r="O75" s="79">
        <f t="shared" si="14"/>
        <v>0</v>
      </c>
      <c r="P75" s="79">
        <f t="shared" si="15"/>
        <v>4243.2</v>
      </c>
      <c r="Q75" s="79">
        <f t="shared" si="16"/>
        <v>4243.2</v>
      </c>
      <c r="R75" s="79">
        <f t="shared" si="17"/>
        <v>0</v>
      </c>
    </row>
    <row r="76" spans="2:18">
      <c r="B76" s="50">
        <v>7</v>
      </c>
      <c r="C76" t="s">
        <v>260</v>
      </c>
      <c r="D76">
        <v>2003</v>
      </c>
      <c r="E76">
        <v>12</v>
      </c>
      <c r="F76">
        <v>0</v>
      </c>
      <c r="G76" t="s">
        <v>78</v>
      </c>
      <c r="H76" s="22" t="s">
        <v>9</v>
      </c>
      <c r="I76">
        <f t="shared" si="9"/>
        <v>2013</v>
      </c>
      <c r="J76" s="20">
        <f t="shared" si="10"/>
        <v>2014</v>
      </c>
      <c r="K76" s="79">
        <v>2584</v>
      </c>
      <c r="L76" s="79">
        <f t="shared" si="11"/>
        <v>2584</v>
      </c>
      <c r="M76" s="79">
        <f t="shared" si="12"/>
        <v>21.533333333333331</v>
      </c>
      <c r="N76" s="79">
        <f t="shared" si="13"/>
        <v>258.39999999999998</v>
      </c>
      <c r="O76" s="79">
        <f t="shared" si="14"/>
        <v>0</v>
      </c>
      <c r="P76" s="79">
        <f t="shared" si="15"/>
        <v>2584</v>
      </c>
      <c r="Q76" s="79">
        <f t="shared" si="16"/>
        <v>2584</v>
      </c>
      <c r="R76" s="79">
        <f t="shared" si="17"/>
        <v>0</v>
      </c>
    </row>
    <row r="77" spans="2:18">
      <c r="B77" s="50">
        <v>19</v>
      </c>
      <c r="C77" s="112" t="s">
        <v>178</v>
      </c>
      <c r="D77" s="112">
        <v>2003</v>
      </c>
      <c r="E77" s="112">
        <v>7</v>
      </c>
      <c r="F77" s="112">
        <v>0</v>
      </c>
      <c r="G77" s="112" t="s">
        <v>78</v>
      </c>
      <c r="H77" s="22" t="s">
        <v>9</v>
      </c>
      <c r="I77" s="112">
        <f t="shared" ref="I77:I108" si="18">D77+H77</f>
        <v>2013</v>
      </c>
      <c r="J77" s="20">
        <f t="shared" ref="J77:J88" si="19">+I77+(E77/12)</f>
        <v>2013.5833333333333</v>
      </c>
      <c r="K77" s="79">
        <v>8292.6</v>
      </c>
      <c r="L77" s="79">
        <f t="shared" ref="L77:L108" si="20">K77-K77*F77</f>
        <v>8292.6</v>
      </c>
      <c r="M77" s="79">
        <f t="shared" ref="M77:M108" si="21">L77/H77/12</f>
        <v>69.105000000000004</v>
      </c>
      <c r="N77" s="79">
        <f t="shared" ref="N77:N108" si="22">+M77*12</f>
        <v>829.26</v>
      </c>
      <c r="O77" s="79">
        <f t="shared" ref="O77:O108" si="23">+IF(J77&lt;=$L$5,0,IF(I77&gt;$L$4,N77,(M77*E77)))</f>
        <v>0</v>
      </c>
      <c r="P77" s="79">
        <f t="shared" ref="P77:P108" si="24">+IF(O77=0,L77,IF($L$3-D77&lt;1,0,(($L$3-D77)*O77)))</f>
        <v>8292.6</v>
      </c>
      <c r="Q77" s="79">
        <f t="shared" ref="Q77:Q108" si="25">+IF(O77=0,P77,P77+O77)</f>
        <v>8292.6</v>
      </c>
      <c r="R77" s="79">
        <f t="shared" ref="R77:R108" si="26">+K77-Q77</f>
        <v>0</v>
      </c>
    </row>
    <row r="78" spans="2:18">
      <c r="B78" s="50">
        <v>35</v>
      </c>
      <c r="C78" t="s">
        <v>244</v>
      </c>
      <c r="D78">
        <v>2003</v>
      </c>
      <c r="E78">
        <v>2</v>
      </c>
      <c r="F78">
        <v>0</v>
      </c>
      <c r="G78" t="s">
        <v>78</v>
      </c>
      <c r="H78" s="22" t="s">
        <v>9</v>
      </c>
      <c r="I78">
        <f t="shared" si="18"/>
        <v>2013</v>
      </c>
      <c r="J78" s="20">
        <f t="shared" si="19"/>
        <v>2013.1666666666667</v>
      </c>
      <c r="K78" s="79">
        <v>15748.8</v>
      </c>
      <c r="L78" s="79">
        <f t="shared" si="20"/>
        <v>15748.8</v>
      </c>
      <c r="M78" s="79">
        <f t="shared" si="21"/>
        <v>131.23999999999998</v>
      </c>
      <c r="N78" s="79">
        <f t="shared" si="22"/>
        <v>1574.8799999999997</v>
      </c>
      <c r="O78" s="79">
        <f t="shared" si="23"/>
        <v>0</v>
      </c>
      <c r="P78" s="79">
        <f t="shared" si="24"/>
        <v>15748.8</v>
      </c>
      <c r="Q78" s="79">
        <f t="shared" si="25"/>
        <v>15748.8</v>
      </c>
      <c r="R78" s="79">
        <f t="shared" si="26"/>
        <v>0</v>
      </c>
    </row>
    <row r="79" spans="2:18">
      <c r="B79" s="50">
        <v>35</v>
      </c>
      <c r="C79" t="s">
        <v>244</v>
      </c>
      <c r="D79">
        <v>2003</v>
      </c>
      <c r="E79">
        <v>8</v>
      </c>
      <c r="F79">
        <v>0</v>
      </c>
      <c r="G79" t="s">
        <v>78</v>
      </c>
      <c r="H79" s="22" t="s">
        <v>9</v>
      </c>
      <c r="I79">
        <f t="shared" si="18"/>
        <v>2013</v>
      </c>
      <c r="J79" s="20">
        <f t="shared" si="19"/>
        <v>2013.6666666666667</v>
      </c>
      <c r="K79" s="79">
        <v>15748.8</v>
      </c>
      <c r="L79" s="79">
        <f t="shared" si="20"/>
        <v>15748.8</v>
      </c>
      <c r="M79" s="79">
        <f t="shared" si="21"/>
        <v>131.23999999999998</v>
      </c>
      <c r="N79" s="79">
        <f t="shared" si="22"/>
        <v>1574.8799999999997</v>
      </c>
      <c r="O79" s="79">
        <f t="shared" si="23"/>
        <v>0</v>
      </c>
      <c r="P79" s="79">
        <f t="shared" si="24"/>
        <v>15748.8</v>
      </c>
      <c r="Q79" s="79">
        <f t="shared" si="25"/>
        <v>15748.8</v>
      </c>
      <c r="R79" s="79">
        <f t="shared" si="26"/>
        <v>0</v>
      </c>
    </row>
    <row r="80" spans="2:18">
      <c r="B80" s="50">
        <v>14</v>
      </c>
      <c r="C80" t="s">
        <v>279</v>
      </c>
      <c r="D80">
        <v>2004</v>
      </c>
      <c r="E80">
        <v>3</v>
      </c>
      <c r="F80">
        <v>0</v>
      </c>
      <c r="G80" t="s">
        <v>78</v>
      </c>
      <c r="H80" s="22" t="s">
        <v>9</v>
      </c>
      <c r="I80">
        <f t="shared" si="18"/>
        <v>2014</v>
      </c>
      <c r="J80" s="20">
        <f t="shared" si="19"/>
        <v>2014.25</v>
      </c>
      <c r="K80" s="79">
        <v>3960.32</v>
      </c>
      <c r="L80" s="79">
        <f t="shared" si="20"/>
        <v>3960.32</v>
      </c>
      <c r="M80" s="79">
        <f t="shared" si="21"/>
        <v>33.00266666666667</v>
      </c>
      <c r="N80" s="79">
        <f t="shared" si="22"/>
        <v>396.03200000000004</v>
      </c>
      <c r="O80" s="79">
        <f t="shared" si="23"/>
        <v>0</v>
      </c>
      <c r="P80" s="79">
        <f t="shared" si="24"/>
        <v>3960.32</v>
      </c>
      <c r="Q80" s="79">
        <f t="shared" si="25"/>
        <v>3960.32</v>
      </c>
      <c r="R80" s="79">
        <f t="shared" si="26"/>
        <v>0</v>
      </c>
    </row>
    <row r="81" spans="2:18">
      <c r="B81" s="50">
        <v>12</v>
      </c>
      <c r="C81" t="s">
        <v>279</v>
      </c>
      <c r="D81">
        <v>2004</v>
      </c>
      <c r="E81">
        <v>5</v>
      </c>
      <c r="F81">
        <v>0</v>
      </c>
      <c r="G81" t="s">
        <v>78</v>
      </c>
      <c r="H81" s="22" t="s">
        <v>9</v>
      </c>
      <c r="I81">
        <f t="shared" si="18"/>
        <v>2014</v>
      </c>
      <c r="J81" s="20">
        <f t="shared" si="19"/>
        <v>2014.4166666666667</v>
      </c>
      <c r="K81" s="79">
        <v>3525.12</v>
      </c>
      <c r="L81" s="79">
        <f t="shared" si="20"/>
        <v>3525.12</v>
      </c>
      <c r="M81" s="79">
        <f t="shared" si="21"/>
        <v>29.376000000000001</v>
      </c>
      <c r="N81" s="79">
        <f t="shared" si="22"/>
        <v>352.512</v>
      </c>
      <c r="O81" s="79">
        <f t="shared" si="23"/>
        <v>0</v>
      </c>
      <c r="P81" s="79">
        <f t="shared" si="24"/>
        <v>3525.12</v>
      </c>
      <c r="Q81" s="79">
        <f t="shared" si="25"/>
        <v>3525.12</v>
      </c>
      <c r="R81" s="79">
        <f t="shared" si="26"/>
        <v>0</v>
      </c>
    </row>
    <row r="82" spans="2:18">
      <c r="B82" s="50">
        <v>15</v>
      </c>
      <c r="C82" t="s">
        <v>279</v>
      </c>
      <c r="D82">
        <v>2004</v>
      </c>
      <c r="E82">
        <v>6</v>
      </c>
      <c r="F82">
        <v>0</v>
      </c>
      <c r="G82" t="s">
        <v>78</v>
      </c>
      <c r="H82" s="22" t="s">
        <v>9</v>
      </c>
      <c r="I82">
        <f t="shared" si="18"/>
        <v>2014</v>
      </c>
      <c r="J82" s="20">
        <f t="shared" si="19"/>
        <v>2014.5</v>
      </c>
      <c r="K82" s="79">
        <v>4156.16</v>
      </c>
      <c r="L82" s="79">
        <f t="shared" si="20"/>
        <v>4156.16</v>
      </c>
      <c r="M82" s="79">
        <f t="shared" si="21"/>
        <v>34.634666666666668</v>
      </c>
      <c r="N82" s="79">
        <f t="shared" si="22"/>
        <v>415.61599999999999</v>
      </c>
      <c r="O82" s="79">
        <f t="shared" si="23"/>
        <v>0</v>
      </c>
      <c r="P82" s="79">
        <f t="shared" si="24"/>
        <v>4156.16</v>
      </c>
      <c r="Q82" s="79">
        <f t="shared" si="25"/>
        <v>4156.16</v>
      </c>
      <c r="R82" s="79">
        <f t="shared" si="26"/>
        <v>0</v>
      </c>
    </row>
    <row r="83" spans="2:18">
      <c r="B83" s="50">
        <v>13</v>
      </c>
      <c r="C83" t="s">
        <v>279</v>
      </c>
      <c r="D83">
        <v>2004</v>
      </c>
      <c r="E83">
        <v>6</v>
      </c>
      <c r="F83">
        <v>0</v>
      </c>
      <c r="G83" t="s">
        <v>78</v>
      </c>
      <c r="H83" s="22" t="s">
        <v>9</v>
      </c>
      <c r="I83">
        <f t="shared" si="18"/>
        <v>2014</v>
      </c>
      <c r="J83" s="20">
        <f t="shared" si="19"/>
        <v>2014.5</v>
      </c>
      <c r="K83" s="79">
        <v>3720.96</v>
      </c>
      <c r="L83" s="79">
        <f t="shared" si="20"/>
        <v>3720.96</v>
      </c>
      <c r="M83" s="79">
        <f t="shared" si="21"/>
        <v>31.007999999999999</v>
      </c>
      <c r="N83" s="79">
        <f t="shared" si="22"/>
        <v>372.096</v>
      </c>
      <c r="O83" s="79">
        <f t="shared" si="23"/>
        <v>0</v>
      </c>
      <c r="P83" s="79">
        <f t="shared" si="24"/>
        <v>3720.96</v>
      </c>
      <c r="Q83" s="79">
        <f t="shared" si="25"/>
        <v>3720.96</v>
      </c>
      <c r="R83" s="79">
        <f t="shared" si="26"/>
        <v>0</v>
      </c>
    </row>
    <row r="84" spans="2:18">
      <c r="B84" s="50">
        <v>17</v>
      </c>
      <c r="C84" t="s">
        <v>279</v>
      </c>
      <c r="D84">
        <v>2004</v>
      </c>
      <c r="E84">
        <v>7</v>
      </c>
      <c r="F84">
        <v>0</v>
      </c>
      <c r="G84" t="s">
        <v>78</v>
      </c>
      <c r="H84" s="22" t="s">
        <v>9</v>
      </c>
      <c r="I84">
        <f t="shared" si="18"/>
        <v>2014</v>
      </c>
      <c r="J84" s="20">
        <f t="shared" si="19"/>
        <v>2014.5833333333333</v>
      </c>
      <c r="K84" s="79">
        <v>4961.28</v>
      </c>
      <c r="L84" s="79">
        <f t="shared" si="20"/>
        <v>4961.28</v>
      </c>
      <c r="M84" s="79">
        <f t="shared" si="21"/>
        <v>41.344000000000001</v>
      </c>
      <c r="N84" s="79">
        <f t="shared" si="22"/>
        <v>496.12800000000004</v>
      </c>
      <c r="O84" s="79">
        <f t="shared" si="23"/>
        <v>0</v>
      </c>
      <c r="P84" s="79">
        <f t="shared" si="24"/>
        <v>4961.28</v>
      </c>
      <c r="Q84" s="79">
        <f t="shared" si="25"/>
        <v>4961.28</v>
      </c>
      <c r="R84" s="79">
        <f t="shared" si="26"/>
        <v>0</v>
      </c>
    </row>
    <row r="85" spans="2:18">
      <c r="B85" s="50">
        <v>25</v>
      </c>
      <c r="C85" t="s">
        <v>263</v>
      </c>
      <c r="D85">
        <v>2004</v>
      </c>
      <c r="E85">
        <v>1</v>
      </c>
      <c r="F85">
        <v>0</v>
      </c>
      <c r="G85" t="s">
        <v>78</v>
      </c>
      <c r="H85" s="22" t="s">
        <v>9</v>
      </c>
      <c r="I85">
        <f t="shared" si="18"/>
        <v>2014</v>
      </c>
      <c r="J85" s="20">
        <f t="shared" si="19"/>
        <v>2014.0833333333333</v>
      </c>
      <c r="K85" s="79">
        <v>8486.4</v>
      </c>
      <c r="L85" s="79">
        <f t="shared" si="20"/>
        <v>8486.4</v>
      </c>
      <c r="M85" s="79">
        <f t="shared" si="21"/>
        <v>70.72</v>
      </c>
      <c r="N85" s="79">
        <f t="shared" si="22"/>
        <v>848.64</v>
      </c>
      <c r="O85" s="79">
        <f t="shared" si="23"/>
        <v>0</v>
      </c>
      <c r="P85" s="79">
        <f t="shared" si="24"/>
        <v>8486.4</v>
      </c>
      <c r="Q85" s="79">
        <f t="shared" si="25"/>
        <v>8486.4</v>
      </c>
      <c r="R85" s="79">
        <f t="shared" si="26"/>
        <v>0</v>
      </c>
    </row>
    <row r="86" spans="2:18">
      <c r="B86" s="50">
        <v>19</v>
      </c>
      <c r="C86" t="s">
        <v>263</v>
      </c>
      <c r="D86">
        <v>2004</v>
      </c>
      <c r="E86">
        <v>2</v>
      </c>
      <c r="F86">
        <v>0</v>
      </c>
      <c r="G86" t="s">
        <v>78</v>
      </c>
      <c r="H86" s="22" t="s">
        <v>9</v>
      </c>
      <c r="I86">
        <f t="shared" si="18"/>
        <v>2014</v>
      </c>
      <c r="J86" s="20">
        <f t="shared" si="19"/>
        <v>2014.1666666666667</v>
      </c>
      <c r="K86" s="79">
        <v>6315.84</v>
      </c>
      <c r="L86" s="79">
        <f t="shared" si="20"/>
        <v>6315.84</v>
      </c>
      <c r="M86" s="79">
        <f t="shared" si="21"/>
        <v>52.632000000000005</v>
      </c>
      <c r="N86" s="79">
        <f t="shared" si="22"/>
        <v>631.58400000000006</v>
      </c>
      <c r="O86" s="79">
        <f t="shared" si="23"/>
        <v>0</v>
      </c>
      <c r="P86" s="79">
        <f t="shared" si="24"/>
        <v>6315.84</v>
      </c>
      <c r="Q86" s="79">
        <f t="shared" si="25"/>
        <v>6315.84</v>
      </c>
      <c r="R86" s="79">
        <f t="shared" si="26"/>
        <v>0</v>
      </c>
    </row>
    <row r="87" spans="2:18">
      <c r="B87" s="50">
        <v>35</v>
      </c>
      <c r="C87" t="s">
        <v>244</v>
      </c>
      <c r="D87">
        <v>2004</v>
      </c>
      <c r="E87">
        <v>2</v>
      </c>
      <c r="F87">
        <v>0</v>
      </c>
      <c r="G87" t="s">
        <v>78</v>
      </c>
      <c r="H87" s="22" t="s">
        <v>9</v>
      </c>
      <c r="I87">
        <f t="shared" si="18"/>
        <v>2014</v>
      </c>
      <c r="J87" s="20">
        <f t="shared" si="19"/>
        <v>2014.1666666666667</v>
      </c>
      <c r="K87" s="79">
        <v>15748.8</v>
      </c>
      <c r="L87" s="79">
        <f t="shared" si="20"/>
        <v>15748.8</v>
      </c>
      <c r="M87" s="79">
        <f t="shared" si="21"/>
        <v>131.23999999999998</v>
      </c>
      <c r="N87" s="79">
        <f t="shared" si="22"/>
        <v>1574.8799999999997</v>
      </c>
      <c r="O87" s="79">
        <f t="shared" si="23"/>
        <v>0</v>
      </c>
      <c r="P87" s="79">
        <f t="shared" si="24"/>
        <v>15748.8</v>
      </c>
      <c r="Q87" s="79">
        <f t="shared" si="25"/>
        <v>15748.8</v>
      </c>
      <c r="R87" s="79">
        <f t="shared" si="26"/>
        <v>0</v>
      </c>
    </row>
    <row r="88" spans="2:18">
      <c r="B88" s="50">
        <v>35</v>
      </c>
      <c r="C88" t="s">
        <v>244</v>
      </c>
      <c r="D88">
        <v>2004</v>
      </c>
      <c r="E88">
        <v>3</v>
      </c>
      <c r="F88">
        <v>0</v>
      </c>
      <c r="G88" t="s">
        <v>78</v>
      </c>
      <c r="H88" s="22" t="s">
        <v>9</v>
      </c>
      <c r="I88">
        <f t="shared" si="18"/>
        <v>2014</v>
      </c>
      <c r="J88" s="20">
        <f t="shared" si="19"/>
        <v>2014.25</v>
      </c>
      <c r="K88" s="79">
        <v>16102.4</v>
      </c>
      <c r="L88" s="79">
        <f t="shared" si="20"/>
        <v>16102.4</v>
      </c>
      <c r="M88" s="79">
        <f t="shared" si="21"/>
        <v>134.18666666666667</v>
      </c>
      <c r="N88" s="79">
        <f t="shared" si="22"/>
        <v>1610.24</v>
      </c>
      <c r="O88" s="79">
        <f t="shared" si="23"/>
        <v>0</v>
      </c>
      <c r="P88" s="79">
        <f t="shared" si="24"/>
        <v>16102.4</v>
      </c>
      <c r="Q88" s="79">
        <f t="shared" si="25"/>
        <v>16102.4</v>
      </c>
      <c r="R88" s="79">
        <f t="shared" si="26"/>
        <v>0</v>
      </c>
    </row>
    <row r="89" spans="2:18">
      <c r="B89" s="50">
        <v>9</v>
      </c>
      <c r="C89" t="s">
        <v>562</v>
      </c>
      <c r="D89">
        <v>2004</v>
      </c>
      <c r="E89">
        <v>2</v>
      </c>
      <c r="F89">
        <v>0</v>
      </c>
      <c r="G89" t="s">
        <v>78</v>
      </c>
      <c r="H89" s="22" t="s">
        <v>9</v>
      </c>
      <c r="I89">
        <f t="shared" si="18"/>
        <v>2014</v>
      </c>
      <c r="J89" s="112"/>
      <c r="K89" s="79">
        <v>4297.6000000000004</v>
      </c>
      <c r="L89" s="79">
        <f t="shared" si="20"/>
        <v>4297.6000000000004</v>
      </c>
      <c r="M89" s="79">
        <f t="shared" si="21"/>
        <v>35.81333333333334</v>
      </c>
      <c r="N89" s="79">
        <f t="shared" si="22"/>
        <v>429.7600000000001</v>
      </c>
      <c r="O89" s="79">
        <f t="shared" si="23"/>
        <v>0</v>
      </c>
      <c r="P89" s="79">
        <f t="shared" si="24"/>
        <v>4297.6000000000004</v>
      </c>
      <c r="Q89" s="79">
        <f t="shared" si="25"/>
        <v>4297.6000000000004</v>
      </c>
      <c r="R89" s="79">
        <f t="shared" si="26"/>
        <v>0</v>
      </c>
    </row>
    <row r="90" spans="2:18">
      <c r="B90" s="50">
        <v>51</v>
      </c>
      <c r="C90" t="s">
        <v>562</v>
      </c>
      <c r="D90">
        <v>2004</v>
      </c>
      <c r="E90">
        <v>9</v>
      </c>
      <c r="F90">
        <v>0</v>
      </c>
      <c r="G90" t="s">
        <v>78</v>
      </c>
      <c r="H90" s="22" t="s">
        <v>9</v>
      </c>
      <c r="I90">
        <f t="shared" si="18"/>
        <v>2014</v>
      </c>
      <c r="J90" s="112"/>
      <c r="K90" s="79">
        <v>23120</v>
      </c>
      <c r="L90" s="79">
        <f t="shared" si="20"/>
        <v>23120</v>
      </c>
      <c r="M90" s="79">
        <f t="shared" si="21"/>
        <v>192.66666666666666</v>
      </c>
      <c r="N90" s="79">
        <f t="shared" si="22"/>
        <v>2312</v>
      </c>
      <c r="O90" s="79">
        <f t="shared" si="23"/>
        <v>0</v>
      </c>
      <c r="P90" s="79">
        <f t="shared" si="24"/>
        <v>23120</v>
      </c>
      <c r="Q90" s="79">
        <f t="shared" si="25"/>
        <v>23120</v>
      </c>
      <c r="R90" s="79">
        <f t="shared" si="26"/>
        <v>0</v>
      </c>
    </row>
    <row r="91" spans="2:18">
      <c r="B91" s="50">
        <v>17</v>
      </c>
      <c r="C91" t="s">
        <v>279</v>
      </c>
      <c r="D91">
        <v>2005</v>
      </c>
      <c r="E91">
        <v>3</v>
      </c>
      <c r="F91">
        <v>0</v>
      </c>
      <c r="G91" t="s">
        <v>78</v>
      </c>
      <c r="H91" s="22" t="s">
        <v>9</v>
      </c>
      <c r="I91">
        <f t="shared" si="18"/>
        <v>2015</v>
      </c>
      <c r="J91" s="20">
        <f t="shared" ref="J91:J98" si="27">+I91+(E91/12)</f>
        <v>2015.25</v>
      </c>
      <c r="K91" s="79">
        <v>4906.88</v>
      </c>
      <c r="L91" s="79">
        <f t="shared" si="20"/>
        <v>4906.88</v>
      </c>
      <c r="M91" s="79">
        <f t="shared" si="21"/>
        <v>40.890666666666668</v>
      </c>
      <c r="N91" s="79">
        <f t="shared" si="22"/>
        <v>490.68799999999999</v>
      </c>
      <c r="O91" s="79">
        <f t="shared" si="23"/>
        <v>0</v>
      </c>
      <c r="P91" s="79">
        <f t="shared" si="24"/>
        <v>4906.88</v>
      </c>
      <c r="Q91" s="79">
        <f t="shared" si="25"/>
        <v>4906.88</v>
      </c>
      <c r="R91" s="79">
        <f t="shared" si="26"/>
        <v>0</v>
      </c>
    </row>
    <row r="92" spans="2:18">
      <c r="B92" s="50">
        <v>17</v>
      </c>
      <c r="C92" t="s">
        <v>279</v>
      </c>
      <c r="D92">
        <v>2005</v>
      </c>
      <c r="E92">
        <v>7</v>
      </c>
      <c r="F92">
        <v>0</v>
      </c>
      <c r="G92" t="s">
        <v>78</v>
      </c>
      <c r="H92" s="22" t="s">
        <v>9</v>
      </c>
      <c r="I92">
        <f t="shared" si="18"/>
        <v>2015</v>
      </c>
      <c r="J92" s="20">
        <f t="shared" si="27"/>
        <v>2015.5833333333333</v>
      </c>
      <c r="K92" s="79">
        <v>4906.88</v>
      </c>
      <c r="L92" s="79">
        <f t="shared" si="20"/>
        <v>4906.88</v>
      </c>
      <c r="M92" s="79">
        <f t="shared" si="21"/>
        <v>40.890666666666668</v>
      </c>
      <c r="N92" s="79">
        <f t="shared" si="22"/>
        <v>490.68799999999999</v>
      </c>
      <c r="O92" s="79">
        <f t="shared" si="23"/>
        <v>0</v>
      </c>
      <c r="P92" s="79">
        <f t="shared" si="24"/>
        <v>4906.88</v>
      </c>
      <c r="Q92" s="79">
        <f t="shared" si="25"/>
        <v>4906.88</v>
      </c>
      <c r="R92" s="79">
        <f t="shared" si="26"/>
        <v>0</v>
      </c>
    </row>
    <row r="93" spans="2:18">
      <c r="B93" s="50">
        <v>37</v>
      </c>
      <c r="C93" t="s">
        <v>230</v>
      </c>
      <c r="D93">
        <v>2005</v>
      </c>
      <c r="E93">
        <v>6</v>
      </c>
      <c r="F93">
        <v>0</v>
      </c>
      <c r="G93" t="s">
        <v>78</v>
      </c>
      <c r="H93" s="22" t="s">
        <v>9</v>
      </c>
      <c r="I93">
        <f t="shared" si="18"/>
        <v>2015</v>
      </c>
      <c r="J93" s="20">
        <f t="shared" si="27"/>
        <v>2015.5</v>
      </c>
      <c r="K93" s="79">
        <v>12620.8</v>
      </c>
      <c r="L93" s="79">
        <f t="shared" si="20"/>
        <v>12620.8</v>
      </c>
      <c r="M93" s="79">
        <f t="shared" si="21"/>
        <v>105.17333333333333</v>
      </c>
      <c r="N93" s="79">
        <f t="shared" si="22"/>
        <v>1262.08</v>
      </c>
      <c r="O93" s="79">
        <f t="shared" si="23"/>
        <v>0</v>
      </c>
      <c r="P93" s="79">
        <f t="shared" si="24"/>
        <v>12620.8</v>
      </c>
      <c r="Q93" s="79">
        <f t="shared" si="25"/>
        <v>12620.8</v>
      </c>
      <c r="R93" s="79">
        <f t="shared" si="26"/>
        <v>0</v>
      </c>
    </row>
    <row r="94" spans="2:18">
      <c r="B94" s="50">
        <v>61</v>
      </c>
      <c r="C94" t="s">
        <v>260</v>
      </c>
      <c r="D94">
        <v>2005</v>
      </c>
      <c r="E94">
        <v>2</v>
      </c>
      <c r="F94">
        <v>0</v>
      </c>
      <c r="G94" t="s">
        <v>78</v>
      </c>
      <c r="H94" s="22" t="s">
        <v>9</v>
      </c>
      <c r="I94">
        <f t="shared" si="18"/>
        <v>2015</v>
      </c>
      <c r="J94" s="20">
        <f t="shared" si="27"/>
        <v>2015.1666666666667</v>
      </c>
      <c r="K94" s="79">
        <v>22991.62</v>
      </c>
      <c r="L94" s="79">
        <f t="shared" si="20"/>
        <v>22991.62</v>
      </c>
      <c r="M94" s="79">
        <f t="shared" si="21"/>
        <v>191.59683333333331</v>
      </c>
      <c r="N94" s="79">
        <f t="shared" si="22"/>
        <v>2299.1619999999998</v>
      </c>
      <c r="O94" s="79">
        <f t="shared" si="23"/>
        <v>0</v>
      </c>
      <c r="P94" s="79">
        <f t="shared" si="24"/>
        <v>22991.62</v>
      </c>
      <c r="Q94" s="79">
        <f t="shared" si="25"/>
        <v>22991.62</v>
      </c>
      <c r="R94" s="79">
        <f t="shared" si="26"/>
        <v>0</v>
      </c>
    </row>
    <row r="95" spans="2:18">
      <c r="B95" s="50">
        <v>17</v>
      </c>
      <c r="C95" t="s">
        <v>260</v>
      </c>
      <c r="D95">
        <v>2005</v>
      </c>
      <c r="E95">
        <v>3</v>
      </c>
      <c r="F95">
        <v>0</v>
      </c>
      <c r="G95" t="s">
        <v>78</v>
      </c>
      <c r="H95" s="22" t="s">
        <v>9</v>
      </c>
      <c r="I95">
        <f t="shared" si="18"/>
        <v>2015</v>
      </c>
      <c r="J95" s="20">
        <f t="shared" si="27"/>
        <v>2015.25</v>
      </c>
      <c r="K95" s="79">
        <v>6190.72</v>
      </c>
      <c r="L95" s="79">
        <f t="shared" si="20"/>
        <v>6190.72</v>
      </c>
      <c r="M95" s="79">
        <f t="shared" si="21"/>
        <v>51.589333333333336</v>
      </c>
      <c r="N95" s="79">
        <f t="shared" si="22"/>
        <v>619.072</v>
      </c>
      <c r="O95" s="79">
        <f t="shared" si="23"/>
        <v>0</v>
      </c>
      <c r="P95" s="79">
        <f t="shared" si="24"/>
        <v>6190.72</v>
      </c>
      <c r="Q95" s="79">
        <f t="shared" si="25"/>
        <v>6190.72</v>
      </c>
      <c r="R95" s="79">
        <f t="shared" si="26"/>
        <v>0</v>
      </c>
    </row>
    <row r="96" spans="2:18">
      <c r="B96" s="50">
        <v>17</v>
      </c>
      <c r="C96" t="s">
        <v>260</v>
      </c>
      <c r="D96">
        <v>2005</v>
      </c>
      <c r="E96">
        <v>10</v>
      </c>
      <c r="F96">
        <v>0</v>
      </c>
      <c r="G96" t="s">
        <v>78</v>
      </c>
      <c r="H96" s="22" t="s">
        <v>9</v>
      </c>
      <c r="I96">
        <f t="shared" si="18"/>
        <v>2015</v>
      </c>
      <c r="J96" s="20">
        <f t="shared" si="27"/>
        <v>2015.8333333333333</v>
      </c>
      <c r="K96" s="79">
        <v>6245.12</v>
      </c>
      <c r="L96" s="79">
        <f t="shared" si="20"/>
        <v>6245.12</v>
      </c>
      <c r="M96" s="79">
        <f t="shared" si="21"/>
        <v>52.042666666666662</v>
      </c>
      <c r="N96" s="79">
        <f t="shared" si="22"/>
        <v>624.51199999999994</v>
      </c>
      <c r="O96" s="79">
        <f t="shared" si="23"/>
        <v>0</v>
      </c>
      <c r="P96" s="79">
        <f t="shared" si="24"/>
        <v>6245.12</v>
      </c>
      <c r="Q96" s="79">
        <f t="shared" si="25"/>
        <v>6245.12</v>
      </c>
      <c r="R96" s="79">
        <f t="shared" si="26"/>
        <v>0</v>
      </c>
    </row>
    <row r="97" spans="2:18">
      <c r="B97" s="50">
        <v>2</v>
      </c>
      <c r="C97" t="s">
        <v>260</v>
      </c>
      <c r="D97">
        <v>2005</v>
      </c>
      <c r="E97">
        <v>11</v>
      </c>
      <c r="F97">
        <v>0</v>
      </c>
      <c r="G97" t="s">
        <v>78</v>
      </c>
      <c r="H97" s="22" t="s">
        <v>9</v>
      </c>
      <c r="I97">
        <f t="shared" si="18"/>
        <v>2015</v>
      </c>
      <c r="J97" s="20">
        <f t="shared" si="27"/>
        <v>2015.9166666666667</v>
      </c>
      <c r="K97" s="79">
        <v>4624</v>
      </c>
      <c r="L97" s="79">
        <f t="shared" si="20"/>
        <v>4624</v>
      </c>
      <c r="M97" s="79">
        <f t="shared" si="21"/>
        <v>38.533333333333331</v>
      </c>
      <c r="N97" s="79">
        <f t="shared" si="22"/>
        <v>462.4</v>
      </c>
      <c r="O97" s="79">
        <f t="shared" si="23"/>
        <v>0</v>
      </c>
      <c r="P97" s="79">
        <f t="shared" si="24"/>
        <v>4624</v>
      </c>
      <c r="Q97" s="79">
        <f t="shared" si="25"/>
        <v>4624</v>
      </c>
      <c r="R97" s="79">
        <f t="shared" si="26"/>
        <v>0</v>
      </c>
    </row>
    <row r="98" spans="2:18">
      <c r="B98" s="50">
        <v>19</v>
      </c>
      <c r="C98" t="s">
        <v>23</v>
      </c>
      <c r="D98">
        <v>2005</v>
      </c>
      <c r="E98">
        <v>4</v>
      </c>
      <c r="F98">
        <v>0</v>
      </c>
      <c r="G98" t="s">
        <v>78</v>
      </c>
      <c r="H98" s="22" t="s">
        <v>9</v>
      </c>
      <c r="I98">
        <f t="shared" si="18"/>
        <v>2015</v>
      </c>
      <c r="J98" s="20">
        <f t="shared" si="27"/>
        <v>2015.3333333333333</v>
      </c>
      <c r="K98" s="79">
        <v>8160</v>
      </c>
      <c r="L98" s="79">
        <f t="shared" si="20"/>
        <v>8160</v>
      </c>
      <c r="M98" s="79">
        <f t="shared" si="21"/>
        <v>68</v>
      </c>
      <c r="N98" s="79">
        <f t="shared" si="22"/>
        <v>816</v>
      </c>
      <c r="O98" s="79">
        <f t="shared" si="23"/>
        <v>0</v>
      </c>
      <c r="P98" s="79">
        <f t="shared" si="24"/>
        <v>8160</v>
      </c>
      <c r="Q98" s="79">
        <f t="shared" si="25"/>
        <v>8160</v>
      </c>
      <c r="R98" s="79">
        <f t="shared" si="26"/>
        <v>0</v>
      </c>
    </row>
    <row r="99" spans="2:18">
      <c r="B99" s="50">
        <v>20</v>
      </c>
      <c r="C99" t="s">
        <v>562</v>
      </c>
      <c r="D99">
        <v>2005</v>
      </c>
      <c r="E99">
        <v>2</v>
      </c>
      <c r="F99">
        <v>0</v>
      </c>
      <c r="G99" t="s">
        <v>78</v>
      </c>
      <c r="H99" s="22" t="s">
        <v>9</v>
      </c>
      <c r="I99">
        <f t="shared" si="18"/>
        <v>2015</v>
      </c>
      <c r="J99" s="112"/>
      <c r="K99" s="79">
        <v>8997.76</v>
      </c>
      <c r="L99" s="79">
        <f t="shared" si="20"/>
        <v>8997.76</v>
      </c>
      <c r="M99" s="79">
        <f t="shared" si="21"/>
        <v>74.981333333333339</v>
      </c>
      <c r="N99" s="79">
        <f t="shared" si="22"/>
        <v>899.77600000000007</v>
      </c>
      <c r="O99" s="79">
        <f t="shared" si="23"/>
        <v>0</v>
      </c>
      <c r="P99" s="79">
        <f t="shared" si="24"/>
        <v>8997.76</v>
      </c>
      <c r="Q99" s="79">
        <f t="shared" si="25"/>
        <v>8997.76</v>
      </c>
      <c r="R99" s="79">
        <f t="shared" si="26"/>
        <v>0</v>
      </c>
    </row>
    <row r="100" spans="2:18">
      <c r="B100" s="50">
        <v>40</v>
      </c>
      <c r="C100" t="s">
        <v>279</v>
      </c>
      <c r="D100">
        <v>2006</v>
      </c>
      <c r="E100">
        <v>1</v>
      </c>
      <c r="F100">
        <v>0</v>
      </c>
      <c r="G100" t="s">
        <v>78</v>
      </c>
      <c r="H100" s="22" t="s">
        <v>9</v>
      </c>
      <c r="I100">
        <f t="shared" si="18"/>
        <v>2016</v>
      </c>
      <c r="J100" s="20">
        <f>+I100+(E100/12)</f>
        <v>2016.0833333333333</v>
      </c>
      <c r="K100" s="79">
        <v>11332.6</v>
      </c>
      <c r="L100" s="79">
        <f t="shared" si="20"/>
        <v>11332.6</v>
      </c>
      <c r="M100" s="79">
        <f t="shared" si="21"/>
        <v>94.438333333333333</v>
      </c>
      <c r="N100" s="79">
        <f t="shared" si="22"/>
        <v>1133.26</v>
      </c>
      <c r="O100" s="79">
        <f t="shared" si="23"/>
        <v>0</v>
      </c>
      <c r="P100" s="79">
        <f t="shared" si="24"/>
        <v>11332.6</v>
      </c>
      <c r="Q100" s="79">
        <f t="shared" si="25"/>
        <v>11332.6</v>
      </c>
      <c r="R100" s="79">
        <f t="shared" si="26"/>
        <v>0</v>
      </c>
    </row>
    <row r="101" spans="2:18">
      <c r="B101" s="50">
        <v>33</v>
      </c>
      <c r="C101" t="s">
        <v>190</v>
      </c>
      <c r="D101">
        <v>2006</v>
      </c>
      <c r="E101">
        <v>10</v>
      </c>
      <c r="F101">
        <v>0</v>
      </c>
      <c r="G101" t="s">
        <v>78</v>
      </c>
      <c r="H101" s="22" t="s">
        <v>9</v>
      </c>
      <c r="I101">
        <f t="shared" si="18"/>
        <v>2016</v>
      </c>
      <c r="J101" s="20">
        <f>+I101+(E101/12)</f>
        <v>2016.8333333333333</v>
      </c>
      <c r="K101" s="79">
        <v>9356.7999999999993</v>
      </c>
      <c r="L101" s="79">
        <f t="shared" si="20"/>
        <v>9356.7999999999993</v>
      </c>
      <c r="M101" s="79">
        <f t="shared" si="21"/>
        <v>77.973333333333329</v>
      </c>
      <c r="N101" s="79">
        <f t="shared" si="22"/>
        <v>935.68</v>
      </c>
      <c r="O101" s="79">
        <f t="shared" si="23"/>
        <v>0</v>
      </c>
      <c r="P101" s="79">
        <f t="shared" si="24"/>
        <v>9356.7999999999993</v>
      </c>
      <c r="Q101" s="79">
        <f t="shared" si="25"/>
        <v>9356.7999999999993</v>
      </c>
      <c r="R101" s="79">
        <f t="shared" si="26"/>
        <v>0</v>
      </c>
    </row>
    <row r="102" spans="2:18">
      <c r="B102" s="50">
        <v>14</v>
      </c>
      <c r="C102" s="112" t="s">
        <v>562</v>
      </c>
      <c r="D102" s="112">
        <v>2006</v>
      </c>
      <c r="E102" s="112">
        <v>1</v>
      </c>
      <c r="F102" s="112">
        <v>0</v>
      </c>
      <c r="G102" s="112" t="s">
        <v>78</v>
      </c>
      <c r="H102" s="22" t="s">
        <v>9</v>
      </c>
      <c r="I102" s="112">
        <f t="shared" si="18"/>
        <v>2016</v>
      </c>
      <c r="J102" s="112"/>
      <c r="K102" s="79">
        <v>5978.56</v>
      </c>
      <c r="L102" s="79">
        <f t="shared" si="20"/>
        <v>5978.56</v>
      </c>
      <c r="M102" s="79">
        <f t="shared" si="21"/>
        <v>49.821333333333335</v>
      </c>
      <c r="N102" s="79">
        <f t="shared" si="22"/>
        <v>597.85599999999999</v>
      </c>
      <c r="O102" s="79">
        <f t="shared" si="23"/>
        <v>0</v>
      </c>
      <c r="P102" s="79">
        <f t="shared" si="24"/>
        <v>5978.56</v>
      </c>
      <c r="Q102" s="79">
        <f t="shared" si="25"/>
        <v>5978.56</v>
      </c>
      <c r="R102" s="79">
        <f t="shared" si="26"/>
        <v>0</v>
      </c>
    </row>
    <row r="103" spans="2:18">
      <c r="B103" s="50">
        <v>21</v>
      </c>
      <c r="C103" t="s">
        <v>562</v>
      </c>
      <c r="D103">
        <v>2006</v>
      </c>
      <c r="E103">
        <v>5</v>
      </c>
      <c r="F103">
        <v>0</v>
      </c>
      <c r="G103" t="s">
        <v>78</v>
      </c>
      <c r="H103" s="22" t="s">
        <v>9</v>
      </c>
      <c r="I103">
        <f t="shared" si="18"/>
        <v>2016</v>
      </c>
      <c r="J103" s="112"/>
      <c r="K103" s="79">
        <v>9683.2000000000007</v>
      </c>
      <c r="L103" s="79">
        <f t="shared" si="20"/>
        <v>9683.2000000000007</v>
      </c>
      <c r="M103" s="79">
        <f t="shared" si="21"/>
        <v>80.693333333333342</v>
      </c>
      <c r="N103" s="79">
        <f t="shared" si="22"/>
        <v>968.32000000000016</v>
      </c>
      <c r="O103" s="79">
        <f t="shared" si="23"/>
        <v>0</v>
      </c>
      <c r="P103" s="79">
        <f t="shared" si="24"/>
        <v>9683.2000000000007</v>
      </c>
      <c r="Q103" s="79">
        <f t="shared" si="25"/>
        <v>9683.2000000000007</v>
      </c>
      <c r="R103" s="79">
        <f t="shared" si="26"/>
        <v>0</v>
      </c>
    </row>
    <row r="104" spans="2:18">
      <c r="B104" s="50">
        <v>46</v>
      </c>
      <c r="C104" s="112" t="s">
        <v>562</v>
      </c>
      <c r="D104" s="112">
        <v>2006</v>
      </c>
      <c r="E104" s="112">
        <v>6</v>
      </c>
      <c r="F104" s="112">
        <v>0</v>
      </c>
      <c r="G104" s="112" t="s">
        <v>78</v>
      </c>
      <c r="H104" s="22" t="s">
        <v>9</v>
      </c>
      <c r="I104" s="112">
        <f t="shared" si="18"/>
        <v>2016</v>
      </c>
      <c r="J104" s="112"/>
      <c r="K104" s="79">
        <v>20704.64</v>
      </c>
      <c r="L104" s="79">
        <f t="shared" si="20"/>
        <v>20704.64</v>
      </c>
      <c r="M104" s="79">
        <f t="shared" si="21"/>
        <v>172.53866666666667</v>
      </c>
      <c r="N104" s="79">
        <f t="shared" si="22"/>
        <v>2070.4639999999999</v>
      </c>
      <c r="O104" s="79">
        <f t="shared" si="23"/>
        <v>0</v>
      </c>
      <c r="P104" s="79">
        <f t="shared" si="24"/>
        <v>20704.64</v>
      </c>
      <c r="Q104" s="79">
        <f t="shared" si="25"/>
        <v>20704.64</v>
      </c>
      <c r="R104" s="79">
        <f t="shared" si="26"/>
        <v>0</v>
      </c>
    </row>
    <row r="105" spans="2:18">
      <c r="B105" s="50">
        <v>0</v>
      </c>
      <c r="C105" t="s">
        <v>563</v>
      </c>
      <c r="D105">
        <v>2006</v>
      </c>
      <c r="E105">
        <v>9</v>
      </c>
      <c r="F105">
        <v>0</v>
      </c>
      <c r="G105" t="s">
        <v>78</v>
      </c>
      <c r="H105" s="22" t="s">
        <v>9</v>
      </c>
      <c r="I105">
        <f t="shared" si="18"/>
        <v>2016</v>
      </c>
      <c r="J105" s="112"/>
      <c r="K105" s="79">
        <v>1784.32</v>
      </c>
      <c r="L105" s="79">
        <f t="shared" si="20"/>
        <v>1784.32</v>
      </c>
      <c r="M105" s="79">
        <f t="shared" si="21"/>
        <v>14.869333333333332</v>
      </c>
      <c r="N105" s="79">
        <f t="shared" si="22"/>
        <v>178.43199999999999</v>
      </c>
      <c r="O105" s="79">
        <f t="shared" si="23"/>
        <v>0</v>
      </c>
      <c r="P105" s="79">
        <f t="shared" si="24"/>
        <v>1784.32</v>
      </c>
      <c r="Q105" s="79">
        <f t="shared" si="25"/>
        <v>1784.32</v>
      </c>
      <c r="R105" s="79">
        <f t="shared" si="26"/>
        <v>0</v>
      </c>
    </row>
    <row r="106" spans="2:18">
      <c r="B106" s="50">
        <v>21</v>
      </c>
      <c r="C106" t="s">
        <v>279</v>
      </c>
      <c r="D106">
        <v>2007</v>
      </c>
      <c r="E106">
        <v>9</v>
      </c>
      <c r="F106">
        <v>0</v>
      </c>
      <c r="G106" t="s">
        <v>78</v>
      </c>
      <c r="H106" s="22" t="s">
        <v>9</v>
      </c>
      <c r="I106">
        <f t="shared" si="18"/>
        <v>2017</v>
      </c>
      <c r="J106" s="20">
        <f>+I106+(E106/12)</f>
        <v>2017.75</v>
      </c>
      <c r="K106" s="79">
        <v>5880.6</v>
      </c>
      <c r="L106" s="79">
        <f t="shared" si="20"/>
        <v>5880.6</v>
      </c>
      <c r="M106" s="79">
        <f t="shared" si="21"/>
        <v>49.005000000000003</v>
      </c>
      <c r="N106" s="79">
        <f t="shared" si="22"/>
        <v>588.06000000000006</v>
      </c>
      <c r="O106" s="79">
        <f t="shared" si="23"/>
        <v>0</v>
      </c>
      <c r="P106" s="79">
        <f t="shared" si="24"/>
        <v>5880.6</v>
      </c>
      <c r="Q106" s="79">
        <f t="shared" si="25"/>
        <v>5880.6</v>
      </c>
      <c r="R106" s="79">
        <f t="shared" si="26"/>
        <v>0</v>
      </c>
    </row>
    <row r="107" spans="2:18">
      <c r="B107" s="50">
        <v>34</v>
      </c>
      <c r="C107" t="s">
        <v>230</v>
      </c>
      <c r="D107">
        <v>2007</v>
      </c>
      <c r="E107">
        <v>6</v>
      </c>
      <c r="F107">
        <v>0</v>
      </c>
      <c r="G107" t="s">
        <v>78</v>
      </c>
      <c r="H107" s="22" t="s">
        <v>9</v>
      </c>
      <c r="I107">
        <f t="shared" si="18"/>
        <v>2017</v>
      </c>
      <c r="J107" s="20">
        <f>+I107+(E107/12)</f>
        <v>2017.5</v>
      </c>
      <c r="K107" s="79">
        <v>11412.73</v>
      </c>
      <c r="L107" s="79">
        <f t="shared" si="20"/>
        <v>11412.73</v>
      </c>
      <c r="M107" s="79">
        <f t="shared" si="21"/>
        <v>95.106083333333331</v>
      </c>
      <c r="N107" s="79">
        <f t="shared" si="22"/>
        <v>1141.2729999999999</v>
      </c>
      <c r="O107" s="79">
        <f t="shared" si="23"/>
        <v>0</v>
      </c>
      <c r="P107" s="79">
        <f t="shared" si="24"/>
        <v>11412.73</v>
      </c>
      <c r="Q107" s="79">
        <f t="shared" si="25"/>
        <v>11412.73</v>
      </c>
      <c r="R107" s="79">
        <f t="shared" si="26"/>
        <v>0</v>
      </c>
    </row>
    <row r="108" spans="2:18">
      <c r="B108" s="50">
        <v>17</v>
      </c>
      <c r="C108" t="s">
        <v>260</v>
      </c>
      <c r="D108">
        <v>2007</v>
      </c>
      <c r="E108">
        <v>8</v>
      </c>
      <c r="F108">
        <v>0</v>
      </c>
      <c r="G108" t="s">
        <v>78</v>
      </c>
      <c r="H108" s="22" t="s">
        <v>9</v>
      </c>
      <c r="I108">
        <f t="shared" si="18"/>
        <v>2017</v>
      </c>
      <c r="J108" s="20">
        <f>+I108+(E108/12)</f>
        <v>2017.6666666666667</v>
      </c>
      <c r="K108" s="79">
        <v>6337.98</v>
      </c>
      <c r="L108" s="79">
        <f t="shared" si="20"/>
        <v>6337.98</v>
      </c>
      <c r="M108" s="79">
        <f t="shared" si="21"/>
        <v>52.816499999999998</v>
      </c>
      <c r="N108" s="79">
        <f t="shared" si="22"/>
        <v>633.798</v>
      </c>
      <c r="O108" s="79">
        <f t="shared" si="23"/>
        <v>0</v>
      </c>
      <c r="P108" s="79">
        <f t="shared" si="24"/>
        <v>6337.98</v>
      </c>
      <c r="Q108" s="79">
        <f t="shared" si="25"/>
        <v>6337.98</v>
      </c>
      <c r="R108" s="79">
        <f t="shared" si="26"/>
        <v>0</v>
      </c>
    </row>
    <row r="109" spans="2:18">
      <c r="B109" s="50">
        <v>20</v>
      </c>
      <c r="C109" t="s">
        <v>562</v>
      </c>
      <c r="D109">
        <v>2007</v>
      </c>
      <c r="E109">
        <v>5</v>
      </c>
      <c r="F109">
        <v>0</v>
      </c>
      <c r="G109" t="s">
        <v>78</v>
      </c>
      <c r="H109" s="22" t="s">
        <v>9</v>
      </c>
      <c r="I109">
        <f t="shared" ref="I109:I140" si="28">D109+H109</f>
        <v>2017</v>
      </c>
      <c r="J109" s="112"/>
      <c r="K109" s="79">
        <v>8548.66</v>
      </c>
      <c r="L109" s="79">
        <f t="shared" ref="L109:L140" si="29">K109-K109*F109</f>
        <v>8548.66</v>
      </c>
      <c r="M109" s="79">
        <f t="shared" ref="M109:M140" si="30">L109/H109/12</f>
        <v>71.238833333333332</v>
      </c>
      <c r="N109" s="79">
        <f t="shared" ref="N109:N140" si="31">+M109*12</f>
        <v>854.86599999999999</v>
      </c>
      <c r="O109" s="79">
        <f t="shared" ref="O109:O140" si="32">+IF(J109&lt;=$L$5,0,IF(I109&gt;$L$4,N109,(M109*E109)))</f>
        <v>0</v>
      </c>
      <c r="P109" s="79">
        <f t="shared" ref="P109:P140" si="33">+IF(O109=0,L109,IF($L$3-D109&lt;1,0,(($L$3-D109)*O109)))</f>
        <v>8548.66</v>
      </c>
      <c r="Q109" s="79">
        <f t="shared" ref="Q109:Q140" si="34">+IF(O109=0,P109,P109+O109)</f>
        <v>8548.66</v>
      </c>
      <c r="R109" s="79">
        <f t="shared" ref="R109:R140" si="35">+K109-Q109</f>
        <v>0</v>
      </c>
    </row>
    <row r="110" spans="2:18">
      <c r="B110" s="50">
        <v>24</v>
      </c>
      <c r="C110" t="s">
        <v>562</v>
      </c>
      <c r="D110">
        <v>2007</v>
      </c>
      <c r="E110">
        <v>6</v>
      </c>
      <c r="F110">
        <v>0</v>
      </c>
      <c r="G110" t="s">
        <v>78</v>
      </c>
      <c r="H110" s="22" t="s">
        <v>9</v>
      </c>
      <c r="I110">
        <f t="shared" si="28"/>
        <v>2017</v>
      </c>
      <c r="J110" s="112"/>
      <c r="K110" s="79">
        <v>10721.21</v>
      </c>
      <c r="L110" s="79">
        <f t="shared" si="29"/>
        <v>10721.21</v>
      </c>
      <c r="M110" s="79">
        <f t="shared" si="30"/>
        <v>89.343416666666656</v>
      </c>
      <c r="N110" s="79">
        <f t="shared" si="31"/>
        <v>1072.1209999999999</v>
      </c>
      <c r="O110" s="79">
        <f t="shared" si="32"/>
        <v>0</v>
      </c>
      <c r="P110" s="79">
        <f t="shared" si="33"/>
        <v>10721.21</v>
      </c>
      <c r="Q110" s="79">
        <f t="shared" si="34"/>
        <v>10721.21</v>
      </c>
      <c r="R110" s="79">
        <f t="shared" si="35"/>
        <v>0</v>
      </c>
    </row>
    <row r="111" spans="2:18">
      <c r="B111" s="50">
        <v>29</v>
      </c>
      <c r="C111" t="s">
        <v>562</v>
      </c>
      <c r="D111">
        <v>2007</v>
      </c>
      <c r="E111">
        <v>9</v>
      </c>
      <c r="F111">
        <v>0</v>
      </c>
      <c r="G111" t="s">
        <v>78</v>
      </c>
      <c r="H111" s="22" t="s">
        <v>9</v>
      </c>
      <c r="I111">
        <f t="shared" si="28"/>
        <v>2017</v>
      </c>
      <c r="J111" s="112"/>
      <c r="K111" s="79">
        <v>13081.07</v>
      </c>
      <c r="L111" s="79">
        <f t="shared" si="29"/>
        <v>13081.07</v>
      </c>
      <c r="M111" s="79">
        <f t="shared" si="30"/>
        <v>109.00891666666666</v>
      </c>
      <c r="N111" s="79">
        <f t="shared" si="31"/>
        <v>1308.107</v>
      </c>
      <c r="O111" s="79">
        <f t="shared" si="32"/>
        <v>0</v>
      </c>
      <c r="P111" s="79">
        <f t="shared" si="33"/>
        <v>13081.07</v>
      </c>
      <c r="Q111" s="79">
        <f t="shared" si="34"/>
        <v>13081.07</v>
      </c>
      <c r="R111" s="79">
        <f t="shared" si="35"/>
        <v>0</v>
      </c>
    </row>
    <row r="112" spans="2:18">
      <c r="B112" s="50">
        <v>21</v>
      </c>
      <c r="C112" t="s">
        <v>562</v>
      </c>
      <c r="D112">
        <v>2007</v>
      </c>
      <c r="E112">
        <v>10</v>
      </c>
      <c r="F112">
        <v>0</v>
      </c>
      <c r="G112" t="s">
        <v>78</v>
      </c>
      <c r="H112" s="22" t="s">
        <v>9</v>
      </c>
      <c r="I112">
        <f t="shared" si="28"/>
        <v>2017</v>
      </c>
      <c r="J112" s="112"/>
      <c r="K112" s="79">
        <v>9746.5499999999993</v>
      </c>
      <c r="L112" s="79">
        <f t="shared" si="29"/>
        <v>9746.5499999999993</v>
      </c>
      <c r="M112" s="79">
        <f t="shared" si="30"/>
        <v>81.221249999999998</v>
      </c>
      <c r="N112" s="79">
        <f t="shared" si="31"/>
        <v>974.65499999999997</v>
      </c>
      <c r="O112" s="79">
        <f t="shared" si="32"/>
        <v>0</v>
      </c>
      <c r="P112" s="79">
        <f t="shared" si="33"/>
        <v>9746.5499999999993</v>
      </c>
      <c r="Q112" s="79">
        <f t="shared" si="34"/>
        <v>9746.5499999999993</v>
      </c>
      <c r="R112" s="79">
        <f t="shared" si="35"/>
        <v>0</v>
      </c>
    </row>
    <row r="113" spans="1:18">
      <c r="A113" s="119">
        <v>200572</v>
      </c>
      <c r="B113" s="50">
        <v>99</v>
      </c>
      <c r="C113" s="50" t="s">
        <v>614</v>
      </c>
      <c r="D113" s="50">
        <v>2008</v>
      </c>
      <c r="E113" s="50">
        <v>11</v>
      </c>
      <c r="F113" s="50">
        <v>0</v>
      </c>
      <c r="G113" s="50" t="s">
        <v>78</v>
      </c>
      <c r="H113" s="62">
        <v>12</v>
      </c>
      <c r="I113" s="50">
        <f t="shared" si="28"/>
        <v>2020</v>
      </c>
      <c r="J113" s="85">
        <f>+I113+(E113/12)</f>
        <v>2020.9166666666667</v>
      </c>
      <c r="K113" s="86">
        <v>13825.35</v>
      </c>
      <c r="L113" s="86">
        <f t="shared" si="29"/>
        <v>13825.35</v>
      </c>
      <c r="M113" s="86">
        <f t="shared" si="30"/>
        <v>96.009374999999991</v>
      </c>
      <c r="N113" s="86">
        <f t="shared" si="31"/>
        <v>1152.1125</v>
      </c>
      <c r="O113" s="86">
        <f t="shared" si="32"/>
        <v>1152.1125</v>
      </c>
      <c r="P113" s="86">
        <f t="shared" si="33"/>
        <v>11521.125</v>
      </c>
      <c r="Q113" s="86">
        <f t="shared" si="34"/>
        <v>12673.237499999999</v>
      </c>
      <c r="R113" s="86">
        <f t="shared" si="35"/>
        <v>1152.1125000000011</v>
      </c>
    </row>
    <row r="114" spans="1:18">
      <c r="B114" s="50">
        <v>17</v>
      </c>
      <c r="C114" t="s">
        <v>279</v>
      </c>
      <c r="D114">
        <v>2008</v>
      </c>
      <c r="E114">
        <v>1</v>
      </c>
      <c r="F114">
        <v>0</v>
      </c>
      <c r="G114" t="s">
        <v>78</v>
      </c>
      <c r="H114" s="22" t="s">
        <v>9</v>
      </c>
      <c r="I114">
        <f t="shared" si="28"/>
        <v>2018</v>
      </c>
      <c r="J114" s="20">
        <f>+I114+(E114/12)</f>
        <v>2018.0833333333333</v>
      </c>
      <c r="K114" s="79">
        <v>4900.5</v>
      </c>
      <c r="L114" s="79">
        <f t="shared" si="29"/>
        <v>4900.5</v>
      </c>
      <c r="M114" s="79">
        <f t="shared" si="30"/>
        <v>40.837499999999999</v>
      </c>
      <c r="N114" s="79">
        <f t="shared" si="31"/>
        <v>490.04999999999995</v>
      </c>
      <c r="O114" s="79">
        <f t="shared" si="32"/>
        <v>0</v>
      </c>
      <c r="P114" s="79">
        <f t="shared" si="33"/>
        <v>4900.5</v>
      </c>
      <c r="Q114" s="79">
        <f t="shared" si="34"/>
        <v>4900.5</v>
      </c>
      <c r="R114" s="79">
        <f t="shared" si="35"/>
        <v>0</v>
      </c>
    </row>
    <row r="115" spans="1:18">
      <c r="A115" s="119">
        <v>200583</v>
      </c>
      <c r="B115" s="50">
        <v>244</v>
      </c>
      <c r="C115" s="50" t="s">
        <v>791</v>
      </c>
      <c r="D115" s="50">
        <v>2008</v>
      </c>
      <c r="E115" s="50">
        <v>11</v>
      </c>
      <c r="F115" s="50">
        <v>0</v>
      </c>
      <c r="G115" s="50" t="s">
        <v>78</v>
      </c>
      <c r="H115" s="62">
        <v>12</v>
      </c>
      <c r="I115" s="50">
        <f t="shared" si="28"/>
        <v>2020</v>
      </c>
      <c r="J115" s="85">
        <f>+I115+(E115/12)</f>
        <v>2020.9166666666667</v>
      </c>
      <c r="K115" s="86">
        <v>34074.6</v>
      </c>
      <c r="L115" s="86">
        <f t="shared" si="29"/>
        <v>34074.6</v>
      </c>
      <c r="M115" s="86">
        <f t="shared" si="30"/>
        <v>236.62916666666663</v>
      </c>
      <c r="N115" s="86">
        <f t="shared" si="31"/>
        <v>2839.5499999999997</v>
      </c>
      <c r="O115" s="86">
        <f t="shared" si="32"/>
        <v>2839.5499999999997</v>
      </c>
      <c r="P115" s="86">
        <f t="shared" si="33"/>
        <v>28395.499999999996</v>
      </c>
      <c r="Q115" s="86">
        <f t="shared" si="34"/>
        <v>31235.049999999996</v>
      </c>
      <c r="R115" s="86">
        <f t="shared" si="35"/>
        <v>2839.5500000000029</v>
      </c>
    </row>
    <row r="116" spans="1:18">
      <c r="B116" s="50">
        <v>54</v>
      </c>
      <c r="C116" t="s">
        <v>140</v>
      </c>
      <c r="D116">
        <v>2008</v>
      </c>
      <c r="E116">
        <v>8</v>
      </c>
      <c r="F116">
        <v>0</v>
      </c>
      <c r="G116" t="s">
        <v>78</v>
      </c>
      <c r="H116" s="22" t="s">
        <v>8</v>
      </c>
      <c r="I116">
        <f t="shared" si="28"/>
        <v>2013</v>
      </c>
      <c r="J116" s="20">
        <f>+I116+(E116/12)</f>
        <v>2013.6666666666667</v>
      </c>
      <c r="K116" s="79">
        <v>22064.639999999999</v>
      </c>
      <c r="L116" s="79">
        <f t="shared" si="29"/>
        <v>22064.639999999999</v>
      </c>
      <c r="M116" s="79">
        <f t="shared" si="30"/>
        <v>367.74399999999997</v>
      </c>
      <c r="N116" s="79">
        <f t="shared" si="31"/>
        <v>4412.9279999999999</v>
      </c>
      <c r="O116" s="79">
        <f t="shared" si="32"/>
        <v>0</v>
      </c>
      <c r="P116" s="79">
        <f t="shared" si="33"/>
        <v>22064.639999999999</v>
      </c>
      <c r="Q116" s="79">
        <f t="shared" si="34"/>
        <v>22064.639999999999</v>
      </c>
      <c r="R116" s="79">
        <f t="shared" si="35"/>
        <v>0</v>
      </c>
    </row>
    <row r="117" spans="1:18" ht="14.25" customHeight="1">
      <c r="B117" s="50">
        <v>21</v>
      </c>
      <c r="C117" t="s">
        <v>561</v>
      </c>
      <c r="D117">
        <v>2008</v>
      </c>
      <c r="E117">
        <v>1</v>
      </c>
      <c r="F117">
        <v>0</v>
      </c>
      <c r="G117" t="s">
        <v>78</v>
      </c>
      <c r="H117" s="22" t="s">
        <v>9</v>
      </c>
      <c r="I117">
        <f t="shared" si="28"/>
        <v>2018</v>
      </c>
      <c r="J117" s="112"/>
      <c r="K117" s="79">
        <v>9746.5499999999993</v>
      </c>
      <c r="L117" s="79">
        <f t="shared" si="29"/>
        <v>9746.5499999999993</v>
      </c>
      <c r="M117" s="79">
        <f t="shared" si="30"/>
        <v>81.221249999999998</v>
      </c>
      <c r="N117" s="79">
        <f t="shared" si="31"/>
        <v>974.65499999999997</v>
      </c>
      <c r="O117" s="79">
        <f t="shared" si="32"/>
        <v>0</v>
      </c>
      <c r="P117" s="79">
        <f t="shared" si="33"/>
        <v>9746.5499999999993</v>
      </c>
      <c r="Q117" s="79">
        <f t="shared" si="34"/>
        <v>9746.5499999999993</v>
      </c>
      <c r="R117" s="79">
        <f t="shared" si="35"/>
        <v>0</v>
      </c>
    </row>
    <row r="118" spans="1:18">
      <c r="A118" s="118">
        <v>75723</v>
      </c>
      <c r="B118" s="50">
        <v>5</v>
      </c>
      <c r="C118" t="s">
        <v>391</v>
      </c>
      <c r="D118">
        <v>2010</v>
      </c>
      <c r="E118">
        <v>6</v>
      </c>
      <c r="F118">
        <v>0</v>
      </c>
      <c r="G118" t="s">
        <v>78</v>
      </c>
      <c r="H118" s="22">
        <v>10</v>
      </c>
      <c r="I118">
        <f t="shared" si="28"/>
        <v>2020</v>
      </c>
      <c r="J118" s="20">
        <f t="shared" ref="J118:J164" si="36">+I118+(E118/12)</f>
        <v>2020.5</v>
      </c>
      <c r="K118" s="79">
        <v>2741.65</v>
      </c>
      <c r="L118" s="79">
        <f t="shared" si="29"/>
        <v>2741.65</v>
      </c>
      <c r="M118" s="79">
        <f t="shared" si="30"/>
        <v>22.847083333333334</v>
      </c>
      <c r="N118" s="79">
        <f t="shared" si="31"/>
        <v>274.16500000000002</v>
      </c>
      <c r="O118" s="79">
        <f t="shared" si="32"/>
        <v>274.16500000000002</v>
      </c>
      <c r="P118" s="79">
        <f t="shared" si="33"/>
        <v>2193.3200000000002</v>
      </c>
      <c r="Q118" s="79">
        <f t="shared" si="34"/>
        <v>2467.4850000000001</v>
      </c>
      <c r="R118" s="79">
        <f t="shared" si="35"/>
        <v>274.16499999999996</v>
      </c>
    </row>
    <row r="119" spans="1:18">
      <c r="A119" s="118">
        <v>75726</v>
      </c>
      <c r="B119" s="50">
        <v>4</v>
      </c>
      <c r="C119" t="s">
        <v>392</v>
      </c>
      <c r="D119">
        <v>2010</v>
      </c>
      <c r="E119">
        <v>6</v>
      </c>
      <c r="F119">
        <v>0</v>
      </c>
      <c r="G119" t="s">
        <v>78</v>
      </c>
      <c r="H119" s="22">
        <v>10</v>
      </c>
      <c r="I119">
        <f t="shared" si="28"/>
        <v>2020</v>
      </c>
      <c r="J119" s="20">
        <f t="shared" si="36"/>
        <v>2020.5</v>
      </c>
      <c r="K119" s="79">
        <v>2805.4</v>
      </c>
      <c r="L119" s="79">
        <f t="shared" si="29"/>
        <v>2805.4</v>
      </c>
      <c r="M119" s="79">
        <f t="shared" si="30"/>
        <v>23.378333333333334</v>
      </c>
      <c r="N119" s="79">
        <f t="shared" si="31"/>
        <v>280.54000000000002</v>
      </c>
      <c r="O119" s="79">
        <f t="shared" si="32"/>
        <v>280.54000000000002</v>
      </c>
      <c r="P119" s="79">
        <f t="shared" si="33"/>
        <v>2244.3200000000002</v>
      </c>
      <c r="Q119" s="79">
        <f t="shared" si="34"/>
        <v>2524.86</v>
      </c>
      <c r="R119" s="79">
        <f t="shared" si="35"/>
        <v>280.53999999999996</v>
      </c>
    </row>
    <row r="120" spans="1:18">
      <c r="A120" s="118">
        <v>78223</v>
      </c>
      <c r="B120" s="50">
        <v>20</v>
      </c>
      <c r="C120" t="s">
        <v>403</v>
      </c>
      <c r="D120">
        <v>2010</v>
      </c>
      <c r="E120">
        <v>10</v>
      </c>
      <c r="F120">
        <v>0</v>
      </c>
      <c r="G120" t="s">
        <v>78</v>
      </c>
      <c r="H120" s="22">
        <v>10</v>
      </c>
      <c r="I120">
        <f t="shared" si="28"/>
        <v>2020</v>
      </c>
      <c r="J120" s="20">
        <f t="shared" si="36"/>
        <v>2020.8333333333333</v>
      </c>
      <c r="K120" s="79">
        <v>14298.63</v>
      </c>
      <c r="L120" s="79">
        <f t="shared" si="29"/>
        <v>14298.63</v>
      </c>
      <c r="M120" s="79">
        <f t="shared" si="30"/>
        <v>119.15524999999998</v>
      </c>
      <c r="N120" s="79">
        <f t="shared" si="31"/>
        <v>1429.8629999999998</v>
      </c>
      <c r="O120" s="79">
        <f t="shared" si="32"/>
        <v>1429.8629999999998</v>
      </c>
      <c r="P120" s="79">
        <f t="shared" si="33"/>
        <v>11438.903999999999</v>
      </c>
      <c r="Q120" s="79">
        <f t="shared" si="34"/>
        <v>12868.766999999998</v>
      </c>
      <c r="R120" s="79">
        <f t="shared" si="35"/>
        <v>1429.8630000000012</v>
      </c>
    </row>
    <row r="121" spans="1:18">
      <c r="A121" s="118">
        <v>168615</v>
      </c>
      <c r="B121" s="50">
        <v>14</v>
      </c>
      <c r="C121" t="s">
        <v>178</v>
      </c>
      <c r="D121">
        <v>2011</v>
      </c>
      <c r="E121">
        <v>1</v>
      </c>
      <c r="F121">
        <v>0</v>
      </c>
      <c r="G121" t="s">
        <v>78</v>
      </c>
      <c r="H121" s="22">
        <v>1</v>
      </c>
      <c r="I121">
        <f t="shared" si="28"/>
        <v>2012</v>
      </c>
      <c r="J121" s="20">
        <f t="shared" si="36"/>
        <v>2012.0833333333333</v>
      </c>
      <c r="K121" s="79">
        <v>0.01</v>
      </c>
      <c r="L121" s="79">
        <f t="shared" si="29"/>
        <v>0.01</v>
      </c>
      <c r="M121" s="79">
        <f t="shared" si="30"/>
        <v>8.3333333333333339E-4</v>
      </c>
      <c r="N121" s="79">
        <f t="shared" si="31"/>
        <v>0.01</v>
      </c>
      <c r="O121" s="79">
        <f t="shared" si="32"/>
        <v>0</v>
      </c>
      <c r="P121" s="79">
        <f t="shared" si="33"/>
        <v>0.01</v>
      </c>
      <c r="Q121" s="79">
        <f t="shared" si="34"/>
        <v>0.01</v>
      </c>
      <c r="R121" s="79">
        <f t="shared" si="35"/>
        <v>0</v>
      </c>
    </row>
    <row r="122" spans="1:18">
      <c r="A122" s="118">
        <v>107056</v>
      </c>
      <c r="B122" s="50">
        <v>20</v>
      </c>
      <c r="C122" t="s">
        <v>279</v>
      </c>
      <c r="D122">
        <v>2013</v>
      </c>
      <c r="E122">
        <v>8</v>
      </c>
      <c r="F122">
        <v>0</v>
      </c>
      <c r="G122" t="s">
        <v>78</v>
      </c>
      <c r="H122" s="22">
        <v>12</v>
      </c>
      <c r="I122">
        <f t="shared" si="28"/>
        <v>2025</v>
      </c>
      <c r="J122" s="20">
        <f t="shared" si="36"/>
        <v>2025.6666666666667</v>
      </c>
      <c r="K122" s="79">
        <v>8913.4</v>
      </c>
      <c r="L122" s="79">
        <f t="shared" si="29"/>
        <v>8913.4</v>
      </c>
      <c r="M122" s="79">
        <f t="shared" si="30"/>
        <v>61.898611111111109</v>
      </c>
      <c r="N122" s="79">
        <f t="shared" si="31"/>
        <v>742.7833333333333</v>
      </c>
      <c r="O122" s="79">
        <f t="shared" si="32"/>
        <v>742.7833333333333</v>
      </c>
      <c r="P122" s="79">
        <f t="shared" si="33"/>
        <v>3713.9166666666665</v>
      </c>
      <c r="Q122" s="79">
        <f t="shared" si="34"/>
        <v>4456.7</v>
      </c>
      <c r="R122" s="79">
        <f t="shared" si="35"/>
        <v>4456.7</v>
      </c>
    </row>
    <row r="123" spans="1:18">
      <c r="A123" s="118">
        <v>106520</v>
      </c>
      <c r="B123" s="50">
        <v>20</v>
      </c>
      <c r="C123" t="s">
        <v>263</v>
      </c>
      <c r="D123">
        <v>2013</v>
      </c>
      <c r="E123">
        <v>8</v>
      </c>
      <c r="F123">
        <v>0</v>
      </c>
      <c r="G123" t="s">
        <v>78</v>
      </c>
      <c r="H123" s="22">
        <v>12</v>
      </c>
      <c r="I123">
        <f t="shared" si="28"/>
        <v>2025</v>
      </c>
      <c r="J123" s="20">
        <f t="shared" si="36"/>
        <v>2025.6666666666667</v>
      </c>
      <c r="K123" s="79">
        <v>10000.4</v>
      </c>
      <c r="L123" s="79">
        <f t="shared" si="29"/>
        <v>10000.4</v>
      </c>
      <c r="M123" s="79">
        <f t="shared" si="30"/>
        <v>69.447222222222223</v>
      </c>
      <c r="N123" s="79">
        <f t="shared" si="31"/>
        <v>833.36666666666667</v>
      </c>
      <c r="O123" s="79">
        <f t="shared" si="32"/>
        <v>833.36666666666667</v>
      </c>
      <c r="P123" s="79">
        <f t="shared" si="33"/>
        <v>4166.833333333333</v>
      </c>
      <c r="Q123" s="79">
        <f t="shared" si="34"/>
        <v>5000.2</v>
      </c>
      <c r="R123" s="79">
        <f t="shared" si="35"/>
        <v>5000.2</v>
      </c>
    </row>
    <row r="124" spans="1:18">
      <c r="A124" s="118" t="s">
        <v>484</v>
      </c>
      <c r="B124" s="50">
        <v>20</v>
      </c>
      <c r="C124" s="112" t="s">
        <v>228</v>
      </c>
      <c r="D124" s="112">
        <v>2013</v>
      </c>
      <c r="E124" s="112">
        <v>8</v>
      </c>
      <c r="F124" s="112">
        <v>0</v>
      </c>
      <c r="G124" s="112" t="s">
        <v>78</v>
      </c>
      <c r="H124" s="22">
        <v>12</v>
      </c>
      <c r="I124" s="112">
        <f t="shared" si="28"/>
        <v>2025</v>
      </c>
      <c r="J124" s="20">
        <f t="shared" si="36"/>
        <v>2025.6666666666667</v>
      </c>
      <c r="K124" s="79">
        <f>7500.3+5000.2</f>
        <v>12500.5</v>
      </c>
      <c r="L124" s="79">
        <f t="shared" si="29"/>
        <v>12500.5</v>
      </c>
      <c r="M124" s="79">
        <f t="shared" si="30"/>
        <v>86.809027777777771</v>
      </c>
      <c r="N124" s="79">
        <f t="shared" si="31"/>
        <v>1041.7083333333333</v>
      </c>
      <c r="O124" s="79">
        <f t="shared" si="32"/>
        <v>1041.7083333333333</v>
      </c>
      <c r="P124" s="79">
        <f t="shared" si="33"/>
        <v>5208.5416666666661</v>
      </c>
      <c r="Q124" s="79">
        <f t="shared" si="34"/>
        <v>6250.2499999999991</v>
      </c>
      <c r="R124" s="79">
        <f t="shared" si="35"/>
        <v>6250.2500000000009</v>
      </c>
    </row>
    <row r="125" spans="1:18" ht="25.5">
      <c r="A125" s="118" t="s">
        <v>485</v>
      </c>
      <c r="B125" s="50">
        <f>11+4+10</f>
        <v>25</v>
      </c>
      <c r="C125" t="s">
        <v>486</v>
      </c>
      <c r="D125">
        <v>2013</v>
      </c>
      <c r="E125">
        <v>9</v>
      </c>
      <c r="F125">
        <v>0</v>
      </c>
      <c r="G125" t="s">
        <v>78</v>
      </c>
      <c r="H125" s="22">
        <v>12</v>
      </c>
      <c r="I125">
        <f t="shared" si="28"/>
        <v>2025</v>
      </c>
      <c r="J125" s="20">
        <f t="shared" si="36"/>
        <v>2025.75</v>
      </c>
      <c r="K125" s="79">
        <f>8668.83+3152.3+3940.38</f>
        <v>15761.510000000002</v>
      </c>
      <c r="L125" s="79">
        <f t="shared" si="29"/>
        <v>15761.510000000002</v>
      </c>
      <c r="M125" s="79">
        <f t="shared" si="30"/>
        <v>109.45493055555556</v>
      </c>
      <c r="N125" s="79">
        <f t="shared" si="31"/>
        <v>1313.4591666666668</v>
      </c>
      <c r="O125" s="79">
        <f t="shared" si="32"/>
        <v>1313.4591666666668</v>
      </c>
      <c r="P125" s="79">
        <f t="shared" si="33"/>
        <v>6567.2958333333336</v>
      </c>
      <c r="Q125" s="79">
        <f t="shared" si="34"/>
        <v>7880.7550000000001</v>
      </c>
      <c r="R125" s="79">
        <f t="shared" si="35"/>
        <v>7880.7550000000019</v>
      </c>
    </row>
    <row r="126" spans="1:18">
      <c r="A126" s="118">
        <v>116680</v>
      </c>
      <c r="B126" s="50">
        <v>15</v>
      </c>
      <c r="C126" s="112" t="s">
        <v>518</v>
      </c>
      <c r="D126" s="112">
        <v>2014</v>
      </c>
      <c r="E126" s="112">
        <v>10</v>
      </c>
      <c r="F126" s="112">
        <v>0</v>
      </c>
      <c r="G126" s="112" t="s">
        <v>78</v>
      </c>
      <c r="H126" s="22">
        <v>12</v>
      </c>
      <c r="I126" s="112">
        <f t="shared" si="28"/>
        <v>2026</v>
      </c>
      <c r="J126" s="20">
        <f t="shared" si="36"/>
        <v>2026.8333333333333</v>
      </c>
      <c r="K126" s="79">
        <v>6799.19</v>
      </c>
      <c r="L126" s="79">
        <f t="shared" si="29"/>
        <v>6799.19</v>
      </c>
      <c r="M126" s="79">
        <f t="shared" si="30"/>
        <v>47.216597222222219</v>
      </c>
      <c r="N126" s="79">
        <f t="shared" si="31"/>
        <v>566.59916666666663</v>
      </c>
      <c r="O126" s="79">
        <f t="shared" si="32"/>
        <v>566.59916666666663</v>
      </c>
      <c r="P126" s="79">
        <f t="shared" si="33"/>
        <v>2266.3966666666665</v>
      </c>
      <c r="Q126" s="79">
        <f t="shared" si="34"/>
        <v>2832.9958333333334</v>
      </c>
      <c r="R126" s="79">
        <f t="shared" si="35"/>
        <v>3966.1941666666662</v>
      </c>
    </row>
    <row r="127" spans="1:18">
      <c r="A127" s="118">
        <v>116678</v>
      </c>
      <c r="B127" s="50">
        <v>15</v>
      </c>
      <c r="C127" t="s">
        <v>516</v>
      </c>
      <c r="D127">
        <v>2014</v>
      </c>
      <c r="E127">
        <v>10</v>
      </c>
      <c r="F127">
        <v>0</v>
      </c>
      <c r="G127" t="s">
        <v>78</v>
      </c>
      <c r="H127" s="22">
        <v>12</v>
      </c>
      <c r="I127">
        <f t="shared" si="28"/>
        <v>2026</v>
      </c>
      <c r="J127" s="20">
        <f t="shared" si="36"/>
        <v>2026.8333333333333</v>
      </c>
      <c r="K127" s="79">
        <v>7272.03</v>
      </c>
      <c r="L127" s="79">
        <f t="shared" si="29"/>
        <v>7272.03</v>
      </c>
      <c r="M127" s="79">
        <f t="shared" si="30"/>
        <v>50.500208333333326</v>
      </c>
      <c r="N127" s="79">
        <f t="shared" si="31"/>
        <v>606.00249999999994</v>
      </c>
      <c r="O127" s="79">
        <f t="shared" si="32"/>
        <v>606.00249999999994</v>
      </c>
      <c r="P127" s="79">
        <f t="shared" si="33"/>
        <v>2424.0099999999998</v>
      </c>
      <c r="Q127" s="79">
        <f t="shared" si="34"/>
        <v>3030.0124999999998</v>
      </c>
      <c r="R127" s="79">
        <f t="shared" si="35"/>
        <v>4242.0174999999999</v>
      </c>
    </row>
    <row r="128" spans="1:18">
      <c r="A128" s="118">
        <v>116679</v>
      </c>
      <c r="B128" s="50">
        <v>20</v>
      </c>
      <c r="C128" t="s">
        <v>517</v>
      </c>
      <c r="D128">
        <v>2014</v>
      </c>
      <c r="E128">
        <v>10</v>
      </c>
      <c r="F128">
        <v>0</v>
      </c>
      <c r="G128" t="s">
        <v>78</v>
      </c>
      <c r="H128" s="22">
        <v>12</v>
      </c>
      <c r="I128">
        <f t="shared" si="28"/>
        <v>2026</v>
      </c>
      <c r="J128" s="20">
        <f t="shared" si="36"/>
        <v>2026.8333333333333</v>
      </c>
      <c r="K128" s="79">
        <v>10761.3</v>
      </c>
      <c r="L128" s="79">
        <f t="shared" si="29"/>
        <v>10761.3</v>
      </c>
      <c r="M128" s="79">
        <f t="shared" si="30"/>
        <v>74.731250000000003</v>
      </c>
      <c r="N128" s="79">
        <f t="shared" si="31"/>
        <v>896.77500000000009</v>
      </c>
      <c r="O128" s="79">
        <f t="shared" si="32"/>
        <v>896.77500000000009</v>
      </c>
      <c r="P128" s="79">
        <f t="shared" si="33"/>
        <v>3587.1000000000004</v>
      </c>
      <c r="Q128" s="79">
        <f t="shared" si="34"/>
        <v>4483.875</v>
      </c>
      <c r="R128" s="79">
        <f t="shared" si="35"/>
        <v>6277.4249999999993</v>
      </c>
    </row>
    <row r="129" spans="1:18">
      <c r="A129" s="118">
        <v>117223</v>
      </c>
      <c r="B129" s="50">
        <v>15</v>
      </c>
      <c r="C129" t="s">
        <v>517</v>
      </c>
      <c r="D129">
        <v>2014</v>
      </c>
      <c r="E129">
        <v>11</v>
      </c>
      <c r="F129">
        <v>0</v>
      </c>
      <c r="G129" t="s">
        <v>78</v>
      </c>
      <c r="H129" s="22">
        <v>12</v>
      </c>
      <c r="I129">
        <f t="shared" si="28"/>
        <v>2026</v>
      </c>
      <c r="J129" s="20">
        <f t="shared" si="36"/>
        <v>2026.9166666666667</v>
      </c>
      <c r="K129" s="79">
        <v>7907.93</v>
      </c>
      <c r="L129" s="79">
        <f t="shared" si="29"/>
        <v>7907.93</v>
      </c>
      <c r="M129" s="79">
        <f t="shared" si="30"/>
        <v>54.916180555555563</v>
      </c>
      <c r="N129" s="79">
        <f t="shared" si="31"/>
        <v>658.99416666666673</v>
      </c>
      <c r="O129" s="79">
        <f t="shared" si="32"/>
        <v>658.99416666666673</v>
      </c>
      <c r="P129" s="79">
        <f t="shared" si="33"/>
        <v>2635.9766666666669</v>
      </c>
      <c r="Q129" s="79">
        <f t="shared" si="34"/>
        <v>3294.9708333333338</v>
      </c>
      <c r="R129" s="79">
        <f t="shared" si="35"/>
        <v>4612.9591666666665</v>
      </c>
    </row>
    <row r="130" spans="1:18">
      <c r="A130" s="118">
        <v>117226</v>
      </c>
      <c r="B130" s="50">
        <v>10</v>
      </c>
      <c r="C130" t="s">
        <v>521</v>
      </c>
      <c r="D130">
        <v>2014</v>
      </c>
      <c r="E130">
        <v>11</v>
      </c>
      <c r="F130">
        <v>0</v>
      </c>
      <c r="G130" t="s">
        <v>78</v>
      </c>
      <c r="H130" s="22">
        <v>12</v>
      </c>
      <c r="I130">
        <f t="shared" si="28"/>
        <v>2026</v>
      </c>
      <c r="J130" s="20">
        <f t="shared" si="36"/>
        <v>2026.9166666666667</v>
      </c>
      <c r="K130" s="79">
        <v>6087.2</v>
      </c>
      <c r="L130" s="79">
        <f t="shared" si="29"/>
        <v>6087.2</v>
      </c>
      <c r="M130" s="79">
        <f t="shared" si="30"/>
        <v>42.272222222222219</v>
      </c>
      <c r="N130" s="79">
        <f t="shared" si="31"/>
        <v>507.26666666666665</v>
      </c>
      <c r="O130" s="79">
        <f t="shared" si="32"/>
        <v>507.26666666666665</v>
      </c>
      <c r="P130" s="79">
        <f t="shared" si="33"/>
        <v>2029.0666666666666</v>
      </c>
      <c r="Q130" s="79">
        <f t="shared" si="34"/>
        <v>2536.333333333333</v>
      </c>
      <c r="R130" s="79">
        <f t="shared" si="35"/>
        <v>3550.8666666666668</v>
      </c>
    </row>
    <row r="131" spans="1:18">
      <c r="A131" s="118">
        <v>117224</v>
      </c>
      <c r="B131" s="50">
        <v>5</v>
      </c>
      <c r="C131" t="s">
        <v>523</v>
      </c>
      <c r="D131">
        <v>2014</v>
      </c>
      <c r="E131">
        <v>11</v>
      </c>
      <c r="F131">
        <v>0</v>
      </c>
      <c r="G131" t="s">
        <v>78</v>
      </c>
      <c r="H131" s="22">
        <v>12</v>
      </c>
      <c r="I131">
        <f t="shared" si="28"/>
        <v>2026</v>
      </c>
      <c r="J131" s="20">
        <f t="shared" si="36"/>
        <v>2026.9166666666667</v>
      </c>
      <c r="K131" s="79">
        <v>3206.65</v>
      </c>
      <c r="L131" s="79">
        <f t="shared" si="29"/>
        <v>3206.65</v>
      </c>
      <c r="M131" s="79">
        <f t="shared" si="30"/>
        <v>22.26840277777778</v>
      </c>
      <c r="N131" s="79">
        <f t="shared" si="31"/>
        <v>267.22083333333336</v>
      </c>
      <c r="O131" s="79">
        <f t="shared" si="32"/>
        <v>267.22083333333336</v>
      </c>
      <c r="P131" s="79">
        <f t="shared" si="33"/>
        <v>1068.8833333333334</v>
      </c>
      <c r="Q131" s="79">
        <f t="shared" si="34"/>
        <v>1336.1041666666667</v>
      </c>
      <c r="R131" s="79">
        <f t="shared" si="35"/>
        <v>1870.5458333333333</v>
      </c>
    </row>
    <row r="132" spans="1:18">
      <c r="A132" s="118">
        <v>117225</v>
      </c>
      <c r="B132" s="50">
        <v>10</v>
      </c>
      <c r="C132" t="s">
        <v>522</v>
      </c>
      <c r="D132">
        <v>2014</v>
      </c>
      <c r="E132">
        <v>11</v>
      </c>
      <c r="F132">
        <v>0</v>
      </c>
      <c r="G132" t="s">
        <v>78</v>
      </c>
      <c r="H132" s="22">
        <v>12</v>
      </c>
      <c r="I132">
        <f t="shared" si="28"/>
        <v>2026</v>
      </c>
      <c r="J132" s="20">
        <f t="shared" si="36"/>
        <v>2026.9166666666667</v>
      </c>
      <c r="K132" s="79">
        <v>8098.15</v>
      </c>
      <c r="L132" s="79">
        <f t="shared" si="29"/>
        <v>8098.15</v>
      </c>
      <c r="M132" s="79">
        <f t="shared" si="30"/>
        <v>56.237152777777773</v>
      </c>
      <c r="N132" s="79">
        <f t="shared" si="31"/>
        <v>674.8458333333333</v>
      </c>
      <c r="O132" s="79">
        <f t="shared" si="32"/>
        <v>674.8458333333333</v>
      </c>
      <c r="P132" s="79">
        <f t="shared" si="33"/>
        <v>2699.3833333333332</v>
      </c>
      <c r="Q132" s="79">
        <f t="shared" si="34"/>
        <v>3374.2291666666665</v>
      </c>
      <c r="R132" s="79">
        <f t="shared" si="35"/>
        <v>4723.9208333333336</v>
      </c>
    </row>
    <row r="133" spans="1:18">
      <c r="A133" s="118">
        <v>124971</v>
      </c>
      <c r="B133" s="50">
        <v>11</v>
      </c>
      <c r="C133" t="s">
        <v>518</v>
      </c>
      <c r="D133">
        <v>2015</v>
      </c>
      <c r="E133">
        <v>7</v>
      </c>
      <c r="F133">
        <v>0</v>
      </c>
      <c r="G133" t="s">
        <v>78</v>
      </c>
      <c r="H133" s="22">
        <v>12</v>
      </c>
      <c r="I133">
        <f t="shared" si="28"/>
        <v>2027</v>
      </c>
      <c r="J133" s="20">
        <f t="shared" si="36"/>
        <v>2027.5833333333333</v>
      </c>
      <c r="K133" s="79">
        <v>5287.17</v>
      </c>
      <c r="L133" s="79">
        <f t="shared" si="29"/>
        <v>5287.17</v>
      </c>
      <c r="M133" s="79">
        <f t="shared" si="30"/>
        <v>36.716458333333335</v>
      </c>
      <c r="N133" s="79">
        <f t="shared" si="31"/>
        <v>440.59750000000003</v>
      </c>
      <c r="O133" s="79">
        <f t="shared" si="32"/>
        <v>440.59750000000003</v>
      </c>
      <c r="P133" s="79">
        <f t="shared" si="33"/>
        <v>1321.7925</v>
      </c>
      <c r="Q133" s="79">
        <f t="shared" si="34"/>
        <v>1762.39</v>
      </c>
      <c r="R133" s="79">
        <f t="shared" si="35"/>
        <v>3524.7799999999997</v>
      </c>
    </row>
    <row r="134" spans="1:18">
      <c r="A134" s="118">
        <v>126750</v>
      </c>
      <c r="B134" s="50">
        <v>15</v>
      </c>
      <c r="C134" t="s">
        <v>518</v>
      </c>
      <c r="D134">
        <v>2015</v>
      </c>
      <c r="E134">
        <v>10</v>
      </c>
      <c r="F134">
        <v>0</v>
      </c>
      <c r="G134" t="s">
        <v>78</v>
      </c>
      <c r="H134" s="22">
        <v>12</v>
      </c>
      <c r="I134">
        <f t="shared" si="28"/>
        <v>2027</v>
      </c>
      <c r="J134" s="20">
        <f t="shared" si="36"/>
        <v>2027.8333333333333</v>
      </c>
      <c r="K134" s="79">
        <v>6522</v>
      </c>
      <c r="L134" s="79">
        <f t="shared" si="29"/>
        <v>6522</v>
      </c>
      <c r="M134" s="79">
        <f t="shared" si="30"/>
        <v>45.291666666666664</v>
      </c>
      <c r="N134" s="79">
        <f t="shared" si="31"/>
        <v>543.5</v>
      </c>
      <c r="O134" s="79">
        <f t="shared" si="32"/>
        <v>543.5</v>
      </c>
      <c r="P134" s="79">
        <f t="shared" si="33"/>
        <v>1630.5</v>
      </c>
      <c r="Q134" s="79">
        <f t="shared" si="34"/>
        <v>2174</v>
      </c>
      <c r="R134" s="79">
        <f t="shared" si="35"/>
        <v>4348</v>
      </c>
    </row>
    <row r="135" spans="1:18">
      <c r="A135" s="118">
        <v>124972</v>
      </c>
      <c r="B135" s="50">
        <v>11</v>
      </c>
      <c r="C135" t="s">
        <v>516</v>
      </c>
      <c r="D135">
        <v>2015</v>
      </c>
      <c r="E135">
        <v>7</v>
      </c>
      <c r="F135">
        <v>0</v>
      </c>
      <c r="G135" t="s">
        <v>78</v>
      </c>
      <c r="H135" s="22">
        <v>12</v>
      </c>
      <c r="I135">
        <f t="shared" si="28"/>
        <v>2027</v>
      </c>
      <c r="J135" s="20">
        <f t="shared" si="36"/>
        <v>2027.5833333333333</v>
      </c>
      <c r="K135" s="79">
        <v>5705.66</v>
      </c>
      <c r="L135" s="79">
        <f t="shared" si="29"/>
        <v>5705.66</v>
      </c>
      <c r="M135" s="79">
        <f t="shared" si="30"/>
        <v>39.622638888888886</v>
      </c>
      <c r="N135" s="79">
        <f t="shared" si="31"/>
        <v>475.47166666666664</v>
      </c>
      <c r="O135" s="79">
        <f t="shared" si="32"/>
        <v>475.47166666666664</v>
      </c>
      <c r="P135" s="79">
        <f t="shared" si="33"/>
        <v>1426.415</v>
      </c>
      <c r="Q135" s="79">
        <f t="shared" si="34"/>
        <v>1901.8866666666665</v>
      </c>
      <c r="R135" s="79">
        <f t="shared" si="35"/>
        <v>3803.7733333333335</v>
      </c>
    </row>
    <row r="136" spans="1:18">
      <c r="A136" s="118">
        <v>124973</v>
      </c>
      <c r="B136" s="50">
        <v>11</v>
      </c>
      <c r="C136" t="s">
        <v>517</v>
      </c>
      <c r="D136">
        <v>2015</v>
      </c>
      <c r="E136">
        <v>7</v>
      </c>
      <c r="F136">
        <v>0</v>
      </c>
      <c r="G136" t="s">
        <v>78</v>
      </c>
      <c r="H136" s="22">
        <v>12</v>
      </c>
      <c r="I136">
        <f t="shared" si="28"/>
        <v>2027</v>
      </c>
      <c r="J136" s="20">
        <f t="shared" si="36"/>
        <v>2027.5833333333333</v>
      </c>
      <c r="K136" s="79">
        <v>6028.5</v>
      </c>
      <c r="L136" s="79">
        <f t="shared" si="29"/>
        <v>6028.5</v>
      </c>
      <c r="M136" s="79">
        <f t="shared" si="30"/>
        <v>41.864583333333336</v>
      </c>
      <c r="N136" s="79">
        <f t="shared" si="31"/>
        <v>502.375</v>
      </c>
      <c r="O136" s="79">
        <f t="shared" si="32"/>
        <v>502.375</v>
      </c>
      <c r="P136" s="79">
        <f t="shared" si="33"/>
        <v>1507.125</v>
      </c>
      <c r="Q136" s="79">
        <f t="shared" si="34"/>
        <v>2009.5</v>
      </c>
      <c r="R136" s="79">
        <f t="shared" si="35"/>
        <v>4019</v>
      </c>
    </row>
    <row r="137" spans="1:18">
      <c r="A137" s="118">
        <v>126833</v>
      </c>
      <c r="B137" s="50">
        <v>15</v>
      </c>
      <c r="C137" t="s">
        <v>517</v>
      </c>
      <c r="D137">
        <v>2015</v>
      </c>
      <c r="E137">
        <v>10</v>
      </c>
      <c r="F137">
        <v>0</v>
      </c>
      <c r="G137" t="s">
        <v>78</v>
      </c>
      <c r="H137" s="22">
        <v>12</v>
      </c>
      <c r="I137">
        <f t="shared" si="28"/>
        <v>2027</v>
      </c>
      <c r="J137" s="20">
        <f t="shared" si="36"/>
        <v>2027.8333333333333</v>
      </c>
      <c r="K137" s="79">
        <v>7092.68</v>
      </c>
      <c r="L137" s="79">
        <f t="shared" si="29"/>
        <v>7092.68</v>
      </c>
      <c r="M137" s="79">
        <f t="shared" si="30"/>
        <v>49.254722222222227</v>
      </c>
      <c r="N137" s="79">
        <f t="shared" si="31"/>
        <v>591.05666666666673</v>
      </c>
      <c r="O137" s="79">
        <f t="shared" si="32"/>
        <v>591.05666666666673</v>
      </c>
      <c r="P137" s="79">
        <f t="shared" si="33"/>
        <v>1773.17</v>
      </c>
      <c r="Q137" s="79">
        <f t="shared" si="34"/>
        <v>2364.2266666666669</v>
      </c>
      <c r="R137" s="79">
        <f t="shared" si="35"/>
        <v>4728.4533333333329</v>
      </c>
    </row>
    <row r="138" spans="1:18" ht="11.25" customHeight="1">
      <c r="A138" s="118">
        <v>124969</v>
      </c>
      <c r="B138" s="50">
        <v>11</v>
      </c>
      <c r="C138" t="s">
        <v>567</v>
      </c>
      <c r="D138">
        <v>2015</v>
      </c>
      <c r="E138">
        <v>7</v>
      </c>
      <c r="F138">
        <v>0</v>
      </c>
      <c r="G138" t="s">
        <v>78</v>
      </c>
      <c r="H138" s="22">
        <v>12</v>
      </c>
      <c r="I138">
        <f t="shared" si="28"/>
        <v>2027</v>
      </c>
      <c r="J138" s="20">
        <f t="shared" si="36"/>
        <v>2027.5833333333333</v>
      </c>
      <c r="K138" s="79">
        <v>6662.22</v>
      </c>
      <c r="L138" s="79">
        <f t="shared" si="29"/>
        <v>6662.22</v>
      </c>
      <c r="M138" s="79">
        <f t="shared" si="30"/>
        <v>46.265416666666674</v>
      </c>
      <c r="N138" s="79">
        <f t="shared" si="31"/>
        <v>555.18500000000006</v>
      </c>
      <c r="O138" s="79">
        <f t="shared" si="32"/>
        <v>555.18500000000006</v>
      </c>
      <c r="P138" s="79">
        <f t="shared" si="33"/>
        <v>1665.5550000000003</v>
      </c>
      <c r="Q138" s="79">
        <f t="shared" si="34"/>
        <v>2220.7400000000002</v>
      </c>
      <c r="R138" s="79">
        <f t="shared" si="35"/>
        <v>4441.4799999999996</v>
      </c>
    </row>
    <row r="139" spans="1:18">
      <c r="A139" s="118">
        <v>126472</v>
      </c>
      <c r="B139" s="50">
        <v>10</v>
      </c>
      <c r="C139" t="s">
        <v>567</v>
      </c>
      <c r="D139">
        <v>2015</v>
      </c>
      <c r="E139">
        <v>10</v>
      </c>
      <c r="F139">
        <v>0</v>
      </c>
      <c r="G139" t="s">
        <v>78</v>
      </c>
      <c r="H139" s="22">
        <v>12</v>
      </c>
      <c r="I139">
        <f t="shared" si="28"/>
        <v>2027</v>
      </c>
      <c r="J139" s="20">
        <f t="shared" si="36"/>
        <v>2027.8333333333333</v>
      </c>
      <c r="K139" s="79">
        <v>6282.86</v>
      </c>
      <c r="L139" s="79">
        <f t="shared" si="29"/>
        <v>6282.86</v>
      </c>
      <c r="M139" s="79">
        <f t="shared" si="30"/>
        <v>43.630972222222219</v>
      </c>
      <c r="N139" s="79">
        <f t="shared" si="31"/>
        <v>523.5716666666666</v>
      </c>
      <c r="O139" s="79">
        <f t="shared" si="32"/>
        <v>523.5716666666666</v>
      </c>
      <c r="P139" s="79">
        <f t="shared" si="33"/>
        <v>1570.7149999999997</v>
      </c>
      <c r="Q139" s="79">
        <f t="shared" si="34"/>
        <v>2094.2866666666664</v>
      </c>
      <c r="R139" s="79">
        <f t="shared" si="35"/>
        <v>4188.5733333333337</v>
      </c>
    </row>
    <row r="140" spans="1:18">
      <c r="A140" s="118">
        <v>126867</v>
      </c>
      <c r="B140" s="50">
        <v>5</v>
      </c>
      <c r="C140" t="s">
        <v>582</v>
      </c>
      <c r="D140">
        <v>2015</v>
      </c>
      <c r="E140">
        <v>10</v>
      </c>
      <c r="F140">
        <v>0</v>
      </c>
      <c r="G140" t="s">
        <v>78</v>
      </c>
      <c r="H140" s="22">
        <v>12</v>
      </c>
      <c r="I140">
        <f t="shared" si="28"/>
        <v>2027</v>
      </c>
      <c r="J140" s="20">
        <f t="shared" si="36"/>
        <v>2027.8333333333333</v>
      </c>
      <c r="K140" s="79">
        <v>4864.33</v>
      </c>
      <c r="L140" s="79">
        <f t="shared" si="29"/>
        <v>4864.33</v>
      </c>
      <c r="M140" s="79">
        <f t="shared" si="30"/>
        <v>33.780069444444443</v>
      </c>
      <c r="N140" s="79">
        <f t="shared" si="31"/>
        <v>405.36083333333329</v>
      </c>
      <c r="O140" s="79">
        <f t="shared" si="32"/>
        <v>405.36083333333329</v>
      </c>
      <c r="P140" s="79">
        <f t="shared" si="33"/>
        <v>1216.0825</v>
      </c>
      <c r="Q140" s="79">
        <f t="shared" si="34"/>
        <v>1621.4433333333332</v>
      </c>
      <c r="R140" s="79">
        <f t="shared" si="35"/>
        <v>3242.8866666666668</v>
      </c>
    </row>
    <row r="141" spans="1:18">
      <c r="A141" s="118">
        <v>124970</v>
      </c>
      <c r="B141" s="50">
        <v>11</v>
      </c>
      <c r="C141" t="s">
        <v>568</v>
      </c>
      <c r="D141">
        <v>2015</v>
      </c>
      <c r="E141">
        <v>7</v>
      </c>
      <c r="F141">
        <v>0</v>
      </c>
      <c r="G141" t="s">
        <v>78</v>
      </c>
      <c r="H141" s="22">
        <v>12</v>
      </c>
      <c r="I141">
        <f t="shared" ref="I141:I164" si="37">D141+H141</f>
        <v>2027</v>
      </c>
      <c r="J141" s="20">
        <f t="shared" si="36"/>
        <v>2027.5833333333333</v>
      </c>
      <c r="K141" s="79">
        <v>8862.32</v>
      </c>
      <c r="L141" s="79">
        <f t="shared" ref="L141:L164" si="38">K141-K141*F141</f>
        <v>8862.32</v>
      </c>
      <c r="M141" s="79">
        <f t="shared" ref="M141:M164" si="39">L141/H141/12</f>
        <v>61.543888888888887</v>
      </c>
      <c r="N141" s="79">
        <f t="shared" ref="N141:N164" si="40">+M141*12</f>
        <v>738.52666666666664</v>
      </c>
      <c r="O141" s="79">
        <f t="shared" ref="O141:O164" si="41">+IF(J141&lt;=$L$5,0,IF(I141&gt;$L$4,N141,(M141*E141)))</f>
        <v>738.52666666666664</v>
      </c>
      <c r="P141" s="79">
        <f t="shared" ref="P141:P164" si="42">+IF(O141=0,L141,IF($L$3-D141&lt;1,0,(($L$3-D141)*O141)))</f>
        <v>2215.58</v>
      </c>
      <c r="Q141" s="79">
        <f t="shared" ref="Q141:Q164" si="43">+IF(O141=0,P141,P141+O141)</f>
        <v>2954.1066666666666</v>
      </c>
      <c r="R141" s="79">
        <f t="shared" ref="R141:R164" si="44">+K141-Q141</f>
        <v>5908.2133333333331</v>
      </c>
    </row>
    <row r="142" spans="1:18">
      <c r="A142" s="118">
        <v>126751</v>
      </c>
      <c r="B142" s="50">
        <v>3</v>
      </c>
      <c r="C142" t="s">
        <v>568</v>
      </c>
      <c r="D142">
        <v>2015</v>
      </c>
      <c r="E142">
        <v>10</v>
      </c>
      <c r="F142">
        <v>0</v>
      </c>
      <c r="G142" t="s">
        <v>78</v>
      </c>
      <c r="H142" s="22">
        <v>12</v>
      </c>
      <c r="I142">
        <f t="shared" si="37"/>
        <v>2027</v>
      </c>
      <c r="J142" s="20">
        <f t="shared" si="36"/>
        <v>2027.8333333333333</v>
      </c>
      <c r="K142" s="79">
        <v>2592.5</v>
      </c>
      <c r="L142" s="79">
        <f t="shared" si="38"/>
        <v>2592.5</v>
      </c>
      <c r="M142" s="79">
        <f t="shared" si="39"/>
        <v>18.003472222222221</v>
      </c>
      <c r="N142" s="79">
        <f t="shared" si="40"/>
        <v>216.04166666666666</v>
      </c>
      <c r="O142" s="79">
        <f t="shared" si="41"/>
        <v>216.04166666666666</v>
      </c>
      <c r="P142" s="79">
        <f t="shared" si="42"/>
        <v>648.125</v>
      </c>
      <c r="Q142" s="79">
        <f t="shared" si="43"/>
        <v>864.16666666666663</v>
      </c>
      <c r="R142" s="79">
        <f t="shared" si="44"/>
        <v>1728.3333333333335</v>
      </c>
    </row>
    <row r="143" spans="1:18">
      <c r="A143" s="118">
        <v>126832</v>
      </c>
      <c r="B143" s="50">
        <v>2</v>
      </c>
      <c r="C143" t="s">
        <v>568</v>
      </c>
      <c r="D143">
        <v>2015</v>
      </c>
      <c r="E143">
        <v>10</v>
      </c>
      <c r="F143">
        <v>0</v>
      </c>
      <c r="G143" t="s">
        <v>78</v>
      </c>
      <c r="H143" s="22">
        <v>12</v>
      </c>
      <c r="I143">
        <f t="shared" si="37"/>
        <v>2027</v>
      </c>
      <c r="J143" s="20">
        <f t="shared" si="36"/>
        <v>2027.8333333333333</v>
      </c>
      <c r="K143" s="79">
        <v>1728.33</v>
      </c>
      <c r="L143" s="79">
        <f t="shared" si="38"/>
        <v>1728.33</v>
      </c>
      <c r="M143" s="79">
        <f t="shared" si="39"/>
        <v>12.002291666666666</v>
      </c>
      <c r="N143" s="79">
        <f t="shared" si="40"/>
        <v>144.0275</v>
      </c>
      <c r="O143" s="79">
        <f t="shared" si="41"/>
        <v>144.0275</v>
      </c>
      <c r="P143" s="79">
        <f t="shared" si="42"/>
        <v>432.08249999999998</v>
      </c>
      <c r="Q143" s="79">
        <f t="shared" si="43"/>
        <v>576.11</v>
      </c>
      <c r="R143" s="79">
        <f t="shared" si="44"/>
        <v>1152.2199999999998</v>
      </c>
    </row>
    <row r="144" spans="1:18">
      <c r="A144" s="118">
        <v>132481</v>
      </c>
      <c r="B144" s="50">
        <v>25</v>
      </c>
      <c r="C144" t="s">
        <v>518</v>
      </c>
      <c r="D144">
        <v>2016</v>
      </c>
      <c r="E144">
        <v>4</v>
      </c>
      <c r="F144">
        <v>0</v>
      </c>
      <c r="G144" t="s">
        <v>78</v>
      </c>
      <c r="H144" s="22">
        <v>12</v>
      </c>
      <c r="I144">
        <f t="shared" si="37"/>
        <v>2028</v>
      </c>
      <c r="J144" s="20">
        <f t="shared" si="36"/>
        <v>2028.3333333333333</v>
      </c>
      <c r="K144" s="79">
        <v>10870</v>
      </c>
      <c r="L144" s="79">
        <f t="shared" si="38"/>
        <v>10870</v>
      </c>
      <c r="M144" s="79">
        <f t="shared" si="39"/>
        <v>75.486111111111114</v>
      </c>
      <c r="N144" s="79">
        <f t="shared" si="40"/>
        <v>905.83333333333337</v>
      </c>
      <c r="O144" s="79">
        <f t="shared" si="41"/>
        <v>905.83333333333337</v>
      </c>
      <c r="P144" s="79">
        <f t="shared" si="42"/>
        <v>1811.6666666666667</v>
      </c>
      <c r="Q144" s="79">
        <f t="shared" si="43"/>
        <v>2717.5</v>
      </c>
      <c r="R144" s="79">
        <f t="shared" si="44"/>
        <v>8152.5</v>
      </c>
    </row>
    <row r="145" spans="1:18" ht="12.75" customHeight="1">
      <c r="A145" s="118">
        <v>132482</v>
      </c>
      <c r="B145" s="50">
        <v>15</v>
      </c>
      <c r="C145" t="s">
        <v>516</v>
      </c>
      <c r="D145">
        <v>2016</v>
      </c>
      <c r="E145">
        <v>4</v>
      </c>
      <c r="F145">
        <v>0</v>
      </c>
      <c r="G145" t="s">
        <v>78</v>
      </c>
      <c r="H145" s="22">
        <v>12</v>
      </c>
      <c r="I145">
        <f t="shared" si="37"/>
        <v>2028</v>
      </c>
      <c r="J145" s="20">
        <f t="shared" si="36"/>
        <v>2028.3333333333333</v>
      </c>
      <c r="K145" s="79">
        <v>7092.68</v>
      </c>
      <c r="L145" s="79">
        <f t="shared" si="38"/>
        <v>7092.68</v>
      </c>
      <c r="M145" s="79">
        <f t="shared" si="39"/>
        <v>49.254722222222227</v>
      </c>
      <c r="N145" s="79">
        <f t="shared" si="40"/>
        <v>591.05666666666673</v>
      </c>
      <c r="O145" s="79">
        <f t="shared" si="41"/>
        <v>591.05666666666673</v>
      </c>
      <c r="P145" s="79">
        <f t="shared" si="42"/>
        <v>1182.1133333333335</v>
      </c>
      <c r="Q145" s="79">
        <f t="shared" si="43"/>
        <v>1773.17</v>
      </c>
      <c r="R145" s="79">
        <f t="shared" si="44"/>
        <v>5319.51</v>
      </c>
    </row>
    <row r="146" spans="1:18">
      <c r="A146" s="118">
        <v>167286</v>
      </c>
      <c r="B146" s="50">
        <v>40</v>
      </c>
      <c r="C146" t="s">
        <v>608</v>
      </c>
      <c r="D146">
        <v>2016</v>
      </c>
      <c r="E146">
        <v>8</v>
      </c>
      <c r="F146">
        <v>0</v>
      </c>
      <c r="G146" t="s">
        <v>78</v>
      </c>
      <c r="H146" s="22">
        <v>12</v>
      </c>
      <c r="I146">
        <f t="shared" si="37"/>
        <v>2028</v>
      </c>
      <c r="J146" s="20">
        <f t="shared" si="36"/>
        <v>2028.6666666666667</v>
      </c>
      <c r="K146" s="79">
        <v>23044.400000000001</v>
      </c>
      <c r="L146" s="79">
        <f t="shared" si="38"/>
        <v>23044.400000000001</v>
      </c>
      <c r="M146" s="79">
        <f t="shared" si="39"/>
        <v>160.03055555555557</v>
      </c>
      <c r="N146" s="79">
        <f t="shared" si="40"/>
        <v>1920.3666666666668</v>
      </c>
      <c r="O146" s="79">
        <f t="shared" si="41"/>
        <v>1920.3666666666668</v>
      </c>
      <c r="P146" s="79">
        <f t="shared" si="42"/>
        <v>3840.7333333333336</v>
      </c>
      <c r="Q146" s="79">
        <f t="shared" si="43"/>
        <v>5761.1</v>
      </c>
      <c r="R146" s="79">
        <f t="shared" si="44"/>
        <v>17283.300000000003</v>
      </c>
    </row>
    <row r="147" spans="1:18">
      <c r="A147" s="118">
        <v>132480</v>
      </c>
      <c r="B147" s="50">
        <v>10</v>
      </c>
      <c r="C147" s="112" t="s">
        <v>567</v>
      </c>
      <c r="D147" s="112">
        <v>2016</v>
      </c>
      <c r="E147" s="112">
        <v>4</v>
      </c>
      <c r="F147" s="112">
        <v>0</v>
      </c>
      <c r="G147" s="112" t="s">
        <v>78</v>
      </c>
      <c r="H147" s="22">
        <v>12</v>
      </c>
      <c r="I147" s="112">
        <f t="shared" si="37"/>
        <v>2028</v>
      </c>
      <c r="J147" s="20">
        <f t="shared" si="36"/>
        <v>2028.3333333333333</v>
      </c>
      <c r="K147" s="79">
        <v>6282.86</v>
      </c>
      <c r="L147" s="79">
        <f t="shared" si="38"/>
        <v>6282.86</v>
      </c>
      <c r="M147" s="79">
        <f t="shared" si="39"/>
        <v>43.630972222222219</v>
      </c>
      <c r="N147" s="79">
        <f t="shared" si="40"/>
        <v>523.5716666666666</v>
      </c>
      <c r="O147" s="79">
        <f t="shared" si="41"/>
        <v>523.5716666666666</v>
      </c>
      <c r="P147" s="79">
        <f t="shared" si="42"/>
        <v>1047.1433333333332</v>
      </c>
      <c r="Q147" s="79">
        <f t="shared" si="43"/>
        <v>1570.7149999999997</v>
      </c>
      <c r="R147" s="79">
        <f t="shared" si="44"/>
        <v>4712.1450000000004</v>
      </c>
    </row>
    <row r="148" spans="1:18">
      <c r="A148" s="118">
        <v>132478</v>
      </c>
      <c r="B148" s="50">
        <v>15</v>
      </c>
      <c r="C148" s="112" t="s">
        <v>568</v>
      </c>
      <c r="D148" s="112">
        <v>2016</v>
      </c>
      <c r="E148" s="112">
        <v>4</v>
      </c>
      <c r="F148" s="112">
        <v>0</v>
      </c>
      <c r="G148" s="112" t="s">
        <v>78</v>
      </c>
      <c r="H148" s="22">
        <v>12</v>
      </c>
      <c r="I148" s="112">
        <f t="shared" si="37"/>
        <v>2028</v>
      </c>
      <c r="J148" s="20">
        <f t="shared" si="36"/>
        <v>2028.3333333333333</v>
      </c>
      <c r="K148" s="79">
        <v>12636.38</v>
      </c>
      <c r="L148" s="79">
        <f t="shared" si="38"/>
        <v>12636.38</v>
      </c>
      <c r="M148" s="79">
        <f t="shared" si="39"/>
        <v>87.752638888888882</v>
      </c>
      <c r="N148" s="79">
        <f t="shared" si="40"/>
        <v>1053.0316666666665</v>
      </c>
      <c r="O148" s="79">
        <f t="shared" si="41"/>
        <v>1053.0316666666665</v>
      </c>
      <c r="P148" s="79">
        <f t="shared" si="42"/>
        <v>2106.063333333333</v>
      </c>
      <c r="Q148" s="79">
        <f t="shared" si="43"/>
        <v>3159.0949999999993</v>
      </c>
      <c r="R148" s="79">
        <f t="shared" si="44"/>
        <v>9477.2849999999999</v>
      </c>
    </row>
    <row r="149" spans="1:18">
      <c r="A149" s="118">
        <v>177571</v>
      </c>
      <c r="B149" s="50">
        <v>8</v>
      </c>
      <c r="C149" s="112" t="s">
        <v>614</v>
      </c>
      <c r="D149" s="112">
        <v>2017</v>
      </c>
      <c r="E149" s="112">
        <v>1</v>
      </c>
      <c r="F149" s="112">
        <v>0</v>
      </c>
      <c r="G149" s="112" t="s">
        <v>78</v>
      </c>
      <c r="H149" s="22">
        <v>12</v>
      </c>
      <c r="I149" s="112">
        <f t="shared" si="37"/>
        <v>2029</v>
      </c>
      <c r="J149" s="20">
        <f t="shared" si="36"/>
        <v>2029.0833333333333</v>
      </c>
      <c r="K149" s="79">
        <v>3921.9</v>
      </c>
      <c r="L149" s="79">
        <f t="shared" si="38"/>
        <v>3921.9</v>
      </c>
      <c r="M149" s="79">
        <f t="shared" si="39"/>
        <v>27.235416666666666</v>
      </c>
      <c r="N149" s="79">
        <f t="shared" si="40"/>
        <v>326.82499999999999</v>
      </c>
      <c r="O149" s="79">
        <f t="shared" si="41"/>
        <v>326.82499999999999</v>
      </c>
      <c r="P149" s="79">
        <f t="shared" si="42"/>
        <v>326.82499999999999</v>
      </c>
      <c r="Q149" s="79">
        <f t="shared" si="43"/>
        <v>653.65</v>
      </c>
      <c r="R149" s="79">
        <f t="shared" si="44"/>
        <v>3268.25</v>
      </c>
    </row>
    <row r="150" spans="1:18">
      <c r="A150" s="118">
        <v>184510</v>
      </c>
      <c r="B150" s="50">
        <v>20</v>
      </c>
      <c r="C150" s="112" t="s">
        <v>614</v>
      </c>
      <c r="D150" s="112">
        <v>2017</v>
      </c>
      <c r="E150" s="112">
        <v>7</v>
      </c>
      <c r="F150" s="112">
        <v>0</v>
      </c>
      <c r="G150" s="112" t="s">
        <v>78</v>
      </c>
      <c r="H150" s="22">
        <v>12</v>
      </c>
      <c r="I150" s="112">
        <f t="shared" si="37"/>
        <v>2029</v>
      </c>
      <c r="J150" s="20">
        <f t="shared" si="36"/>
        <v>2029.5833333333333</v>
      </c>
      <c r="K150" s="79">
        <v>10208.879999999999</v>
      </c>
      <c r="L150" s="79">
        <f t="shared" si="38"/>
        <v>10208.879999999999</v>
      </c>
      <c r="M150" s="79">
        <f t="shared" si="39"/>
        <v>70.894999999999996</v>
      </c>
      <c r="N150" s="79">
        <f t="shared" si="40"/>
        <v>850.74</v>
      </c>
      <c r="O150" s="79">
        <f t="shared" si="41"/>
        <v>850.74</v>
      </c>
      <c r="P150" s="79">
        <f t="shared" si="42"/>
        <v>850.74</v>
      </c>
      <c r="Q150" s="79">
        <f t="shared" si="43"/>
        <v>1701.48</v>
      </c>
      <c r="R150" s="79">
        <f t="shared" si="44"/>
        <v>8507.4</v>
      </c>
    </row>
    <row r="151" spans="1:18">
      <c r="A151" s="118">
        <v>172713</v>
      </c>
      <c r="B151" s="50">
        <v>12</v>
      </c>
      <c r="C151" s="112" t="s">
        <v>628</v>
      </c>
      <c r="D151" s="112">
        <v>2017</v>
      </c>
      <c r="E151" s="112">
        <v>1</v>
      </c>
      <c r="F151" s="112">
        <v>0</v>
      </c>
      <c r="G151" s="112" t="s">
        <v>78</v>
      </c>
      <c r="H151" s="22">
        <v>12</v>
      </c>
      <c r="I151" s="112">
        <f t="shared" si="37"/>
        <v>2029</v>
      </c>
      <c r="J151" s="20">
        <f t="shared" si="36"/>
        <v>2029.0833333333333</v>
      </c>
      <c r="K151" s="79">
        <v>5882.84</v>
      </c>
      <c r="L151" s="79">
        <f t="shared" si="38"/>
        <v>5882.84</v>
      </c>
      <c r="M151" s="79">
        <f t="shared" si="39"/>
        <v>40.853055555555557</v>
      </c>
      <c r="N151" s="79">
        <f t="shared" si="40"/>
        <v>490.23666666666668</v>
      </c>
      <c r="O151" s="79">
        <f t="shared" si="41"/>
        <v>490.23666666666668</v>
      </c>
      <c r="P151" s="79">
        <f t="shared" si="42"/>
        <v>490.23666666666668</v>
      </c>
      <c r="Q151" s="79">
        <f t="shared" si="43"/>
        <v>980.47333333333336</v>
      </c>
      <c r="R151" s="79">
        <f t="shared" si="44"/>
        <v>4902.3666666666668</v>
      </c>
    </row>
    <row r="152" spans="1:18">
      <c r="A152" s="118">
        <v>177572</v>
      </c>
      <c r="B152" s="50">
        <v>6</v>
      </c>
      <c r="C152" s="112" t="s">
        <v>624</v>
      </c>
      <c r="D152" s="112">
        <v>2017</v>
      </c>
      <c r="E152" s="112">
        <v>1</v>
      </c>
      <c r="F152" s="112">
        <v>0</v>
      </c>
      <c r="G152" s="112" t="s">
        <v>78</v>
      </c>
      <c r="H152" s="22">
        <v>12</v>
      </c>
      <c r="I152" s="112">
        <f t="shared" si="37"/>
        <v>2029</v>
      </c>
      <c r="J152" s="20">
        <f t="shared" si="36"/>
        <v>2029.0833333333333</v>
      </c>
      <c r="K152" s="79">
        <v>3169.69</v>
      </c>
      <c r="L152" s="79">
        <f t="shared" si="38"/>
        <v>3169.69</v>
      </c>
      <c r="M152" s="79">
        <f t="shared" si="39"/>
        <v>22.011736111111109</v>
      </c>
      <c r="N152" s="79">
        <f t="shared" si="40"/>
        <v>264.14083333333332</v>
      </c>
      <c r="O152" s="79">
        <f t="shared" si="41"/>
        <v>264.14083333333332</v>
      </c>
      <c r="P152" s="79">
        <f t="shared" si="42"/>
        <v>264.14083333333332</v>
      </c>
      <c r="Q152" s="79">
        <f t="shared" si="43"/>
        <v>528.28166666666664</v>
      </c>
      <c r="R152" s="79">
        <f t="shared" si="44"/>
        <v>2641.4083333333333</v>
      </c>
    </row>
    <row r="153" spans="1:18">
      <c r="A153" s="118">
        <v>172714</v>
      </c>
      <c r="B153" s="50">
        <v>14</v>
      </c>
      <c r="C153" s="112" t="s">
        <v>627</v>
      </c>
      <c r="D153" s="112">
        <v>2017</v>
      </c>
      <c r="E153" s="112">
        <v>1</v>
      </c>
      <c r="F153" s="112">
        <v>0</v>
      </c>
      <c r="G153" s="112" t="s">
        <v>78</v>
      </c>
      <c r="H153" s="22">
        <v>12</v>
      </c>
      <c r="I153" s="112">
        <f t="shared" si="37"/>
        <v>2029</v>
      </c>
      <c r="J153" s="20">
        <f t="shared" si="36"/>
        <v>2029.0833333333333</v>
      </c>
      <c r="K153" s="79">
        <v>7395.94</v>
      </c>
      <c r="L153" s="79">
        <f t="shared" si="38"/>
        <v>7395.94</v>
      </c>
      <c r="M153" s="79">
        <f t="shared" si="39"/>
        <v>51.360694444444441</v>
      </c>
      <c r="N153" s="79">
        <f t="shared" si="40"/>
        <v>616.32833333333326</v>
      </c>
      <c r="O153" s="79">
        <f t="shared" si="41"/>
        <v>616.32833333333326</v>
      </c>
      <c r="P153" s="79">
        <f t="shared" si="42"/>
        <v>616.32833333333326</v>
      </c>
      <c r="Q153" s="79">
        <f t="shared" si="43"/>
        <v>1232.6566666666665</v>
      </c>
      <c r="R153" s="79">
        <f t="shared" si="44"/>
        <v>6163.2833333333328</v>
      </c>
    </row>
    <row r="154" spans="1:18">
      <c r="A154" s="118">
        <v>188510</v>
      </c>
      <c r="B154" s="50">
        <v>30</v>
      </c>
      <c r="C154" t="s">
        <v>723</v>
      </c>
      <c r="D154">
        <v>2017</v>
      </c>
      <c r="E154">
        <v>10</v>
      </c>
      <c r="F154">
        <v>0</v>
      </c>
      <c r="G154" t="s">
        <v>78</v>
      </c>
      <c r="H154" s="22">
        <v>12</v>
      </c>
      <c r="I154">
        <f t="shared" si="37"/>
        <v>2029</v>
      </c>
      <c r="J154" s="20">
        <f t="shared" si="36"/>
        <v>2029.8333333333333</v>
      </c>
      <c r="K154" s="79">
        <v>16171.66</v>
      </c>
      <c r="L154" s="79">
        <f t="shared" si="38"/>
        <v>16171.66</v>
      </c>
      <c r="M154" s="79">
        <f t="shared" si="39"/>
        <v>112.30319444444444</v>
      </c>
      <c r="N154" s="79">
        <f t="shared" si="40"/>
        <v>1347.6383333333333</v>
      </c>
      <c r="O154" s="79">
        <f t="shared" si="41"/>
        <v>1347.6383333333333</v>
      </c>
      <c r="P154" s="79">
        <f t="shared" si="42"/>
        <v>1347.6383333333333</v>
      </c>
      <c r="Q154" s="79">
        <f t="shared" si="43"/>
        <v>2695.2766666666666</v>
      </c>
      <c r="R154" s="79">
        <f t="shared" si="44"/>
        <v>13476.383333333333</v>
      </c>
    </row>
    <row r="155" spans="1:18">
      <c r="A155" s="118">
        <v>184511</v>
      </c>
      <c r="B155" s="50">
        <v>20</v>
      </c>
      <c r="C155" t="s">
        <v>613</v>
      </c>
      <c r="D155">
        <v>2017</v>
      </c>
      <c r="E155">
        <v>7</v>
      </c>
      <c r="F155">
        <v>0</v>
      </c>
      <c r="G155" t="s">
        <v>78</v>
      </c>
      <c r="H155" s="22">
        <v>12</v>
      </c>
      <c r="I155">
        <f t="shared" si="37"/>
        <v>2029</v>
      </c>
      <c r="J155" s="20">
        <f t="shared" si="36"/>
        <v>2029.5833333333333</v>
      </c>
      <c r="K155" s="79">
        <v>13410.54</v>
      </c>
      <c r="L155" s="79">
        <f t="shared" si="38"/>
        <v>13410.54</v>
      </c>
      <c r="M155" s="79">
        <f t="shared" si="39"/>
        <v>93.128750000000011</v>
      </c>
      <c r="N155" s="79">
        <f t="shared" si="40"/>
        <v>1117.5450000000001</v>
      </c>
      <c r="O155" s="79">
        <f t="shared" si="41"/>
        <v>1117.5450000000001</v>
      </c>
      <c r="P155" s="79">
        <f t="shared" si="42"/>
        <v>1117.5450000000001</v>
      </c>
      <c r="Q155" s="79">
        <f t="shared" si="43"/>
        <v>2235.09</v>
      </c>
      <c r="R155" s="79">
        <f t="shared" si="44"/>
        <v>11175.45</v>
      </c>
    </row>
    <row r="156" spans="1:18">
      <c r="A156" s="118">
        <v>177573</v>
      </c>
      <c r="B156" s="50">
        <v>3</v>
      </c>
      <c r="C156" t="s">
        <v>612</v>
      </c>
      <c r="D156">
        <v>2017</v>
      </c>
      <c r="E156">
        <v>1</v>
      </c>
      <c r="F156">
        <v>0</v>
      </c>
      <c r="G156" t="s">
        <v>78</v>
      </c>
      <c r="H156" s="22">
        <v>12</v>
      </c>
      <c r="I156">
        <f t="shared" si="37"/>
        <v>2029</v>
      </c>
      <c r="J156" s="20">
        <f t="shared" si="36"/>
        <v>2029.0833333333333</v>
      </c>
      <c r="K156" s="79">
        <v>2429.44</v>
      </c>
      <c r="L156" s="79">
        <f t="shared" si="38"/>
        <v>2429.44</v>
      </c>
      <c r="M156" s="79">
        <f t="shared" si="39"/>
        <v>16.871111111111112</v>
      </c>
      <c r="N156" s="79">
        <f t="shared" si="40"/>
        <v>202.45333333333335</v>
      </c>
      <c r="O156" s="79">
        <f t="shared" si="41"/>
        <v>202.45333333333335</v>
      </c>
      <c r="P156" s="79">
        <f t="shared" si="42"/>
        <v>202.45333333333335</v>
      </c>
      <c r="Q156" s="79">
        <f t="shared" si="43"/>
        <v>404.90666666666669</v>
      </c>
      <c r="R156" s="79">
        <f t="shared" si="44"/>
        <v>2024.5333333333333</v>
      </c>
    </row>
    <row r="157" spans="1:18">
      <c r="A157" s="118">
        <v>184512</v>
      </c>
      <c r="B157" s="50">
        <v>15</v>
      </c>
      <c r="C157" t="s">
        <v>612</v>
      </c>
      <c r="D157">
        <v>2017</v>
      </c>
      <c r="E157">
        <v>7</v>
      </c>
      <c r="F157">
        <v>0</v>
      </c>
      <c r="G157" t="s">
        <v>78</v>
      </c>
      <c r="H157" s="22">
        <v>12</v>
      </c>
      <c r="I157">
        <f t="shared" si="37"/>
        <v>2029</v>
      </c>
      <c r="J157" s="20">
        <f t="shared" si="36"/>
        <v>2029.5833333333333</v>
      </c>
      <c r="K157" s="79">
        <v>12459.15</v>
      </c>
      <c r="L157" s="79">
        <f t="shared" si="38"/>
        <v>12459.15</v>
      </c>
      <c r="M157" s="79">
        <f t="shared" si="39"/>
        <v>86.521875000000009</v>
      </c>
      <c r="N157" s="79">
        <f t="shared" si="40"/>
        <v>1038.2625</v>
      </c>
      <c r="O157" s="79">
        <f t="shared" si="41"/>
        <v>1038.2625</v>
      </c>
      <c r="P157" s="79">
        <f t="shared" si="42"/>
        <v>1038.2625</v>
      </c>
      <c r="Q157" s="79">
        <f t="shared" si="43"/>
        <v>2076.5250000000001</v>
      </c>
      <c r="R157" s="79">
        <f t="shared" si="44"/>
        <v>10382.625</v>
      </c>
    </row>
    <row r="158" spans="1:18">
      <c r="A158" s="118">
        <v>172715</v>
      </c>
      <c r="B158" s="50">
        <v>7</v>
      </c>
      <c r="C158" t="s">
        <v>626</v>
      </c>
      <c r="D158">
        <v>2017</v>
      </c>
      <c r="E158">
        <v>1</v>
      </c>
      <c r="F158">
        <v>0</v>
      </c>
      <c r="G158" t="s">
        <v>78</v>
      </c>
      <c r="H158" s="22">
        <v>12</v>
      </c>
      <c r="I158">
        <f t="shared" si="37"/>
        <v>2029</v>
      </c>
      <c r="J158" s="20">
        <f t="shared" si="36"/>
        <v>2029.0833333333333</v>
      </c>
      <c r="K158" s="79">
        <v>5668.7</v>
      </c>
      <c r="L158" s="79">
        <f t="shared" si="38"/>
        <v>5668.7</v>
      </c>
      <c r="M158" s="79">
        <f t="shared" si="39"/>
        <v>39.365972222222219</v>
      </c>
      <c r="N158" s="79">
        <f t="shared" si="40"/>
        <v>472.39166666666665</v>
      </c>
      <c r="O158" s="79">
        <f t="shared" si="41"/>
        <v>472.39166666666665</v>
      </c>
      <c r="P158" s="79">
        <f t="shared" si="42"/>
        <v>472.39166666666665</v>
      </c>
      <c r="Q158" s="79">
        <f t="shared" si="43"/>
        <v>944.7833333333333</v>
      </c>
      <c r="R158" s="79">
        <f t="shared" si="44"/>
        <v>4723.9166666666661</v>
      </c>
    </row>
    <row r="159" spans="1:18">
      <c r="A159" s="119">
        <v>207444</v>
      </c>
      <c r="B159" s="50">
        <v>48</v>
      </c>
      <c r="C159" s="50" t="s">
        <v>758</v>
      </c>
      <c r="D159" s="50">
        <v>2018</v>
      </c>
      <c r="E159" s="50">
        <v>11</v>
      </c>
      <c r="F159" s="50">
        <v>0</v>
      </c>
      <c r="G159" s="50" t="s">
        <v>78</v>
      </c>
      <c r="H159" s="62">
        <v>12</v>
      </c>
      <c r="I159" s="50">
        <f t="shared" si="37"/>
        <v>2030</v>
      </c>
      <c r="J159" s="85">
        <f t="shared" si="36"/>
        <v>2030.9166666666667</v>
      </c>
      <c r="K159" s="86">
        <v>29272.880000000001</v>
      </c>
      <c r="L159" s="86">
        <f t="shared" si="38"/>
        <v>29272.880000000001</v>
      </c>
      <c r="M159" s="86">
        <f t="shared" si="39"/>
        <v>203.2838888888889</v>
      </c>
      <c r="N159" s="86">
        <f t="shared" si="40"/>
        <v>2439.4066666666668</v>
      </c>
      <c r="O159" s="86">
        <f t="shared" si="41"/>
        <v>2439.4066666666668</v>
      </c>
      <c r="P159" s="86">
        <f t="shared" si="42"/>
        <v>0</v>
      </c>
      <c r="Q159" s="86">
        <f t="shared" si="43"/>
        <v>2439.4066666666668</v>
      </c>
      <c r="R159" s="86">
        <f t="shared" si="44"/>
        <v>26833.473333333335</v>
      </c>
    </row>
    <row r="160" spans="1:18">
      <c r="A160" s="119">
        <v>206757</v>
      </c>
      <c r="B160" s="50">
        <v>20</v>
      </c>
      <c r="C160" s="50" t="s">
        <v>760</v>
      </c>
      <c r="D160" s="50">
        <v>2018</v>
      </c>
      <c r="E160" s="50">
        <v>11</v>
      </c>
      <c r="F160" s="50">
        <v>0</v>
      </c>
      <c r="G160" s="50" t="s">
        <v>78</v>
      </c>
      <c r="H160" s="62">
        <v>12</v>
      </c>
      <c r="I160" s="50">
        <f t="shared" si="37"/>
        <v>2030</v>
      </c>
      <c r="J160" s="85">
        <f t="shared" si="36"/>
        <v>2030.9166666666667</v>
      </c>
      <c r="K160" s="86">
        <v>13643.59</v>
      </c>
      <c r="L160" s="86">
        <f t="shared" si="38"/>
        <v>13643.59</v>
      </c>
      <c r="M160" s="86">
        <f t="shared" si="39"/>
        <v>94.747152777777785</v>
      </c>
      <c r="N160" s="86">
        <f t="shared" si="40"/>
        <v>1136.9658333333334</v>
      </c>
      <c r="O160" s="86">
        <f t="shared" si="41"/>
        <v>1136.9658333333334</v>
      </c>
      <c r="P160" s="86">
        <f t="shared" si="42"/>
        <v>0</v>
      </c>
      <c r="Q160" s="86">
        <f t="shared" si="43"/>
        <v>1136.9658333333334</v>
      </c>
      <c r="R160" s="86">
        <f t="shared" si="44"/>
        <v>12506.624166666666</v>
      </c>
    </row>
    <row r="161" spans="1:18">
      <c r="A161" s="119">
        <v>207445</v>
      </c>
      <c r="B161" s="50">
        <v>22</v>
      </c>
      <c r="C161" s="50" t="s">
        <v>757</v>
      </c>
      <c r="D161" s="50">
        <v>2018</v>
      </c>
      <c r="E161" s="50">
        <v>11</v>
      </c>
      <c r="F161" s="50">
        <v>0</v>
      </c>
      <c r="G161" s="50" t="s">
        <v>78</v>
      </c>
      <c r="H161" s="62">
        <v>12</v>
      </c>
      <c r="I161" s="50">
        <f t="shared" si="37"/>
        <v>2030</v>
      </c>
      <c r="J161" s="85">
        <f t="shared" si="36"/>
        <v>2030.9166666666667</v>
      </c>
      <c r="K161" s="86">
        <v>17253.61</v>
      </c>
      <c r="L161" s="86">
        <f t="shared" si="38"/>
        <v>17253.61</v>
      </c>
      <c r="M161" s="86">
        <f t="shared" si="39"/>
        <v>119.81673611111113</v>
      </c>
      <c r="N161" s="86">
        <f t="shared" si="40"/>
        <v>1437.8008333333335</v>
      </c>
      <c r="O161" s="86">
        <f t="shared" si="41"/>
        <v>1437.8008333333335</v>
      </c>
      <c r="P161" s="86">
        <f t="shared" si="42"/>
        <v>0</v>
      </c>
      <c r="Q161" s="86">
        <f t="shared" si="43"/>
        <v>1437.8008333333335</v>
      </c>
      <c r="R161" s="86">
        <f t="shared" si="44"/>
        <v>15815.809166666668</v>
      </c>
    </row>
    <row r="162" spans="1:18">
      <c r="A162" s="119">
        <v>207446</v>
      </c>
      <c r="B162" s="50">
        <v>22</v>
      </c>
      <c r="C162" s="50" t="s">
        <v>756</v>
      </c>
      <c r="D162" s="50">
        <v>2018</v>
      </c>
      <c r="E162" s="50">
        <v>11</v>
      </c>
      <c r="F162" s="50">
        <v>0</v>
      </c>
      <c r="G162" s="50" t="s">
        <v>78</v>
      </c>
      <c r="H162" s="62">
        <v>12</v>
      </c>
      <c r="I162" s="50">
        <f t="shared" si="37"/>
        <v>2030</v>
      </c>
      <c r="J162" s="85">
        <f t="shared" si="36"/>
        <v>2030.9166666666667</v>
      </c>
      <c r="K162" s="86">
        <v>16484.080000000002</v>
      </c>
      <c r="L162" s="86">
        <f t="shared" si="38"/>
        <v>16484.080000000002</v>
      </c>
      <c r="M162" s="86">
        <f t="shared" si="39"/>
        <v>114.47277777777778</v>
      </c>
      <c r="N162" s="86">
        <f t="shared" si="40"/>
        <v>1373.6733333333334</v>
      </c>
      <c r="O162" s="86">
        <f t="shared" si="41"/>
        <v>1373.6733333333334</v>
      </c>
      <c r="P162" s="86">
        <f t="shared" si="42"/>
        <v>0</v>
      </c>
      <c r="Q162" s="86">
        <f t="shared" si="43"/>
        <v>1373.6733333333334</v>
      </c>
      <c r="R162" s="86">
        <f t="shared" si="44"/>
        <v>15110.406666666668</v>
      </c>
    </row>
    <row r="163" spans="1:18">
      <c r="A163" s="119">
        <v>206758</v>
      </c>
      <c r="B163" s="50">
        <v>24</v>
      </c>
      <c r="C163" s="50" t="s">
        <v>759</v>
      </c>
      <c r="D163" s="50">
        <v>2018</v>
      </c>
      <c r="E163" s="50">
        <v>11</v>
      </c>
      <c r="F163" s="50">
        <v>0</v>
      </c>
      <c r="G163" s="50" t="s">
        <v>78</v>
      </c>
      <c r="H163" s="62">
        <v>12</v>
      </c>
      <c r="I163" s="50">
        <f t="shared" si="37"/>
        <v>2030</v>
      </c>
      <c r="J163" s="85">
        <f t="shared" si="36"/>
        <v>2030.9166666666667</v>
      </c>
      <c r="K163" s="86">
        <v>22721.59</v>
      </c>
      <c r="L163" s="86">
        <f t="shared" si="38"/>
        <v>22721.59</v>
      </c>
      <c r="M163" s="86">
        <f t="shared" si="39"/>
        <v>157.78881944444444</v>
      </c>
      <c r="N163" s="86">
        <f t="shared" si="40"/>
        <v>1893.4658333333332</v>
      </c>
      <c r="O163" s="86">
        <f t="shared" si="41"/>
        <v>1893.4658333333332</v>
      </c>
      <c r="P163" s="86">
        <f t="shared" si="42"/>
        <v>0</v>
      </c>
      <c r="Q163" s="86">
        <f t="shared" si="43"/>
        <v>1893.4658333333332</v>
      </c>
      <c r="R163" s="86">
        <f t="shared" si="44"/>
        <v>20828.124166666668</v>
      </c>
    </row>
    <row r="164" spans="1:18">
      <c r="A164" s="120" t="s">
        <v>812</v>
      </c>
      <c r="B164" s="50">
        <f>40+40+30</f>
        <v>110</v>
      </c>
      <c r="C164" s="53" t="s">
        <v>823</v>
      </c>
      <c r="D164" s="53">
        <v>2019</v>
      </c>
      <c r="E164" s="53">
        <v>8</v>
      </c>
      <c r="F164" s="53">
        <v>0</v>
      </c>
      <c r="G164" s="53" t="s">
        <v>78</v>
      </c>
      <c r="H164" s="57">
        <v>12</v>
      </c>
      <c r="I164" s="53">
        <f t="shared" si="37"/>
        <v>2031</v>
      </c>
      <c r="J164" s="58">
        <f t="shared" si="36"/>
        <v>2031.6666666666667</v>
      </c>
      <c r="K164" s="80">
        <v>69324</v>
      </c>
      <c r="L164" s="80">
        <f t="shared" si="38"/>
        <v>69324</v>
      </c>
      <c r="M164" s="80">
        <f t="shared" si="39"/>
        <v>481.41666666666669</v>
      </c>
      <c r="N164" s="80">
        <f t="shared" si="40"/>
        <v>5777</v>
      </c>
      <c r="O164" s="80">
        <f t="shared" si="41"/>
        <v>5777</v>
      </c>
      <c r="P164" s="80">
        <f t="shared" si="42"/>
        <v>0</v>
      </c>
      <c r="Q164" s="80">
        <f t="shared" si="43"/>
        <v>5777</v>
      </c>
      <c r="R164" s="80">
        <f t="shared" si="44"/>
        <v>63547</v>
      </c>
    </row>
    <row r="165" spans="1:18">
      <c r="K165" s="79"/>
      <c r="L165" s="79"/>
      <c r="M165" s="79"/>
      <c r="N165" s="79"/>
      <c r="O165" s="79"/>
      <c r="P165" s="79"/>
      <c r="Q165" s="79"/>
      <c r="R165" s="79"/>
    </row>
    <row r="166" spans="1:18">
      <c r="B166" s="116">
        <f>SUM(B13:B165)</f>
        <v>3174</v>
      </c>
      <c r="C166" s="9" t="s">
        <v>407</v>
      </c>
      <c r="K166" s="81">
        <f t="shared" ref="K166:R166" si="45">SUM(K13:K165)</f>
        <v>1287690.48</v>
      </c>
      <c r="L166" s="81">
        <f t="shared" si="45"/>
        <v>1287690.48</v>
      </c>
      <c r="M166" s="81">
        <f t="shared" si="45"/>
        <v>10256.316208333326</v>
      </c>
      <c r="N166" s="81">
        <f t="shared" si="45"/>
        <v>123075.79450000002</v>
      </c>
      <c r="O166" s="81">
        <f t="shared" si="45"/>
        <v>44999.700500000014</v>
      </c>
      <c r="P166" s="81">
        <f t="shared" si="45"/>
        <v>875945.20733333298</v>
      </c>
      <c r="Q166" s="81">
        <f t="shared" si="45"/>
        <v>920944.90783333289</v>
      </c>
      <c r="R166" s="81">
        <f t="shared" si="45"/>
        <v>366745.57216666662</v>
      </c>
    </row>
    <row r="167" spans="1:18">
      <c r="K167" s="79"/>
      <c r="L167" s="79"/>
      <c r="M167" s="79"/>
      <c r="N167" s="79"/>
      <c r="O167" s="79"/>
      <c r="P167" s="79"/>
      <c r="Q167" s="79"/>
      <c r="R167" s="79"/>
    </row>
    <row r="168" spans="1:18">
      <c r="C168" s="9" t="s">
        <v>408</v>
      </c>
      <c r="K168" s="79"/>
      <c r="L168" s="79"/>
      <c r="M168" s="79"/>
      <c r="N168" s="79"/>
      <c r="O168" s="79"/>
      <c r="P168" s="79"/>
      <c r="Q168" s="79"/>
      <c r="R168" s="79"/>
    </row>
    <row r="169" spans="1:18">
      <c r="B169" s="50">
        <v>0</v>
      </c>
      <c r="C169" t="s">
        <v>186</v>
      </c>
      <c r="D169">
        <v>2000</v>
      </c>
      <c r="E169">
        <v>1</v>
      </c>
      <c r="F169">
        <v>0</v>
      </c>
      <c r="G169" t="s">
        <v>78</v>
      </c>
      <c r="H169" s="22" t="s">
        <v>9</v>
      </c>
      <c r="I169">
        <f t="shared" ref="I169:I200" si="46">D169+H169</f>
        <v>2010</v>
      </c>
      <c r="J169" s="20">
        <f t="shared" ref="J169:J200" si="47">+I169+(E169/12)</f>
        <v>2010.0833333333333</v>
      </c>
      <c r="K169" s="79">
        <v>1944</v>
      </c>
      <c r="L169" s="79">
        <f t="shared" ref="L169:L200" si="48">K169-K169*F169</f>
        <v>1944</v>
      </c>
      <c r="M169" s="79">
        <f t="shared" ref="M169:M200" si="49">L169/H169/12</f>
        <v>16.2</v>
      </c>
      <c r="N169" s="79">
        <f t="shared" ref="N169:N200" si="50">+M169*12</f>
        <v>194.39999999999998</v>
      </c>
      <c r="O169" s="79">
        <f t="shared" ref="O169:O200" si="51">+IF(J169&lt;=$L$5,0,IF(I169&gt;$L$4,N169,(M169*E169)))</f>
        <v>0</v>
      </c>
      <c r="P169" s="79">
        <f t="shared" ref="P169:P200" si="52">+IF(O169=0,L169,IF($L$3-D169&lt;1,0,(($L$3-D169)*O169)))</f>
        <v>1944</v>
      </c>
      <c r="Q169" s="79">
        <f t="shared" ref="Q169:Q200" si="53">+IF(O169=0,P169,P169+O169)</f>
        <v>1944</v>
      </c>
      <c r="R169" s="79">
        <f t="shared" ref="R169:R200" si="54">+K169-Q169</f>
        <v>0</v>
      </c>
    </row>
    <row r="170" spans="1:18">
      <c r="B170" s="50">
        <v>1</v>
      </c>
      <c r="C170" t="s">
        <v>202</v>
      </c>
      <c r="D170">
        <v>2000</v>
      </c>
      <c r="E170">
        <v>2</v>
      </c>
      <c r="F170">
        <v>0</v>
      </c>
      <c r="G170" t="s">
        <v>78</v>
      </c>
      <c r="H170" s="22" t="s">
        <v>9</v>
      </c>
      <c r="I170">
        <f t="shared" si="46"/>
        <v>2010</v>
      </c>
      <c r="J170" s="20">
        <f t="shared" si="47"/>
        <v>2010.1666666666667</v>
      </c>
      <c r="K170" s="79">
        <v>2391.12</v>
      </c>
      <c r="L170" s="79">
        <f t="shared" si="48"/>
        <v>2391.12</v>
      </c>
      <c r="M170" s="79">
        <f t="shared" si="49"/>
        <v>19.925999999999998</v>
      </c>
      <c r="N170" s="79">
        <f t="shared" si="50"/>
        <v>239.11199999999997</v>
      </c>
      <c r="O170" s="79">
        <f t="shared" si="51"/>
        <v>0</v>
      </c>
      <c r="P170" s="79">
        <f t="shared" si="52"/>
        <v>2391.12</v>
      </c>
      <c r="Q170" s="79">
        <f t="shared" si="53"/>
        <v>2391.12</v>
      </c>
      <c r="R170" s="79">
        <f t="shared" si="54"/>
        <v>0</v>
      </c>
    </row>
    <row r="171" spans="1:18">
      <c r="B171" s="50">
        <v>706</v>
      </c>
      <c r="C171" t="s">
        <v>187</v>
      </c>
      <c r="D171">
        <v>2000</v>
      </c>
      <c r="E171">
        <v>2</v>
      </c>
      <c r="F171">
        <v>0</v>
      </c>
      <c r="G171" t="s">
        <v>78</v>
      </c>
      <c r="H171" s="22" t="s">
        <v>9</v>
      </c>
      <c r="I171">
        <f t="shared" si="46"/>
        <v>2010</v>
      </c>
      <c r="J171" s="20">
        <f t="shared" si="47"/>
        <v>2010.1666666666667</v>
      </c>
      <c r="K171" s="79">
        <v>33169.5</v>
      </c>
      <c r="L171" s="79">
        <f t="shared" si="48"/>
        <v>33169.5</v>
      </c>
      <c r="M171" s="79">
        <f t="shared" si="49"/>
        <v>276.41249999999997</v>
      </c>
      <c r="N171" s="79">
        <f t="shared" si="50"/>
        <v>3316.95</v>
      </c>
      <c r="O171" s="79">
        <f t="shared" si="51"/>
        <v>0</v>
      </c>
      <c r="P171" s="79">
        <f t="shared" si="52"/>
        <v>33169.5</v>
      </c>
      <c r="Q171" s="79">
        <f t="shared" si="53"/>
        <v>33169.5</v>
      </c>
      <c r="R171" s="79">
        <f t="shared" si="54"/>
        <v>0</v>
      </c>
    </row>
    <row r="172" spans="1:18">
      <c r="B172" s="50">
        <v>706</v>
      </c>
      <c r="C172" t="s">
        <v>187</v>
      </c>
      <c r="D172">
        <v>2000</v>
      </c>
      <c r="E172">
        <v>2</v>
      </c>
      <c r="F172">
        <v>0</v>
      </c>
      <c r="G172" t="s">
        <v>78</v>
      </c>
      <c r="H172" s="22" t="s">
        <v>9</v>
      </c>
      <c r="I172">
        <f t="shared" si="46"/>
        <v>2010</v>
      </c>
      <c r="J172" s="20">
        <f t="shared" si="47"/>
        <v>2010.1666666666667</v>
      </c>
      <c r="K172" s="79">
        <v>33169.5</v>
      </c>
      <c r="L172" s="79">
        <f t="shared" si="48"/>
        <v>33169.5</v>
      </c>
      <c r="M172" s="79">
        <f t="shared" si="49"/>
        <v>276.41249999999997</v>
      </c>
      <c r="N172" s="79">
        <f t="shared" si="50"/>
        <v>3316.95</v>
      </c>
      <c r="O172" s="79">
        <f t="shared" si="51"/>
        <v>0</v>
      </c>
      <c r="P172" s="79">
        <f t="shared" si="52"/>
        <v>33169.5</v>
      </c>
      <c r="Q172" s="79">
        <f t="shared" si="53"/>
        <v>33169.5</v>
      </c>
      <c r="R172" s="79">
        <f t="shared" si="54"/>
        <v>0</v>
      </c>
    </row>
    <row r="173" spans="1:18">
      <c r="B173" s="50">
        <v>565</v>
      </c>
      <c r="C173" t="s">
        <v>187</v>
      </c>
      <c r="D173">
        <v>2000</v>
      </c>
      <c r="E173">
        <v>2</v>
      </c>
      <c r="F173">
        <v>0</v>
      </c>
      <c r="G173" t="s">
        <v>78</v>
      </c>
      <c r="H173" s="22" t="s">
        <v>9</v>
      </c>
      <c r="I173">
        <f t="shared" si="46"/>
        <v>2010</v>
      </c>
      <c r="J173" s="20">
        <f t="shared" si="47"/>
        <v>2010.1666666666667</v>
      </c>
      <c r="K173" s="79">
        <v>26535.599999999999</v>
      </c>
      <c r="L173" s="79">
        <f t="shared" si="48"/>
        <v>26535.599999999999</v>
      </c>
      <c r="M173" s="79">
        <f t="shared" si="49"/>
        <v>221.13</v>
      </c>
      <c r="N173" s="79">
        <f t="shared" si="50"/>
        <v>2653.56</v>
      </c>
      <c r="O173" s="79">
        <f t="shared" si="51"/>
        <v>0</v>
      </c>
      <c r="P173" s="79">
        <f t="shared" si="52"/>
        <v>26535.599999999999</v>
      </c>
      <c r="Q173" s="79">
        <f t="shared" si="53"/>
        <v>26535.599999999999</v>
      </c>
      <c r="R173" s="79">
        <f t="shared" si="54"/>
        <v>0</v>
      </c>
    </row>
    <row r="174" spans="1:18">
      <c r="B174" s="50">
        <v>2</v>
      </c>
      <c r="C174" t="s">
        <v>186</v>
      </c>
      <c r="D174">
        <v>2000</v>
      </c>
      <c r="E174">
        <v>3</v>
      </c>
      <c r="F174">
        <v>0</v>
      </c>
      <c r="G174" t="s">
        <v>78</v>
      </c>
      <c r="H174" s="22" t="s">
        <v>9</v>
      </c>
      <c r="I174">
        <f t="shared" si="46"/>
        <v>2010</v>
      </c>
      <c r="J174" s="20">
        <f t="shared" si="47"/>
        <v>2010.25</v>
      </c>
      <c r="K174" s="79">
        <v>7776</v>
      </c>
      <c r="L174" s="79">
        <f t="shared" si="48"/>
        <v>7776</v>
      </c>
      <c r="M174" s="79">
        <f t="shared" si="49"/>
        <v>64.8</v>
      </c>
      <c r="N174" s="79">
        <f t="shared" si="50"/>
        <v>777.59999999999991</v>
      </c>
      <c r="O174" s="79">
        <f t="shared" si="51"/>
        <v>0</v>
      </c>
      <c r="P174" s="79">
        <f t="shared" si="52"/>
        <v>7776</v>
      </c>
      <c r="Q174" s="79">
        <f t="shared" si="53"/>
        <v>7776</v>
      </c>
      <c r="R174" s="79">
        <f t="shared" si="54"/>
        <v>0</v>
      </c>
    </row>
    <row r="175" spans="1:18">
      <c r="B175" s="50">
        <v>400</v>
      </c>
      <c r="C175" t="s">
        <v>302</v>
      </c>
      <c r="D175">
        <v>2000</v>
      </c>
      <c r="E175">
        <v>9</v>
      </c>
      <c r="F175">
        <v>0</v>
      </c>
      <c r="G175" t="s">
        <v>78</v>
      </c>
      <c r="H175" s="22" t="s">
        <v>9</v>
      </c>
      <c r="I175">
        <f t="shared" si="46"/>
        <v>2010</v>
      </c>
      <c r="J175" s="20">
        <f t="shared" si="47"/>
        <v>2010.75</v>
      </c>
      <c r="K175" s="79">
        <v>8524.1</v>
      </c>
      <c r="L175" s="79">
        <f t="shared" si="48"/>
        <v>8524.1</v>
      </c>
      <c r="M175" s="79">
        <f t="shared" si="49"/>
        <v>71.034166666666678</v>
      </c>
      <c r="N175" s="79">
        <f t="shared" si="50"/>
        <v>852.41000000000008</v>
      </c>
      <c r="O175" s="79">
        <f t="shared" si="51"/>
        <v>0</v>
      </c>
      <c r="P175" s="79">
        <f t="shared" si="52"/>
        <v>8524.1</v>
      </c>
      <c r="Q175" s="79">
        <f t="shared" si="53"/>
        <v>8524.1</v>
      </c>
      <c r="R175" s="79">
        <f t="shared" si="54"/>
        <v>0</v>
      </c>
    </row>
    <row r="176" spans="1:18">
      <c r="B176" s="50">
        <v>261</v>
      </c>
      <c r="C176" t="s">
        <v>229</v>
      </c>
      <c r="D176">
        <v>2001</v>
      </c>
      <c r="E176">
        <v>10</v>
      </c>
      <c r="F176">
        <v>0</v>
      </c>
      <c r="G176" t="s">
        <v>78</v>
      </c>
      <c r="H176" s="22" t="s">
        <v>9</v>
      </c>
      <c r="I176">
        <f t="shared" si="46"/>
        <v>2011</v>
      </c>
      <c r="J176" s="20">
        <f t="shared" si="47"/>
        <v>2011.8333333333333</v>
      </c>
      <c r="K176" s="79">
        <v>12286.08</v>
      </c>
      <c r="L176" s="79">
        <f t="shared" si="48"/>
        <v>12286.08</v>
      </c>
      <c r="M176" s="79">
        <f t="shared" si="49"/>
        <v>102.384</v>
      </c>
      <c r="N176" s="79">
        <f t="shared" si="50"/>
        <v>1228.6079999999999</v>
      </c>
      <c r="O176" s="79">
        <f t="shared" si="51"/>
        <v>0</v>
      </c>
      <c r="P176" s="79">
        <f t="shared" si="52"/>
        <v>12286.08</v>
      </c>
      <c r="Q176" s="79">
        <f t="shared" si="53"/>
        <v>12286.08</v>
      </c>
      <c r="R176" s="79">
        <f t="shared" si="54"/>
        <v>0</v>
      </c>
    </row>
    <row r="177" spans="2:18">
      <c r="B177" s="50">
        <v>52</v>
      </c>
      <c r="C177" t="s">
        <v>262</v>
      </c>
      <c r="D177">
        <v>2002</v>
      </c>
      <c r="E177">
        <v>3</v>
      </c>
      <c r="F177">
        <v>0</v>
      </c>
      <c r="G177" t="s">
        <v>78</v>
      </c>
      <c r="H177" s="22" t="s">
        <v>9</v>
      </c>
      <c r="I177">
        <f t="shared" si="46"/>
        <v>2012</v>
      </c>
      <c r="J177" s="20">
        <f t="shared" si="47"/>
        <v>2012.25</v>
      </c>
      <c r="K177" s="79">
        <v>2517.4899999999998</v>
      </c>
      <c r="L177" s="79">
        <f t="shared" si="48"/>
        <v>2517.4899999999998</v>
      </c>
      <c r="M177" s="79">
        <f t="shared" si="49"/>
        <v>20.979083333333332</v>
      </c>
      <c r="N177" s="79">
        <f t="shared" si="50"/>
        <v>251.74899999999997</v>
      </c>
      <c r="O177" s="79">
        <f t="shared" si="51"/>
        <v>0</v>
      </c>
      <c r="P177" s="79">
        <f t="shared" si="52"/>
        <v>2517.4899999999998</v>
      </c>
      <c r="Q177" s="79">
        <f t="shared" si="53"/>
        <v>2517.4899999999998</v>
      </c>
      <c r="R177" s="79">
        <f t="shared" si="54"/>
        <v>0</v>
      </c>
    </row>
    <row r="178" spans="2:18">
      <c r="B178" s="50">
        <v>99</v>
      </c>
      <c r="C178" t="s">
        <v>262</v>
      </c>
      <c r="D178">
        <v>2002</v>
      </c>
      <c r="E178">
        <v>6</v>
      </c>
      <c r="F178">
        <v>0</v>
      </c>
      <c r="G178" t="s">
        <v>78</v>
      </c>
      <c r="H178" s="22" t="s">
        <v>9</v>
      </c>
      <c r="I178">
        <f t="shared" si="46"/>
        <v>2012</v>
      </c>
      <c r="J178" s="20">
        <f t="shared" si="47"/>
        <v>2012.5</v>
      </c>
      <c r="K178" s="79">
        <v>4759.5600000000004</v>
      </c>
      <c r="L178" s="79">
        <f t="shared" si="48"/>
        <v>4759.5600000000004</v>
      </c>
      <c r="M178" s="79">
        <f t="shared" si="49"/>
        <v>39.663000000000004</v>
      </c>
      <c r="N178" s="79">
        <f t="shared" si="50"/>
        <v>475.95600000000002</v>
      </c>
      <c r="O178" s="79">
        <f t="shared" si="51"/>
        <v>0</v>
      </c>
      <c r="P178" s="79">
        <f t="shared" si="52"/>
        <v>4759.5600000000004</v>
      </c>
      <c r="Q178" s="79">
        <f t="shared" si="53"/>
        <v>4759.5600000000004</v>
      </c>
      <c r="R178" s="79">
        <f t="shared" si="54"/>
        <v>0</v>
      </c>
    </row>
    <row r="179" spans="2:18">
      <c r="B179" s="50">
        <v>105</v>
      </c>
      <c r="C179" t="s">
        <v>262</v>
      </c>
      <c r="D179">
        <v>2003</v>
      </c>
      <c r="E179">
        <v>2</v>
      </c>
      <c r="F179">
        <v>0</v>
      </c>
      <c r="G179" t="s">
        <v>78</v>
      </c>
      <c r="H179" s="22" t="s">
        <v>9</v>
      </c>
      <c r="I179">
        <f t="shared" si="46"/>
        <v>2013</v>
      </c>
      <c r="J179" s="20">
        <f t="shared" si="47"/>
        <v>2013.1666666666667</v>
      </c>
      <c r="K179" s="79">
        <v>5040.6000000000004</v>
      </c>
      <c r="L179" s="79">
        <f t="shared" si="48"/>
        <v>5040.6000000000004</v>
      </c>
      <c r="M179" s="79">
        <f t="shared" si="49"/>
        <v>42.005000000000003</v>
      </c>
      <c r="N179" s="79">
        <f t="shared" si="50"/>
        <v>504.06000000000006</v>
      </c>
      <c r="O179" s="79">
        <f t="shared" si="51"/>
        <v>0</v>
      </c>
      <c r="P179" s="79">
        <f t="shared" si="52"/>
        <v>5040.6000000000004</v>
      </c>
      <c r="Q179" s="79">
        <f t="shared" si="53"/>
        <v>5040.6000000000004</v>
      </c>
      <c r="R179" s="79">
        <f t="shared" si="54"/>
        <v>0</v>
      </c>
    </row>
    <row r="180" spans="2:18">
      <c r="B180" s="50">
        <v>103</v>
      </c>
      <c r="C180" t="s">
        <v>262</v>
      </c>
      <c r="D180">
        <v>2003</v>
      </c>
      <c r="E180">
        <v>10</v>
      </c>
      <c r="F180">
        <v>0</v>
      </c>
      <c r="G180" t="s">
        <v>78</v>
      </c>
      <c r="H180" s="22" t="s">
        <v>9</v>
      </c>
      <c r="I180">
        <f t="shared" si="46"/>
        <v>2013</v>
      </c>
      <c r="J180" s="20">
        <f t="shared" si="47"/>
        <v>2013.8333333333333</v>
      </c>
      <c r="K180" s="79">
        <v>4932.2</v>
      </c>
      <c r="L180" s="79">
        <f t="shared" si="48"/>
        <v>4932.2</v>
      </c>
      <c r="M180" s="79">
        <f t="shared" si="49"/>
        <v>41.101666666666667</v>
      </c>
      <c r="N180" s="79">
        <f t="shared" si="50"/>
        <v>493.22</v>
      </c>
      <c r="O180" s="79">
        <f t="shared" si="51"/>
        <v>0</v>
      </c>
      <c r="P180" s="79">
        <f t="shared" si="52"/>
        <v>4932.2</v>
      </c>
      <c r="Q180" s="79">
        <f t="shared" si="53"/>
        <v>4932.2</v>
      </c>
      <c r="R180" s="79">
        <f t="shared" si="54"/>
        <v>0</v>
      </c>
    </row>
    <row r="181" spans="2:18">
      <c r="B181" s="50">
        <v>94</v>
      </c>
      <c r="C181" t="s">
        <v>235</v>
      </c>
      <c r="D181">
        <v>2004</v>
      </c>
      <c r="E181">
        <v>6</v>
      </c>
      <c r="F181">
        <v>0</v>
      </c>
      <c r="G181" t="s">
        <v>78</v>
      </c>
      <c r="H181" s="22" t="s">
        <v>9</v>
      </c>
      <c r="I181">
        <f t="shared" si="46"/>
        <v>2014</v>
      </c>
      <c r="J181" s="20">
        <f t="shared" si="47"/>
        <v>2014.5</v>
      </c>
      <c r="K181" s="79">
        <v>4525.7</v>
      </c>
      <c r="L181" s="79">
        <f t="shared" si="48"/>
        <v>4525.7</v>
      </c>
      <c r="M181" s="79">
        <f t="shared" si="49"/>
        <v>37.714166666666664</v>
      </c>
      <c r="N181" s="79">
        <f t="shared" si="50"/>
        <v>452.56999999999994</v>
      </c>
      <c r="O181" s="79">
        <f t="shared" si="51"/>
        <v>0</v>
      </c>
      <c r="P181" s="79">
        <f t="shared" si="52"/>
        <v>4525.7</v>
      </c>
      <c r="Q181" s="79">
        <f t="shared" si="53"/>
        <v>4525.7</v>
      </c>
      <c r="R181" s="79">
        <f t="shared" si="54"/>
        <v>0</v>
      </c>
    </row>
    <row r="182" spans="2:18">
      <c r="B182" s="50">
        <v>1036</v>
      </c>
      <c r="C182" t="s">
        <v>139</v>
      </c>
      <c r="D182">
        <v>2006</v>
      </c>
      <c r="E182">
        <v>1</v>
      </c>
      <c r="F182">
        <v>0</v>
      </c>
      <c r="G182" t="s">
        <v>78</v>
      </c>
      <c r="H182" s="22" t="s">
        <v>9</v>
      </c>
      <c r="I182">
        <f t="shared" si="46"/>
        <v>2016</v>
      </c>
      <c r="J182" s="20">
        <f t="shared" si="47"/>
        <v>2016.0833333333333</v>
      </c>
      <c r="K182" s="79">
        <v>48701.23</v>
      </c>
      <c r="L182" s="79">
        <f t="shared" si="48"/>
        <v>48701.23</v>
      </c>
      <c r="M182" s="79">
        <f t="shared" si="49"/>
        <v>405.84358333333336</v>
      </c>
      <c r="N182" s="79">
        <f t="shared" si="50"/>
        <v>4870.1230000000005</v>
      </c>
      <c r="O182" s="79">
        <f t="shared" si="51"/>
        <v>0</v>
      </c>
      <c r="P182" s="79">
        <f t="shared" si="52"/>
        <v>48701.23</v>
      </c>
      <c r="Q182" s="79">
        <f t="shared" si="53"/>
        <v>48701.23</v>
      </c>
      <c r="R182" s="79">
        <f t="shared" si="54"/>
        <v>0</v>
      </c>
    </row>
    <row r="183" spans="2:18">
      <c r="B183" s="50">
        <v>247</v>
      </c>
      <c r="C183" t="s">
        <v>262</v>
      </c>
      <c r="D183">
        <v>2006</v>
      </c>
      <c r="E183">
        <v>2</v>
      </c>
      <c r="F183">
        <v>0</v>
      </c>
      <c r="G183" t="s">
        <v>78</v>
      </c>
      <c r="H183" s="22" t="s">
        <v>9</v>
      </c>
      <c r="I183">
        <f t="shared" si="46"/>
        <v>2016</v>
      </c>
      <c r="J183" s="20">
        <f t="shared" si="47"/>
        <v>2016.1666666666667</v>
      </c>
      <c r="K183" s="79">
        <v>11835.11</v>
      </c>
      <c r="L183" s="79">
        <f t="shared" si="48"/>
        <v>11835.11</v>
      </c>
      <c r="M183" s="79">
        <f t="shared" si="49"/>
        <v>98.625916666666669</v>
      </c>
      <c r="N183" s="79">
        <f t="shared" si="50"/>
        <v>1183.511</v>
      </c>
      <c r="O183" s="79">
        <f t="shared" si="51"/>
        <v>0</v>
      </c>
      <c r="P183" s="79">
        <f t="shared" si="52"/>
        <v>11835.11</v>
      </c>
      <c r="Q183" s="79">
        <f t="shared" si="53"/>
        <v>11835.11</v>
      </c>
      <c r="R183" s="79">
        <f t="shared" si="54"/>
        <v>0</v>
      </c>
    </row>
    <row r="184" spans="2:18">
      <c r="B184" s="50">
        <v>674</v>
      </c>
      <c r="C184" t="s">
        <v>139</v>
      </c>
      <c r="D184">
        <v>2006</v>
      </c>
      <c r="E184">
        <v>5</v>
      </c>
      <c r="F184">
        <v>0</v>
      </c>
      <c r="G184" t="s">
        <v>78</v>
      </c>
      <c r="H184" s="22" t="s">
        <v>9</v>
      </c>
      <c r="I184">
        <f t="shared" si="46"/>
        <v>2016</v>
      </c>
      <c r="J184" s="20">
        <f t="shared" si="47"/>
        <v>2016.4166666666667</v>
      </c>
      <c r="K184" s="79">
        <v>31542.41</v>
      </c>
      <c r="L184" s="79">
        <f t="shared" si="48"/>
        <v>31542.41</v>
      </c>
      <c r="M184" s="79">
        <f t="shared" si="49"/>
        <v>262.85341666666665</v>
      </c>
      <c r="N184" s="79">
        <f t="shared" si="50"/>
        <v>3154.241</v>
      </c>
      <c r="O184" s="79">
        <f t="shared" si="51"/>
        <v>0</v>
      </c>
      <c r="P184" s="79">
        <f t="shared" si="52"/>
        <v>31542.41</v>
      </c>
      <c r="Q184" s="79">
        <f t="shared" si="53"/>
        <v>31542.41</v>
      </c>
      <c r="R184" s="79">
        <f t="shared" si="54"/>
        <v>0</v>
      </c>
    </row>
    <row r="185" spans="2:18">
      <c r="B185" s="50">
        <v>294</v>
      </c>
      <c r="C185" t="s">
        <v>235</v>
      </c>
      <c r="D185">
        <v>2006</v>
      </c>
      <c r="E185">
        <v>7</v>
      </c>
      <c r="F185">
        <v>0</v>
      </c>
      <c r="G185" t="s">
        <v>78</v>
      </c>
      <c r="H185" s="22" t="s">
        <v>9</v>
      </c>
      <c r="I185">
        <f t="shared" si="46"/>
        <v>2016</v>
      </c>
      <c r="J185" s="20">
        <f t="shared" si="47"/>
        <v>2016.5833333333333</v>
      </c>
      <c r="K185" s="79">
        <v>14108.81</v>
      </c>
      <c r="L185" s="79">
        <f t="shared" si="48"/>
        <v>14108.81</v>
      </c>
      <c r="M185" s="79">
        <f t="shared" si="49"/>
        <v>117.57341666666666</v>
      </c>
      <c r="N185" s="79">
        <f t="shared" si="50"/>
        <v>1410.8809999999999</v>
      </c>
      <c r="O185" s="79">
        <f t="shared" si="51"/>
        <v>0</v>
      </c>
      <c r="P185" s="79">
        <f t="shared" si="52"/>
        <v>14108.81</v>
      </c>
      <c r="Q185" s="79">
        <f t="shared" si="53"/>
        <v>14108.81</v>
      </c>
      <c r="R185" s="79">
        <f t="shared" si="54"/>
        <v>0</v>
      </c>
    </row>
    <row r="186" spans="2:18">
      <c r="B186" s="50">
        <v>673</v>
      </c>
      <c r="C186" t="s">
        <v>139</v>
      </c>
      <c r="D186">
        <v>2006</v>
      </c>
      <c r="E186">
        <v>11</v>
      </c>
      <c r="F186">
        <v>0</v>
      </c>
      <c r="G186" t="s">
        <v>78</v>
      </c>
      <c r="H186" s="22" t="s">
        <v>9</v>
      </c>
      <c r="I186">
        <f t="shared" si="46"/>
        <v>2016</v>
      </c>
      <c r="J186" s="20">
        <f t="shared" si="47"/>
        <v>2016.9166666666667</v>
      </c>
      <c r="K186" s="79">
        <v>31632</v>
      </c>
      <c r="L186" s="79">
        <f t="shared" si="48"/>
        <v>31632</v>
      </c>
      <c r="M186" s="79">
        <f t="shared" si="49"/>
        <v>263.59999999999997</v>
      </c>
      <c r="N186" s="79">
        <f t="shared" si="50"/>
        <v>3163.2</v>
      </c>
      <c r="O186" s="79">
        <f t="shared" si="51"/>
        <v>0</v>
      </c>
      <c r="P186" s="79">
        <f t="shared" si="52"/>
        <v>31632</v>
      </c>
      <c r="Q186" s="79">
        <f t="shared" si="53"/>
        <v>31632</v>
      </c>
      <c r="R186" s="79">
        <f t="shared" si="54"/>
        <v>0</v>
      </c>
    </row>
    <row r="187" spans="2:18">
      <c r="B187" s="50">
        <v>354</v>
      </c>
      <c r="C187" t="s">
        <v>235</v>
      </c>
      <c r="D187">
        <v>2006</v>
      </c>
      <c r="E187">
        <v>11</v>
      </c>
      <c r="F187">
        <v>0</v>
      </c>
      <c r="G187" t="s">
        <v>78</v>
      </c>
      <c r="H187" s="22" t="s">
        <v>9</v>
      </c>
      <c r="I187">
        <f t="shared" si="46"/>
        <v>2016</v>
      </c>
      <c r="J187" s="20">
        <f t="shared" si="47"/>
        <v>2016.9166666666667</v>
      </c>
      <c r="K187" s="79">
        <v>16995.240000000002</v>
      </c>
      <c r="L187" s="79">
        <f t="shared" si="48"/>
        <v>16995.240000000002</v>
      </c>
      <c r="M187" s="79">
        <f t="shared" si="49"/>
        <v>141.62700000000001</v>
      </c>
      <c r="N187" s="79">
        <f t="shared" si="50"/>
        <v>1699.5240000000001</v>
      </c>
      <c r="O187" s="79">
        <f t="shared" si="51"/>
        <v>0</v>
      </c>
      <c r="P187" s="79">
        <f t="shared" si="52"/>
        <v>16995.240000000002</v>
      </c>
      <c r="Q187" s="79">
        <f t="shared" si="53"/>
        <v>16995.240000000002</v>
      </c>
      <c r="R187" s="79">
        <f t="shared" si="54"/>
        <v>0</v>
      </c>
    </row>
    <row r="188" spans="2:18">
      <c r="B188" s="50">
        <v>2</v>
      </c>
      <c r="C188" t="s">
        <v>186</v>
      </c>
      <c r="D188">
        <v>2007</v>
      </c>
      <c r="E188">
        <v>1</v>
      </c>
      <c r="F188">
        <v>0</v>
      </c>
      <c r="G188" t="s">
        <v>78</v>
      </c>
      <c r="H188" s="22" t="s">
        <v>9</v>
      </c>
      <c r="I188">
        <f t="shared" si="46"/>
        <v>2017</v>
      </c>
      <c r="J188" s="20">
        <f t="shared" si="47"/>
        <v>2017.0833333333333</v>
      </c>
      <c r="K188" s="79">
        <v>7915.37</v>
      </c>
      <c r="L188" s="79">
        <f t="shared" si="48"/>
        <v>7915.37</v>
      </c>
      <c r="M188" s="79">
        <f t="shared" si="49"/>
        <v>65.961416666666665</v>
      </c>
      <c r="N188" s="79">
        <f t="shared" si="50"/>
        <v>791.53700000000003</v>
      </c>
      <c r="O188" s="79">
        <f t="shared" si="51"/>
        <v>0</v>
      </c>
      <c r="P188" s="79">
        <f t="shared" si="52"/>
        <v>7915.37</v>
      </c>
      <c r="Q188" s="79">
        <f t="shared" si="53"/>
        <v>7915.37</v>
      </c>
      <c r="R188" s="79">
        <f t="shared" si="54"/>
        <v>0</v>
      </c>
    </row>
    <row r="189" spans="2:18">
      <c r="B189" s="50">
        <v>682</v>
      </c>
      <c r="C189" t="s">
        <v>139</v>
      </c>
      <c r="D189">
        <v>2007</v>
      </c>
      <c r="E189">
        <v>2</v>
      </c>
      <c r="F189">
        <v>0</v>
      </c>
      <c r="G189" t="s">
        <v>78</v>
      </c>
      <c r="H189" s="22" t="s">
        <v>9</v>
      </c>
      <c r="I189">
        <f t="shared" si="46"/>
        <v>2017</v>
      </c>
      <c r="J189" s="20">
        <f t="shared" si="47"/>
        <v>2017.1666666666667</v>
      </c>
      <c r="K189" s="79">
        <v>32066.89</v>
      </c>
      <c r="L189" s="79">
        <f t="shared" si="48"/>
        <v>32066.89</v>
      </c>
      <c r="M189" s="79">
        <f t="shared" si="49"/>
        <v>267.22408333333334</v>
      </c>
      <c r="N189" s="79">
        <f t="shared" si="50"/>
        <v>3206.6890000000003</v>
      </c>
      <c r="O189" s="79">
        <f t="shared" si="51"/>
        <v>0</v>
      </c>
      <c r="P189" s="79">
        <f t="shared" si="52"/>
        <v>32066.89</v>
      </c>
      <c r="Q189" s="79">
        <f t="shared" si="53"/>
        <v>32066.89</v>
      </c>
      <c r="R189" s="79">
        <f t="shared" si="54"/>
        <v>0</v>
      </c>
    </row>
    <row r="190" spans="2:18">
      <c r="B190" s="50">
        <v>988</v>
      </c>
      <c r="C190" t="s">
        <v>144</v>
      </c>
      <c r="D190">
        <v>2007</v>
      </c>
      <c r="E190">
        <v>3</v>
      </c>
      <c r="F190">
        <v>0</v>
      </c>
      <c r="G190" t="s">
        <v>78</v>
      </c>
      <c r="H190" s="22" t="s">
        <v>9</v>
      </c>
      <c r="I190">
        <f t="shared" si="46"/>
        <v>2017</v>
      </c>
      <c r="J190" s="20">
        <f t="shared" si="47"/>
        <v>2017.25</v>
      </c>
      <c r="K190" s="79">
        <v>46451.73</v>
      </c>
      <c r="L190" s="79">
        <f t="shared" si="48"/>
        <v>46451.73</v>
      </c>
      <c r="M190" s="79">
        <f t="shared" si="49"/>
        <v>387.09775000000008</v>
      </c>
      <c r="N190" s="79">
        <f t="shared" si="50"/>
        <v>4645.1730000000007</v>
      </c>
      <c r="O190" s="79">
        <f t="shared" si="51"/>
        <v>0</v>
      </c>
      <c r="P190" s="79">
        <f t="shared" si="52"/>
        <v>46451.73</v>
      </c>
      <c r="Q190" s="79">
        <f t="shared" si="53"/>
        <v>46451.73</v>
      </c>
      <c r="R190" s="79">
        <f t="shared" si="54"/>
        <v>0</v>
      </c>
    </row>
    <row r="191" spans="2:18">
      <c r="B191" s="50">
        <v>974</v>
      </c>
      <c r="C191" t="s">
        <v>144</v>
      </c>
      <c r="D191">
        <v>2007</v>
      </c>
      <c r="E191">
        <v>3</v>
      </c>
      <c r="F191">
        <v>0</v>
      </c>
      <c r="G191" t="s">
        <v>78</v>
      </c>
      <c r="H191" s="22" t="s">
        <v>9</v>
      </c>
      <c r="I191">
        <f t="shared" si="46"/>
        <v>2017</v>
      </c>
      <c r="J191" s="20">
        <f t="shared" si="47"/>
        <v>2017.25</v>
      </c>
      <c r="K191" s="79">
        <v>45770.27</v>
      </c>
      <c r="L191" s="79">
        <f t="shared" si="48"/>
        <v>45770.27</v>
      </c>
      <c r="M191" s="79">
        <f t="shared" si="49"/>
        <v>381.41891666666669</v>
      </c>
      <c r="N191" s="79">
        <f t="shared" si="50"/>
        <v>4577.027</v>
      </c>
      <c r="O191" s="79">
        <f t="shared" si="51"/>
        <v>0</v>
      </c>
      <c r="P191" s="79">
        <f t="shared" si="52"/>
        <v>45770.27</v>
      </c>
      <c r="Q191" s="79">
        <f t="shared" si="53"/>
        <v>45770.27</v>
      </c>
      <c r="R191" s="79">
        <f t="shared" si="54"/>
        <v>0</v>
      </c>
    </row>
    <row r="192" spans="2:18">
      <c r="B192" s="50">
        <v>227</v>
      </c>
      <c r="C192" t="s">
        <v>262</v>
      </c>
      <c r="D192">
        <v>2007</v>
      </c>
      <c r="E192">
        <v>5</v>
      </c>
      <c r="F192">
        <v>0</v>
      </c>
      <c r="G192" t="s">
        <v>78</v>
      </c>
      <c r="H192" s="22" t="s">
        <v>9</v>
      </c>
      <c r="I192">
        <f t="shared" si="46"/>
        <v>2017</v>
      </c>
      <c r="J192" s="20">
        <f t="shared" si="47"/>
        <v>2017.4166666666667</v>
      </c>
      <c r="K192" s="79">
        <v>10907.6</v>
      </c>
      <c r="L192" s="79">
        <f t="shared" si="48"/>
        <v>10907.6</v>
      </c>
      <c r="M192" s="79">
        <f t="shared" si="49"/>
        <v>90.896666666666661</v>
      </c>
      <c r="N192" s="79">
        <f t="shared" si="50"/>
        <v>1090.76</v>
      </c>
      <c r="O192" s="79">
        <f t="shared" si="51"/>
        <v>0</v>
      </c>
      <c r="P192" s="79">
        <f t="shared" si="52"/>
        <v>10907.6</v>
      </c>
      <c r="Q192" s="79">
        <f t="shared" si="53"/>
        <v>10907.6</v>
      </c>
      <c r="R192" s="79">
        <f t="shared" si="54"/>
        <v>0</v>
      </c>
    </row>
    <row r="193" spans="2:18">
      <c r="B193" s="50">
        <v>684</v>
      </c>
      <c r="C193" t="s">
        <v>139</v>
      </c>
      <c r="D193">
        <v>2007</v>
      </c>
      <c r="E193">
        <v>6</v>
      </c>
      <c r="F193">
        <v>0</v>
      </c>
      <c r="G193" t="s">
        <v>78</v>
      </c>
      <c r="H193" s="22" t="s">
        <v>9</v>
      </c>
      <c r="I193">
        <f t="shared" si="46"/>
        <v>2017</v>
      </c>
      <c r="J193" s="20">
        <f t="shared" si="47"/>
        <v>2017.5</v>
      </c>
      <c r="K193" s="79">
        <v>32136</v>
      </c>
      <c r="L193" s="79">
        <f t="shared" si="48"/>
        <v>32136</v>
      </c>
      <c r="M193" s="79">
        <f t="shared" si="49"/>
        <v>267.8</v>
      </c>
      <c r="N193" s="79">
        <f t="shared" si="50"/>
        <v>3213.6000000000004</v>
      </c>
      <c r="O193" s="79">
        <f t="shared" si="51"/>
        <v>0</v>
      </c>
      <c r="P193" s="79">
        <f t="shared" si="52"/>
        <v>32136</v>
      </c>
      <c r="Q193" s="79">
        <f t="shared" si="53"/>
        <v>32136</v>
      </c>
      <c r="R193" s="79">
        <f t="shared" si="54"/>
        <v>0</v>
      </c>
    </row>
    <row r="194" spans="2:18">
      <c r="B194" s="50">
        <v>684</v>
      </c>
      <c r="C194" t="s">
        <v>139</v>
      </c>
      <c r="D194">
        <v>2007</v>
      </c>
      <c r="E194">
        <v>7</v>
      </c>
      <c r="F194">
        <v>0</v>
      </c>
      <c r="G194" t="s">
        <v>78</v>
      </c>
      <c r="H194" s="22" t="s">
        <v>9</v>
      </c>
      <c r="I194">
        <f t="shared" si="46"/>
        <v>2017</v>
      </c>
      <c r="J194" s="20">
        <f t="shared" si="47"/>
        <v>2017.5833333333333</v>
      </c>
      <c r="K194" s="79">
        <v>32136</v>
      </c>
      <c r="L194" s="79">
        <f t="shared" si="48"/>
        <v>32136</v>
      </c>
      <c r="M194" s="79">
        <f t="shared" si="49"/>
        <v>267.8</v>
      </c>
      <c r="N194" s="79">
        <f t="shared" si="50"/>
        <v>3213.6000000000004</v>
      </c>
      <c r="O194" s="79">
        <f t="shared" si="51"/>
        <v>0</v>
      </c>
      <c r="P194" s="79">
        <f t="shared" si="52"/>
        <v>32136</v>
      </c>
      <c r="Q194" s="79">
        <f t="shared" si="53"/>
        <v>32136</v>
      </c>
      <c r="R194" s="79">
        <f t="shared" si="54"/>
        <v>0</v>
      </c>
    </row>
    <row r="195" spans="2:18">
      <c r="B195" s="50">
        <v>946</v>
      </c>
      <c r="C195" t="s">
        <v>144</v>
      </c>
      <c r="D195">
        <v>2007</v>
      </c>
      <c r="E195">
        <v>8</v>
      </c>
      <c r="F195">
        <v>0</v>
      </c>
      <c r="G195" t="s">
        <v>78</v>
      </c>
      <c r="H195" s="22" t="s">
        <v>9</v>
      </c>
      <c r="I195">
        <f t="shared" si="46"/>
        <v>2017</v>
      </c>
      <c r="J195" s="20">
        <f t="shared" si="47"/>
        <v>2017.6666666666667</v>
      </c>
      <c r="K195" s="79">
        <v>44439.74</v>
      </c>
      <c r="L195" s="79">
        <f t="shared" si="48"/>
        <v>44439.74</v>
      </c>
      <c r="M195" s="79">
        <f t="shared" si="49"/>
        <v>370.33116666666666</v>
      </c>
      <c r="N195" s="79">
        <f t="shared" si="50"/>
        <v>4443.9740000000002</v>
      </c>
      <c r="O195" s="79">
        <f t="shared" si="51"/>
        <v>0</v>
      </c>
      <c r="P195" s="79">
        <f t="shared" si="52"/>
        <v>44439.74</v>
      </c>
      <c r="Q195" s="79">
        <f t="shared" si="53"/>
        <v>44439.74</v>
      </c>
      <c r="R195" s="79">
        <f t="shared" si="54"/>
        <v>0</v>
      </c>
    </row>
    <row r="196" spans="2:18">
      <c r="B196" s="50">
        <v>942</v>
      </c>
      <c r="C196" t="s">
        <v>144</v>
      </c>
      <c r="D196">
        <v>2007</v>
      </c>
      <c r="E196">
        <v>8</v>
      </c>
      <c r="F196">
        <v>0</v>
      </c>
      <c r="G196" t="s">
        <v>78</v>
      </c>
      <c r="H196" s="22" t="s">
        <v>9</v>
      </c>
      <c r="I196">
        <f t="shared" si="46"/>
        <v>2017</v>
      </c>
      <c r="J196" s="20">
        <f t="shared" si="47"/>
        <v>2017.6666666666667</v>
      </c>
      <c r="K196" s="79">
        <v>44295</v>
      </c>
      <c r="L196" s="79">
        <f t="shared" si="48"/>
        <v>44295</v>
      </c>
      <c r="M196" s="79">
        <f t="shared" si="49"/>
        <v>369.125</v>
      </c>
      <c r="N196" s="79">
        <f t="shared" si="50"/>
        <v>4429.5</v>
      </c>
      <c r="O196" s="79">
        <f t="shared" si="51"/>
        <v>0</v>
      </c>
      <c r="P196" s="79">
        <f t="shared" si="52"/>
        <v>44295</v>
      </c>
      <c r="Q196" s="79">
        <f t="shared" si="53"/>
        <v>44295</v>
      </c>
      <c r="R196" s="79">
        <f t="shared" si="54"/>
        <v>0</v>
      </c>
    </row>
    <row r="197" spans="2:18">
      <c r="B197" s="50">
        <v>588</v>
      </c>
      <c r="C197" t="s">
        <v>235</v>
      </c>
      <c r="D197">
        <v>2007</v>
      </c>
      <c r="E197">
        <v>9</v>
      </c>
      <c r="F197">
        <v>0</v>
      </c>
      <c r="G197" t="s">
        <v>78</v>
      </c>
      <c r="H197" s="22" t="s">
        <v>9</v>
      </c>
      <c r="I197">
        <f t="shared" si="46"/>
        <v>2017</v>
      </c>
      <c r="J197" s="20">
        <f t="shared" si="47"/>
        <v>2017.75</v>
      </c>
      <c r="K197" s="79">
        <v>28226.39</v>
      </c>
      <c r="L197" s="79">
        <f t="shared" si="48"/>
        <v>28226.39</v>
      </c>
      <c r="M197" s="79">
        <f t="shared" si="49"/>
        <v>235.21991666666668</v>
      </c>
      <c r="N197" s="79">
        <f t="shared" si="50"/>
        <v>2822.6390000000001</v>
      </c>
      <c r="O197" s="79">
        <f t="shared" si="51"/>
        <v>0</v>
      </c>
      <c r="P197" s="79">
        <f t="shared" si="52"/>
        <v>28226.39</v>
      </c>
      <c r="Q197" s="79">
        <f t="shared" si="53"/>
        <v>28226.39</v>
      </c>
      <c r="R197" s="79">
        <f t="shared" si="54"/>
        <v>0</v>
      </c>
    </row>
    <row r="198" spans="2:18">
      <c r="B198" s="50">
        <v>973</v>
      </c>
      <c r="C198" t="s">
        <v>144</v>
      </c>
      <c r="D198">
        <v>2007</v>
      </c>
      <c r="E198">
        <v>10</v>
      </c>
      <c r="F198">
        <v>0</v>
      </c>
      <c r="G198" t="s">
        <v>78</v>
      </c>
      <c r="H198" s="22" t="s">
        <v>9</v>
      </c>
      <c r="I198">
        <f t="shared" si="46"/>
        <v>2017</v>
      </c>
      <c r="J198" s="20">
        <f t="shared" si="47"/>
        <v>2017.8333333333333</v>
      </c>
      <c r="K198" s="79">
        <v>45739.67</v>
      </c>
      <c r="L198" s="79">
        <f t="shared" si="48"/>
        <v>45739.67</v>
      </c>
      <c r="M198" s="79">
        <f t="shared" si="49"/>
        <v>381.16391666666664</v>
      </c>
      <c r="N198" s="79">
        <f t="shared" si="50"/>
        <v>4573.9669999999996</v>
      </c>
      <c r="O198" s="79">
        <f t="shared" si="51"/>
        <v>0</v>
      </c>
      <c r="P198" s="79">
        <f t="shared" si="52"/>
        <v>45739.67</v>
      </c>
      <c r="Q198" s="79">
        <f t="shared" si="53"/>
        <v>45739.67</v>
      </c>
      <c r="R198" s="79">
        <f t="shared" si="54"/>
        <v>0</v>
      </c>
    </row>
    <row r="199" spans="2:18">
      <c r="B199" s="50">
        <v>690</v>
      </c>
      <c r="C199" t="s">
        <v>139</v>
      </c>
      <c r="D199">
        <v>2007</v>
      </c>
      <c r="E199">
        <v>10</v>
      </c>
      <c r="F199">
        <v>0</v>
      </c>
      <c r="G199" t="s">
        <v>78</v>
      </c>
      <c r="H199" s="22" t="s">
        <v>9</v>
      </c>
      <c r="I199">
        <f t="shared" si="46"/>
        <v>2017</v>
      </c>
      <c r="J199" s="20">
        <f t="shared" si="47"/>
        <v>2017.8333333333333</v>
      </c>
      <c r="K199" s="79">
        <v>32434.02</v>
      </c>
      <c r="L199" s="79">
        <f t="shared" si="48"/>
        <v>32434.02</v>
      </c>
      <c r="M199" s="79">
        <f t="shared" si="49"/>
        <v>270.2835</v>
      </c>
      <c r="N199" s="79">
        <f t="shared" si="50"/>
        <v>3243.402</v>
      </c>
      <c r="O199" s="79">
        <f t="shared" si="51"/>
        <v>0</v>
      </c>
      <c r="P199" s="79">
        <f t="shared" si="52"/>
        <v>32434.02</v>
      </c>
      <c r="Q199" s="79">
        <f t="shared" si="53"/>
        <v>32434.02</v>
      </c>
      <c r="R199" s="79">
        <f t="shared" si="54"/>
        <v>0</v>
      </c>
    </row>
    <row r="200" spans="2:18">
      <c r="B200" s="50">
        <v>975</v>
      </c>
      <c r="C200" t="s">
        <v>144</v>
      </c>
      <c r="D200">
        <v>2007</v>
      </c>
      <c r="E200">
        <v>11</v>
      </c>
      <c r="F200">
        <v>0</v>
      </c>
      <c r="G200" t="s">
        <v>78</v>
      </c>
      <c r="H200" s="22" t="s">
        <v>9</v>
      </c>
      <c r="I200">
        <f t="shared" si="46"/>
        <v>2017</v>
      </c>
      <c r="J200" s="20">
        <f t="shared" si="47"/>
        <v>2017.9166666666667</v>
      </c>
      <c r="K200" s="79">
        <v>45842.93</v>
      </c>
      <c r="L200" s="79">
        <f t="shared" si="48"/>
        <v>45842.93</v>
      </c>
      <c r="M200" s="79">
        <f t="shared" si="49"/>
        <v>382.02441666666664</v>
      </c>
      <c r="N200" s="79">
        <f t="shared" si="50"/>
        <v>4584.2929999999997</v>
      </c>
      <c r="O200" s="79">
        <f t="shared" si="51"/>
        <v>0</v>
      </c>
      <c r="P200" s="79">
        <f t="shared" si="52"/>
        <v>45842.93</v>
      </c>
      <c r="Q200" s="79">
        <f t="shared" si="53"/>
        <v>45842.93</v>
      </c>
      <c r="R200" s="79">
        <f t="shared" si="54"/>
        <v>0</v>
      </c>
    </row>
    <row r="201" spans="2:18">
      <c r="B201" s="50">
        <v>725</v>
      </c>
      <c r="C201" t="s">
        <v>139</v>
      </c>
      <c r="D201">
        <v>2008</v>
      </c>
      <c r="E201">
        <v>2</v>
      </c>
      <c r="F201">
        <v>0</v>
      </c>
      <c r="G201" t="s">
        <v>78</v>
      </c>
      <c r="H201" s="22" t="s">
        <v>8</v>
      </c>
      <c r="I201">
        <f t="shared" ref="I201:I232" si="55">D201+H201</f>
        <v>2013</v>
      </c>
      <c r="J201" s="20">
        <f t="shared" ref="J201:J232" si="56">+I201+(E201/12)</f>
        <v>2013.1666666666667</v>
      </c>
      <c r="K201" s="79">
        <v>34085.35</v>
      </c>
      <c r="L201" s="79">
        <f t="shared" ref="L201:L232" si="57">K201-K201*F201</f>
        <v>34085.35</v>
      </c>
      <c r="M201" s="79">
        <f t="shared" ref="M201:M232" si="58">L201/H201/12</f>
        <v>568.08916666666664</v>
      </c>
      <c r="N201" s="79">
        <f t="shared" ref="N201:N232" si="59">+M201*12</f>
        <v>6817.07</v>
      </c>
      <c r="O201" s="79">
        <f t="shared" ref="O201:O232" si="60">+IF(J201&lt;=$L$5,0,IF(I201&gt;$L$4,N201,(M201*E201)))</f>
        <v>0</v>
      </c>
      <c r="P201" s="79">
        <f t="shared" ref="P201:P232" si="61">+IF(O201=0,L201,IF($L$3-D201&lt;1,0,(($L$3-D201)*O201)))</f>
        <v>34085.35</v>
      </c>
      <c r="Q201" s="79">
        <f t="shared" ref="Q201:Q232" si="62">+IF(O201=0,P201,P201+O201)</f>
        <v>34085.35</v>
      </c>
      <c r="R201" s="79">
        <f t="shared" ref="R201:R232" si="63">+K201-Q201</f>
        <v>0</v>
      </c>
    </row>
    <row r="202" spans="2:18">
      <c r="B202" s="50">
        <v>75</v>
      </c>
      <c r="C202" t="s">
        <v>223</v>
      </c>
      <c r="D202">
        <v>2009</v>
      </c>
      <c r="E202">
        <v>2</v>
      </c>
      <c r="F202">
        <v>0</v>
      </c>
      <c r="G202" t="s">
        <v>78</v>
      </c>
      <c r="H202" s="22">
        <v>7</v>
      </c>
      <c r="I202">
        <f t="shared" si="55"/>
        <v>2016</v>
      </c>
      <c r="J202" s="20">
        <f t="shared" si="56"/>
        <v>2016.1666666666667</v>
      </c>
      <c r="K202" s="79">
        <v>3861.76</v>
      </c>
      <c r="L202" s="79">
        <f t="shared" si="57"/>
        <v>3861.76</v>
      </c>
      <c r="M202" s="79">
        <f t="shared" si="58"/>
        <v>45.973333333333336</v>
      </c>
      <c r="N202" s="79">
        <f t="shared" si="59"/>
        <v>551.68000000000006</v>
      </c>
      <c r="O202" s="79">
        <f t="shared" si="60"/>
        <v>0</v>
      </c>
      <c r="P202" s="79">
        <f t="shared" si="61"/>
        <v>3861.76</v>
      </c>
      <c r="Q202" s="79">
        <f t="shared" si="62"/>
        <v>3861.76</v>
      </c>
      <c r="R202" s="79">
        <f t="shared" si="63"/>
        <v>0</v>
      </c>
    </row>
    <row r="203" spans="2:18">
      <c r="B203" s="50">
        <v>930</v>
      </c>
      <c r="C203" t="s">
        <v>225</v>
      </c>
      <c r="D203">
        <v>2009</v>
      </c>
      <c r="E203">
        <v>2</v>
      </c>
      <c r="F203">
        <v>0</v>
      </c>
      <c r="G203" t="s">
        <v>78</v>
      </c>
      <c r="H203" s="22">
        <v>7</v>
      </c>
      <c r="I203">
        <f t="shared" si="55"/>
        <v>2016</v>
      </c>
      <c r="J203" s="20">
        <f t="shared" si="56"/>
        <v>2016.1666666666667</v>
      </c>
      <c r="K203" s="79">
        <v>38457.08</v>
      </c>
      <c r="L203" s="79">
        <f t="shared" si="57"/>
        <v>38457.08</v>
      </c>
      <c r="M203" s="79">
        <f t="shared" si="58"/>
        <v>457.82238095238102</v>
      </c>
      <c r="N203" s="79">
        <f t="shared" si="59"/>
        <v>5493.8685714285721</v>
      </c>
      <c r="O203" s="79">
        <f t="shared" si="60"/>
        <v>0</v>
      </c>
      <c r="P203" s="79">
        <f t="shared" si="61"/>
        <v>38457.08</v>
      </c>
      <c r="Q203" s="79">
        <f t="shared" si="62"/>
        <v>38457.08</v>
      </c>
      <c r="R203" s="79">
        <f t="shared" si="63"/>
        <v>0</v>
      </c>
    </row>
    <row r="204" spans="2:18">
      <c r="B204" s="50">
        <v>75</v>
      </c>
      <c r="C204" t="s">
        <v>226</v>
      </c>
      <c r="D204">
        <v>2009</v>
      </c>
      <c r="E204">
        <v>2</v>
      </c>
      <c r="F204">
        <v>0</v>
      </c>
      <c r="G204" t="s">
        <v>78</v>
      </c>
      <c r="H204" s="22">
        <v>7</v>
      </c>
      <c r="I204">
        <f t="shared" si="55"/>
        <v>2016</v>
      </c>
      <c r="J204" s="20">
        <f t="shared" si="56"/>
        <v>2016.1666666666667</v>
      </c>
      <c r="K204" s="79">
        <v>4321.3900000000003</v>
      </c>
      <c r="L204" s="79">
        <f t="shared" si="57"/>
        <v>4321.3900000000003</v>
      </c>
      <c r="M204" s="79">
        <f t="shared" si="58"/>
        <v>51.445119047619052</v>
      </c>
      <c r="N204" s="79">
        <f t="shared" si="59"/>
        <v>617.34142857142865</v>
      </c>
      <c r="O204" s="79">
        <f t="shared" si="60"/>
        <v>0</v>
      </c>
      <c r="P204" s="79">
        <f t="shared" si="61"/>
        <v>4321.3900000000003</v>
      </c>
      <c r="Q204" s="79">
        <f t="shared" si="62"/>
        <v>4321.3900000000003</v>
      </c>
      <c r="R204" s="79">
        <f t="shared" si="63"/>
        <v>0</v>
      </c>
    </row>
    <row r="205" spans="2:18">
      <c r="B205" s="50">
        <v>486</v>
      </c>
      <c r="C205" t="s">
        <v>306</v>
      </c>
      <c r="D205">
        <v>2009</v>
      </c>
      <c r="E205">
        <v>3</v>
      </c>
      <c r="F205">
        <v>0</v>
      </c>
      <c r="G205" t="s">
        <v>78</v>
      </c>
      <c r="H205" s="22">
        <v>7</v>
      </c>
      <c r="I205">
        <f t="shared" si="55"/>
        <v>2016</v>
      </c>
      <c r="J205" s="20">
        <f t="shared" si="56"/>
        <v>2016.25</v>
      </c>
      <c r="K205" s="79">
        <v>24510</v>
      </c>
      <c r="L205" s="79">
        <f t="shared" si="57"/>
        <v>24510</v>
      </c>
      <c r="M205" s="79">
        <f t="shared" si="58"/>
        <v>291.78571428571428</v>
      </c>
      <c r="N205" s="79">
        <f t="shared" si="59"/>
        <v>3501.4285714285716</v>
      </c>
      <c r="O205" s="79">
        <f t="shared" si="60"/>
        <v>0</v>
      </c>
      <c r="P205" s="79">
        <f t="shared" si="61"/>
        <v>24510</v>
      </c>
      <c r="Q205" s="79">
        <f t="shared" si="62"/>
        <v>24510</v>
      </c>
      <c r="R205" s="79">
        <f t="shared" si="63"/>
        <v>0</v>
      </c>
    </row>
    <row r="206" spans="2:18">
      <c r="B206" s="50">
        <v>50</v>
      </c>
      <c r="C206" t="s">
        <v>262</v>
      </c>
      <c r="D206">
        <v>2009</v>
      </c>
      <c r="E206">
        <v>4</v>
      </c>
      <c r="F206">
        <v>0</v>
      </c>
      <c r="G206" t="s">
        <v>78</v>
      </c>
      <c r="H206" s="22">
        <v>7</v>
      </c>
      <c r="I206">
        <f t="shared" si="55"/>
        <v>2016</v>
      </c>
      <c r="J206" s="20">
        <f t="shared" si="56"/>
        <v>2016.3333333333333</v>
      </c>
      <c r="K206" s="79">
        <v>2152.64</v>
      </c>
      <c r="L206" s="79">
        <f t="shared" si="57"/>
        <v>2152.64</v>
      </c>
      <c r="M206" s="79">
        <f t="shared" si="58"/>
        <v>25.626666666666665</v>
      </c>
      <c r="N206" s="79">
        <f t="shared" si="59"/>
        <v>307.52</v>
      </c>
      <c r="O206" s="79">
        <f t="shared" si="60"/>
        <v>0</v>
      </c>
      <c r="P206" s="79">
        <f t="shared" si="61"/>
        <v>2152.64</v>
      </c>
      <c r="Q206" s="79">
        <f t="shared" si="62"/>
        <v>2152.64</v>
      </c>
      <c r="R206" s="79">
        <f t="shared" si="63"/>
        <v>0</v>
      </c>
    </row>
    <row r="207" spans="2:18">
      <c r="B207" s="50">
        <v>315</v>
      </c>
      <c r="C207" t="s">
        <v>139</v>
      </c>
      <c r="D207">
        <v>2009</v>
      </c>
      <c r="E207">
        <v>6</v>
      </c>
      <c r="F207">
        <v>0</v>
      </c>
      <c r="G207" t="s">
        <v>78</v>
      </c>
      <c r="H207" s="22">
        <v>7</v>
      </c>
      <c r="I207">
        <f t="shared" si="55"/>
        <v>2016</v>
      </c>
      <c r="J207" s="20">
        <f t="shared" si="56"/>
        <v>2016.5</v>
      </c>
      <c r="K207" s="79">
        <v>13018.2</v>
      </c>
      <c r="L207" s="79">
        <f t="shared" si="57"/>
        <v>13018.2</v>
      </c>
      <c r="M207" s="79">
        <f t="shared" si="58"/>
        <v>154.97857142857143</v>
      </c>
      <c r="N207" s="79">
        <f t="shared" si="59"/>
        <v>1859.7428571428572</v>
      </c>
      <c r="O207" s="79">
        <f t="shared" si="60"/>
        <v>0</v>
      </c>
      <c r="P207" s="79">
        <f t="shared" si="61"/>
        <v>13018.2</v>
      </c>
      <c r="Q207" s="79">
        <f t="shared" si="62"/>
        <v>13018.2</v>
      </c>
      <c r="R207" s="79">
        <f t="shared" si="63"/>
        <v>0</v>
      </c>
    </row>
    <row r="208" spans="2:18">
      <c r="B208" s="50">
        <v>50</v>
      </c>
      <c r="C208" t="s">
        <v>306</v>
      </c>
      <c r="D208">
        <v>2009</v>
      </c>
      <c r="E208">
        <v>6</v>
      </c>
      <c r="F208">
        <v>0</v>
      </c>
      <c r="G208" t="s">
        <v>78</v>
      </c>
      <c r="H208" s="22">
        <v>7</v>
      </c>
      <c r="I208">
        <f t="shared" si="55"/>
        <v>2016</v>
      </c>
      <c r="J208" s="20">
        <f t="shared" si="56"/>
        <v>2016.5</v>
      </c>
      <c r="K208" s="79">
        <v>2314.85</v>
      </c>
      <c r="L208" s="79">
        <f t="shared" si="57"/>
        <v>2314.85</v>
      </c>
      <c r="M208" s="79">
        <f t="shared" si="58"/>
        <v>27.557738095238093</v>
      </c>
      <c r="N208" s="79">
        <f t="shared" si="59"/>
        <v>330.69285714285712</v>
      </c>
      <c r="O208" s="79">
        <f t="shared" si="60"/>
        <v>0</v>
      </c>
      <c r="P208" s="79">
        <f t="shared" si="61"/>
        <v>2314.85</v>
      </c>
      <c r="Q208" s="79">
        <f t="shared" si="62"/>
        <v>2314.85</v>
      </c>
      <c r="R208" s="79">
        <f t="shared" si="63"/>
        <v>0</v>
      </c>
    </row>
    <row r="209" spans="1:18">
      <c r="B209" s="50">
        <v>540</v>
      </c>
      <c r="C209" t="s">
        <v>224</v>
      </c>
      <c r="D209">
        <v>2009</v>
      </c>
      <c r="E209">
        <v>7</v>
      </c>
      <c r="F209">
        <v>0</v>
      </c>
      <c r="G209" t="s">
        <v>78</v>
      </c>
      <c r="H209" s="22">
        <v>7</v>
      </c>
      <c r="I209">
        <f t="shared" si="55"/>
        <v>2016</v>
      </c>
      <c r="J209" s="20">
        <f t="shared" si="56"/>
        <v>2016.5833333333333</v>
      </c>
      <c r="K209" s="79">
        <v>18474.009999999998</v>
      </c>
      <c r="L209" s="79">
        <f t="shared" si="57"/>
        <v>18474.009999999998</v>
      </c>
      <c r="M209" s="79">
        <f t="shared" si="58"/>
        <v>219.92869047619047</v>
      </c>
      <c r="N209" s="79">
        <f t="shared" si="59"/>
        <v>2639.1442857142856</v>
      </c>
      <c r="O209" s="79">
        <f t="shared" si="60"/>
        <v>0</v>
      </c>
      <c r="P209" s="79">
        <f t="shared" si="61"/>
        <v>18474.009999999998</v>
      </c>
      <c r="Q209" s="79">
        <f t="shared" si="62"/>
        <v>18474.009999999998</v>
      </c>
      <c r="R209" s="79">
        <f t="shared" si="63"/>
        <v>0</v>
      </c>
    </row>
    <row r="210" spans="1:18">
      <c r="B210" s="50">
        <v>846</v>
      </c>
      <c r="C210" t="s">
        <v>227</v>
      </c>
      <c r="D210">
        <v>2009</v>
      </c>
      <c r="E210">
        <v>11</v>
      </c>
      <c r="F210">
        <v>0</v>
      </c>
      <c r="G210" t="s">
        <v>78</v>
      </c>
      <c r="H210" s="22">
        <v>7</v>
      </c>
      <c r="I210">
        <f t="shared" si="55"/>
        <v>2016</v>
      </c>
      <c r="J210" s="20">
        <f t="shared" si="56"/>
        <v>2016.9166666666667</v>
      </c>
      <c r="K210" s="79">
        <v>29308.86</v>
      </c>
      <c r="L210" s="79">
        <f t="shared" si="57"/>
        <v>29308.86</v>
      </c>
      <c r="M210" s="79">
        <f t="shared" si="58"/>
        <v>348.91500000000002</v>
      </c>
      <c r="N210" s="79">
        <f t="shared" si="59"/>
        <v>4186.9800000000005</v>
      </c>
      <c r="O210" s="79">
        <f t="shared" si="60"/>
        <v>0</v>
      </c>
      <c r="P210" s="79">
        <f t="shared" si="61"/>
        <v>29308.86</v>
      </c>
      <c r="Q210" s="79">
        <f t="shared" si="62"/>
        <v>29308.86</v>
      </c>
      <c r="R210" s="79">
        <f t="shared" si="63"/>
        <v>0</v>
      </c>
    </row>
    <row r="211" spans="1:18">
      <c r="B211" s="50">
        <v>486</v>
      </c>
      <c r="C211" t="s">
        <v>308</v>
      </c>
      <c r="D211">
        <v>2009</v>
      </c>
      <c r="E211">
        <v>12</v>
      </c>
      <c r="F211">
        <v>0</v>
      </c>
      <c r="G211" t="s">
        <v>78</v>
      </c>
      <c r="H211" s="22">
        <v>7</v>
      </c>
      <c r="I211">
        <f t="shared" si="55"/>
        <v>2016</v>
      </c>
      <c r="J211" s="20">
        <f t="shared" si="56"/>
        <v>2017</v>
      </c>
      <c r="K211" s="79">
        <v>24198.25</v>
      </c>
      <c r="L211" s="79">
        <f t="shared" si="57"/>
        <v>24198.25</v>
      </c>
      <c r="M211" s="79">
        <f t="shared" si="58"/>
        <v>288.07440476190476</v>
      </c>
      <c r="N211" s="79">
        <f t="shared" si="59"/>
        <v>3456.8928571428569</v>
      </c>
      <c r="O211" s="79">
        <f t="shared" si="60"/>
        <v>0</v>
      </c>
      <c r="P211" s="79">
        <f t="shared" si="61"/>
        <v>24198.25</v>
      </c>
      <c r="Q211" s="79">
        <f t="shared" si="62"/>
        <v>24198.25</v>
      </c>
      <c r="R211" s="79">
        <f t="shared" si="63"/>
        <v>0</v>
      </c>
    </row>
    <row r="212" spans="1:18">
      <c r="A212" s="118">
        <v>73807</v>
      </c>
      <c r="B212" s="50">
        <v>1080</v>
      </c>
      <c r="C212" t="s">
        <v>398</v>
      </c>
      <c r="D212">
        <v>2010</v>
      </c>
      <c r="E212">
        <v>4</v>
      </c>
      <c r="F212">
        <v>0</v>
      </c>
      <c r="G212" t="s">
        <v>78</v>
      </c>
      <c r="H212" s="22">
        <v>7</v>
      </c>
      <c r="I212">
        <f t="shared" si="55"/>
        <v>2017</v>
      </c>
      <c r="J212" s="20">
        <f t="shared" si="56"/>
        <v>2017.3333333333333</v>
      </c>
      <c r="K212" s="79">
        <v>36044.57</v>
      </c>
      <c r="L212" s="79">
        <f t="shared" si="57"/>
        <v>36044.57</v>
      </c>
      <c r="M212" s="79">
        <f t="shared" si="58"/>
        <v>429.10202380952381</v>
      </c>
      <c r="N212" s="79">
        <f t="shared" si="59"/>
        <v>5149.2242857142855</v>
      </c>
      <c r="O212" s="79">
        <f t="shared" si="60"/>
        <v>0</v>
      </c>
      <c r="P212" s="79">
        <f t="shared" si="61"/>
        <v>36044.57</v>
      </c>
      <c r="Q212" s="79">
        <f t="shared" si="62"/>
        <v>36044.57</v>
      </c>
      <c r="R212" s="79">
        <f t="shared" si="63"/>
        <v>0</v>
      </c>
    </row>
    <row r="213" spans="1:18">
      <c r="A213" s="118">
        <v>76937</v>
      </c>
      <c r="B213" s="50">
        <v>1080</v>
      </c>
      <c r="C213" t="s">
        <v>398</v>
      </c>
      <c r="D213">
        <v>2010</v>
      </c>
      <c r="E213">
        <v>8</v>
      </c>
      <c r="F213">
        <v>0</v>
      </c>
      <c r="G213" t="s">
        <v>78</v>
      </c>
      <c r="H213" s="22">
        <v>7</v>
      </c>
      <c r="I213">
        <f t="shared" si="55"/>
        <v>2017</v>
      </c>
      <c r="J213" s="20">
        <f t="shared" si="56"/>
        <v>2017.6666666666667</v>
      </c>
      <c r="K213" s="79">
        <v>36068</v>
      </c>
      <c r="L213" s="79">
        <f t="shared" si="57"/>
        <v>36068</v>
      </c>
      <c r="M213" s="79">
        <f t="shared" si="58"/>
        <v>429.38095238095235</v>
      </c>
      <c r="N213" s="79">
        <f t="shared" si="59"/>
        <v>5152.5714285714284</v>
      </c>
      <c r="O213" s="79">
        <f t="shared" si="60"/>
        <v>0</v>
      </c>
      <c r="P213" s="79">
        <f t="shared" si="61"/>
        <v>36068</v>
      </c>
      <c r="Q213" s="79">
        <f t="shared" si="62"/>
        <v>36068</v>
      </c>
      <c r="R213" s="79">
        <f t="shared" si="63"/>
        <v>0</v>
      </c>
    </row>
    <row r="214" spans="1:18">
      <c r="A214" s="118">
        <v>77219</v>
      </c>
      <c r="B214" s="50">
        <v>100</v>
      </c>
      <c r="C214" t="s">
        <v>399</v>
      </c>
      <c r="D214">
        <v>2010</v>
      </c>
      <c r="E214">
        <v>9</v>
      </c>
      <c r="F214">
        <v>0</v>
      </c>
      <c r="G214" t="s">
        <v>78</v>
      </c>
      <c r="H214" s="22">
        <v>7</v>
      </c>
      <c r="I214">
        <f t="shared" si="55"/>
        <v>2017</v>
      </c>
      <c r="J214" s="20">
        <f t="shared" si="56"/>
        <v>2017.75</v>
      </c>
      <c r="K214" s="79">
        <v>4841.2700000000004</v>
      </c>
      <c r="L214" s="79">
        <f t="shared" si="57"/>
        <v>4841.2700000000004</v>
      </c>
      <c r="M214" s="79">
        <f t="shared" si="58"/>
        <v>57.634166666666665</v>
      </c>
      <c r="N214" s="79">
        <f t="shared" si="59"/>
        <v>691.61</v>
      </c>
      <c r="O214" s="79">
        <f t="shared" si="60"/>
        <v>0</v>
      </c>
      <c r="P214" s="79">
        <f t="shared" si="61"/>
        <v>4841.2700000000004</v>
      </c>
      <c r="Q214" s="79">
        <f t="shared" si="62"/>
        <v>4841.2700000000004</v>
      </c>
      <c r="R214" s="79">
        <f t="shared" si="63"/>
        <v>0</v>
      </c>
    </row>
    <row r="215" spans="1:18">
      <c r="A215" s="118">
        <v>78781</v>
      </c>
      <c r="B215" s="50">
        <v>270</v>
      </c>
      <c r="C215" t="s">
        <v>398</v>
      </c>
      <c r="D215">
        <v>2010</v>
      </c>
      <c r="E215">
        <v>11</v>
      </c>
      <c r="F215">
        <v>0</v>
      </c>
      <c r="G215" t="s">
        <v>78</v>
      </c>
      <c r="H215" s="22">
        <v>7</v>
      </c>
      <c r="I215">
        <f t="shared" si="55"/>
        <v>2017</v>
      </c>
      <c r="J215" s="20">
        <f t="shared" si="56"/>
        <v>2017.9166666666667</v>
      </c>
      <c r="K215" s="79">
        <v>9025.7900000000009</v>
      </c>
      <c r="L215" s="79">
        <f t="shared" si="57"/>
        <v>9025.7900000000009</v>
      </c>
      <c r="M215" s="79">
        <f t="shared" si="58"/>
        <v>107.44988095238097</v>
      </c>
      <c r="N215" s="79">
        <f t="shared" si="59"/>
        <v>1289.3985714285716</v>
      </c>
      <c r="O215" s="79">
        <f t="shared" si="60"/>
        <v>0</v>
      </c>
      <c r="P215" s="79">
        <f t="shared" si="61"/>
        <v>9025.7900000000009</v>
      </c>
      <c r="Q215" s="79">
        <f t="shared" si="62"/>
        <v>9025.7900000000009</v>
      </c>
      <c r="R215" s="79">
        <f t="shared" si="63"/>
        <v>0</v>
      </c>
    </row>
    <row r="216" spans="1:18">
      <c r="A216" s="118">
        <v>78664</v>
      </c>
      <c r="B216" s="50">
        <v>648</v>
      </c>
      <c r="C216" s="112" t="s">
        <v>400</v>
      </c>
      <c r="D216" s="112">
        <v>2010</v>
      </c>
      <c r="E216" s="112">
        <v>11</v>
      </c>
      <c r="F216" s="112">
        <v>0</v>
      </c>
      <c r="G216" s="112" t="s">
        <v>78</v>
      </c>
      <c r="H216" s="22">
        <v>7</v>
      </c>
      <c r="I216" s="112">
        <f t="shared" si="55"/>
        <v>2017</v>
      </c>
      <c r="J216" s="20">
        <f t="shared" si="56"/>
        <v>2017.9166666666667</v>
      </c>
      <c r="K216" s="79">
        <v>27321.69</v>
      </c>
      <c r="L216" s="79">
        <f t="shared" si="57"/>
        <v>27321.69</v>
      </c>
      <c r="M216" s="79">
        <f t="shared" si="58"/>
        <v>325.25821428571425</v>
      </c>
      <c r="N216" s="79">
        <f t="shared" si="59"/>
        <v>3903.0985714285707</v>
      </c>
      <c r="O216" s="79">
        <f t="shared" si="60"/>
        <v>0</v>
      </c>
      <c r="P216" s="79">
        <f t="shared" si="61"/>
        <v>27321.69</v>
      </c>
      <c r="Q216" s="79">
        <f t="shared" si="62"/>
        <v>27321.69</v>
      </c>
      <c r="R216" s="79">
        <f t="shared" si="63"/>
        <v>0</v>
      </c>
    </row>
    <row r="217" spans="1:18">
      <c r="A217" s="118">
        <v>81015</v>
      </c>
      <c r="B217" s="50">
        <v>1080</v>
      </c>
      <c r="C217" s="112" t="s">
        <v>398</v>
      </c>
      <c r="D217" s="112">
        <v>2011</v>
      </c>
      <c r="E217" s="112">
        <v>4</v>
      </c>
      <c r="F217" s="112">
        <v>0</v>
      </c>
      <c r="G217" s="112" t="s">
        <v>78</v>
      </c>
      <c r="H217" s="22">
        <v>7</v>
      </c>
      <c r="I217" s="112">
        <f t="shared" si="55"/>
        <v>2018</v>
      </c>
      <c r="J217" s="20">
        <f t="shared" si="56"/>
        <v>2018.3333333333333</v>
      </c>
      <c r="K217" s="79">
        <v>36815.379999999997</v>
      </c>
      <c r="L217" s="79">
        <f t="shared" si="57"/>
        <v>36815.379999999997</v>
      </c>
      <c r="M217" s="79">
        <f t="shared" si="58"/>
        <v>438.27833333333325</v>
      </c>
      <c r="N217" s="79">
        <f t="shared" si="59"/>
        <v>5259.3399999999992</v>
      </c>
      <c r="O217" s="79">
        <f t="shared" si="60"/>
        <v>0</v>
      </c>
      <c r="P217" s="79">
        <f t="shared" si="61"/>
        <v>36815.379999999997</v>
      </c>
      <c r="Q217" s="79">
        <f t="shared" si="62"/>
        <v>36815.379999999997</v>
      </c>
      <c r="R217" s="79">
        <f t="shared" si="63"/>
        <v>0</v>
      </c>
    </row>
    <row r="218" spans="1:18">
      <c r="A218" s="118">
        <v>81013</v>
      </c>
      <c r="B218" s="50">
        <v>100</v>
      </c>
      <c r="C218" s="112" t="s">
        <v>399</v>
      </c>
      <c r="D218" s="112">
        <v>2011</v>
      </c>
      <c r="E218" s="112">
        <v>4</v>
      </c>
      <c r="F218" s="112">
        <v>0</v>
      </c>
      <c r="G218" s="112" t="s">
        <v>78</v>
      </c>
      <c r="H218" s="22">
        <v>7</v>
      </c>
      <c r="I218" s="112">
        <f t="shared" si="55"/>
        <v>2018</v>
      </c>
      <c r="J218" s="20">
        <f t="shared" si="56"/>
        <v>2018.3333333333333</v>
      </c>
      <c r="K218" s="79">
        <v>5136.08</v>
      </c>
      <c r="L218" s="79">
        <f t="shared" si="57"/>
        <v>5136.08</v>
      </c>
      <c r="M218" s="79">
        <f t="shared" si="58"/>
        <v>61.143809523809523</v>
      </c>
      <c r="N218" s="79">
        <f t="shared" si="59"/>
        <v>733.72571428571428</v>
      </c>
      <c r="O218" s="79">
        <f t="shared" si="60"/>
        <v>0</v>
      </c>
      <c r="P218" s="79">
        <f t="shared" si="61"/>
        <v>5136.08</v>
      </c>
      <c r="Q218" s="79">
        <f t="shared" si="62"/>
        <v>5136.08</v>
      </c>
      <c r="R218" s="79">
        <f t="shared" si="63"/>
        <v>0</v>
      </c>
    </row>
    <row r="219" spans="1:18">
      <c r="A219" s="118">
        <v>85604</v>
      </c>
      <c r="B219" s="50">
        <v>146</v>
      </c>
      <c r="C219" t="s">
        <v>400</v>
      </c>
      <c r="D219">
        <v>2011</v>
      </c>
      <c r="E219">
        <v>7</v>
      </c>
      <c r="F219">
        <v>0</v>
      </c>
      <c r="G219" t="s">
        <v>78</v>
      </c>
      <c r="H219" s="22">
        <v>7</v>
      </c>
      <c r="I219">
        <f t="shared" si="55"/>
        <v>2018</v>
      </c>
      <c r="J219" s="20">
        <f t="shared" si="56"/>
        <v>2018.5833333333333</v>
      </c>
      <c r="K219" s="79">
        <v>7103.49</v>
      </c>
      <c r="L219" s="79">
        <f t="shared" si="57"/>
        <v>7103.49</v>
      </c>
      <c r="M219" s="79">
        <f t="shared" si="58"/>
        <v>84.565357142857138</v>
      </c>
      <c r="N219" s="79">
        <f t="shared" si="59"/>
        <v>1014.7842857142857</v>
      </c>
      <c r="O219" s="79">
        <f t="shared" si="60"/>
        <v>0</v>
      </c>
      <c r="P219" s="79">
        <f t="shared" si="61"/>
        <v>7103.49</v>
      </c>
      <c r="Q219" s="79">
        <f t="shared" si="62"/>
        <v>7103.49</v>
      </c>
      <c r="R219" s="79">
        <f t="shared" si="63"/>
        <v>0</v>
      </c>
    </row>
    <row r="220" spans="1:18">
      <c r="A220" s="118">
        <v>85605</v>
      </c>
      <c r="B220" s="50">
        <v>100</v>
      </c>
      <c r="C220" t="s">
        <v>399</v>
      </c>
      <c r="D220">
        <v>2011</v>
      </c>
      <c r="E220">
        <v>7</v>
      </c>
      <c r="F220">
        <v>0</v>
      </c>
      <c r="G220" t="s">
        <v>78</v>
      </c>
      <c r="H220" s="22">
        <v>7</v>
      </c>
      <c r="I220">
        <f t="shared" si="55"/>
        <v>2018</v>
      </c>
      <c r="J220" s="20">
        <f t="shared" si="56"/>
        <v>2018.5833333333333</v>
      </c>
      <c r="K220" s="79">
        <v>5500.23</v>
      </c>
      <c r="L220" s="79">
        <f t="shared" si="57"/>
        <v>5500.23</v>
      </c>
      <c r="M220" s="79">
        <f t="shared" si="58"/>
        <v>65.478928571428568</v>
      </c>
      <c r="N220" s="79">
        <f t="shared" si="59"/>
        <v>785.74714285714276</v>
      </c>
      <c r="O220" s="79">
        <f t="shared" si="60"/>
        <v>0</v>
      </c>
      <c r="P220" s="79">
        <f t="shared" si="61"/>
        <v>5500.23</v>
      </c>
      <c r="Q220" s="79">
        <f t="shared" si="62"/>
        <v>5500.23</v>
      </c>
      <c r="R220" s="79">
        <f t="shared" si="63"/>
        <v>0</v>
      </c>
    </row>
    <row r="221" spans="1:18">
      <c r="A221" s="118">
        <v>88135</v>
      </c>
      <c r="B221" s="50">
        <v>1080</v>
      </c>
      <c r="C221" t="s">
        <v>398</v>
      </c>
      <c r="D221">
        <v>2011</v>
      </c>
      <c r="E221">
        <v>10</v>
      </c>
      <c r="F221">
        <v>0</v>
      </c>
      <c r="G221" t="s">
        <v>78</v>
      </c>
      <c r="H221" s="22">
        <v>7</v>
      </c>
      <c r="I221">
        <f t="shared" si="55"/>
        <v>2018</v>
      </c>
      <c r="J221" s="20">
        <f t="shared" si="56"/>
        <v>2018.8333333333333</v>
      </c>
      <c r="K221" s="79">
        <v>38752.42</v>
      </c>
      <c r="L221" s="79">
        <f t="shared" si="57"/>
        <v>38752.42</v>
      </c>
      <c r="M221" s="79">
        <f t="shared" si="58"/>
        <v>461.33833333333331</v>
      </c>
      <c r="N221" s="79">
        <f t="shared" si="59"/>
        <v>5536.0599999999995</v>
      </c>
      <c r="O221" s="79">
        <f t="shared" si="60"/>
        <v>0</v>
      </c>
      <c r="P221" s="79">
        <f t="shared" si="61"/>
        <v>38752.42</v>
      </c>
      <c r="Q221" s="79">
        <f t="shared" si="62"/>
        <v>38752.42</v>
      </c>
      <c r="R221" s="79">
        <f t="shared" si="63"/>
        <v>0</v>
      </c>
    </row>
    <row r="222" spans="1:18">
      <c r="A222" s="118">
        <v>88606</v>
      </c>
      <c r="B222" s="50">
        <v>548</v>
      </c>
      <c r="C222" t="s">
        <v>400</v>
      </c>
      <c r="D222">
        <v>2011</v>
      </c>
      <c r="E222">
        <v>12</v>
      </c>
      <c r="F222">
        <v>0</v>
      </c>
      <c r="G222" t="s">
        <v>78</v>
      </c>
      <c r="H222" s="22">
        <v>7</v>
      </c>
      <c r="I222">
        <f t="shared" si="55"/>
        <v>2018</v>
      </c>
      <c r="J222" s="20">
        <f t="shared" si="56"/>
        <v>2019</v>
      </c>
      <c r="K222" s="79">
        <v>24666.94</v>
      </c>
      <c r="L222" s="79">
        <f t="shared" si="57"/>
        <v>24666.94</v>
      </c>
      <c r="M222" s="79">
        <f t="shared" si="58"/>
        <v>293.65404761904762</v>
      </c>
      <c r="N222" s="79">
        <f t="shared" si="59"/>
        <v>3523.8485714285716</v>
      </c>
      <c r="O222" s="79">
        <f t="shared" si="60"/>
        <v>0</v>
      </c>
      <c r="P222" s="79">
        <f t="shared" si="61"/>
        <v>24666.94</v>
      </c>
      <c r="Q222" s="79">
        <f t="shared" si="62"/>
        <v>24666.94</v>
      </c>
      <c r="R222" s="79">
        <f t="shared" si="63"/>
        <v>0</v>
      </c>
    </row>
    <row r="223" spans="1:18">
      <c r="A223" s="118">
        <v>96399</v>
      </c>
      <c r="B223" s="50">
        <v>324</v>
      </c>
      <c r="C223" t="s">
        <v>400</v>
      </c>
      <c r="D223">
        <v>2012</v>
      </c>
      <c r="E223">
        <v>6</v>
      </c>
      <c r="F223">
        <v>0</v>
      </c>
      <c r="G223" t="s">
        <v>78</v>
      </c>
      <c r="H223" s="22">
        <v>7</v>
      </c>
      <c r="I223">
        <f t="shared" si="55"/>
        <v>2019</v>
      </c>
      <c r="J223" s="20">
        <f t="shared" si="56"/>
        <v>2019.5</v>
      </c>
      <c r="K223" s="79">
        <v>14461</v>
      </c>
      <c r="L223" s="79">
        <f t="shared" si="57"/>
        <v>14461</v>
      </c>
      <c r="M223" s="79">
        <f t="shared" si="58"/>
        <v>172.1547619047619</v>
      </c>
      <c r="N223" s="79">
        <f t="shared" si="59"/>
        <v>2065.8571428571427</v>
      </c>
      <c r="O223" s="79">
        <f t="shared" si="60"/>
        <v>0</v>
      </c>
      <c r="P223" s="79">
        <f t="shared" si="61"/>
        <v>14461</v>
      </c>
      <c r="Q223" s="79">
        <f t="shared" si="62"/>
        <v>14461</v>
      </c>
      <c r="R223" s="79">
        <f t="shared" si="63"/>
        <v>0</v>
      </c>
    </row>
    <row r="224" spans="1:18">
      <c r="A224" s="118">
        <v>96400</v>
      </c>
      <c r="B224" s="50">
        <v>243</v>
      </c>
      <c r="C224" t="s">
        <v>399</v>
      </c>
      <c r="D224">
        <v>2012</v>
      </c>
      <c r="E224">
        <v>6</v>
      </c>
      <c r="F224">
        <v>0</v>
      </c>
      <c r="G224" t="s">
        <v>78</v>
      </c>
      <c r="H224" s="22">
        <v>7</v>
      </c>
      <c r="I224">
        <f t="shared" si="55"/>
        <v>2019</v>
      </c>
      <c r="J224" s="20">
        <f t="shared" si="56"/>
        <v>2019.5</v>
      </c>
      <c r="K224" s="79">
        <v>12605</v>
      </c>
      <c r="L224" s="79">
        <f t="shared" si="57"/>
        <v>12605</v>
      </c>
      <c r="M224" s="79">
        <f t="shared" si="58"/>
        <v>150.05952380952382</v>
      </c>
      <c r="N224" s="79">
        <f t="shared" si="59"/>
        <v>1800.7142857142858</v>
      </c>
      <c r="O224" s="79">
        <f t="shared" si="60"/>
        <v>0</v>
      </c>
      <c r="P224" s="79">
        <f t="shared" si="61"/>
        <v>12605</v>
      </c>
      <c r="Q224" s="79">
        <f t="shared" si="62"/>
        <v>12605</v>
      </c>
      <c r="R224" s="79">
        <f t="shared" si="63"/>
        <v>0</v>
      </c>
    </row>
    <row r="225" spans="1:18">
      <c r="A225" s="118">
        <v>96397</v>
      </c>
      <c r="B225" s="50">
        <v>217</v>
      </c>
      <c r="C225" t="s">
        <v>467</v>
      </c>
      <c r="D225">
        <v>2012</v>
      </c>
      <c r="E225">
        <v>7</v>
      </c>
      <c r="F225">
        <v>0</v>
      </c>
      <c r="G225" t="s">
        <v>78</v>
      </c>
      <c r="H225" s="22">
        <v>7</v>
      </c>
      <c r="I225">
        <f t="shared" si="55"/>
        <v>2019</v>
      </c>
      <c r="J225" s="20">
        <f t="shared" si="56"/>
        <v>2019.5833333333333</v>
      </c>
      <c r="K225" s="79">
        <v>7374</v>
      </c>
      <c r="L225" s="79">
        <f t="shared" si="57"/>
        <v>7374</v>
      </c>
      <c r="M225" s="79">
        <f t="shared" si="58"/>
        <v>87.785714285714278</v>
      </c>
      <c r="N225" s="79">
        <f t="shared" si="59"/>
        <v>1053.4285714285713</v>
      </c>
      <c r="O225" s="79">
        <f t="shared" si="60"/>
        <v>0</v>
      </c>
      <c r="P225" s="79">
        <f t="shared" si="61"/>
        <v>7374</v>
      </c>
      <c r="Q225" s="79">
        <f t="shared" si="62"/>
        <v>7374</v>
      </c>
      <c r="R225" s="79">
        <f t="shared" si="63"/>
        <v>0</v>
      </c>
    </row>
    <row r="226" spans="1:18">
      <c r="A226" s="118">
        <v>96398</v>
      </c>
      <c r="B226" s="50">
        <v>810</v>
      </c>
      <c r="C226" s="112" t="s">
        <v>398</v>
      </c>
      <c r="D226" s="112">
        <v>2012</v>
      </c>
      <c r="E226" s="112">
        <v>7</v>
      </c>
      <c r="F226" s="112">
        <v>0</v>
      </c>
      <c r="G226" s="112" t="s">
        <v>78</v>
      </c>
      <c r="H226" s="22">
        <v>7</v>
      </c>
      <c r="I226" s="112">
        <f t="shared" si="55"/>
        <v>2019</v>
      </c>
      <c r="J226" s="20">
        <f t="shared" si="56"/>
        <v>2019.5833333333333</v>
      </c>
      <c r="K226" s="79">
        <v>28316</v>
      </c>
      <c r="L226" s="79">
        <f t="shared" si="57"/>
        <v>28316</v>
      </c>
      <c r="M226" s="79">
        <f t="shared" si="58"/>
        <v>337.09523809523813</v>
      </c>
      <c r="N226" s="79">
        <f t="shared" si="59"/>
        <v>4045.1428571428578</v>
      </c>
      <c r="O226" s="79">
        <f t="shared" si="60"/>
        <v>0</v>
      </c>
      <c r="P226" s="79">
        <f t="shared" si="61"/>
        <v>28316</v>
      </c>
      <c r="Q226" s="79">
        <f t="shared" si="62"/>
        <v>28316</v>
      </c>
      <c r="R226" s="79">
        <f t="shared" si="63"/>
        <v>0</v>
      </c>
    </row>
    <row r="227" spans="1:18">
      <c r="A227" s="118">
        <v>94943</v>
      </c>
      <c r="B227" s="50">
        <v>486</v>
      </c>
      <c r="C227" s="112" t="s">
        <v>474</v>
      </c>
      <c r="D227" s="112">
        <v>2012</v>
      </c>
      <c r="E227" s="112">
        <v>7</v>
      </c>
      <c r="F227" s="112">
        <v>0</v>
      </c>
      <c r="G227" s="112" t="s">
        <v>78</v>
      </c>
      <c r="H227" s="22">
        <v>7</v>
      </c>
      <c r="I227" s="112">
        <f t="shared" si="55"/>
        <v>2019</v>
      </c>
      <c r="J227" s="20">
        <f t="shared" si="56"/>
        <v>2019.5833333333333</v>
      </c>
      <c r="K227" s="79">
        <v>25210</v>
      </c>
      <c r="L227" s="79">
        <f t="shared" si="57"/>
        <v>25210</v>
      </c>
      <c r="M227" s="79">
        <f t="shared" si="58"/>
        <v>300.11904761904765</v>
      </c>
      <c r="N227" s="79">
        <f t="shared" si="59"/>
        <v>3601.4285714285716</v>
      </c>
      <c r="O227" s="79">
        <f t="shared" si="60"/>
        <v>0</v>
      </c>
      <c r="P227" s="79">
        <f t="shared" si="61"/>
        <v>25210</v>
      </c>
      <c r="Q227" s="79">
        <f t="shared" si="62"/>
        <v>25210</v>
      </c>
      <c r="R227" s="79">
        <f t="shared" si="63"/>
        <v>0</v>
      </c>
    </row>
    <row r="228" spans="1:18">
      <c r="A228" s="118">
        <v>96401</v>
      </c>
      <c r="B228" s="50">
        <v>810</v>
      </c>
      <c r="C228" s="112" t="s">
        <v>398</v>
      </c>
      <c r="D228" s="112">
        <v>2012</v>
      </c>
      <c r="E228" s="112">
        <v>9</v>
      </c>
      <c r="F228" s="112">
        <v>0</v>
      </c>
      <c r="G228" s="112" t="s">
        <v>78</v>
      </c>
      <c r="H228" s="22">
        <v>7</v>
      </c>
      <c r="I228" s="112">
        <f t="shared" si="55"/>
        <v>2019</v>
      </c>
      <c r="J228" s="20">
        <f t="shared" si="56"/>
        <v>2019.75</v>
      </c>
      <c r="K228" s="79">
        <v>27988</v>
      </c>
      <c r="L228" s="79">
        <f t="shared" si="57"/>
        <v>27988</v>
      </c>
      <c r="M228" s="79">
        <f t="shared" si="58"/>
        <v>333.1904761904762</v>
      </c>
      <c r="N228" s="79">
        <f t="shared" si="59"/>
        <v>3998.2857142857147</v>
      </c>
      <c r="O228" s="79">
        <f t="shared" si="60"/>
        <v>2998.7142857142858</v>
      </c>
      <c r="P228" s="79">
        <f t="shared" si="61"/>
        <v>17992.285714285714</v>
      </c>
      <c r="Q228" s="79">
        <f t="shared" si="62"/>
        <v>20991</v>
      </c>
      <c r="R228" s="79">
        <f t="shared" si="63"/>
        <v>6997</v>
      </c>
    </row>
    <row r="229" spans="1:18">
      <c r="A229" s="118">
        <v>96948</v>
      </c>
      <c r="B229" s="50">
        <v>324</v>
      </c>
      <c r="C229" t="s">
        <v>400</v>
      </c>
      <c r="D229">
        <v>2012</v>
      </c>
      <c r="E229">
        <v>9</v>
      </c>
      <c r="F229">
        <v>0</v>
      </c>
      <c r="G229" t="s">
        <v>78</v>
      </c>
      <c r="H229" s="22">
        <v>7</v>
      </c>
      <c r="I229">
        <f t="shared" si="55"/>
        <v>2019</v>
      </c>
      <c r="J229" s="20">
        <f t="shared" si="56"/>
        <v>2019.75</v>
      </c>
      <c r="K229" s="79">
        <v>14292</v>
      </c>
      <c r="L229" s="79">
        <f t="shared" si="57"/>
        <v>14292</v>
      </c>
      <c r="M229" s="79">
        <f t="shared" si="58"/>
        <v>170.14285714285714</v>
      </c>
      <c r="N229" s="79">
        <f t="shared" si="59"/>
        <v>2041.7142857142858</v>
      </c>
      <c r="O229" s="79">
        <f t="shared" si="60"/>
        <v>1531.2857142857142</v>
      </c>
      <c r="P229" s="79">
        <f t="shared" si="61"/>
        <v>9187.7142857142862</v>
      </c>
      <c r="Q229" s="79">
        <f t="shared" si="62"/>
        <v>10719</v>
      </c>
      <c r="R229" s="79">
        <f t="shared" si="63"/>
        <v>3573</v>
      </c>
    </row>
    <row r="230" spans="1:18">
      <c r="A230" s="118" t="s">
        <v>469</v>
      </c>
      <c r="B230" s="50">
        <v>1215</v>
      </c>
      <c r="C230" t="s">
        <v>399</v>
      </c>
      <c r="D230">
        <v>2012</v>
      </c>
      <c r="E230">
        <v>9</v>
      </c>
      <c r="F230">
        <v>0</v>
      </c>
      <c r="G230" t="s">
        <v>78</v>
      </c>
      <c r="H230" s="22">
        <v>7</v>
      </c>
      <c r="I230">
        <f t="shared" si="55"/>
        <v>2019</v>
      </c>
      <c r="J230" s="20">
        <f t="shared" si="56"/>
        <v>2019.75</v>
      </c>
      <c r="K230" s="79">
        <v>61284</v>
      </c>
      <c r="L230" s="79">
        <f t="shared" si="57"/>
        <v>61284</v>
      </c>
      <c r="M230" s="79">
        <f t="shared" si="58"/>
        <v>729.57142857142856</v>
      </c>
      <c r="N230" s="79">
        <f t="shared" si="59"/>
        <v>8754.8571428571431</v>
      </c>
      <c r="O230" s="79">
        <f t="shared" si="60"/>
        <v>6566.1428571428569</v>
      </c>
      <c r="P230" s="79">
        <f t="shared" si="61"/>
        <v>39396.857142857145</v>
      </c>
      <c r="Q230" s="79">
        <f t="shared" si="62"/>
        <v>45963</v>
      </c>
      <c r="R230" s="79">
        <f t="shared" si="63"/>
        <v>15321</v>
      </c>
    </row>
    <row r="231" spans="1:18">
      <c r="A231" s="118">
        <v>97739</v>
      </c>
      <c r="B231" s="50">
        <v>217</v>
      </c>
      <c r="C231" t="s">
        <v>475</v>
      </c>
      <c r="D231">
        <v>2012</v>
      </c>
      <c r="E231">
        <v>10</v>
      </c>
      <c r="F231">
        <v>0</v>
      </c>
      <c r="G231" t="s">
        <v>78</v>
      </c>
      <c r="H231" s="22">
        <v>7</v>
      </c>
      <c r="I231">
        <f t="shared" si="55"/>
        <v>2019</v>
      </c>
      <c r="J231" s="20">
        <f t="shared" si="56"/>
        <v>2019.8333333333333</v>
      </c>
      <c r="K231" s="79">
        <v>7167</v>
      </c>
      <c r="L231" s="79">
        <f t="shared" si="57"/>
        <v>7167</v>
      </c>
      <c r="M231" s="79">
        <f t="shared" si="58"/>
        <v>85.321428571428569</v>
      </c>
      <c r="N231" s="79">
        <f t="shared" si="59"/>
        <v>1023.8571428571429</v>
      </c>
      <c r="O231" s="79">
        <f t="shared" si="60"/>
        <v>853.21428571428567</v>
      </c>
      <c r="P231" s="79">
        <f t="shared" si="61"/>
        <v>5119.2857142857138</v>
      </c>
      <c r="Q231" s="79">
        <f t="shared" si="62"/>
        <v>5972.4999999999991</v>
      </c>
      <c r="R231" s="79">
        <f t="shared" si="63"/>
        <v>1194.5000000000009</v>
      </c>
    </row>
    <row r="232" spans="1:18">
      <c r="A232" s="118">
        <v>104087</v>
      </c>
      <c r="B232" s="50">
        <v>324</v>
      </c>
      <c r="C232" t="s">
        <v>400</v>
      </c>
      <c r="D232">
        <v>2013</v>
      </c>
      <c r="E232">
        <v>3</v>
      </c>
      <c r="F232">
        <v>0</v>
      </c>
      <c r="G232" t="s">
        <v>78</v>
      </c>
      <c r="H232" s="22">
        <v>7</v>
      </c>
      <c r="I232">
        <f t="shared" si="55"/>
        <v>2020</v>
      </c>
      <c r="J232" s="20">
        <f t="shared" si="56"/>
        <v>2020.25</v>
      </c>
      <c r="K232" s="79">
        <v>14387.53</v>
      </c>
      <c r="L232" s="79">
        <f t="shared" si="57"/>
        <v>14387.53</v>
      </c>
      <c r="M232" s="79">
        <f t="shared" si="58"/>
        <v>171.28011904761908</v>
      </c>
      <c r="N232" s="79">
        <f t="shared" si="59"/>
        <v>2055.3614285714289</v>
      </c>
      <c r="O232" s="79">
        <f t="shared" si="60"/>
        <v>2055.3614285714289</v>
      </c>
      <c r="P232" s="79">
        <f t="shared" si="61"/>
        <v>10276.807142857144</v>
      </c>
      <c r="Q232" s="79">
        <f t="shared" si="62"/>
        <v>12332.168571428572</v>
      </c>
      <c r="R232" s="79">
        <f t="shared" si="63"/>
        <v>2055.3614285714284</v>
      </c>
    </row>
    <row r="233" spans="1:18">
      <c r="A233" s="118">
        <v>107055</v>
      </c>
      <c r="B233" s="50">
        <v>217</v>
      </c>
      <c r="C233" t="s">
        <v>467</v>
      </c>
      <c r="D233">
        <v>2013</v>
      </c>
      <c r="E233">
        <v>5</v>
      </c>
      <c r="F233">
        <v>0</v>
      </c>
      <c r="G233" t="s">
        <v>78</v>
      </c>
      <c r="H233" s="22">
        <v>7</v>
      </c>
      <c r="I233">
        <f t="shared" ref="I233:I264" si="64">D233+H233</f>
        <v>2020</v>
      </c>
      <c r="J233" s="20">
        <f t="shared" ref="J233:J264" si="65">+I233+(E233/12)</f>
        <v>2020.4166666666667</v>
      </c>
      <c r="K233" s="79">
        <v>8693.01</v>
      </c>
      <c r="L233" s="79">
        <f t="shared" ref="L233:L264" si="66">K233-K233*F233</f>
        <v>8693.01</v>
      </c>
      <c r="M233" s="79">
        <f t="shared" ref="M233:M264" si="67">L233/H233/12</f>
        <v>103.48821428571428</v>
      </c>
      <c r="N233" s="79">
        <f t="shared" ref="N233:N264" si="68">+M233*12</f>
        <v>1241.8585714285714</v>
      </c>
      <c r="O233" s="79">
        <f t="shared" ref="O233:O264" si="69">+IF(J233&lt;=$L$5,0,IF(I233&gt;$L$4,N233,(M233*E233)))</f>
        <v>1241.8585714285714</v>
      </c>
      <c r="P233" s="79">
        <f t="shared" ref="P233:P264" si="70">+IF(O233=0,L233,IF($L$3-D233&lt;1,0,(($L$3-D233)*O233)))</f>
        <v>6209.2928571428565</v>
      </c>
      <c r="Q233" s="79">
        <f t="shared" ref="Q233:Q264" si="71">+IF(O233=0,P233,P233+O233)</f>
        <v>7451.1514285714275</v>
      </c>
      <c r="R233" s="79">
        <f t="shared" ref="R233:R264" si="72">+K233-Q233</f>
        <v>1241.8585714285728</v>
      </c>
    </row>
    <row r="234" spans="1:18">
      <c r="A234" s="118">
        <v>104088</v>
      </c>
      <c r="B234" s="50">
        <v>444</v>
      </c>
      <c r="C234" t="s">
        <v>398</v>
      </c>
      <c r="D234">
        <v>2013</v>
      </c>
      <c r="E234">
        <v>5</v>
      </c>
      <c r="F234">
        <v>0</v>
      </c>
      <c r="G234" t="s">
        <v>78</v>
      </c>
      <c r="H234" s="22">
        <v>7</v>
      </c>
      <c r="I234">
        <f t="shared" si="64"/>
        <v>2020</v>
      </c>
      <c r="J234" s="20">
        <f t="shared" si="65"/>
        <v>2020.4166666666667</v>
      </c>
      <c r="K234" s="79">
        <v>16700.669999999998</v>
      </c>
      <c r="L234" s="79">
        <f t="shared" si="66"/>
        <v>16700.669999999998</v>
      </c>
      <c r="M234" s="79">
        <f t="shared" si="67"/>
        <v>198.8175</v>
      </c>
      <c r="N234" s="79">
        <f t="shared" si="68"/>
        <v>2385.81</v>
      </c>
      <c r="O234" s="79">
        <f t="shared" si="69"/>
        <v>2385.81</v>
      </c>
      <c r="P234" s="79">
        <f t="shared" si="70"/>
        <v>11929.05</v>
      </c>
      <c r="Q234" s="79">
        <f t="shared" si="71"/>
        <v>14314.859999999999</v>
      </c>
      <c r="R234" s="79">
        <f t="shared" si="72"/>
        <v>2385.8099999999995</v>
      </c>
    </row>
    <row r="235" spans="1:18">
      <c r="A235" s="118">
        <v>104089</v>
      </c>
      <c r="B235" s="50">
        <v>126</v>
      </c>
      <c r="C235" t="s">
        <v>399</v>
      </c>
      <c r="D235">
        <v>2013</v>
      </c>
      <c r="E235">
        <v>5</v>
      </c>
      <c r="F235">
        <v>0</v>
      </c>
      <c r="G235" t="s">
        <v>78</v>
      </c>
      <c r="H235" s="22">
        <v>7</v>
      </c>
      <c r="I235">
        <f t="shared" si="64"/>
        <v>2020</v>
      </c>
      <c r="J235" s="20">
        <f t="shared" si="65"/>
        <v>2020.4166666666667</v>
      </c>
      <c r="K235" s="79">
        <v>6580.15</v>
      </c>
      <c r="L235" s="79">
        <f t="shared" si="66"/>
        <v>6580.15</v>
      </c>
      <c r="M235" s="79">
        <f t="shared" si="67"/>
        <v>78.335119047619045</v>
      </c>
      <c r="N235" s="79">
        <f t="shared" si="68"/>
        <v>940.02142857142849</v>
      </c>
      <c r="O235" s="79">
        <f t="shared" si="69"/>
        <v>940.02142857142849</v>
      </c>
      <c r="P235" s="79">
        <f t="shared" si="70"/>
        <v>4700.1071428571422</v>
      </c>
      <c r="Q235" s="79">
        <f t="shared" si="71"/>
        <v>5640.1285714285705</v>
      </c>
      <c r="R235" s="79">
        <f t="shared" si="72"/>
        <v>940.02142857142917</v>
      </c>
    </row>
    <row r="236" spans="1:18">
      <c r="A236" s="118">
        <v>106448</v>
      </c>
      <c r="B236" s="50">
        <v>540</v>
      </c>
      <c r="C236" t="s">
        <v>398</v>
      </c>
      <c r="D236">
        <v>2013</v>
      </c>
      <c r="E236">
        <v>7</v>
      </c>
      <c r="F236">
        <v>0</v>
      </c>
      <c r="G236" t="s">
        <v>78</v>
      </c>
      <c r="H236" s="22">
        <v>7</v>
      </c>
      <c r="I236">
        <f t="shared" si="64"/>
        <v>2020</v>
      </c>
      <c r="J236" s="20">
        <f t="shared" si="65"/>
        <v>2020.5833333333333</v>
      </c>
      <c r="K236" s="79">
        <v>21137.37</v>
      </c>
      <c r="L236" s="79">
        <f t="shared" si="66"/>
        <v>21137.37</v>
      </c>
      <c r="M236" s="79">
        <f t="shared" si="67"/>
        <v>251.63535714285715</v>
      </c>
      <c r="N236" s="79">
        <f t="shared" si="68"/>
        <v>3019.6242857142856</v>
      </c>
      <c r="O236" s="79">
        <f t="shared" si="69"/>
        <v>3019.6242857142856</v>
      </c>
      <c r="P236" s="79">
        <f t="shared" si="70"/>
        <v>15098.121428571429</v>
      </c>
      <c r="Q236" s="79">
        <f t="shared" si="71"/>
        <v>18117.745714285713</v>
      </c>
      <c r="R236" s="79">
        <f t="shared" si="72"/>
        <v>3019.6242857142861</v>
      </c>
    </row>
    <row r="237" spans="1:18">
      <c r="A237" s="118">
        <v>107455</v>
      </c>
      <c r="B237" s="50">
        <v>162</v>
      </c>
      <c r="C237" t="s">
        <v>400</v>
      </c>
      <c r="D237">
        <v>2013</v>
      </c>
      <c r="E237">
        <v>7</v>
      </c>
      <c r="F237">
        <v>0</v>
      </c>
      <c r="G237" t="s">
        <v>78</v>
      </c>
      <c r="H237" s="22">
        <v>7</v>
      </c>
      <c r="I237">
        <f t="shared" si="64"/>
        <v>2020</v>
      </c>
      <c r="J237" s="20">
        <f t="shared" si="65"/>
        <v>2020.5833333333333</v>
      </c>
      <c r="K237" s="79">
        <v>7724.66</v>
      </c>
      <c r="L237" s="79">
        <f t="shared" si="66"/>
        <v>7724.66</v>
      </c>
      <c r="M237" s="79">
        <f t="shared" si="67"/>
        <v>91.960238095238097</v>
      </c>
      <c r="N237" s="79">
        <f t="shared" si="68"/>
        <v>1103.5228571428572</v>
      </c>
      <c r="O237" s="79">
        <f t="shared" si="69"/>
        <v>1103.5228571428572</v>
      </c>
      <c r="P237" s="79">
        <f t="shared" si="70"/>
        <v>5517.6142857142859</v>
      </c>
      <c r="Q237" s="79">
        <f t="shared" si="71"/>
        <v>6621.1371428571429</v>
      </c>
      <c r="R237" s="79">
        <f t="shared" si="72"/>
        <v>1103.522857142857</v>
      </c>
    </row>
    <row r="238" spans="1:18">
      <c r="A238" s="118">
        <v>107454</v>
      </c>
      <c r="B238" s="50">
        <v>237</v>
      </c>
      <c r="C238" t="s">
        <v>399</v>
      </c>
      <c r="D238">
        <v>2013</v>
      </c>
      <c r="E238">
        <v>7</v>
      </c>
      <c r="F238">
        <v>0</v>
      </c>
      <c r="G238" t="s">
        <v>78</v>
      </c>
      <c r="H238" s="22">
        <v>7</v>
      </c>
      <c r="I238">
        <f t="shared" si="64"/>
        <v>2020</v>
      </c>
      <c r="J238" s="20">
        <f t="shared" si="65"/>
        <v>2020.5833333333333</v>
      </c>
      <c r="K238" s="79">
        <v>13002.62</v>
      </c>
      <c r="L238" s="79">
        <f t="shared" si="66"/>
        <v>13002.62</v>
      </c>
      <c r="M238" s="79">
        <f t="shared" si="67"/>
        <v>154.79309523809525</v>
      </c>
      <c r="N238" s="79">
        <f t="shared" si="68"/>
        <v>1857.517142857143</v>
      </c>
      <c r="O238" s="79">
        <f t="shared" si="69"/>
        <v>1857.517142857143</v>
      </c>
      <c r="P238" s="79">
        <f t="shared" si="70"/>
        <v>9287.5857142857149</v>
      </c>
      <c r="Q238" s="79">
        <f t="shared" si="71"/>
        <v>11145.102857142858</v>
      </c>
      <c r="R238" s="79">
        <f t="shared" si="72"/>
        <v>1857.517142857143</v>
      </c>
    </row>
    <row r="239" spans="1:18">
      <c r="A239" s="118">
        <v>109344</v>
      </c>
      <c r="B239" s="50">
        <v>1080</v>
      </c>
      <c r="C239" t="s">
        <v>398</v>
      </c>
      <c r="D239">
        <v>2013</v>
      </c>
      <c r="E239">
        <v>11</v>
      </c>
      <c r="F239">
        <v>0</v>
      </c>
      <c r="G239" t="s">
        <v>78</v>
      </c>
      <c r="H239" s="22">
        <v>7</v>
      </c>
      <c r="I239">
        <f t="shared" si="64"/>
        <v>2020</v>
      </c>
      <c r="J239" s="20">
        <f t="shared" si="65"/>
        <v>2020.9166666666667</v>
      </c>
      <c r="K239" s="79">
        <v>38869.17</v>
      </c>
      <c r="L239" s="79">
        <f t="shared" si="66"/>
        <v>38869.17</v>
      </c>
      <c r="M239" s="79">
        <f t="shared" si="67"/>
        <v>462.72821428571427</v>
      </c>
      <c r="N239" s="79">
        <f t="shared" si="68"/>
        <v>5552.738571428571</v>
      </c>
      <c r="O239" s="79">
        <f t="shared" si="69"/>
        <v>5552.738571428571</v>
      </c>
      <c r="P239" s="79">
        <f t="shared" si="70"/>
        <v>27763.692857142854</v>
      </c>
      <c r="Q239" s="79">
        <f t="shared" si="71"/>
        <v>33316.431428571428</v>
      </c>
      <c r="R239" s="79">
        <f t="shared" si="72"/>
        <v>5552.7385714285701</v>
      </c>
    </row>
    <row r="240" spans="1:18">
      <c r="A240" s="118">
        <v>109186</v>
      </c>
      <c r="B240" s="50">
        <v>324</v>
      </c>
      <c r="C240" t="s">
        <v>400</v>
      </c>
      <c r="D240">
        <v>2013</v>
      </c>
      <c r="E240">
        <v>11</v>
      </c>
      <c r="F240">
        <v>0</v>
      </c>
      <c r="G240" t="s">
        <v>78</v>
      </c>
      <c r="H240" s="22">
        <v>7</v>
      </c>
      <c r="I240">
        <f t="shared" si="64"/>
        <v>2020</v>
      </c>
      <c r="J240" s="20">
        <f t="shared" si="65"/>
        <v>2020.9166666666667</v>
      </c>
      <c r="K240" s="79">
        <v>13520.49</v>
      </c>
      <c r="L240" s="79">
        <f t="shared" si="66"/>
        <v>13520.49</v>
      </c>
      <c r="M240" s="79">
        <f t="shared" si="67"/>
        <v>160.95821428571429</v>
      </c>
      <c r="N240" s="79">
        <f t="shared" si="68"/>
        <v>1931.4985714285715</v>
      </c>
      <c r="O240" s="79">
        <f t="shared" si="69"/>
        <v>1931.4985714285715</v>
      </c>
      <c r="P240" s="79">
        <f t="shared" si="70"/>
        <v>9657.4928571428572</v>
      </c>
      <c r="Q240" s="79">
        <f t="shared" si="71"/>
        <v>11588.991428571429</v>
      </c>
      <c r="R240" s="79">
        <f t="shared" si="72"/>
        <v>1931.4985714285704</v>
      </c>
    </row>
    <row r="241" spans="1:18">
      <c r="A241" s="118">
        <v>109341</v>
      </c>
      <c r="B241" s="50">
        <v>122</v>
      </c>
      <c r="C241" t="s">
        <v>399</v>
      </c>
      <c r="D241">
        <v>2013</v>
      </c>
      <c r="E241">
        <v>11</v>
      </c>
      <c r="F241">
        <v>0</v>
      </c>
      <c r="G241" t="s">
        <v>78</v>
      </c>
      <c r="H241" s="22">
        <v>7</v>
      </c>
      <c r="I241">
        <f t="shared" si="64"/>
        <v>2020</v>
      </c>
      <c r="J241" s="20">
        <f t="shared" si="65"/>
        <v>2020.9166666666667</v>
      </c>
      <c r="K241" s="79">
        <f>7308.09</f>
        <v>7308.09</v>
      </c>
      <c r="L241" s="79">
        <f t="shared" si="66"/>
        <v>7308.09</v>
      </c>
      <c r="M241" s="79">
        <f t="shared" si="67"/>
        <v>87.001071428571436</v>
      </c>
      <c r="N241" s="79">
        <f t="shared" si="68"/>
        <v>1044.0128571428572</v>
      </c>
      <c r="O241" s="79">
        <f t="shared" si="69"/>
        <v>1044.0128571428572</v>
      </c>
      <c r="P241" s="79">
        <f t="shared" si="70"/>
        <v>5220.0642857142866</v>
      </c>
      <c r="Q241" s="79">
        <f t="shared" si="71"/>
        <v>6264.0771428571443</v>
      </c>
      <c r="R241" s="79">
        <f t="shared" si="72"/>
        <v>1044.0128571428559</v>
      </c>
    </row>
    <row r="242" spans="1:18">
      <c r="A242" s="118">
        <v>112465</v>
      </c>
      <c r="B242" s="50">
        <v>210</v>
      </c>
      <c r="C242" t="s">
        <v>467</v>
      </c>
      <c r="D242">
        <v>2014</v>
      </c>
      <c r="E242">
        <v>3</v>
      </c>
      <c r="F242">
        <v>0</v>
      </c>
      <c r="G242" t="s">
        <v>78</v>
      </c>
      <c r="H242" s="22">
        <v>7</v>
      </c>
      <c r="I242">
        <f t="shared" si="64"/>
        <v>2021</v>
      </c>
      <c r="J242" s="20">
        <f t="shared" si="65"/>
        <v>2021.25</v>
      </c>
      <c r="K242" s="79">
        <v>9383.1</v>
      </c>
      <c r="L242" s="79">
        <f t="shared" si="66"/>
        <v>9383.1</v>
      </c>
      <c r="M242" s="79">
        <f t="shared" si="67"/>
        <v>111.70357142857144</v>
      </c>
      <c r="N242" s="79">
        <f t="shared" si="68"/>
        <v>1340.4428571428573</v>
      </c>
      <c r="O242" s="79">
        <f t="shared" si="69"/>
        <v>1340.4428571428573</v>
      </c>
      <c r="P242" s="79">
        <f t="shared" si="70"/>
        <v>5361.7714285714292</v>
      </c>
      <c r="Q242" s="79">
        <f t="shared" si="71"/>
        <v>6702.2142857142862</v>
      </c>
      <c r="R242" s="79">
        <f t="shared" si="72"/>
        <v>2680.8857142857141</v>
      </c>
    </row>
    <row r="243" spans="1:18">
      <c r="A243" s="118">
        <v>112464</v>
      </c>
      <c r="B243" s="50">
        <v>810</v>
      </c>
      <c r="C243" t="s">
        <v>398</v>
      </c>
      <c r="D243">
        <v>2014</v>
      </c>
      <c r="E243">
        <v>3</v>
      </c>
      <c r="F243">
        <v>0</v>
      </c>
      <c r="G243" t="s">
        <v>78</v>
      </c>
      <c r="H243" s="22">
        <v>7</v>
      </c>
      <c r="I243">
        <f t="shared" si="64"/>
        <v>2021</v>
      </c>
      <c r="J243" s="20">
        <f t="shared" si="65"/>
        <v>2021.25</v>
      </c>
      <c r="K243" s="79">
        <v>30408.07</v>
      </c>
      <c r="L243" s="79">
        <f t="shared" si="66"/>
        <v>30408.07</v>
      </c>
      <c r="M243" s="79">
        <f t="shared" si="67"/>
        <v>362.00083333333333</v>
      </c>
      <c r="N243" s="79">
        <f t="shared" si="68"/>
        <v>4344.01</v>
      </c>
      <c r="O243" s="79">
        <f t="shared" si="69"/>
        <v>4344.01</v>
      </c>
      <c r="P243" s="79">
        <f t="shared" si="70"/>
        <v>17376.04</v>
      </c>
      <c r="Q243" s="79">
        <f t="shared" si="71"/>
        <v>21720.050000000003</v>
      </c>
      <c r="R243" s="79">
        <f t="shared" si="72"/>
        <v>8688.0199999999968</v>
      </c>
    </row>
    <row r="244" spans="1:18">
      <c r="A244" s="118">
        <v>112463</v>
      </c>
      <c r="B244" s="50">
        <v>324</v>
      </c>
      <c r="C244" t="s">
        <v>400</v>
      </c>
      <c r="D244">
        <v>2014</v>
      </c>
      <c r="E244">
        <v>3</v>
      </c>
      <c r="F244">
        <v>0</v>
      </c>
      <c r="G244" t="s">
        <v>78</v>
      </c>
      <c r="H244" s="22">
        <v>7</v>
      </c>
      <c r="I244">
        <f t="shared" si="64"/>
        <v>2021</v>
      </c>
      <c r="J244" s="20">
        <f t="shared" si="65"/>
        <v>2021.25</v>
      </c>
      <c r="K244" s="79">
        <v>16748.46</v>
      </c>
      <c r="L244" s="79">
        <f t="shared" si="66"/>
        <v>16748.46</v>
      </c>
      <c r="M244" s="79">
        <f t="shared" si="67"/>
        <v>199.38642857142858</v>
      </c>
      <c r="N244" s="79">
        <f t="shared" si="68"/>
        <v>2392.6371428571429</v>
      </c>
      <c r="O244" s="79">
        <f t="shared" si="69"/>
        <v>2392.6371428571429</v>
      </c>
      <c r="P244" s="79">
        <f t="shared" si="70"/>
        <v>9570.5485714285714</v>
      </c>
      <c r="Q244" s="79">
        <f t="shared" si="71"/>
        <v>11963.185714285715</v>
      </c>
      <c r="R244" s="79">
        <f t="shared" si="72"/>
        <v>4785.2742857142839</v>
      </c>
    </row>
    <row r="245" spans="1:18">
      <c r="A245" s="118">
        <v>112462</v>
      </c>
      <c r="B245" s="50">
        <v>243</v>
      </c>
      <c r="C245" t="s">
        <v>399</v>
      </c>
      <c r="D245">
        <v>2014</v>
      </c>
      <c r="E245">
        <v>3</v>
      </c>
      <c r="F245">
        <v>0</v>
      </c>
      <c r="G245" t="s">
        <v>78</v>
      </c>
      <c r="H245" s="22">
        <v>7</v>
      </c>
      <c r="I245">
        <f t="shared" si="64"/>
        <v>2021</v>
      </c>
      <c r="J245" s="20">
        <f t="shared" si="65"/>
        <v>2021.25</v>
      </c>
      <c r="K245" s="79">
        <v>14855.45</v>
      </c>
      <c r="L245" s="79">
        <f t="shared" si="66"/>
        <v>14855.45</v>
      </c>
      <c r="M245" s="79">
        <f t="shared" si="67"/>
        <v>176.85059523809525</v>
      </c>
      <c r="N245" s="79">
        <f t="shared" si="68"/>
        <v>2122.207142857143</v>
      </c>
      <c r="O245" s="79">
        <f t="shared" si="69"/>
        <v>2122.207142857143</v>
      </c>
      <c r="P245" s="79">
        <f t="shared" si="70"/>
        <v>8488.8285714285721</v>
      </c>
      <c r="Q245" s="79">
        <f t="shared" si="71"/>
        <v>10611.035714285716</v>
      </c>
      <c r="R245" s="79">
        <f t="shared" si="72"/>
        <v>4244.4142857142851</v>
      </c>
    </row>
    <row r="246" spans="1:18">
      <c r="A246" s="118">
        <v>115104</v>
      </c>
      <c r="B246" s="50">
        <v>637</v>
      </c>
      <c r="C246" t="s">
        <v>514</v>
      </c>
      <c r="D246">
        <v>2014</v>
      </c>
      <c r="E246">
        <v>7</v>
      </c>
      <c r="F246">
        <v>0</v>
      </c>
      <c r="G246" t="s">
        <v>78</v>
      </c>
      <c r="H246" s="22">
        <v>7</v>
      </c>
      <c r="I246">
        <f t="shared" si="64"/>
        <v>2021</v>
      </c>
      <c r="J246" s="20">
        <f t="shared" si="65"/>
        <v>2021.5833333333333</v>
      </c>
      <c r="K246" s="79">
        <v>33464.61</v>
      </c>
      <c r="L246" s="79">
        <f t="shared" si="66"/>
        <v>33464.61</v>
      </c>
      <c r="M246" s="79">
        <f t="shared" si="67"/>
        <v>398.38821428571424</v>
      </c>
      <c r="N246" s="79">
        <f t="shared" si="68"/>
        <v>4780.6585714285711</v>
      </c>
      <c r="O246" s="79">
        <f t="shared" si="69"/>
        <v>4780.6585714285711</v>
      </c>
      <c r="P246" s="79">
        <f t="shared" si="70"/>
        <v>19122.634285714284</v>
      </c>
      <c r="Q246" s="79">
        <f t="shared" si="71"/>
        <v>23903.292857142857</v>
      </c>
      <c r="R246" s="79">
        <f t="shared" si="72"/>
        <v>9561.3171428571441</v>
      </c>
    </row>
    <row r="247" spans="1:18">
      <c r="A247" s="118">
        <v>115103</v>
      </c>
      <c r="B247" s="50">
        <v>504</v>
      </c>
      <c r="C247" t="s">
        <v>513</v>
      </c>
      <c r="D247">
        <v>2014</v>
      </c>
      <c r="E247">
        <v>7</v>
      </c>
      <c r="F247">
        <v>0</v>
      </c>
      <c r="G247" t="s">
        <v>78</v>
      </c>
      <c r="H247" s="22">
        <v>7</v>
      </c>
      <c r="I247">
        <f t="shared" si="64"/>
        <v>2021</v>
      </c>
      <c r="J247" s="20">
        <f t="shared" si="65"/>
        <v>2021.5833333333333</v>
      </c>
      <c r="K247" s="79">
        <v>29260.560000000001</v>
      </c>
      <c r="L247" s="79">
        <f t="shared" si="66"/>
        <v>29260.560000000001</v>
      </c>
      <c r="M247" s="79">
        <f t="shared" si="67"/>
        <v>348.34</v>
      </c>
      <c r="N247" s="79">
        <f t="shared" si="68"/>
        <v>4180.08</v>
      </c>
      <c r="O247" s="79">
        <f t="shared" si="69"/>
        <v>4180.08</v>
      </c>
      <c r="P247" s="79">
        <f t="shared" si="70"/>
        <v>16720.32</v>
      </c>
      <c r="Q247" s="79">
        <f t="shared" si="71"/>
        <v>20900.400000000001</v>
      </c>
      <c r="R247" s="79">
        <f t="shared" si="72"/>
        <v>8360.16</v>
      </c>
    </row>
    <row r="248" spans="1:18">
      <c r="A248" s="118">
        <v>116682</v>
      </c>
      <c r="B248" s="50">
        <v>480</v>
      </c>
      <c r="C248" t="s">
        <v>398</v>
      </c>
      <c r="D248">
        <v>2014</v>
      </c>
      <c r="E248">
        <v>10</v>
      </c>
      <c r="F248">
        <v>0</v>
      </c>
      <c r="G248" t="s">
        <v>78</v>
      </c>
      <c r="H248" s="22">
        <v>7</v>
      </c>
      <c r="I248">
        <f t="shared" si="64"/>
        <v>2021</v>
      </c>
      <c r="J248" s="20">
        <f t="shared" si="65"/>
        <v>2021.8333333333333</v>
      </c>
      <c r="K248" s="79">
        <v>20039.759999999998</v>
      </c>
      <c r="L248" s="79">
        <f t="shared" si="66"/>
        <v>20039.759999999998</v>
      </c>
      <c r="M248" s="79">
        <f t="shared" si="67"/>
        <v>238.5685714285714</v>
      </c>
      <c r="N248" s="79">
        <f t="shared" si="68"/>
        <v>2862.8228571428567</v>
      </c>
      <c r="O248" s="79">
        <f t="shared" si="69"/>
        <v>2862.8228571428567</v>
      </c>
      <c r="P248" s="79">
        <f t="shared" si="70"/>
        <v>11451.291428571427</v>
      </c>
      <c r="Q248" s="79">
        <f t="shared" si="71"/>
        <v>14314.114285714284</v>
      </c>
      <c r="R248" s="79">
        <f t="shared" si="72"/>
        <v>5725.6457142857143</v>
      </c>
    </row>
    <row r="249" spans="1:18">
      <c r="A249" s="118">
        <v>120166</v>
      </c>
      <c r="B249" s="50">
        <v>360</v>
      </c>
      <c r="C249" t="s">
        <v>400</v>
      </c>
      <c r="D249">
        <v>2015</v>
      </c>
      <c r="E249">
        <v>1</v>
      </c>
      <c r="F249">
        <v>0</v>
      </c>
      <c r="G249" t="s">
        <v>78</v>
      </c>
      <c r="H249" s="22">
        <v>7</v>
      </c>
      <c r="I249">
        <f t="shared" si="64"/>
        <v>2022</v>
      </c>
      <c r="J249" s="20">
        <f t="shared" si="65"/>
        <v>2022.0833333333333</v>
      </c>
      <c r="K249" s="79">
        <v>17686.53</v>
      </c>
      <c r="L249" s="79">
        <f t="shared" si="66"/>
        <v>17686.53</v>
      </c>
      <c r="M249" s="79">
        <f t="shared" si="67"/>
        <v>210.55392857142854</v>
      </c>
      <c r="N249" s="79">
        <f t="shared" si="68"/>
        <v>2526.6471428571426</v>
      </c>
      <c r="O249" s="79">
        <f t="shared" si="69"/>
        <v>2526.6471428571426</v>
      </c>
      <c r="P249" s="79">
        <f t="shared" si="70"/>
        <v>7579.9414285714283</v>
      </c>
      <c r="Q249" s="79">
        <f t="shared" si="71"/>
        <v>10106.588571428571</v>
      </c>
      <c r="R249" s="79">
        <f t="shared" si="72"/>
        <v>7579.9414285714283</v>
      </c>
    </row>
    <row r="250" spans="1:18">
      <c r="A250" s="118">
        <v>120167</v>
      </c>
      <c r="B250" s="50">
        <v>360</v>
      </c>
      <c r="C250" s="112" t="s">
        <v>513</v>
      </c>
      <c r="D250" s="112">
        <v>2015</v>
      </c>
      <c r="E250" s="112">
        <v>1</v>
      </c>
      <c r="F250" s="112">
        <v>0</v>
      </c>
      <c r="G250" s="112" t="s">
        <v>78</v>
      </c>
      <c r="H250" s="22">
        <v>7</v>
      </c>
      <c r="I250" s="112">
        <f t="shared" si="64"/>
        <v>2022</v>
      </c>
      <c r="J250" s="20">
        <f t="shared" si="65"/>
        <v>2022.0833333333333</v>
      </c>
      <c r="K250" s="79">
        <v>19252</v>
      </c>
      <c r="L250" s="79">
        <f t="shared" si="66"/>
        <v>19252</v>
      </c>
      <c r="M250" s="79">
        <f t="shared" si="67"/>
        <v>229.19047619047618</v>
      </c>
      <c r="N250" s="79">
        <f t="shared" si="68"/>
        <v>2750.2857142857142</v>
      </c>
      <c r="O250" s="79">
        <f t="shared" si="69"/>
        <v>2750.2857142857142</v>
      </c>
      <c r="P250" s="79">
        <f t="shared" si="70"/>
        <v>8250.8571428571431</v>
      </c>
      <c r="Q250" s="79">
        <f t="shared" si="71"/>
        <v>11001.142857142857</v>
      </c>
      <c r="R250" s="79">
        <f t="shared" si="72"/>
        <v>8250.8571428571431</v>
      </c>
    </row>
    <row r="251" spans="1:18">
      <c r="A251" s="118">
        <v>120169</v>
      </c>
      <c r="B251" s="50">
        <v>1404</v>
      </c>
      <c r="C251" s="112" t="s">
        <v>398</v>
      </c>
      <c r="D251" s="112">
        <v>2015</v>
      </c>
      <c r="E251" s="112">
        <v>2</v>
      </c>
      <c r="F251" s="112">
        <v>0</v>
      </c>
      <c r="G251" s="112" t="s">
        <v>78</v>
      </c>
      <c r="H251" s="22">
        <v>7</v>
      </c>
      <c r="I251" s="112">
        <f t="shared" si="64"/>
        <v>2022</v>
      </c>
      <c r="J251" s="20">
        <f t="shared" si="65"/>
        <v>2022.1666666666667</v>
      </c>
      <c r="K251" s="79">
        <v>55764.93</v>
      </c>
      <c r="L251" s="79">
        <f t="shared" si="66"/>
        <v>55764.93</v>
      </c>
      <c r="M251" s="79">
        <f t="shared" si="67"/>
        <v>663.86821428571432</v>
      </c>
      <c r="N251" s="79">
        <f t="shared" si="68"/>
        <v>7966.4185714285722</v>
      </c>
      <c r="O251" s="79">
        <f t="shared" si="69"/>
        <v>7966.4185714285722</v>
      </c>
      <c r="P251" s="79">
        <f t="shared" si="70"/>
        <v>23899.255714285719</v>
      </c>
      <c r="Q251" s="79">
        <f t="shared" si="71"/>
        <v>31865.674285714289</v>
      </c>
      <c r="R251" s="79">
        <f t="shared" si="72"/>
        <v>23899.255714285711</v>
      </c>
    </row>
    <row r="252" spans="1:18">
      <c r="A252" s="118">
        <v>123661</v>
      </c>
      <c r="B252" s="50">
        <v>648</v>
      </c>
      <c r="C252" t="s">
        <v>400</v>
      </c>
      <c r="D252">
        <v>2015</v>
      </c>
      <c r="E252">
        <v>4</v>
      </c>
      <c r="F252">
        <v>0</v>
      </c>
      <c r="G252" t="s">
        <v>78</v>
      </c>
      <c r="H252" s="22">
        <v>7</v>
      </c>
      <c r="I252">
        <f t="shared" si="64"/>
        <v>2022</v>
      </c>
      <c r="J252" s="20">
        <f t="shared" si="65"/>
        <v>2022.3333333333333</v>
      </c>
      <c r="K252" s="79">
        <v>30802.93</v>
      </c>
      <c r="L252" s="79">
        <f t="shared" si="66"/>
        <v>30802.93</v>
      </c>
      <c r="M252" s="79">
        <f t="shared" si="67"/>
        <v>366.70154761904763</v>
      </c>
      <c r="N252" s="79">
        <f t="shared" si="68"/>
        <v>4400.4185714285713</v>
      </c>
      <c r="O252" s="79">
        <f t="shared" si="69"/>
        <v>4400.4185714285713</v>
      </c>
      <c r="P252" s="79">
        <f t="shared" si="70"/>
        <v>13201.255714285715</v>
      </c>
      <c r="Q252" s="79">
        <f t="shared" si="71"/>
        <v>17601.674285714285</v>
      </c>
      <c r="R252" s="79">
        <f t="shared" si="72"/>
        <v>13201.255714285715</v>
      </c>
    </row>
    <row r="253" spans="1:18">
      <c r="A253" s="118">
        <v>123662</v>
      </c>
      <c r="B253" s="50">
        <v>840</v>
      </c>
      <c r="C253" t="s">
        <v>398</v>
      </c>
      <c r="D253">
        <v>2015</v>
      </c>
      <c r="E253">
        <v>6</v>
      </c>
      <c r="F253">
        <v>0</v>
      </c>
      <c r="G253" t="s">
        <v>78</v>
      </c>
      <c r="H253" s="22">
        <v>7</v>
      </c>
      <c r="I253">
        <f t="shared" si="64"/>
        <v>2022</v>
      </c>
      <c r="J253" s="20">
        <f t="shared" si="65"/>
        <v>2022.5</v>
      </c>
      <c r="K253" s="79">
        <v>32103.19</v>
      </c>
      <c r="L253" s="79">
        <f t="shared" si="66"/>
        <v>32103.19</v>
      </c>
      <c r="M253" s="79">
        <f t="shared" si="67"/>
        <v>382.18083333333334</v>
      </c>
      <c r="N253" s="79">
        <f t="shared" si="68"/>
        <v>4586.17</v>
      </c>
      <c r="O253" s="79">
        <f t="shared" si="69"/>
        <v>4586.17</v>
      </c>
      <c r="P253" s="79">
        <f t="shared" si="70"/>
        <v>13758.51</v>
      </c>
      <c r="Q253" s="79">
        <f t="shared" si="71"/>
        <v>18344.68</v>
      </c>
      <c r="R253" s="79">
        <f t="shared" si="72"/>
        <v>13758.509999999998</v>
      </c>
    </row>
    <row r="254" spans="1:18">
      <c r="A254" s="118" t="s">
        <v>565</v>
      </c>
      <c r="B254" s="50">
        <f>276+192</f>
        <v>468</v>
      </c>
      <c r="C254" t="s">
        <v>513</v>
      </c>
      <c r="D254">
        <v>2015</v>
      </c>
      <c r="E254">
        <v>6</v>
      </c>
      <c r="F254">
        <v>0</v>
      </c>
      <c r="G254" t="s">
        <v>78</v>
      </c>
      <c r="H254" s="22">
        <v>7</v>
      </c>
      <c r="I254">
        <f t="shared" si="64"/>
        <v>2022</v>
      </c>
      <c r="J254" s="20">
        <f t="shared" si="65"/>
        <v>2022.5</v>
      </c>
      <c r="K254" s="79">
        <f>9871.7+8569.2</f>
        <v>18440.900000000001</v>
      </c>
      <c r="L254" s="79">
        <f t="shared" si="66"/>
        <v>18440.900000000001</v>
      </c>
      <c r="M254" s="79">
        <f t="shared" si="67"/>
        <v>219.53452380952385</v>
      </c>
      <c r="N254" s="79">
        <f t="shared" si="68"/>
        <v>2634.4142857142861</v>
      </c>
      <c r="O254" s="79">
        <f t="shared" si="69"/>
        <v>2634.4142857142861</v>
      </c>
      <c r="P254" s="79">
        <f t="shared" si="70"/>
        <v>7903.2428571428582</v>
      </c>
      <c r="Q254" s="79">
        <f t="shared" si="71"/>
        <v>10537.657142857144</v>
      </c>
      <c r="R254" s="79">
        <f t="shared" si="72"/>
        <v>7903.2428571428572</v>
      </c>
    </row>
    <row r="255" spans="1:18">
      <c r="A255" s="118">
        <v>126736</v>
      </c>
      <c r="B255" s="50">
        <v>1140</v>
      </c>
      <c r="C255" t="s">
        <v>398</v>
      </c>
      <c r="D255">
        <v>2015</v>
      </c>
      <c r="E255">
        <v>9</v>
      </c>
      <c r="F255">
        <v>0</v>
      </c>
      <c r="G255" t="s">
        <v>78</v>
      </c>
      <c r="H255" s="22">
        <v>7</v>
      </c>
      <c r="I255">
        <f t="shared" si="64"/>
        <v>2022</v>
      </c>
      <c r="J255" s="20">
        <f t="shared" si="65"/>
        <v>2022.75</v>
      </c>
      <c r="K255" s="79">
        <v>39343.97</v>
      </c>
      <c r="L255" s="79">
        <f t="shared" si="66"/>
        <v>39343.97</v>
      </c>
      <c r="M255" s="79">
        <f t="shared" si="67"/>
        <v>468.38059523809528</v>
      </c>
      <c r="N255" s="79">
        <f t="shared" si="68"/>
        <v>5620.5671428571432</v>
      </c>
      <c r="O255" s="79">
        <f t="shared" si="69"/>
        <v>5620.5671428571432</v>
      </c>
      <c r="P255" s="79">
        <f t="shared" si="70"/>
        <v>16861.701428571429</v>
      </c>
      <c r="Q255" s="79">
        <f t="shared" si="71"/>
        <v>22482.268571428573</v>
      </c>
      <c r="R255" s="79">
        <f t="shared" si="72"/>
        <v>16861.701428571429</v>
      </c>
    </row>
    <row r="256" spans="1:18">
      <c r="A256" s="118">
        <v>126474</v>
      </c>
      <c r="B256" s="50">
        <v>432</v>
      </c>
      <c r="C256" t="s">
        <v>514</v>
      </c>
      <c r="D256">
        <v>2015</v>
      </c>
      <c r="E256">
        <v>9</v>
      </c>
      <c r="F256">
        <v>0</v>
      </c>
      <c r="G256" t="s">
        <v>78</v>
      </c>
      <c r="H256" s="22">
        <v>7</v>
      </c>
      <c r="I256">
        <f t="shared" si="64"/>
        <v>2022</v>
      </c>
      <c r="J256" s="20">
        <f t="shared" si="65"/>
        <v>2022.75</v>
      </c>
      <c r="K256" s="79">
        <v>20520.12</v>
      </c>
      <c r="L256" s="79">
        <f t="shared" si="66"/>
        <v>20520.12</v>
      </c>
      <c r="M256" s="79">
        <f t="shared" si="67"/>
        <v>244.28714285714284</v>
      </c>
      <c r="N256" s="79">
        <f t="shared" si="68"/>
        <v>2931.4457142857141</v>
      </c>
      <c r="O256" s="79">
        <f t="shared" si="69"/>
        <v>2931.4457142857141</v>
      </c>
      <c r="P256" s="79">
        <f t="shared" si="70"/>
        <v>8794.3371428571427</v>
      </c>
      <c r="Q256" s="79">
        <f t="shared" si="71"/>
        <v>11725.782857142856</v>
      </c>
      <c r="R256" s="79">
        <f t="shared" si="72"/>
        <v>8794.3371428571427</v>
      </c>
    </row>
    <row r="257" spans="1:18">
      <c r="A257" s="118">
        <v>126473</v>
      </c>
      <c r="B257" s="50">
        <v>312</v>
      </c>
      <c r="C257" t="s">
        <v>513</v>
      </c>
      <c r="D257">
        <v>2015</v>
      </c>
      <c r="E257">
        <v>9</v>
      </c>
      <c r="F257">
        <v>0</v>
      </c>
      <c r="G257" t="s">
        <v>78</v>
      </c>
      <c r="H257" s="22">
        <v>7</v>
      </c>
      <c r="I257">
        <f t="shared" si="64"/>
        <v>2022</v>
      </c>
      <c r="J257" s="20">
        <f t="shared" si="65"/>
        <v>2022.75</v>
      </c>
      <c r="K257" s="79">
        <v>16893.89</v>
      </c>
      <c r="L257" s="79">
        <f t="shared" si="66"/>
        <v>16893.89</v>
      </c>
      <c r="M257" s="79">
        <f t="shared" si="67"/>
        <v>201.11773809523808</v>
      </c>
      <c r="N257" s="79">
        <f t="shared" si="68"/>
        <v>2413.4128571428569</v>
      </c>
      <c r="O257" s="79">
        <f t="shared" si="69"/>
        <v>2413.4128571428569</v>
      </c>
      <c r="P257" s="79">
        <f t="shared" si="70"/>
        <v>7240.2385714285701</v>
      </c>
      <c r="Q257" s="79">
        <f t="shared" si="71"/>
        <v>9653.6514285714275</v>
      </c>
      <c r="R257" s="79">
        <f t="shared" si="72"/>
        <v>7240.238571428572</v>
      </c>
    </row>
    <row r="258" spans="1:18">
      <c r="A258" s="118">
        <v>127478</v>
      </c>
      <c r="B258" s="50">
        <v>864</v>
      </c>
      <c r="C258" t="s">
        <v>514</v>
      </c>
      <c r="D258">
        <v>2015</v>
      </c>
      <c r="E258">
        <v>11</v>
      </c>
      <c r="F258">
        <v>0</v>
      </c>
      <c r="G258" t="s">
        <v>78</v>
      </c>
      <c r="H258" s="22">
        <v>7</v>
      </c>
      <c r="I258">
        <f t="shared" si="64"/>
        <v>2022</v>
      </c>
      <c r="J258" s="20">
        <f t="shared" si="65"/>
        <v>2022.9166666666667</v>
      </c>
      <c r="K258" s="79">
        <v>39330.959999999999</v>
      </c>
      <c r="L258" s="79">
        <f t="shared" si="66"/>
        <v>39330.959999999999</v>
      </c>
      <c r="M258" s="79">
        <f t="shared" si="67"/>
        <v>468.22571428571428</v>
      </c>
      <c r="N258" s="79">
        <f t="shared" si="68"/>
        <v>5618.7085714285713</v>
      </c>
      <c r="O258" s="79">
        <f t="shared" si="69"/>
        <v>5618.7085714285713</v>
      </c>
      <c r="P258" s="79">
        <f t="shared" si="70"/>
        <v>16856.125714285714</v>
      </c>
      <c r="Q258" s="79">
        <f t="shared" si="71"/>
        <v>22474.834285714285</v>
      </c>
      <c r="R258" s="79">
        <f t="shared" si="72"/>
        <v>16856.125714285714</v>
      </c>
    </row>
    <row r="259" spans="1:18">
      <c r="A259" s="118">
        <v>128183</v>
      </c>
      <c r="B259" s="50">
        <v>288</v>
      </c>
      <c r="C259" t="s">
        <v>513</v>
      </c>
      <c r="D259">
        <v>2015</v>
      </c>
      <c r="E259">
        <v>11</v>
      </c>
      <c r="F259">
        <v>0</v>
      </c>
      <c r="G259" t="s">
        <v>78</v>
      </c>
      <c r="H259" s="22">
        <v>7</v>
      </c>
      <c r="I259">
        <f t="shared" si="64"/>
        <v>2022</v>
      </c>
      <c r="J259" s="20">
        <f t="shared" si="65"/>
        <v>2022.9166666666667</v>
      </c>
      <c r="K259" s="79">
        <v>16008.28</v>
      </c>
      <c r="L259" s="79">
        <f t="shared" si="66"/>
        <v>16008.28</v>
      </c>
      <c r="M259" s="79">
        <f t="shared" si="67"/>
        <v>190.57476190476191</v>
      </c>
      <c r="N259" s="79">
        <f t="shared" si="68"/>
        <v>2286.8971428571431</v>
      </c>
      <c r="O259" s="79">
        <f t="shared" si="69"/>
        <v>2286.8971428571431</v>
      </c>
      <c r="P259" s="79">
        <f t="shared" si="70"/>
        <v>6860.6914285714292</v>
      </c>
      <c r="Q259" s="79">
        <f t="shared" si="71"/>
        <v>9147.5885714285723</v>
      </c>
      <c r="R259" s="79">
        <f t="shared" si="72"/>
        <v>6860.6914285714283</v>
      </c>
    </row>
    <row r="260" spans="1:18">
      <c r="A260" s="118">
        <v>129324</v>
      </c>
      <c r="B260" s="50">
        <v>500</v>
      </c>
      <c r="C260" t="s">
        <v>587</v>
      </c>
      <c r="D260">
        <v>2016</v>
      </c>
      <c r="E260">
        <v>1</v>
      </c>
      <c r="F260">
        <v>0</v>
      </c>
      <c r="G260" t="s">
        <v>78</v>
      </c>
      <c r="H260" s="22">
        <v>7</v>
      </c>
      <c r="I260">
        <f t="shared" si="64"/>
        <v>2023</v>
      </c>
      <c r="J260" s="20">
        <f t="shared" si="65"/>
        <v>2023.0833333333333</v>
      </c>
      <c r="K260" s="79">
        <v>17256.13</v>
      </c>
      <c r="L260" s="79">
        <f t="shared" si="66"/>
        <v>17256.13</v>
      </c>
      <c r="M260" s="79">
        <f t="shared" si="67"/>
        <v>205.43011904761906</v>
      </c>
      <c r="N260" s="79">
        <f t="shared" si="68"/>
        <v>2465.1614285714286</v>
      </c>
      <c r="O260" s="79">
        <f t="shared" si="69"/>
        <v>2465.1614285714286</v>
      </c>
      <c r="P260" s="79">
        <f t="shared" si="70"/>
        <v>4930.3228571428572</v>
      </c>
      <c r="Q260" s="79">
        <f t="shared" si="71"/>
        <v>7395.4842857142858</v>
      </c>
      <c r="R260" s="79">
        <f t="shared" si="72"/>
        <v>9860.6457142857143</v>
      </c>
    </row>
    <row r="261" spans="1:18">
      <c r="A261" s="118">
        <v>131197</v>
      </c>
      <c r="B261" s="50">
        <v>624</v>
      </c>
      <c r="C261" t="s">
        <v>588</v>
      </c>
      <c r="D261">
        <v>2016</v>
      </c>
      <c r="E261">
        <v>3</v>
      </c>
      <c r="F261">
        <v>0</v>
      </c>
      <c r="G261" t="s">
        <v>78</v>
      </c>
      <c r="H261" s="22">
        <v>7</v>
      </c>
      <c r="I261">
        <f t="shared" si="64"/>
        <v>2023</v>
      </c>
      <c r="J261" s="20">
        <f t="shared" si="65"/>
        <v>2023.25</v>
      </c>
      <c r="K261" s="79">
        <v>30834.93</v>
      </c>
      <c r="L261" s="79">
        <f t="shared" si="66"/>
        <v>30834.93</v>
      </c>
      <c r="M261" s="79">
        <f t="shared" si="67"/>
        <v>367.08249999999998</v>
      </c>
      <c r="N261" s="79">
        <f t="shared" si="68"/>
        <v>4404.99</v>
      </c>
      <c r="O261" s="79">
        <f t="shared" si="69"/>
        <v>4404.99</v>
      </c>
      <c r="P261" s="79">
        <f t="shared" si="70"/>
        <v>8809.98</v>
      </c>
      <c r="Q261" s="79">
        <f t="shared" si="71"/>
        <v>13214.97</v>
      </c>
      <c r="R261" s="79">
        <f t="shared" si="72"/>
        <v>17619.96</v>
      </c>
    </row>
    <row r="262" spans="1:18">
      <c r="A262" s="118">
        <v>131756</v>
      </c>
      <c r="B262" s="50">
        <v>840</v>
      </c>
      <c r="C262" t="s">
        <v>587</v>
      </c>
      <c r="D262">
        <v>2016</v>
      </c>
      <c r="E262">
        <v>4</v>
      </c>
      <c r="F262">
        <v>0</v>
      </c>
      <c r="G262" t="s">
        <v>78</v>
      </c>
      <c r="H262" s="22">
        <v>7</v>
      </c>
      <c r="I262">
        <f t="shared" si="64"/>
        <v>2023</v>
      </c>
      <c r="J262" s="20">
        <f t="shared" si="65"/>
        <v>2023.3333333333333</v>
      </c>
      <c r="K262" s="79">
        <v>29504.44</v>
      </c>
      <c r="L262" s="79">
        <f t="shared" si="66"/>
        <v>29504.44</v>
      </c>
      <c r="M262" s="79">
        <f t="shared" si="67"/>
        <v>351.24333333333334</v>
      </c>
      <c r="N262" s="79">
        <f t="shared" si="68"/>
        <v>4214.92</v>
      </c>
      <c r="O262" s="79">
        <f t="shared" si="69"/>
        <v>4214.92</v>
      </c>
      <c r="P262" s="79">
        <f t="shared" si="70"/>
        <v>8429.84</v>
      </c>
      <c r="Q262" s="79">
        <f t="shared" si="71"/>
        <v>12644.76</v>
      </c>
      <c r="R262" s="79">
        <f t="shared" si="72"/>
        <v>16859.68</v>
      </c>
    </row>
    <row r="263" spans="1:18">
      <c r="A263" s="118">
        <v>165691</v>
      </c>
      <c r="B263" s="50">
        <v>624</v>
      </c>
      <c r="C263" t="s">
        <v>588</v>
      </c>
      <c r="D263">
        <v>2016</v>
      </c>
      <c r="E263">
        <v>6</v>
      </c>
      <c r="F263">
        <v>0</v>
      </c>
      <c r="G263" t="s">
        <v>78</v>
      </c>
      <c r="H263" s="22">
        <v>7</v>
      </c>
      <c r="I263">
        <f t="shared" si="64"/>
        <v>2023</v>
      </c>
      <c r="J263" s="20">
        <f t="shared" si="65"/>
        <v>2023.5</v>
      </c>
      <c r="K263" s="79">
        <v>30864.1</v>
      </c>
      <c r="L263" s="79">
        <f t="shared" si="66"/>
        <v>30864.1</v>
      </c>
      <c r="M263" s="79">
        <f t="shared" si="67"/>
        <v>367.42976190476185</v>
      </c>
      <c r="N263" s="79">
        <f t="shared" si="68"/>
        <v>4409.1571428571424</v>
      </c>
      <c r="O263" s="79">
        <f t="shared" si="69"/>
        <v>4409.1571428571424</v>
      </c>
      <c r="P263" s="79">
        <f t="shared" si="70"/>
        <v>8818.3142857142848</v>
      </c>
      <c r="Q263" s="79">
        <f t="shared" si="71"/>
        <v>13227.471428571427</v>
      </c>
      <c r="R263" s="79">
        <f t="shared" si="72"/>
        <v>17636.62857142857</v>
      </c>
    </row>
    <row r="264" spans="1:18">
      <c r="A264" s="118">
        <v>165693</v>
      </c>
      <c r="B264" s="50">
        <v>950</v>
      </c>
      <c r="C264" t="s">
        <v>587</v>
      </c>
      <c r="D264">
        <v>2016</v>
      </c>
      <c r="E264">
        <v>7</v>
      </c>
      <c r="F264">
        <v>0</v>
      </c>
      <c r="G264" t="s">
        <v>78</v>
      </c>
      <c r="H264" s="22">
        <v>7</v>
      </c>
      <c r="I264">
        <f t="shared" si="64"/>
        <v>2023</v>
      </c>
      <c r="J264" s="20">
        <f t="shared" si="65"/>
        <v>2023.5833333333333</v>
      </c>
      <c r="K264" s="79">
        <v>33156.589999999997</v>
      </c>
      <c r="L264" s="79">
        <f t="shared" si="66"/>
        <v>33156.589999999997</v>
      </c>
      <c r="M264" s="79">
        <f t="shared" si="67"/>
        <v>394.72130952380945</v>
      </c>
      <c r="N264" s="79">
        <f t="shared" si="68"/>
        <v>4736.6557142857137</v>
      </c>
      <c r="O264" s="79">
        <f t="shared" si="69"/>
        <v>4736.6557142857137</v>
      </c>
      <c r="P264" s="79">
        <f t="shared" si="70"/>
        <v>9473.3114285714273</v>
      </c>
      <c r="Q264" s="79">
        <f t="shared" si="71"/>
        <v>14209.967142857142</v>
      </c>
      <c r="R264" s="79">
        <f t="shared" si="72"/>
        <v>18946.622857142855</v>
      </c>
    </row>
    <row r="265" spans="1:18">
      <c r="A265" s="118">
        <v>166033</v>
      </c>
      <c r="B265" s="50">
        <v>864</v>
      </c>
      <c r="C265" t="s">
        <v>597</v>
      </c>
      <c r="D265">
        <v>2016</v>
      </c>
      <c r="E265">
        <v>7</v>
      </c>
      <c r="F265">
        <v>0</v>
      </c>
      <c r="G265" t="s">
        <v>78</v>
      </c>
      <c r="H265" s="22">
        <v>7</v>
      </c>
      <c r="I265">
        <f t="shared" ref="I265:I293" si="73">D265+H265</f>
        <v>2023</v>
      </c>
      <c r="J265" s="20">
        <f t="shared" ref="J265:J293" si="74">+I265+(E265/12)</f>
        <v>2023.5833333333333</v>
      </c>
      <c r="K265" s="79">
        <v>36851.300000000003</v>
      </c>
      <c r="L265" s="79">
        <f t="shared" ref="L265:L291" si="75">K265-K265*F265</f>
        <v>36851.300000000003</v>
      </c>
      <c r="M265" s="79">
        <f t="shared" ref="M265:M291" si="76">L265/H265/12</f>
        <v>438.7059523809524</v>
      </c>
      <c r="N265" s="79">
        <f t="shared" ref="N265:N291" si="77">+M265*12</f>
        <v>5264.471428571429</v>
      </c>
      <c r="O265" s="79">
        <f t="shared" ref="O265:O291" si="78">+IF(J265&lt;=$L$5,0,IF(I265&gt;$L$4,N265,(M265*E265)))</f>
        <v>5264.471428571429</v>
      </c>
      <c r="P265" s="79">
        <f t="shared" ref="P265:P291" si="79">+IF(O265=0,L265,IF($L$3-D265&lt;1,0,(($L$3-D265)*O265)))</f>
        <v>10528.942857142858</v>
      </c>
      <c r="Q265" s="79">
        <f t="shared" ref="Q265:Q291" si="80">+IF(O265=0,P265,P265+O265)</f>
        <v>15793.414285714287</v>
      </c>
      <c r="R265" s="79">
        <f t="shared" ref="R265:R291" si="81">+K265-Q265</f>
        <v>21057.885714285716</v>
      </c>
    </row>
    <row r="266" spans="1:18">
      <c r="A266" s="118">
        <v>170668</v>
      </c>
      <c r="B266" s="50">
        <v>950</v>
      </c>
      <c r="C266" t="s">
        <v>587</v>
      </c>
      <c r="D266">
        <v>2016</v>
      </c>
      <c r="E266">
        <v>11</v>
      </c>
      <c r="F266">
        <v>0</v>
      </c>
      <c r="G266" t="s">
        <v>78</v>
      </c>
      <c r="H266" s="22">
        <v>7</v>
      </c>
      <c r="I266">
        <f t="shared" si="73"/>
        <v>2023</v>
      </c>
      <c r="J266" s="20">
        <f t="shared" si="74"/>
        <v>2023.9166666666667</v>
      </c>
      <c r="K266" s="79">
        <v>37597.57</v>
      </c>
      <c r="L266" s="79">
        <f t="shared" si="75"/>
        <v>37597.57</v>
      </c>
      <c r="M266" s="79">
        <f t="shared" si="76"/>
        <v>447.59011904761905</v>
      </c>
      <c r="N266" s="79">
        <f t="shared" si="77"/>
        <v>5371.0814285714287</v>
      </c>
      <c r="O266" s="79">
        <f t="shared" si="78"/>
        <v>5371.0814285714287</v>
      </c>
      <c r="P266" s="79">
        <f t="shared" si="79"/>
        <v>10742.162857142857</v>
      </c>
      <c r="Q266" s="79">
        <f t="shared" si="80"/>
        <v>16113.244285714285</v>
      </c>
      <c r="R266" s="79">
        <f t="shared" si="81"/>
        <v>21484.325714285715</v>
      </c>
    </row>
    <row r="267" spans="1:18">
      <c r="A267" s="118">
        <v>170669</v>
      </c>
      <c r="B267" s="50">
        <v>864</v>
      </c>
      <c r="C267" t="s">
        <v>597</v>
      </c>
      <c r="D267">
        <v>2016</v>
      </c>
      <c r="E267">
        <v>11</v>
      </c>
      <c r="F267">
        <v>0</v>
      </c>
      <c r="G267" t="s">
        <v>78</v>
      </c>
      <c r="H267" s="22">
        <v>7</v>
      </c>
      <c r="I267">
        <f t="shared" si="73"/>
        <v>2023</v>
      </c>
      <c r="J267" s="20">
        <f t="shared" si="74"/>
        <v>2023.9166666666667</v>
      </c>
      <c r="K267" s="79">
        <v>37809.53</v>
      </c>
      <c r="L267" s="79">
        <f t="shared" si="75"/>
        <v>37809.53</v>
      </c>
      <c r="M267" s="79">
        <f t="shared" si="76"/>
        <v>450.11345238095237</v>
      </c>
      <c r="N267" s="79">
        <f t="shared" si="77"/>
        <v>5401.3614285714284</v>
      </c>
      <c r="O267" s="79">
        <f t="shared" si="78"/>
        <v>5401.3614285714284</v>
      </c>
      <c r="P267" s="79">
        <f t="shared" si="79"/>
        <v>10802.722857142857</v>
      </c>
      <c r="Q267" s="79">
        <f t="shared" si="80"/>
        <v>16204.084285714285</v>
      </c>
      <c r="R267" s="79">
        <f t="shared" si="81"/>
        <v>21605.445714285714</v>
      </c>
    </row>
    <row r="268" spans="1:18">
      <c r="A268" s="118">
        <v>176637</v>
      </c>
      <c r="B268" s="50">
        <v>875</v>
      </c>
      <c r="C268" t="s">
        <v>625</v>
      </c>
      <c r="D268">
        <v>2017</v>
      </c>
      <c r="E268">
        <v>1</v>
      </c>
      <c r="F268">
        <v>0</v>
      </c>
      <c r="G268" t="s">
        <v>78</v>
      </c>
      <c r="H268" s="22">
        <v>7</v>
      </c>
      <c r="I268">
        <f t="shared" si="73"/>
        <v>2024</v>
      </c>
      <c r="J268" s="20">
        <f t="shared" si="74"/>
        <v>2024.0833333333333</v>
      </c>
      <c r="K268" s="79">
        <v>30080.55</v>
      </c>
      <c r="L268" s="79">
        <f t="shared" si="75"/>
        <v>30080.55</v>
      </c>
      <c r="M268" s="79">
        <f t="shared" si="76"/>
        <v>358.10178571428565</v>
      </c>
      <c r="N268" s="79">
        <f t="shared" si="77"/>
        <v>4297.2214285714281</v>
      </c>
      <c r="O268" s="79">
        <f t="shared" si="78"/>
        <v>4297.2214285714281</v>
      </c>
      <c r="P268" s="79">
        <f t="shared" si="79"/>
        <v>4297.2214285714281</v>
      </c>
      <c r="Q268" s="79">
        <f t="shared" si="80"/>
        <v>8594.4428571428562</v>
      </c>
      <c r="R268" s="79">
        <f t="shared" si="81"/>
        <v>21486.107142857145</v>
      </c>
    </row>
    <row r="269" spans="1:18">
      <c r="A269" s="118">
        <v>179026</v>
      </c>
      <c r="B269" s="50">
        <v>945</v>
      </c>
      <c r="C269" t="s">
        <v>622</v>
      </c>
      <c r="D269">
        <v>2017</v>
      </c>
      <c r="E269">
        <v>3</v>
      </c>
      <c r="F269">
        <v>0</v>
      </c>
      <c r="G269" t="s">
        <v>78</v>
      </c>
      <c r="H269" s="22">
        <v>7</v>
      </c>
      <c r="I269">
        <f t="shared" si="73"/>
        <v>2024</v>
      </c>
      <c r="J269" s="20">
        <f t="shared" si="74"/>
        <v>2024.25</v>
      </c>
      <c r="K269" s="79">
        <v>37282.6</v>
      </c>
      <c r="L269" s="79">
        <f t="shared" si="75"/>
        <v>37282.6</v>
      </c>
      <c r="M269" s="79">
        <f t="shared" si="76"/>
        <v>443.84047619047618</v>
      </c>
      <c r="N269" s="79">
        <f t="shared" si="77"/>
        <v>5326.0857142857139</v>
      </c>
      <c r="O269" s="79">
        <f t="shared" si="78"/>
        <v>5326.0857142857139</v>
      </c>
      <c r="P269" s="79">
        <f t="shared" si="79"/>
        <v>5326.0857142857139</v>
      </c>
      <c r="Q269" s="79">
        <f t="shared" si="80"/>
        <v>10652.171428571428</v>
      </c>
      <c r="R269" s="79">
        <f t="shared" si="81"/>
        <v>26630.428571428572</v>
      </c>
    </row>
    <row r="270" spans="1:18">
      <c r="A270" s="118">
        <v>181061</v>
      </c>
      <c r="B270" s="50">
        <v>864</v>
      </c>
      <c r="C270" t="s">
        <v>621</v>
      </c>
      <c r="D270">
        <v>2017</v>
      </c>
      <c r="E270">
        <v>4</v>
      </c>
      <c r="F270">
        <v>0</v>
      </c>
      <c r="G270" t="s">
        <v>78</v>
      </c>
      <c r="H270" s="22">
        <v>7</v>
      </c>
      <c r="I270">
        <f t="shared" si="73"/>
        <v>2024</v>
      </c>
      <c r="J270" s="20">
        <f t="shared" si="74"/>
        <v>2024.3333333333333</v>
      </c>
      <c r="K270" s="79">
        <v>38790.9</v>
      </c>
      <c r="L270" s="79">
        <f t="shared" si="75"/>
        <v>38790.9</v>
      </c>
      <c r="M270" s="79">
        <f t="shared" si="76"/>
        <v>461.79642857142858</v>
      </c>
      <c r="N270" s="79">
        <f t="shared" si="77"/>
        <v>5541.5571428571429</v>
      </c>
      <c r="O270" s="79">
        <f t="shared" si="78"/>
        <v>5541.5571428571429</v>
      </c>
      <c r="P270" s="79">
        <f t="shared" si="79"/>
        <v>5541.5571428571429</v>
      </c>
      <c r="Q270" s="79">
        <f t="shared" si="80"/>
        <v>11083.114285714286</v>
      </c>
      <c r="R270" s="79">
        <f t="shared" si="81"/>
        <v>27707.785714285717</v>
      </c>
    </row>
    <row r="271" spans="1:18">
      <c r="A271" s="118">
        <v>182634</v>
      </c>
      <c r="B271" s="50">
        <v>864</v>
      </c>
      <c r="C271" t="s">
        <v>620</v>
      </c>
      <c r="D271">
        <v>2017</v>
      </c>
      <c r="E271">
        <v>5</v>
      </c>
      <c r="F271">
        <v>0</v>
      </c>
      <c r="G271" t="s">
        <v>78</v>
      </c>
      <c r="H271" s="22">
        <v>7</v>
      </c>
      <c r="I271">
        <f t="shared" si="73"/>
        <v>2024</v>
      </c>
      <c r="J271" s="20">
        <f t="shared" si="74"/>
        <v>2024.4166666666667</v>
      </c>
      <c r="K271" s="79">
        <v>38790.980000000003</v>
      </c>
      <c r="L271" s="79">
        <f t="shared" si="75"/>
        <v>38790.980000000003</v>
      </c>
      <c r="M271" s="79">
        <f t="shared" si="76"/>
        <v>461.79738095238099</v>
      </c>
      <c r="N271" s="79">
        <f t="shared" si="77"/>
        <v>5541.5685714285719</v>
      </c>
      <c r="O271" s="79">
        <f t="shared" si="78"/>
        <v>5541.5685714285719</v>
      </c>
      <c r="P271" s="79">
        <f t="shared" si="79"/>
        <v>5541.5685714285719</v>
      </c>
      <c r="Q271" s="79">
        <f t="shared" si="80"/>
        <v>11083.137142857144</v>
      </c>
      <c r="R271" s="79">
        <f t="shared" si="81"/>
        <v>27707.842857142859</v>
      </c>
    </row>
    <row r="272" spans="1:18">
      <c r="A272" s="118">
        <v>183937</v>
      </c>
      <c r="B272" s="50">
        <v>945</v>
      </c>
      <c r="C272" t="s">
        <v>616</v>
      </c>
      <c r="D272">
        <v>2017</v>
      </c>
      <c r="E272">
        <v>6</v>
      </c>
      <c r="F272">
        <v>0</v>
      </c>
      <c r="G272" t="s">
        <v>78</v>
      </c>
      <c r="H272" s="22">
        <v>7</v>
      </c>
      <c r="I272">
        <f t="shared" si="73"/>
        <v>2024</v>
      </c>
      <c r="J272" s="20">
        <f t="shared" si="74"/>
        <v>2024.5</v>
      </c>
      <c r="K272" s="79">
        <v>38071.93</v>
      </c>
      <c r="L272" s="79">
        <f t="shared" si="75"/>
        <v>38071.93</v>
      </c>
      <c r="M272" s="79">
        <f t="shared" si="76"/>
        <v>453.23726190476191</v>
      </c>
      <c r="N272" s="79">
        <f t="shared" si="77"/>
        <v>5438.8471428571429</v>
      </c>
      <c r="O272" s="79">
        <f t="shared" si="78"/>
        <v>5438.8471428571429</v>
      </c>
      <c r="P272" s="79">
        <f t="shared" si="79"/>
        <v>5438.8471428571429</v>
      </c>
      <c r="Q272" s="79">
        <f t="shared" si="80"/>
        <v>10877.694285714286</v>
      </c>
      <c r="R272" s="79">
        <f t="shared" si="81"/>
        <v>27194.235714285714</v>
      </c>
    </row>
    <row r="273" spans="1:18">
      <c r="A273" s="118">
        <v>183936</v>
      </c>
      <c r="B273" s="50">
        <v>624</v>
      </c>
      <c r="C273" t="s">
        <v>617</v>
      </c>
      <c r="D273">
        <v>2017</v>
      </c>
      <c r="E273">
        <v>6</v>
      </c>
      <c r="F273">
        <v>0</v>
      </c>
      <c r="G273" t="s">
        <v>78</v>
      </c>
      <c r="H273" s="22">
        <v>7</v>
      </c>
      <c r="I273">
        <f t="shared" si="73"/>
        <v>2024</v>
      </c>
      <c r="J273" s="20">
        <f t="shared" si="74"/>
        <v>2024.5</v>
      </c>
      <c r="K273" s="79">
        <v>32107.98</v>
      </c>
      <c r="L273" s="79">
        <f t="shared" si="75"/>
        <v>32107.98</v>
      </c>
      <c r="M273" s="79">
        <f t="shared" si="76"/>
        <v>382.23785714285714</v>
      </c>
      <c r="N273" s="79">
        <f t="shared" si="77"/>
        <v>4586.8542857142857</v>
      </c>
      <c r="O273" s="79">
        <f t="shared" si="78"/>
        <v>4586.8542857142857</v>
      </c>
      <c r="P273" s="79">
        <f t="shared" si="79"/>
        <v>4586.8542857142857</v>
      </c>
      <c r="Q273" s="79">
        <f t="shared" si="80"/>
        <v>9173.7085714285713</v>
      </c>
      <c r="R273" s="79">
        <f t="shared" si="81"/>
        <v>22934.271428571428</v>
      </c>
    </row>
    <row r="274" spans="1:18">
      <c r="A274" s="118">
        <v>188327</v>
      </c>
      <c r="B274" s="50">
        <v>945</v>
      </c>
      <c r="C274" t="s">
        <v>616</v>
      </c>
      <c r="D274">
        <v>2017</v>
      </c>
      <c r="E274">
        <v>10</v>
      </c>
      <c r="F274">
        <v>0</v>
      </c>
      <c r="G274" t="s">
        <v>78</v>
      </c>
      <c r="H274" s="22">
        <v>7</v>
      </c>
      <c r="I274">
        <f t="shared" si="73"/>
        <v>2024</v>
      </c>
      <c r="J274" s="20">
        <f t="shared" si="74"/>
        <v>2024.8333333333333</v>
      </c>
      <c r="K274" s="79">
        <v>38070.199999999997</v>
      </c>
      <c r="L274" s="79">
        <f t="shared" si="75"/>
        <v>38070.199999999997</v>
      </c>
      <c r="M274" s="79">
        <f t="shared" si="76"/>
        <v>453.21666666666664</v>
      </c>
      <c r="N274" s="79">
        <f t="shared" si="77"/>
        <v>5438.5999999999995</v>
      </c>
      <c r="O274" s="79">
        <f t="shared" si="78"/>
        <v>5438.5999999999995</v>
      </c>
      <c r="P274" s="79">
        <f t="shared" si="79"/>
        <v>5438.5999999999995</v>
      </c>
      <c r="Q274" s="79">
        <f t="shared" si="80"/>
        <v>10877.199999999999</v>
      </c>
      <c r="R274" s="79">
        <f t="shared" si="81"/>
        <v>27193</v>
      </c>
    </row>
    <row r="275" spans="1:18">
      <c r="A275" s="118">
        <v>189053</v>
      </c>
      <c r="B275" s="50">
        <v>945</v>
      </c>
      <c r="C275" t="s">
        <v>616</v>
      </c>
      <c r="D275">
        <v>2017</v>
      </c>
      <c r="E275">
        <v>11</v>
      </c>
      <c r="F275">
        <v>0</v>
      </c>
      <c r="G275" t="s">
        <v>78</v>
      </c>
      <c r="H275" s="22">
        <v>7</v>
      </c>
      <c r="I275">
        <f t="shared" si="73"/>
        <v>2024</v>
      </c>
      <c r="J275" s="20">
        <f t="shared" si="74"/>
        <v>2024.9166666666667</v>
      </c>
      <c r="K275" s="79">
        <v>38070.199999999997</v>
      </c>
      <c r="L275" s="79">
        <f t="shared" si="75"/>
        <v>38070.199999999997</v>
      </c>
      <c r="M275" s="79">
        <f t="shared" si="76"/>
        <v>453.21666666666664</v>
      </c>
      <c r="N275" s="79">
        <f t="shared" si="77"/>
        <v>5438.5999999999995</v>
      </c>
      <c r="O275" s="79">
        <f t="shared" si="78"/>
        <v>5438.5999999999995</v>
      </c>
      <c r="P275" s="79">
        <f t="shared" si="79"/>
        <v>5438.5999999999995</v>
      </c>
      <c r="Q275" s="79">
        <f t="shared" si="80"/>
        <v>10877.199999999999</v>
      </c>
      <c r="R275" s="79">
        <f t="shared" si="81"/>
        <v>27193</v>
      </c>
    </row>
    <row r="276" spans="1:18">
      <c r="A276" s="118">
        <v>190473</v>
      </c>
      <c r="B276" s="50">
        <v>432</v>
      </c>
      <c r="C276" t="s">
        <v>719</v>
      </c>
      <c r="D276">
        <v>2017</v>
      </c>
      <c r="E276">
        <v>11</v>
      </c>
      <c r="F276">
        <v>0</v>
      </c>
      <c r="G276" t="s">
        <v>78</v>
      </c>
      <c r="H276" s="22">
        <v>7</v>
      </c>
      <c r="I276">
        <f t="shared" si="73"/>
        <v>2024</v>
      </c>
      <c r="J276" s="20">
        <f t="shared" si="74"/>
        <v>2024.9166666666667</v>
      </c>
      <c r="K276" s="79">
        <v>19630.52</v>
      </c>
      <c r="L276" s="79">
        <f t="shared" si="75"/>
        <v>19630.52</v>
      </c>
      <c r="M276" s="79">
        <f t="shared" si="76"/>
        <v>233.69666666666669</v>
      </c>
      <c r="N276" s="79">
        <f t="shared" si="77"/>
        <v>2804.36</v>
      </c>
      <c r="O276" s="79">
        <f t="shared" si="78"/>
        <v>2804.36</v>
      </c>
      <c r="P276" s="79">
        <f t="shared" si="79"/>
        <v>2804.36</v>
      </c>
      <c r="Q276" s="79">
        <f t="shared" si="80"/>
        <v>5608.72</v>
      </c>
      <c r="R276" s="79">
        <f t="shared" si="81"/>
        <v>14021.8</v>
      </c>
    </row>
    <row r="277" spans="1:18">
      <c r="A277" s="118">
        <v>190472</v>
      </c>
      <c r="B277" s="50">
        <v>312</v>
      </c>
      <c r="C277" t="s">
        <v>617</v>
      </c>
      <c r="D277">
        <v>2017</v>
      </c>
      <c r="E277">
        <v>11</v>
      </c>
      <c r="F277">
        <v>0</v>
      </c>
      <c r="G277" t="s">
        <v>78</v>
      </c>
      <c r="H277" s="22">
        <v>7</v>
      </c>
      <c r="I277">
        <f t="shared" si="73"/>
        <v>2024</v>
      </c>
      <c r="J277" s="20">
        <f t="shared" si="74"/>
        <v>2024.9166666666667</v>
      </c>
      <c r="K277" s="79">
        <v>16402.71</v>
      </c>
      <c r="L277" s="79">
        <f t="shared" si="75"/>
        <v>16402.71</v>
      </c>
      <c r="M277" s="79">
        <f t="shared" si="76"/>
        <v>195.27035714285714</v>
      </c>
      <c r="N277" s="79">
        <f t="shared" si="77"/>
        <v>2343.2442857142855</v>
      </c>
      <c r="O277" s="79">
        <f t="shared" si="78"/>
        <v>2343.2442857142855</v>
      </c>
      <c r="P277" s="79">
        <f t="shared" si="79"/>
        <v>2343.2442857142855</v>
      </c>
      <c r="Q277" s="79">
        <f t="shared" si="80"/>
        <v>4686.488571428571</v>
      </c>
      <c r="R277" s="79">
        <f t="shared" si="81"/>
        <v>11716.221428571429</v>
      </c>
    </row>
    <row r="278" spans="1:18">
      <c r="A278" s="119">
        <v>199449</v>
      </c>
      <c r="B278" s="50">
        <v>864</v>
      </c>
      <c r="C278" s="50" t="s">
        <v>740</v>
      </c>
      <c r="D278" s="50">
        <v>2018</v>
      </c>
      <c r="E278" s="50">
        <v>3</v>
      </c>
      <c r="F278" s="50">
        <v>0</v>
      </c>
      <c r="G278" s="50" t="s">
        <v>78</v>
      </c>
      <c r="H278" s="62">
        <v>7</v>
      </c>
      <c r="I278" s="50">
        <f t="shared" si="73"/>
        <v>2025</v>
      </c>
      <c r="J278" s="85">
        <f t="shared" si="74"/>
        <v>2025.25</v>
      </c>
      <c r="K278" s="86">
        <v>39644.51</v>
      </c>
      <c r="L278" s="86">
        <f t="shared" si="75"/>
        <v>39644.51</v>
      </c>
      <c r="M278" s="86">
        <f t="shared" si="76"/>
        <v>471.95845238095239</v>
      </c>
      <c r="N278" s="86">
        <f t="shared" si="77"/>
        <v>5663.5014285714287</v>
      </c>
      <c r="O278" s="86">
        <f t="shared" si="78"/>
        <v>5663.5014285714287</v>
      </c>
      <c r="P278" s="86">
        <f t="shared" si="79"/>
        <v>0</v>
      </c>
      <c r="Q278" s="86">
        <f t="shared" si="80"/>
        <v>5663.5014285714287</v>
      </c>
      <c r="R278" s="86">
        <f t="shared" si="81"/>
        <v>33981.008571428574</v>
      </c>
    </row>
    <row r="279" spans="1:18">
      <c r="A279" s="119">
        <v>199444</v>
      </c>
      <c r="B279" s="50">
        <v>945</v>
      </c>
      <c r="C279" s="50" t="s">
        <v>737</v>
      </c>
      <c r="D279" s="50">
        <v>2018</v>
      </c>
      <c r="E279" s="50">
        <v>4</v>
      </c>
      <c r="F279" s="50">
        <v>0</v>
      </c>
      <c r="G279" s="50" t="s">
        <v>78</v>
      </c>
      <c r="H279" s="62">
        <v>7</v>
      </c>
      <c r="I279" s="50">
        <f t="shared" si="73"/>
        <v>2025</v>
      </c>
      <c r="J279" s="85">
        <f t="shared" si="74"/>
        <v>2025.3333333333333</v>
      </c>
      <c r="K279" s="86">
        <v>37863.78</v>
      </c>
      <c r="L279" s="86">
        <f t="shared" si="75"/>
        <v>37863.78</v>
      </c>
      <c r="M279" s="86">
        <f t="shared" si="76"/>
        <v>450.75928571428568</v>
      </c>
      <c r="N279" s="86">
        <f t="shared" si="77"/>
        <v>5409.1114285714284</v>
      </c>
      <c r="O279" s="86">
        <f t="shared" si="78"/>
        <v>5409.1114285714284</v>
      </c>
      <c r="P279" s="86">
        <f t="shared" si="79"/>
        <v>0</v>
      </c>
      <c r="Q279" s="86">
        <f t="shared" si="80"/>
        <v>5409.1114285714284</v>
      </c>
      <c r="R279" s="86">
        <f t="shared" si="81"/>
        <v>32454.66857142857</v>
      </c>
    </row>
    <row r="280" spans="1:18">
      <c r="A280" s="119">
        <v>199447</v>
      </c>
      <c r="B280" s="50">
        <v>432</v>
      </c>
      <c r="C280" s="50" t="s">
        <v>739</v>
      </c>
      <c r="D280" s="50">
        <v>2018</v>
      </c>
      <c r="E280" s="50">
        <v>4</v>
      </c>
      <c r="F280" s="50">
        <v>0</v>
      </c>
      <c r="G280" s="50" t="s">
        <v>78</v>
      </c>
      <c r="H280" s="62">
        <v>7</v>
      </c>
      <c r="I280" s="50">
        <f t="shared" si="73"/>
        <v>2025</v>
      </c>
      <c r="J280" s="85">
        <f t="shared" si="74"/>
        <v>2025.3333333333333</v>
      </c>
      <c r="K280" s="86">
        <v>20942.36</v>
      </c>
      <c r="L280" s="86">
        <f t="shared" si="75"/>
        <v>20942.36</v>
      </c>
      <c r="M280" s="86">
        <f t="shared" si="76"/>
        <v>249.31380952380951</v>
      </c>
      <c r="N280" s="86">
        <f t="shared" si="77"/>
        <v>2991.7657142857142</v>
      </c>
      <c r="O280" s="86">
        <f t="shared" si="78"/>
        <v>2991.7657142857142</v>
      </c>
      <c r="P280" s="86">
        <f t="shared" si="79"/>
        <v>0</v>
      </c>
      <c r="Q280" s="86">
        <f t="shared" si="80"/>
        <v>2991.7657142857142</v>
      </c>
      <c r="R280" s="86">
        <f t="shared" si="81"/>
        <v>17950.594285714287</v>
      </c>
    </row>
    <row r="281" spans="1:18">
      <c r="A281" s="119">
        <v>199446</v>
      </c>
      <c r="B281" s="50">
        <v>312</v>
      </c>
      <c r="C281" s="50" t="s">
        <v>738</v>
      </c>
      <c r="D281" s="50">
        <v>2018</v>
      </c>
      <c r="E281" s="50">
        <v>4</v>
      </c>
      <c r="F281" s="50">
        <v>0</v>
      </c>
      <c r="G281" s="50" t="s">
        <v>78</v>
      </c>
      <c r="H281" s="62">
        <v>7</v>
      </c>
      <c r="I281" s="50">
        <f t="shared" si="73"/>
        <v>2025</v>
      </c>
      <c r="J281" s="85">
        <f t="shared" si="74"/>
        <v>2025.3333333333333</v>
      </c>
      <c r="K281" s="86">
        <v>17734.16</v>
      </c>
      <c r="L281" s="86">
        <f t="shared" si="75"/>
        <v>17734.16</v>
      </c>
      <c r="M281" s="86">
        <f t="shared" si="76"/>
        <v>211.12095238095239</v>
      </c>
      <c r="N281" s="86">
        <f t="shared" si="77"/>
        <v>2533.4514285714286</v>
      </c>
      <c r="O281" s="86">
        <f t="shared" si="78"/>
        <v>2533.4514285714286</v>
      </c>
      <c r="P281" s="86">
        <f t="shared" si="79"/>
        <v>0</v>
      </c>
      <c r="Q281" s="86">
        <f t="shared" si="80"/>
        <v>2533.4514285714286</v>
      </c>
      <c r="R281" s="86">
        <f t="shared" si="81"/>
        <v>15200.708571428571</v>
      </c>
    </row>
    <row r="282" spans="1:18">
      <c r="A282" s="119">
        <v>202193</v>
      </c>
      <c r="B282" s="50">
        <v>864</v>
      </c>
      <c r="C282" s="50" t="s">
        <v>739</v>
      </c>
      <c r="D282" s="50">
        <v>2018</v>
      </c>
      <c r="E282" s="50">
        <v>7</v>
      </c>
      <c r="F282" s="50">
        <v>0</v>
      </c>
      <c r="G282" s="50" t="s">
        <v>78</v>
      </c>
      <c r="H282" s="62">
        <v>7</v>
      </c>
      <c r="I282" s="50">
        <f t="shared" si="73"/>
        <v>2025</v>
      </c>
      <c r="J282" s="85">
        <f t="shared" si="74"/>
        <v>2025.5833333333333</v>
      </c>
      <c r="K282" s="86">
        <v>39852.21</v>
      </c>
      <c r="L282" s="86">
        <f t="shared" si="75"/>
        <v>39852.21</v>
      </c>
      <c r="M282" s="86">
        <f t="shared" si="76"/>
        <v>474.43107142857139</v>
      </c>
      <c r="N282" s="86">
        <f t="shared" si="77"/>
        <v>5693.1728571428566</v>
      </c>
      <c r="O282" s="86">
        <f t="shared" si="78"/>
        <v>5693.1728571428566</v>
      </c>
      <c r="P282" s="86">
        <f t="shared" si="79"/>
        <v>0</v>
      </c>
      <c r="Q282" s="86">
        <f t="shared" si="80"/>
        <v>5693.1728571428566</v>
      </c>
      <c r="R282" s="86">
        <f t="shared" si="81"/>
        <v>34159.037142857145</v>
      </c>
    </row>
    <row r="283" spans="1:18">
      <c r="A283" s="119">
        <v>204246</v>
      </c>
      <c r="B283" s="50">
        <v>468</v>
      </c>
      <c r="C283" s="50" t="s">
        <v>737</v>
      </c>
      <c r="D283" s="50">
        <v>2018</v>
      </c>
      <c r="E283" s="50">
        <v>8</v>
      </c>
      <c r="F283" s="50">
        <v>0</v>
      </c>
      <c r="G283" s="50" t="s">
        <v>78</v>
      </c>
      <c r="H283" s="62">
        <v>7</v>
      </c>
      <c r="I283" s="50">
        <f t="shared" si="73"/>
        <v>2025</v>
      </c>
      <c r="J283" s="85">
        <f t="shared" si="74"/>
        <v>2025.6666666666667</v>
      </c>
      <c r="K283" s="86">
        <v>18944.09</v>
      </c>
      <c r="L283" s="86">
        <f t="shared" si="75"/>
        <v>18944.09</v>
      </c>
      <c r="M283" s="86">
        <f t="shared" si="76"/>
        <v>225.52488095238095</v>
      </c>
      <c r="N283" s="86">
        <f t="shared" si="77"/>
        <v>2706.2985714285714</v>
      </c>
      <c r="O283" s="86">
        <f t="shared" si="78"/>
        <v>2706.2985714285714</v>
      </c>
      <c r="P283" s="86">
        <f t="shared" si="79"/>
        <v>0</v>
      </c>
      <c r="Q283" s="86">
        <f t="shared" si="80"/>
        <v>2706.2985714285714</v>
      </c>
      <c r="R283" s="86">
        <f t="shared" si="81"/>
        <v>16237.791428571429</v>
      </c>
    </row>
    <row r="284" spans="1:18">
      <c r="A284" s="119">
        <v>202192</v>
      </c>
      <c r="B284" s="50">
        <v>624</v>
      </c>
      <c r="C284" s="50" t="s">
        <v>741</v>
      </c>
      <c r="D284" s="50">
        <v>2018</v>
      </c>
      <c r="E284" s="50">
        <v>8</v>
      </c>
      <c r="F284" s="50">
        <v>0</v>
      </c>
      <c r="G284" s="50" t="s">
        <v>78</v>
      </c>
      <c r="H284" s="62">
        <v>7</v>
      </c>
      <c r="I284" s="50">
        <f t="shared" si="73"/>
        <v>2025</v>
      </c>
      <c r="J284" s="85">
        <f t="shared" si="74"/>
        <v>2025.6666666666667</v>
      </c>
      <c r="K284" s="86">
        <v>33435.82</v>
      </c>
      <c r="L284" s="86">
        <f t="shared" si="75"/>
        <v>33435.82</v>
      </c>
      <c r="M284" s="86">
        <f t="shared" si="76"/>
        <v>398.04547619047617</v>
      </c>
      <c r="N284" s="86">
        <f t="shared" si="77"/>
        <v>4776.545714285714</v>
      </c>
      <c r="O284" s="86">
        <f t="shared" si="78"/>
        <v>4776.545714285714</v>
      </c>
      <c r="P284" s="86">
        <f t="shared" si="79"/>
        <v>0</v>
      </c>
      <c r="Q284" s="86">
        <f t="shared" si="80"/>
        <v>4776.545714285714</v>
      </c>
      <c r="R284" s="86">
        <f t="shared" si="81"/>
        <v>28659.274285714288</v>
      </c>
    </row>
    <row r="285" spans="1:18">
      <c r="A285" s="119">
        <v>202191</v>
      </c>
      <c r="B285" s="50">
        <v>624</v>
      </c>
      <c r="C285" s="50" t="s">
        <v>738</v>
      </c>
      <c r="D285" s="50">
        <v>2018</v>
      </c>
      <c r="E285" s="50">
        <v>8</v>
      </c>
      <c r="F285" s="50">
        <v>0</v>
      </c>
      <c r="G285" s="50" t="s">
        <v>78</v>
      </c>
      <c r="H285" s="62">
        <v>7</v>
      </c>
      <c r="I285" s="50">
        <f t="shared" si="73"/>
        <v>2025</v>
      </c>
      <c r="J285" s="85">
        <f t="shared" si="74"/>
        <v>2025.6666666666667</v>
      </c>
      <c r="K285" s="86">
        <v>33435.82</v>
      </c>
      <c r="L285" s="86">
        <f t="shared" si="75"/>
        <v>33435.82</v>
      </c>
      <c r="M285" s="86">
        <f t="shared" si="76"/>
        <v>398.04547619047617</v>
      </c>
      <c r="N285" s="86">
        <f t="shared" si="77"/>
        <v>4776.545714285714</v>
      </c>
      <c r="O285" s="86">
        <f t="shared" si="78"/>
        <v>4776.545714285714</v>
      </c>
      <c r="P285" s="86">
        <f t="shared" si="79"/>
        <v>0</v>
      </c>
      <c r="Q285" s="86">
        <f t="shared" si="80"/>
        <v>4776.545714285714</v>
      </c>
      <c r="R285" s="86">
        <f t="shared" si="81"/>
        <v>28659.274285714288</v>
      </c>
    </row>
    <row r="286" spans="1:18">
      <c r="A286" s="119">
        <v>205650</v>
      </c>
      <c r="B286" s="50">
        <v>864</v>
      </c>
      <c r="C286" s="50" t="s">
        <v>740</v>
      </c>
      <c r="D286" s="50">
        <v>2018</v>
      </c>
      <c r="E286" s="50">
        <v>10</v>
      </c>
      <c r="F286" s="50">
        <v>0</v>
      </c>
      <c r="G286" s="50" t="s">
        <v>78</v>
      </c>
      <c r="H286" s="62">
        <v>7</v>
      </c>
      <c r="I286" s="50">
        <f t="shared" si="73"/>
        <v>2025</v>
      </c>
      <c r="J286" s="85">
        <f t="shared" si="74"/>
        <v>2025.8333333333333</v>
      </c>
      <c r="K286" s="86">
        <v>39779.9</v>
      </c>
      <c r="L286" s="86">
        <f t="shared" si="75"/>
        <v>39779.9</v>
      </c>
      <c r="M286" s="86">
        <f t="shared" si="76"/>
        <v>473.57023809523815</v>
      </c>
      <c r="N286" s="86">
        <f t="shared" si="77"/>
        <v>5682.8428571428576</v>
      </c>
      <c r="O286" s="86">
        <f t="shared" si="78"/>
        <v>5682.8428571428576</v>
      </c>
      <c r="P286" s="86">
        <f t="shared" si="79"/>
        <v>0</v>
      </c>
      <c r="Q286" s="86">
        <f t="shared" si="80"/>
        <v>5682.8428571428576</v>
      </c>
      <c r="R286" s="86">
        <f t="shared" si="81"/>
        <v>34097.057142857142</v>
      </c>
    </row>
    <row r="287" spans="1:18" s="53" customFormat="1">
      <c r="A287" s="120">
        <v>210119</v>
      </c>
      <c r="B287" s="50">
        <v>945</v>
      </c>
      <c r="C287" s="59" t="s">
        <v>804</v>
      </c>
      <c r="D287" s="53">
        <v>2019</v>
      </c>
      <c r="E287" s="53">
        <v>1</v>
      </c>
      <c r="F287" s="53">
        <v>0</v>
      </c>
      <c r="G287" s="59" t="s">
        <v>78</v>
      </c>
      <c r="H287" s="57">
        <v>7</v>
      </c>
      <c r="I287" s="53">
        <f t="shared" si="73"/>
        <v>2026</v>
      </c>
      <c r="J287" s="58">
        <f t="shared" si="74"/>
        <v>2026.0833333333333</v>
      </c>
      <c r="K287" s="80">
        <v>37953.050000000003</v>
      </c>
      <c r="L287" s="80">
        <f t="shared" si="75"/>
        <v>37953.050000000003</v>
      </c>
      <c r="M287" s="80">
        <f t="shared" si="76"/>
        <v>451.82202380952384</v>
      </c>
      <c r="N287" s="80">
        <f t="shared" si="77"/>
        <v>5421.8642857142859</v>
      </c>
      <c r="O287" s="80">
        <f t="shared" si="78"/>
        <v>5421.8642857142859</v>
      </c>
      <c r="P287" s="80">
        <f t="shared" si="79"/>
        <v>0</v>
      </c>
      <c r="Q287" s="80">
        <f t="shared" si="80"/>
        <v>5421.8642857142859</v>
      </c>
      <c r="R287" s="80">
        <f t="shared" si="81"/>
        <v>32531.185714285719</v>
      </c>
    </row>
    <row r="288" spans="1:18" s="53" customFormat="1">
      <c r="A288" s="120">
        <v>210118</v>
      </c>
      <c r="B288" s="50">
        <v>864</v>
      </c>
      <c r="C288" s="59" t="s">
        <v>739</v>
      </c>
      <c r="D288" s="53">
        <v>2019</v>
      </c>
      <c r="E288" s="53">
        <v>1</v>
      </c>
      <c r="F288" s="53">
        <v>0</v>
      </c>
      <c r="G288" s="59" t="s">
        <v>78</v>
      </c>
      <c r="H288" s="57">
        <v>7</v>
      </c>
      <c r="I288" s="53">
        <f t="shared" si="73"/>
        <v>2026</v>
      </c>
      <c r="J288" s="58">
        <f t="shared" si="74"/>
        <v>2026.0833333333333</v>
      </c>
      <c r="K288" s="80">
        <v>39187.980000000003</v>
      </c>
      <c r="L288" s="80">
        <f t="shared" si="75"/>
        <v>39187.980000000003</v>
      </c>
      <c r="M288" s="80">
        <f t="shared" si="76"/>
        <v>466.52357142857142</v>
      </c>
      <c r="N288" s="80">
        <f t="shared" si="77"/>
        <v>5598.2828571428572</v>
      </c>
      <c r="O288" s="80">
        <f t="shared" si="78"/>
        <v>5598.2828571428572</v>
      </c>
      <c r="P288" s="80">
        <f t="shared" si="79"/>
        <v>0</v>
      </c>
      <c r="Q288" s="80">
        <f t="shared" si="80"/>
        <v>5598.2828571428572</v>
      </c>
      <c r="R288" s="80">
        <f t="shared" si="81"/>
        <v>33589.697142857149</v>
      </c>
    </row>
    <row r="289" spans="1:18" s="53" customFormat="1">
      <c r="A289" s="120">
        <v>210121</v>
      </c>
      <c r="B289" s="50">
        <v>624</v>
      </c>
      <c r="C289" s="54" t="s">
        <v>738</v>
      </c>
      <c r="D289" s="53">
        <v>2019</v>
      </c>
      <c r="E289" s="53">
        <v>1</v>
      </c>
      <c r="F289" s="53">
        <v>0</v>
      </c>
      <c r="G289" s="54" t="s">
        <v>78</v>
      </c>
      <c r="H289" s="57">
        <v>7</v>
      </c>
      <c r="I289" s="53">
        <f t="shared" si="73"/>
        <v>2026</v>
      </c>
      <c r="J289" s="58">
        <f t="shared" si="74"/>
        <v>2026.0833333333333</v>
      </c>
      <c r="K289" s="80">
        <v>31843.759999999998</v>
      </c>
      <c r="L289" s="80">
        <f t="shared" si="75"/>
        <v>31843.759999999998</v>
      </c>
      <c r="M289" s="80">
        <f t="shared" si="76"/>
        <v>379.09238095238089</v>
      </c>
      <c r="N289" s="80">
        <f t="shared" si="77"/>
        <v>4549.1085714285709</v>
      </c>
      <c r="O289" s="80">
        <f t="shared" si="78"/>
        <v>4549.1085714285709</v>
      </c>
      <c r="P289" s="80">
        <f t="shared" si="79"/>
        <v>0</v>
      </c>
      <c r="Q289" s="80">
        <f t="shared" si="80"/>
        <v>4549.1085714285709</v>
      </c>
      <c r="R289" s="80">
        <f t="shared" si="81"/>
        <v>27294.651428571429</v>
      </c>
    </row>
    <row r="290" spans="1:18" s="53" customFormat="1" ht="25.5">
      <c r="A290" s="120" t="s">
        <v>819</v>
      </c>
      <c r="B290" s="50">
        <v>864</v>
      </c>
      <c r="C290" s="54" t="s">
        <v>820</v>
      </c>
      <c r="D290" s="53">
        <v>2019</v>
      </c>
      <c r="E290" s="53">
        <v>5</v>
      </c>
      <c r="F290" s="53">
        <v>0</v>
      </c>
      <c r="G290" s="54" t="s">
        <v>78</v>
      </c>
      <c r="H290" s="57">
        <v>7</v>
      </c>
      <c r="I290" s="53">
        <f t="shared" si="73"/>
        <v>2026</v>
      </c>
      <c r="J290" s="58">
        <f t="shared" si="74"/>
        <v>2026.4166666666667</v>
      </c>
      <c r="K290" s="80">
        <v>37698.53</v>
      </c>
      <c r="L290" s="80">
        <f t="shared" si="75"/>
        <v>37698.53</v>
      </c>
      <c r="M290" s="80">
        <f t="shared" si="76"/>
        <v>448.79202380952376</v>
      </c>
      <c r="N290" s="80">
        <f t="shared" si="77"/>
        <v>5385.5042857142853</v>
      </c>
      <c r="O290" s="80">
        <f t="shared" si="78"/>
        <v>5385.5042857142853</v>
      </c>
      <c r="P290" s="80">
        <f t="shared" si="79"/>
        <v>0</v>
      </c>
      <c r="Q290" s="80">
        <f t="shared" si="80"/>
        <v>5385.5042857142853</v>
      </c>
      <c r="R290" s="80">
        <f t="shared" si="81"/>
        <v>32313.025714285715</v>
      </c>
    </row>
    <row r="291" spans="1:18" s="53" customFormat="1">
      <c r="A291" s="120" t="s">
        <v>807</v>
      </c>
      <c r="B291" s="50"/>
      <c r="C291" s="54" t="s">
        <v>821</v>
      </c>
      <c r="D291" s="53">
        <v>2019</v>
      </c>
      <c r="E291" s="53">
        <v>5</v>
      </c>
      <c r="F291" s="53">
        <v>0</v>
      </c>
      <c r="G291" s="54" t="s">
        <v>78</v>
      </c>
      <c r="H291" s="57">
        <v>7</v>
      </c>
      <c r="I291" s="53">
        <f t="shared" si="73"/>
        <v>2026</v>
      </c>
      <c r="J291" s="58">
        <f t="shared" si="74"/>
        <v>2026.4166666666667</v>
      </c>
      <c r="K291" s="80">
        <v>18015</v>
      </c>
      <c r="L291" s="80">
        <f t="shared" si="75"/>
        <v>18015</v>
      </c>
      <c r="M291" s="80">
        <f t="shared" si="76"/>
        <v>214.46428571428569</v>
      </c>
      <c r="N291" s="80">
        <f t="shared" si="77"/>
        <v>2573.5714285714284</v>
      </c>
      <c r="O291" s="80">
        <f t="shared" si="78"/>
        <v>2573.5714285714284</v>
      </c>
      <c r="P291" s="80">
        <f t="shared" si="79"/>
        <v>0</v>
      </c>
      <c r="Q291" s="80">
        <f t="shared" si="80"/>
        <v>2573.5714285714284</v>
      </c>
      <c r="R291" s="80">
        <f t="shared" si="81"/>
        <v>15441.428571428572</v>
      </c>
    </row>
    <row r="292" spans="1:18" s="53" customFormat="1">
      <c r="A292" s="120" t="s">
        <v>807</v>
      </c>
      <c r="B292" s="50"/>
      <c r="C292" s="54" t="s">
        <v>821</v>
      </c>
      <c r="D292" s="53">
        <v>2019</v>
      </c>
      <c r="E292" s="53">
        <v>8</v>
      </c>
      <c r="F292" s="53">
        <v>0</v>
      </c>
      <c r="G292" s="54" t="s">
        <v>78</v>
      </c>
      <c r="H292" s="57">
        <v>7</v>
      </c>
      <c r="I292" s="53">
        <f t="shared" si="73"/>
        <v>2026</v>
      </c>
      <c r="J292" s="58">
        <f t="shared" si="74"/>
        <v>2026.6666666666667</v>
      </c>
      <c r="K292" s="80">
        <f>175000/2</f>
        <v>87500</v>
      </c>
      <c r="L292" s="80">
        <f t="shared" ref="L292:L293" si="82">K292-K292*F292</f>
        <v>87500</v>
      </c>
      <c r="M292" s="80">
        <f t="shared" ref="M292:M293" si="83">L292/H292/12</f>
        <v>1041.6666666666667</v>
      </c>
      <c r="N292" s="80">
        <f t="shared" ref="N292:N293" si="84">+M292*12</f>
        <v>12500</v>
      </c>
      <c r="O292" s="80">
        <f t="shared" ref="O292:O293" si="85">+IF(J292&lt;=$L$5,0,IF(I292&gt;$L$4,N292,(M292*E292)))</f>
        <v>12500</v>
      </c>
      <c r="P292" s="80">
        <f t="shared" ref="P292:P293" si="86">+IF(O292=0,L292,IF($L$3-D292&lt;1,0,(($L$3-D292)*O292)))</f>
        <v>0</v>
      </c>
      <c r="Q292" s="80">
        <f t="shared" ref="Q292:Q293" si="87">+IF(O292=0,P292,P292+O292)</f>
        <v>12500</v>
      </c>
      <c r="R292" s="80">
        <f t="shared" ref="R292:R293" si="88">+K292-Q292</f>
        <v>75000</v>
      </c>
    </row>
    <row r="293" spans="1:18" s="53" customFormat="1">
      <c r="A293" s="120" t="s">
        <v>807</v>
      </c>
      <c r="B293" s="50"/>
      <c r="C293" s="54" t="s">
        <v>821</v>
      </c>
      <c r="D293" s="53">
        <v>2019</v>
      </c>
      <c r="E293" s="53">
        <v>11</v>
      </c>
      <c r="F293" s="53">
        <v>0</v>
      </c>
      <c r="G293" s="54" t="s">
        <v>78</v>
      </c>
      <c r="H293" s="57">
        <v>7</v>
      </c>
      <c r="I293" s="53">
        <f t="shared" si="73"/>
        <v>2026</v>
      </c>
      <c r="J293" s="58">
        <f t="shared" si="74"/>
        <v>2026.9166666666667</v>
      </c>
      <c r="K293" s="80">
        <f>75000/2</f>
        <v>37500</v>
      </c>
      <c r="L293" s="80">
        <f t="shared" si="82"/>
        <v>37500</v>
      </c>
      <c r="M293" s="80">
        <f t="shared" si="83"/>
        <v>446.42857142857139</v>
      </c>
      <c r="N293" s="80">
        <f t="shared" si="84"/>
        <v>5357.1428571428569</v>
      </c>
      <c r="O293" s="80">
        <f t="shared" si="85"/>
        <v>5357.1428571428569</v>
      </c>
      <c r="P293" s="80">
        <f t="shared" si="86"/>
        <v>0</v>
      </c>
      <c r="Q293" s="80">
        <f t="shared" si="87"/>
        <v>5357.1428571428569</v>
      </c>
      <c r="R293" s="80">
        <f t="shared" si="88"/>
        <v>32142.857142857145</v>
      </c>
    </row>
    <row r="294" spans="1:18">
      <c r="K294" s="79"/>
      <c r="L294" s="79"/>
      <c r="M294" s="79"/>
      <c r="N294" s="79"/>
      <c r="O294" s="79"/>
      <c r="P294" s="79"/>
      <c r="Q294" s="79"/>
      <c r="R294" s="79"/>
    </row>
    <row r="295" spans="1:18">
      <c r="C295" s="9" t="s">
        <v>393</v>
      </c>
      <c r="K295" s="81">
        <f t="shared" ref="K295:R295" si="89">SUM(K169:K294)</f>
        <v>3136158.7099999976</v>
      </c>
      <c r="L295" s="81">
        <f t="shared" si="89"/>
        <v>3136158.7099999976</v>
      </c>
      <c r="M295" s="81">
        <f t="shared" si="89"/>
        <v>34816.29157142857</v>
      </c>
      <c r="N295" s="81">
        <f t="shared" si="89"/>
        <v>417795.49885714281</v>
      </c>
      <c r="O295" s="81">
        <f t="shared" si="89"/>
        <v>263483.01428571437</v>
      </c>
      <c r="P295" s="81">
        <f t="shared" si="89"/>
        <v>1780638.2085714277</v>
      </c>
      <c r="Q295" s="81">
        <f t="shared" si="89"/>
        <v>2044121.2228571426</v>
      </c>
      <c r="R295" s="81">
        <f t="shared" si="89"/>
        <v>1092037.4871428569</v>
      </c>
    </row>
    <row r="296" spans="1:18">
      <c r="K296" s="79"/>
      <c r="L296" s="79"/>
      <c r="M296" s="79"/>
      <c r="N296" s="79"/>
      <c r="O296" s="79"/>
      <c r="P296" s="79"/>
      <c r="Q296" s="79"/>
      <c r="R296" s="79"/>
    </row>
    <row r="297" spans="1:18">
      <c r="K297" s="79"/>
      <c r="L297" s="79"/>
      <c r="M297" s="79"/>
      <c r="N297" s="79"/>
      <c r="O297" s="79"/>
      <c r="P297" s="79"/>
      <c r="Q297" s="79"/>
      <c r="R297" s="79"/>
    </row>
    <row r="298" spans="1:18">
      <c r="C298" s="9" t="s">
        <v>395</v>
      </c>
      <c r="K298" s="79"/>
      <c r="L298" s="79"/>
      <c r="M298" s="79"/>
      <c r="N298" s="79"/>
      <c r="O298" s="79"/>
      <c r="P298" s="79"/>
      <c r="Q298" s="79"/>
      <c r="R298" s="79"/>
    </row>
    <row r="299" spans="1:18">
      <c r="B299" s="50">
        <v>2</v>
      </c>
      <c r="C299" t="s">
        <v>172</v>
      </c>
      <c r="D299">
        <v>1995</v>
      </c>
      <c r="E299">
        <v>8</v>
      </c>
      <c r="F299">
        <v>0</v>
      </c>
      <c r="G299" t="s">
        <v>78</v>
      </c>
      <c r="H299" s="22" t="s">
        <v>9</v>
      </c>
      <c r="I299">
        <f t="shared" ref="I299:I309" si="90">D299+H299</f>
        <v>2005</v>
      </c>
      <c r="J299" s="20">
        <f t="shared" ref="J299:J336" si="91">+I299+(E299/12)</f>
        <v>2005.6666666666667</v>
      </c>
      <c r="K299" s="79">
        <v>8548</v>
      </c>
      <c r="L299" s="79">
        <f t="shared" ref="L299:L337" si="92">K299-K299*F299</f>
        <v>8548</v>
      </c>
      <c r="M299" s="79">
        <f t="shared" ref="M299:M337" si="93">L299/H299/12</f>
        <v>71.233333333333334</v>
      </c>
      <c r="N299" s="79">
        <f t="shared" ref="N299:N336" si="94">+M299*12</f>
        <v>854.8</v>
      </c>
      <c r="O299" s="79">
        <f t="shared" ref="O299:O337" si="95">+IF(J299&lt;=$L$5,0,IF(I299&gt;$L$4,N299,(M299*E299)))</f>
        <v>0</v>
      </c>
      <c r="P299" s="79">
        <f t="shared" ref="P299:P337" si="96">+IF(O299=0,L299,IF($L$3-D299&lt;1,0,(($L$3-D299)*O299)))</f>
        <v>8548</v>
      </c>
      <c r="Q299" s="79">
        <f t="shared" ref="Q299:Q337" si="97">+IF(O299=0,P299,P299+O299)</f>
        <v>8548</v>
      </c>
      <c r="R299" s="79">
        <f t="shared" ref="R299:R337" si="98">+K299-Q299</f>
        <v>0</v>
      </c>
    </row>
    <row r="300" spans="1:18">
      <c r="B300" s="50">
        <v>2</v>
      </c>
      <c r="C300" t="s">
        <v>231</v>
      </c>
      <c r="D300">
        <v>1995</v>
      </c>
      <c r="E300">
        <v>9</v>
      </c>
      <c r="F300">
        <v>0</v>
      </c>
      <c r="G300" t="s">
        <v>78</v>
      </c>
      <c r="H300" s="22" t="s">
        <v>9</v>
      </c>
      <c r="I300">
        <f t="shared" si="90"/>
        <v>2005</v>
      </c>
      <c r="J300" s="20">
        <f t="shared" si="91"/>
        <v>2005.75</v>
      </c>
      <c r="K300" s="79">
        <v>8548</v>
      </c>
      <c r="L300" s="79">
        <f t="shared" si="92"/>
        <v>8548</v>
      </c>
      <c r="M300" s="79">
        <f t="shared" si="93"/>
        <v>71.233333333333334</v>
      </c>
      <c r="N300" s="79">
        <f t="shared" si="94"/>
        <v>854.8</v>
      </c>
      <c r="O300" s="79">
        <f t="shared" si="95"/>
        <v>0</v>
      </c>
      <c r="P300" s="79">
        <f t="shared" si="96"/>
        <v>8548</v>
      </c>
      <c r="Q300" s="79">
        <f t="shared" si="97"/>
        <v>8548</v>
      </c>
      <c r="R300" s="79">
        <f t="shared" si="98"/>
        <v>0</v>
      </c>
    </row>
    <row r="301" spans="1:18">
      <c r="B301" s="50">
        <v>5</v>
      </c>
      <c r="C301" t="s">
        <v>172</v>
      </c>
      <c r="D301">
        <v>1995</v>
      </c>
      <c r="E301">
        <v>11</v>
      </c>
      <c r="F301">
        <v>0</v>
      </c>
      <c r="G301" t="s">
        <v>78</v>
      </c>
      <c r="H301" s="22" t="s">
        <v>9</v>
      </c>
      <c r="I301">
        <f t="shared" si="90"/>
        <v>2005</v>
      </c>
      <c r="J301" s="20">
        <f t="shared" si="91"/>
        <v>2005.9166666666667</v>
      </c>
      <c r="K301" s="79">
        <v>21369</v>
      </c>
      <c r="L301" s="79">
        <f t="shared" si="92"/>
        <v>21369</v>
      </c>
      <c r="M301" s="79">
        <f t="shared" si="93"/>
        <v>178.07500000000002</v>
      </c>
      <c r="N301" s="79">
        <f t="shared" si="94"/>
        <v>2136.9</v>
      </c>
      <c r="O301" s="79">
        <f t="shared" si="95"/>
        <v>0</v>
      </c>
      <c r="P301" s="79">
        <f t="shared" si="96"/>
        <v>21369</v>
      </c>
      <c r="Q301" s="79">
        <f t="shared" si="97"/>
        <v>21369</v>
      </c>
      <c r="R301" s="79">
        <f t="shared" si="98"/>
        <v>0</v>
      </c>
    </row>
    <row r="302" spans="1:18">
      <c r="B302" s="50">
        <v>4</v>
      </c>
      <c r="C302" t="s">
        <v>172</v>
      </c>
      <c r="D302">
        <v>1996</v>
      </c>
      <c r="E302">
        <v>9</v>
      </c>
      <c r="F302">
        <v>0</v>
      </c>
      <c r="G302" t="s">
        <v>78</v>
      </c>
      <c r="H302" s="22" t="s">
        <v>9</v>
      </c>
      <c r="I302">
        <f t="shared" si="90"/>
        <v>2006</v>
      </c>
      <c r="J302" s="20">
        <f t="shared" si="91"/>
        <v>2006.75</v>
      </c>
      <c r="K302" s="79">
        <v>17096</v>
      </c>
      <c r="L302" s="79">
        <f t="shared" si="92"/>
        <v>17096</v>
      </c>
      <c r="M302" s="79">
        <f t="shared" si="93"/>
        <v>142.46666666666667</v>
      </c>
      <c r="N302" s="79">
        <f t="shared" si="94"/>
        <v>1709.6</v>
      </c>
      <c r="O302" s="79">
        <f t="shared" si="95"/>
        <v>0</v>
      </c>
      <c r="P302" s="79">
        <f t="shared" si="96"/>
        <v>17096</v>
      </c>
      <c r="Q302" s="79">
        <f t="shared" si="97"/>
        <v>17096</v>
      </c>
      <c r="R302" s="79">
        <f t="shared" si="98"/>
        <v>0</v>
      </c>
    </row>
    <row r="303" spans="1:18">
      <c r="B303" s="50">
        <v>5</v>
      </c>
      <c r="C303" t="s">
        <v>93</v>
      </c>
      <c r="D303">
        <v>1997</v>
      </c>
      <c r="E303">
        <v>12</v>
      </c>
      <c r="F303">
        <v>0</v>
      </c>
      <c r="G303" t="s">
        <v>78</v>
      </c>
      <c r="H303" s="22" t="s">
        <v>9</v>
      </c>
      <c r="I303">
        <f t="shared" si="90"/>
        <v>2007</v>
      </c>
      <c r="J303" s="20">
        <f t="shared" si="91"/>
        <v>2008</v>
      </c>
      <c r="K303" s="79">
        <v>225.94</v>
      </c>
      <c r="L303" s="79">
        <f t="shared" si="92"/>
        <v>225.94</v>
      </c>
      <c r="M303" s="79">
        <f t="shared" si="93"/>
        <v>1.8828333333333334</v>
      </c>
      <c r="N303" s="79">
        <f t="shared" si="94"/>
        <v>22.594000000000001</v>
      </c>
      <c r="O303" s="79">
        <f t="shared" si="95"/>
        <v>0</v>
      </c>
      <c r="P303" s="79">
        <f t="shared" si="96"/>
        <v>225.94</v>
      </c>
      <c r="Q303" s="79">
        <f t="shared" si="97"/>
        <v>225.94</v>
      </c>
      <c r="R303" s="79">
        <f t="shared" si="98"/>
        <v>0</v>
      </c>
    </row>
    <row r="304" spans="1:18">
      <c r="B304" s="50">
        <v>1</v>
      </c>
      <c r="C304" t="s">
        <v>232</v>
      </c>
      <c r="D304">
        <v>2002</v>
      </c>
      <c r="E304">
        <v>10</v>
      </c>
      <c r="F304">
        <v>0</v>
      </c>
      <c r="G304" t="s">
        <v>78</v>
      </c>
      <c r="H304" s="22" t="s">
        <v>9</v>
      </c>
      <c r="I304">
        <f t="shared" si="90"/>
        <v>2012</v>
      </c>
      <c r="J304" s="20">
        <f t="shared" si="91"/>
        <v>2012.8333333333333</v>
      </c>
      <c r="K304" s="79">
        <v>7279.2</v>
      </c>
      <c r="L304" s="79">
        <f t="shared" si="92"/>
        <v>7279.2</v>
      </c>
      <c r="M304" s="79">
        <f t="shared" si="93"/>
        <v>60.66</v>
      </c>
      <c r="N304" s="79">
        <f t="shared" si="94"/>
        <v>727.92</v>
      </c>
      <c r="O304" s="79">
        <f t="shared" si="95"/>
        <v>0</v>
      </c>
      <c r="P304" s="79">
        <f t="shared" si="96"/>
        <v>7279.2</v>
      </c>
      <c r="Q304" s="79">
        <f t="shared" si="97"/>
        <v>7279.2</v>
      </c>
      <c r="R304" s="79">
        <f t="shared" si="98"/>
        <v>0</v>
      </c>
    </row>
    <row r="305" spans="2:18">
      <c r="B305" s="50">
        <v>3</v>
      </c>
      <c r="C305" t="s">
        <v>172</v>
      </c>
      <c r="D305">
        <v>2003</v>
      </c>
      <c r="E305">
        <v>1</v>
      </c>
      <c r="F305">
        <v>0</v>
      </c>
      <c r="G305" t="s">
        <v>78</v>
      </c>
      <c r="H305" s="22" t="s">
        <v>9</v>
      </c>
      <c r="I305">
        <f t="shared" si="90"/>
        <v>2013</v>
      </c>
      <c r="J305" s="20">
        <f t="shared" si="91"/>
        <v>2013.0833333333333</v>
      </c>
      <c r="K305" s="79">
        <v>18648.32</v>
      </c>
      <c r="L305" s="79">
        <f t="shared" si="92"/>
        <v>18648.32</v>
      </c>
      <c r="M305" s="79">
        <f t="shared" si="93"/>
        <v>155.40266666666665</v>
      </c>
      <c r="N305" s="79">
        <f t="shared" si="94"/>
        <v>1864.8319999999999</v>
      </c>
      <c r="O305" s="79">
        <f t="shared" si="95"/>
        <v>0</v>
      </c>
      <c r="P305" s="79">
        <f t="shared" si="96"/>
        <v>18648.32</v>
      </c>
      <c r="Q305" s="79">
        <f t="shared" si="97"/>
        <v>18648.32</v>
      </c>
      <c r="R305" s="79">
        <f t="shared" si="98"/>
        <v>0</v>
      </c>
    </row>
    <row r="306" spans="2:18">
      <c r="B306" s="50">
        <v>1</v>
      </c>
      <c r="C306" t="s">
        <v>172</v>
      </c>
      <c r="D306">
        <v>2003</v>
      </c>
      <c r="E306">
        <v>3</v>
      </c>
      <c r="F306">
        <v>0</v>
      </c>
      <c r="G306" t="s">
        <v>78</v>
      </c>
      <c r="H306" s="22" t="s">
        <v>9</v>
      </c>
      <c r="I306">
        <f t="shared" si="90"/>
        <v>2013</v>
      </c>
      <c r="J306" s="20">
        <f t="shared" si="91"/>
        <v>2013.25</v>
      </c>
      <c r="K306" s="79">
        <v>4662.08</v>
      </c>
      <c r="L306" s="79">
        <f t="shared" si="92"/>
        <v>4662.08</v>
      </c>
      <c r="M306" s="79">
        <f t="shared" si="93"/>
        <v>38.850666666666662</v>
      </c>
      <c r="N306" s="79">
        <f t="shared" si="94"/>
        <v>466.20799999999997</v>
      </c>
      <c r="O306" s="79">
        <f t="shared" si="95"/>
        <v>0</v>
      </c>
      <c r="P306" s="79">
        <f t="shared" si="96"/>
        <v>4662.08</v>
      </c>
      <c r="Q306" s="79">
        <f t="shared" si="97"/>
        <v>4662.08</v>
      </c>
      <c r="R306" s="79">
        <f t="shared" si="98"/>
        <v>0</v>
      </c>
    </row>
    <row r="307" spans="2:18">
      <c r="B307" s="50">
        <v>1</v>
      </c>
      <c r="C307" t="s">
        <v>172</v>
      </c>
      <c r="D307">
        <v>2003</v>
      </c>
      <c r="E307">
        <v>4</v>
      </c>
      <c r="F307">
        <v>0</v>
      </c>
      <c r="G307" t="s">
        <v>78</v>
      </c>
      <c r="H307" s="22" t="s">
        <v>9</v>
      </c>
      <c r="I307">
        <f t="shared" si="90"/>
        <v>2013</v>
      </c>
      <c r="J307" s="20">
        <f t="shared" si="91"/>
        <v>2013.3333333333333</v>
      </c>
      <c r="K307" s="79">
        <v>4662.08</v>
      </c>
      <c r="L307" s="79">
        <f t="shared" si="92"/>
        <v>4662.08</v>
      </c>
      <c r="M307" s="79">
        <f t="shared" si="93"/>
        <v>38.850666666666662</v>
      </c>
      <c r="N307" s="79">
        <f t="shared" si="94"/>
        <v>466.20799999999997</v>
      </c>
      <c r="O307" s="79">
        <f t="shared" si="95"/>
        <v>0</v>
      </c>
      <c r="P307" s="79">
        <f t="shared" si="96"/>
        <v>4662.08</v>
      </c>
      <c r="Q307" s="79">
        <f t="shared" si="97"/>
        <v>4662.08</v>
      </c>
      <c r="R307" s="79">
        <f t="shared" si="98"/>
        <v>0</v>
      </c>
    </row>
    <row r="308" spans="2:18">
      <c r="B308" s="50">
        <v>1</v>
      </c>
      <c r="C308" t="s">
        <v>172</v>
      </c>
      <c r="D308">
        <v>2003</v>
      </c>
      <c r="E308">
        <v>7</v>
      </c>
      <c r="F308">
        <v>0</v>
      </c>
      <c r="G308" t="s">
        <v>78</v>
      </c>
      <c r="H308" s="22" t="s">
        <v>9</v>
      </c>
      <c r="I308">
        <f t="shared" si="90"/>
        <v>2013</v>
      </c>
      <c r="J308" s="20">
        <f t="shared" si="91"/>
        <v>2013.5833333333333</v>
      </c>
      <c r="K308" s="79">
        <v>4659.8999999999996</v>
      </c>
      <c r="L308" s="79">
        <f t="shared" si="92"/>
        <v>4659.8999999999996</v>
      </c>
      <c r="M308" s="79">
        <f t="shared" si="93"/>
        <v>38.832499999999996</v>
      </c>
      <c r="N308" s="79">
        <f t="shared" si="94"/>
        <v>465.98999999999995</v>
      </c>
      <c r="O308" s="79">
        <f t="shared" si="95"/>
        <v>0</v>
      </c>
      <c r="P308" s="79">
        <f t="shared" si="96"/>
        <v>4659.8999999999996</v>
      </c>
      <c r="Q308" s="79">
        <f t="shared" si="97"/>
        <v>4659.8999999999996</v>
      </c>
      <c r="R308" s="79">
        <f t="shared" si="98"/>
        <v>0</v>
      </c>
    </row>
    <row r="309" spans="2:18">
      <c r="B309" s="50">
        <v>2</v>
      </c>
      <c r="C309" t="s">
        <v>171</v>
      </c>
      <c r="D309">
        <v>2003</v>
      </c>
      <c r="E309">
        <v>8</v>
      </c>
      <c r="F309">
        <v>0</v>
      </c>
      <c r="G309" t="s">
        <v>78</v>
      </c>
      <c r="H309" s="22" t="s">
        <v>9</v>
      </c>
      <c r="I309">
        <f t="shared" si="90"/>
        <v>2013</v>
      </c>
      <c r="J309" s="20">
        <f t="shared" si="91"/>
        <v>2013.6666666666667</v>
      </c>
      <c r="K309" s="79">
        <v>7501.76</v>
      </c>
      <c r="L309" s="79">
        <f t="shared" si="92"/>
        <v>7501.76</v>
      </c>
      <c r="M309" s="79">
        <f t="shared" si="93"/>
        <v>62.51466666666667</v>
      </c>
      <c r="N309" s="79">
        <f t="shared" si="94"/>
        <v>750.17600000000004</v>
      </c>
      <c r="O309" s="79">
        <f t="shared" si="95"/>
        <v>0</v>
      </c>
      <c r="P309" s="79">
        <f t="shared" si="96"/>
        <v>7501.76</v>
      </c>
      <c r="Q309" s="79">
        <f t="shared" si="97"/>
        <v>7501.76</v>
      </c>
      <c r="R309" s="79">
        <f t="shared" si="98"/>
        <v>0</v>
      </c>
    </row>
    <row r="310" spans="2:18">
      <c r="B310" s="50">
        <v>1</v>
      </c>
      <c r="C310" t="s">
        <v>171</v>
      </c>
      <c r="D310">
        <v>2003</v>
      </c>
      <c r="E310">
        <v>8</v>
      </c>
      <c r="F310">
        <v>0</v>
      </c>
      <c r="G310" t="s">
        <v>78</v>
      </c>
      <c r="H310" s="22" t="s">
        <v>9</v>
      </c>
      <c r="I310">
        <f t="shared" ref="I310:I336" si="99">D310+H310</f>
        <v>2013</v>
      </c>
      <c r="J310" s="20">
        <f t="shared" si="91"/>
        <v>2013.6666666666667</v>
      </c>
      <c r="K310" s="79">
        <v>4003.84</v>
      </c>
      <c r="L310" s="79">
        <f t="shared" si="92"/>
        <v>4003.84</v>
      </c>
      <c r="M310" s="79">
        <f t="shared" si="93"/>
        <v>33.365333333333332</v>
      </c>
      <c r="N310" s="79">
        <f t="shared" si="94"/>
        <v>400.38400000000001</v>
      </c>
      <c r="O310" s="79">
        <f t="shared" si="95"/>
        <v>0</v>
      </c>
      <c r="P310" s="79">
        <f t="shared" si="96"/>
        <v>4003.84</v>
      </c>
      <c r="Q310" s="79">
        <f t="shared" si="97"/>
        <v>4003.84</v>
      </c>
      <c r="R310" s="79">
        <f t="shared" si="98"/>
        <v>0</v>
      </c>
    </row>
    <row r="311" spans="2:18">
      <c r="B311" s="50">
        <v>1</v>
      </c>
      <c r="C311" t="s">
        <v>171</v>
      </c>
      <c r="D311">
        <v>2003</v>
      </c>
      <c r="E311">
        <v>9</v>
      </c>
      <c r="F311">
        <v>0</v>
      </c>
      <c r="G311" t="s">
        <v>78</v>
      </c>
      <c r="H311" s="22" t="s">
        <v>9</v>
      </c>
      <c r="I311">
        <f t="shared" si="99"/>
        <v>2013</v>
      </c>
      <c r="J311" s="20">
        <f t="shared" si="91"/>
        <v>2013.75</v>
      </c>
      <c r="K311" s="79">
        <v>4003.84</v>
      </c>
      <c r="L311" s="79">
        <f t="shared" si="92"/>
        <v>4003.84</v>
      </c>
      <c r="M311" s="79">
        <f t="shared" si="93"/>
        <v>33.365333333333332</v>
      </c>
      <c r="N311" s="79">
        <f t="shared" si="94"/>
        <v>400.38400000000001</v>
      </c>
      <c r="O311" s="79">
        <f t="shared" si="95"/>
        <v>0</v>
      </c>
      <c r="P311" s="79">
        <f t="shared" si="96"/>
        <v>4003.84</v>
      </c>
      <c r="Q311" s="79">
        <f t="shared" si="97"/>
        <v>4003.84</v>
      </c>
      <c r="R311" s="79">
        <f t="shared" si="98"/>
        <v>0</v>
      </c>
    </row>
    <row r="312" spans="2:18">
      <c r="B312" s="50">
        <v>2</v>
      </c>
      <c r="C312" t="s">
        <v>172</v>
      </c>
      <c r="D312">
        <v>2003</v>
      </c>
      <c r="E312">
        <v>9</v>
      </c>
      <c r="F312">
        <v>0</v>
      </c>
      <c r="G312" t="s">
        <v>78</v>
      </c>
      <c r="H312" s="22" t="s">
        <v>9</v>
      </c>
      <c r="I312">
        <f t="shared" si="99"/>
        <v>2013</v>
      </c>
      <c r="J312" s="20">
        <f t="shared" si="91"/>
        <v>2013.75</v>
      </c>
      <c r="K312" s="79">
        <v>9324.16</v>
      </c>
      <c r="L312" s="79">
        <f t="shared" si="92"/>
        <v>9324.16</v>
      </c>
      <c r="M312" s="79">
        <f t="shared" si="93"/>
        <v>77.701333333333324</v>
      </c>
      <c r="N312" s="79">
        <f t="shared" si="94"/>
        <v>932.41599999999994</v>
      </c>
      <c r="O312" s="79">
        <f t="shared" si="95"/>
        <v>0</v>
      </c>
      <c r="P312" s="79">
        <f t="shared" si="96"/>
        <v>9324.16</v>
      </c>
      <c r="Q312" s="79">
        <f t="shared" si="97"/>
        <v>9324.16</v>
      </c>
      <c r="R312" s="79">
        <f t="shared" si="98"/>
        <v>0</v>
      </c>
    </row>
    <row r="313" spans="2:18">
      <c r="B313" s="50">
        <v>4</v>
      </c>
      <c r="C313" t="s">
        <v>196</v>
      </c>
      <c r="D313">
        <v>2003</v>
      </c>
      <c r="E313">
        <v>11</v>
      </c>
      <c r="F313">
        <v>0</v>
      </c>
      <c r="G313" t="s">
        <v>78</v>
      </c>
      <c r="H313" s="22" t="s">
        <v>9</v>
      </c>
      <c r="I313">
        <f t="shared" si="99"/>
        <v>2013</v>
      </c>
      <c r="J313" s="20">
        <f t="shared" si="91"/>
        <v>2013.9166666666667</v>
      </c>
      <c r="K313" s="79">
        <v>10928.2</v>
      </c>
      <c r="L313" s="79">
        <f t="shared" si="92"/>
        <v>10928.2</v>
      </c>
      <c r="M313" s="79">
        <f t="shared" si="93"/>
        <v>91.068333333333342</v>
      </c>
      <c r="N313" s="79">
        <f t="shared" si="94"/>
        <v>1092.8200000000002</v>
      </c>
      <c r="O313" s="79">
        <f t="shared" si="95"/>
        <v>0</v>
      </c>
      <c r="P313" s="79">
        <f t="shared" si="96"/>
        <v>10928.2</v>
      </c>
      <c r="Q313" s="79">
        <f t="shared" si="97"/>
        <v>10928.2</v>
      </c>
      <c r="R313" s="79">
        <f t="shared" si="98"/>
        <v>0</v>
      </c>
    </row>
    <row r="314" spans="2:18">
      <c r="B314" s="50">
        <v>4</v>
      </c>
      <c r="C314" t="s">
        <v>171</v>
      </c>
      <c r="D314">
        <v>2004</v>
      </c>
      <c r="E314">
        <v>2</v>
      </c>
      <c r="F314">
        <v>0</v>
      </c>
      <c r="G314" t="s">
        <v>78</v>
      </c>
      <c r="H314" s="22" t="s">
        <v>9</v>
      </c>
      <c r="I314">
        <f t="shared" si="99"/>
        <v>2014</v>
      </c>
      <c r="J314" s="20">
        <f t="shared" si="91"/>
        <v>2014.1666666666667</v>
      </c>
      <c r="K314" s="79">
        <v>17538.560000000001</v>
      </c>
      <c r="L314" s="79">
        <f t="shared" si="92"/>
        <v>17538.560000000001</v>
      </c>
      <c r="M314" s="79">
        <f t="shared" si="93"/>
        <v>146.15466666666669</v>
      </c>
      <c r="N314" s="79">
        <f t="shared" si="94"/>
        <v>1753.8560000000002</v>
      </c>
      <c r="O314" s="79">
        <f t="shared" si="95"/>
        <v>0</v>
      </c>
      <c r="P314" s="79">
        <f t="shared" si="96"/>
        <v>17538.560000000001</v>
      </c>
      <c r="Q314" s="79">
        <f t="shared" si="97"/>
        <v>17538.560000000001</v>
      </c>
      <c r="R314" s="79">
        <f t="shared" si="98"/>
        <v>0</v>
      </c>
    </row>
    <row r="315" spans="2:18">
      <c r="B315" s="50">
        <v>2</v>
      </c>
      <c r="C315" t="s">
        <v>171</v>
      </c>
      <c r="D315">
        <v>2004</v>
      </c>
      <c r="E315">
        <v>3</v>
      </c>
      <c r="F315">
        <v>0</v>
      </c>
      <c r="G315" t="s">
        <v>78</v>
      </c>
      <c r="H315" s="22" t="s">
        <v>9</v>
      </c>
      <c r="I315">
        <f t="shared" si="99"/>
        <v>2014</v>
      </c>
      <c r="J315" s="20">
        <f t="shared" si="91"/>
        <v>2014.25</v>
      </c>
      <c r="K315" s="79">
        <v>8769.2800000000007</v>
      </c>
      <c r="L315" s="79">
        <f t="shared" si="92"/>
        <v>8769.2800000000007</v>
      </c>
      <c r="M315" s="79">
        <f t="shared" si="93"/>
        <v>73.077333333333343</v>
      </c>
      <c r="N315" s="79">
        <f t="shared" si="94"/>
        <v>876.92800000000011</v>
      </c>
      <c r="O315" s="79">
        <f t="shared" si="95"/>
        <v>0</v>
      </c>
      <c r="P315" s="79">
        <f t="shared" si="96"/>
        <v>8769.2800000000007</v>
      </c>
      <c r="Q315" s="79">
        <f t="shared" si="97"/>
        <v>8769.2800000000007</v>
      </c>
      <c r="R315" s="79">
        <f t="shared" si="98"/>
        <v>0</v>
      </c>
    </row>
    <row r="316" spans="2:18">
      <c r="B316" s="50">
        <v>3</v>
      </c>
      <c r="C316" t="s">
        <v>172</v>
      </c>
      <c r="D316">
        <v>2004</v>
      </c>
      <c r="E316">
        <v>3</v>
      </c>
      <c r="F316">
        <v>0</v>
      </c>
      <c r="G316" t="s">
        <v>78</v>
      </c>
      <c r="H316" s="22" t="s">
        <v>9</v>
      </c>
      <c r="I316">
        <f t="shared" si="99"/>
        <v>2014</v>
      </c>
      <c r="J316" s="20">
        <f t="shared" si="91"/>
        <v>2014.25</v>
      </c>
      <c r="K316" s="79">
        <v>15063.36</v>
      </c>
      <c r="L316" s="79">
        <f t="shared" si="92"/>
        <v>15063.36</v>
      </c>
      <c r="M316" s="79">
        <f t="shared" si="93"/>
        <v>125.52800000000001</v>
      </c>
      <c r="N316" s="79">
        <f t="shared" si="94"/>
        <v>1506.336</v>
      </c>
      <c r="O316" s="79">
        <f t="shared" si="95"/>
        <v>0</v>
      </c>
      <c r="P316" s="79">
        <f t="shared" si="96"/>
        <v>15063.36</v>
      </c>
      <c r="Q316" s="79">
        <f t="shared" si="97"/>
        <v>15063.36</v>
      </c>
      <c r="R316" s="79">
        <f t="shared" si="98"/>
        <v>0</v>
      </c>
    </row>
    <row r="317" spans="2:18">
      <c r="B317" s="50">
        <v>3</v>
      </c>
      <c r="C317" t="s">
        <v>172</v>
      </c>
      <c r="D317">
        <v>2004</v>
      </c>
      <c r="E317">
        <v>3</v>
      </c>
      <c r="F317">
        <v>0</v>
      </c>
      <c r="G317" t="s">
        <v>78</v>
      </c>
      <c r="H317" s="22" t="s">
        <v>9</v>
      </c>
      <c r="I317">
        <f t="shared" si="99"/>
        <v>2014</v>
      </c>
      <c r="J317" s="20">
        <f t="shared" si="91"/>
        <v>2014.25</v>
      </c>
      <c r="K317" s="79">
        <v>16271.04</v>
      </c>
      <c r="L317" s="79">
        <f t="shared" si="92"/>
        <v>16271.04</v>
      </c>
      <c r="M317" s="79">
        <f t="shared" si="93"/>
        <v>135.59200000000001</v>
      </c>
      <c r="N317" s="79">
        <f t="shared" si="94"/>
        <v>1627.1040000000003</v>
      </c>
      <c r="O317" s="79">
        <f t="shared" si="95"/>
        <v>0</v>
      </c>
      <c r="P317" s="79">
        <f t="shared" si="96"/>
        <v>16271.04</v>
      </c>
      <c r="Q317" s="79">
        <f t="shared" si="97"/>
        <v>16271.04</v>
      </c>
      <c r="R317" s="79">
        <f t="shared" si="98"/>
        <v>0</v>
      </c>
    </row>
    <row r="318" spans="2:18">
      <c r="B318" s="50">
        <v>4</v>
      </c>
      <c r="C318" t="s">
        <v>171</v>
      </c>
      <c r="D318">
        <v>2004</v>
      </c>
      <c r="E318">
        <v>4</v>
      </c>
      <c r="F318">
        <v>0</v>
      </c>
      <c r="G318" t="s">
        <v>78</v>
      </c>
      <c r="H318" s="22" t="s">
        <v>9</v>
      </c>
      <c r="I318">
        <f t="shared" si="99"/>
        <v>2014</v>
      </c>
      <c r="J318" s="20">
        <f t="shared" si="91"/>
        <v>2014.3333333333333</v>
      </c>
      <c r="K318" s="79">
        <v>20389.12</v>
      </c>
      <c r="L318" s="79">
        <f t="shared" si="92"/>
        <v>20389.12</v>
      </c>
      <c r="M318" s="79">
        <f t="shared" si="93"/>
        <v>169.90933333333331</v>
      </c>
      <c r="N318" s="79">
        <f t="shared" si="94"/>
        <v>2038.9119999999998</v>
      </c>
      <c r="O318" s="79">
        <f t="shared" si="95"/>
        <v>0</v>
      </c>
      <c r="P318" s="79">
        <f t="shared" si="96"/>
        <v>20389.12</v>
      </c>
      <c r="Q318" s="79">
        <f t="shared" si="97"/>
        <v>20389.12</v>
      </c>
      <c r="R318" s="79">
        <f t="shared" si="98"/>
        <v>0</v>
      </c>
    </row>
    <row r="319" spans="2:18">
      <c r="B319" s="50">
        <v>3</v>
      </c>
      <c r="C319" t="s">
        <v>171</v>
      </c>
      <c r="D319">
        <v>2004</v>
      </c>
      <c r="E319">
        <v>5</v>
      </c>
      <c r="F319">
        <v>0</v>
      </c>
      <c r="G319" t="s">
        <v>78</v>
      </c>
      <c r="H319" s="22" t="s">
        <v>9</v>
      </c>
      <c r="I319">
        <f t="shared" si="99"/>
        <v>2014</v>
      </c>
      <c r="J319" s="20">
        <f t="shared" si="91"/>
        <v>2014.4166666666667</v>
      </c>
      <c r="K319" s="79">
        <v>15993.6</v>
      </c>
      <c r="L319" s="79">
        <f t="shared" si="92"/>
        <v>15993.6</v>
      </c>
      <c r="M319" s="79">
        <f t="shared" si="93"/>
        <v>133.28</v>
      </c>
      <c r="N319" s="79">
        <f t="shared" si="94"/>
        <v>1599.3600000000001</v>
      </c>
      <c r="O319" s="79">
        <f t="shared" si="95"/>
        <v>0</v>
      </c>
      <c r="P319" s="79">
        <f t="shared" si="96"/>
        <v>15993.6</v>
      </c>
      <c r="Q319" s="79">
        <f t="shared" si="97"/>
        <v>15993.6</v>
      </c>
      <c r="R319" s="79">
        <f t="shared" si="98"/>
        <v>0</v>
      </c>
    </row>
    <row r="320" spans="2:18">
      <c r="B320" s="50">
        <v>2</v>
      </c>
      <c r="C320" t="s">
        <v>171</v>
      </c>
      <c r="D320">
        <v>2004</v>
      </c>
      <c r="E320">
        <v>5</v>
      </c>
      <c r="F320">
        <v>0</v>
      </c>
      <c r="G320" t="s">
        <v>78</v>
      </c>
      <c r="H320" s="22" t="s">
        <v>9</v>
      </c>
      <c r="I320">
        <f t="shared" si="99"/>
        <v>2014</v>
      </c>
      <c r="J320" s="20">
        <f t="shared" si="91"/>
        <v>2014.4166666666667</v>
      </c>
      <c r="K320" s="79">
        <v>11097.6</v>
      </c>
      <c r="L320" s="79">
        <f t="shared" si="92"/>
        <v>11097.6</v>
      </c>
      <c r="M320" s="79">
        <f t="shared" si="93"/>
        <v>92.48</v>
      </c>
      <c r="N320" s="79">
        <f t="shared" si="94"/>
        <v>1109.76</v>
      </c>
      <c r="O320" s="79">
        <f t="shared" si="95"/>
        <v>0</v>
      </c>
      <c r="P320" s="79">
        <f t="shared" si="96"/>
        <v>11097.6</v>
      </c>
      <c r="Q320" s="79">
        <f t="shared" si="97"/>
        <v>11097.6</v>
      </c>
      <c r="R320" s="79">
        <f t="shared" si="98"/>
        <v>0</v>
      </c>
    </row>
    <row r="321" spans="2:18">
      <c r="B321" s="50">
        <v>2</v>
      </c>
      <c r="C321" t="s">
        <v>171</v>
      </c>
      <c r="D321">
        <v>2004</v>
      </c>
      <c r="E321">
        <v>12</v>
      </c>
      <c r="F321">
        <v>0</v>
      </c>
      <c r="G321" t="s">
        <v>78</v>
      </c>
      <c r="H321" s="22" t="s">
        <v>9</v>
      </c>
      <c r="I321">
        <f t="shared" si="99"/>
        <v>2014</v>
      </c>
      <c r="J321" s="20">
        <f t="shared" si="91"/>
        <v>2015</v>
      </c>
      <c r="K321" s="79">
        <v>11696</v>
      </c>
      <c r="L321" s="79">
        <f t="shared" si="92"/>
        <v>11696</v>
      </c>
      <c r="M321" s="79">
        <f t="shared" si="93"/>
        <v>97.466666666666654</v>
      </c>
      <c r="N321" s="79">
        <f t="shared" si="94"/>
        <v>1169.5999999999999</v>
      </c>
      <c r="O321" s="79">
        <f t="shared" si="95"/>
        <v>0</v>
      </c>
      <c r="P321" s="79">
        <f t="shared" si="96"/>
        <v>11696</v>
      </c>
      <c r="Q321" s="79">
        <f t="shared" si="97"/>
        <v>11696</v>
      </c>
      <c r="R321" s="79">
        <f t="shared" si="98"/>
        <v>0</v>
      </c>
    </row>
    <row r="322" spans="2:18">
      <c r="B322" s="50">
        <v>3</v>
      </c>
      <c r="C322" t="s">
        <v>171</v>
      </c>
      <c r="D322">
        <v>2005</v>
      </c>
      <c r="E322">
        <v>3</v>
      </c>
      <c r="F322">
        <v>0</v>
      </c>
      <c r="G322" t="s">
        <v>78</v>
      </c>
      <c r="H322" s="22" t="s">
        <v>9</v>
      </c>
      <c r="I322">
        <f t="shared" si="99"/>
        <v>2015</v>
      </c>
      <c r="J322" s="20">
        <f t="shared" si="91"/>
        <v>2015.25</v>
      </c>
      <c r="K322" s="79">
        <v>16287.36</v>
      </c>
      <c r="L322" s="79">
        <f t="shared" si="92"/>
        <v>16287.36</v>
      </c>
      <c r="M322" s="79">
        <f t="shared" si="93"/>
        <v>135.72800000000001</v>
      </c>
      <c r="N322" s="79">
        <f t="shared" si="94"/>
        <v>1628.7360000000001</v>
      </c>
      <c r="O322" s="79">
        <f t="shared" si="95"/>
        <v>0</v>
      </c>
      <c r="P322" s="79">
        <f t="shared" si="96"/>
        <v>16287.36</v>
      </c>
      <c r="Q322" s="79">
        <f t="shared" si="97"/>
        <v>16287.36</v>
      </c>
      <c r="R322" s="79">
        <f t="shared" si="98"/>
        <v>0</v>
      </c>
    </row>
    <row r="323" spans="2:18">
      <c r="B323" s="50">
        <v>3</v>
      </c>
      <c r="C323" t="s">
        <v>171</v>
      </c>
      <c r="D323">
        <v>2005</v>
      </c>
      <c r="E323">
        <v>3</v>
      </c>
      <c r="F323">
        <v>0</v>
      </c>
      <c r="G323" t="s">
        <v>78</v>
      </c>
      <c r="H323" s="22" t="s">
        <v>9</v>
      </c>
      <c r="I323">
        <f t="shared" si="99"/>
        <v>2015</v>
      </c>
      <c r="J323" s="20">
        <f t="shared" si="91"/>
        <v>2015.25</v>
      </c>
      <c r="K323" s="79">
        <v>16287.36</v>
      </c>
      <c r="L323" s="79">
        <f t="shared" si="92"/>
        <v>16287.36</v>
      </c>
      <c r="M323" s="79">
        <f t="shared" si="93"/>
        <v>135.72800000000001</v>
      </c>
      <c r="N323" s="79">
        <f t="shared" si="94"/>
        <v>1628.7360000000001</v>
      </c>
      <c r="O323" s="79">
        <f t="shared" si="95"/>
        <v>0</v>
      </c>
      <c r="P323" s="79">
        <f t="shared" si="96"/>
        <v>16287.36</v>
      </c>
      <c r="Q323" s="79">
        <f t="shared" si="97"/>
        <v>16287.36</v>
      </c>
      <c r="R323" s="79">
        <f t="shared" si="98"/>
        <v>0</v>
      </c>
    </row>
    <row r="324" spans="2:18">
      <c r="B324" s="50">
        <v>1</v>
      </c>
      <c r="C324" t="s">
        <v>197</v>
      </c>
      <c r="D324">
        <v>2005</v>
      </c>
      <c r="E324">
        <v>4</v>
      </c>
      <c r="F324">
        <v>0</v>
      </c>
      <c r="G324" t="s">
        <v>78</v>
      </c>
      <c r="H324" s="22" t="s">
        <v>9</v>
      </c>
      <c r="I324">
        <f t="shared" si="99"/>
        <v>2015</v>
      </c>
      <c r="J324" s="20">
        <f t="shared" si="91"/>
        <v>2015.3333333333333</v>
      </c>
      <c r="K324" s="79">
        <v>4841.6000000000004</v>
      </c>
      <c r="L324" s="79">
        <f t="shared" si="92"/>
        <v>4841.6000000000004</v>
      </c>
      <c r="M324" s="79">
        <f t="shared" si="93"/>
        <v>40.346666666666671</v>
      </c>
      <c r="N324" s="79">
        <f t="shared" si="94"/>
        <v>484.16000000000008</v>
      </c>
      <c r="O324" s="79">
        <f t="shared" si="95"/>
        <v>0</v>
      </c>
      <c r="P324" s="79">
        <f t="shared" si="96"/>
        <v>4841.6000000000004</v>
      </c>
      <c r="Q324" s="79">
        <f t="shared" si="97"/>
        <v>4841.6000000000004</v>
      </c>
      <c r="R324" s="79">
        <f t="shared" si="98"/>
        <v>0</v>
      </c>
    </row>
    <row r="325" spans="2:18">
      <c r="B325" s="50">
        <v>11</v>
      </c>
      <c r="C325" t="s">
        <v>171</v>
      </c>
      <c r="D325">
        <v>2005</v>
      </c>
      <c r="E325">
        <v>4</v>
      </c>
      <c r="F325">
        <v>0</v>
      </c>
      <c r="G325" t="s">
        <v>78</v>
      </c>
      <c r="H325" s="22" t="s">
        <v>9</v>
      </c>
      <c r="I325">
        <f t="shared" si="99"/>
        <v>2015</v>
      </c>
      <c r="J325" s="20">
        <f t="shared" si="91"/>
        <v>2015.3333333333333</v>
      </c>
      <c r="K325" s="79">
        <v>54487.040000000001</v>
      </c>
      <c r="L325" s="79">
        <f t="shared" si="92"/>
        <v>54487.040000000001</v>
      </c>
      <c r="M325" s="79">
        <f t="shared" si="93"/>
        <v>454.05866666666662</v>
      </c>
      <c r="N325" s="79">
        <f t="shared" si="94"/>
        <v>5448.7039999999997</v>
      </c>
      <c r="O325" s="79">
        <f t="shared" si="95"/>
        <v>0</v>
      </c>
      <c r="P325" s="79">
        <f t="shared" si="96"/>
        <v>54487.040000000001</v>
      </c>
      <c r="Q325" s="79">
        <f t="shared" si="97"/>
        <v>54487.040000000001</v>
      </c>
      <c r="R325" s="79">
        <f t="shared" si="98"/>
        <v>0</v>
      </c>
    </row>
    <row r="326" spans="2:18">
      <c r="B326" s="50">
        <v>4</v>
      </c>
      <c r="C326" t="s">
        <v>171</v>
      </c>
      <c r="D326">
        <v>2005</v>
      </c>
      <c r="E326">
        <v>4</v>
      </c>
      <c r="F326">
        <v>0</v>
      </c>
      <c r="G326" t="s">
        <v>78</v>
      </c>
      <c r="H326" s="22" t="s">
        <v>9</v>
      </c>
      <c r="I326">
        <f t="shared" si="99"/>
        <v>2015</v>
      </c>
      <c r="J326" s="20">
        <f t="shared" si="91"/>
        <v>2015.3333333333333</v>
      </c>
      <c r="K326" s="79">
        <v>17560.32</v>
      </c>
      <c r="L326" s="79">
        <f t="shared" si="92"/>
        <v>17560.32</v>
      </c>
      <c r="M326" s="79">
        <f t="shared" si="93"/>
        <v>146.33599999999998</v>
      </c>
      <c r="N326" s="79">
        <f t="shared" si="94"/>
        <v>1756.0319999999997</v>
      </c>
      <c r="O326" s="79">
        <f t="shared" si="95"/>
        <v>0</v>
      </c>
      <c r="P326" s="79">
        <f t="shared" si="96"/>
        <v>17560.32</v>
      </c>
      <c r="Q326" s="79">
        <f t="shared" si="97"/>
        <v>17560.32</v>
      </c>
      <c r="R326" s="79">
        <f t="shared" si="98"/>
        <v>0</v>
      </c>
    </row>
    <row r="327" spans="2:18">
      <c r="B327" s="50">
        <v>4</v>
      </c>
      <c r="C327" t="s">
        <v>171</v>
      </c>
      <c r="D327">
        <v>2005</v>
      </c>
      <c r="E327">
        <v>5</v>
      </c>
      <c r="F327">
        <v>0</v>
      </c>
      <c r="G327" t="s">
        <v>78</v>
      </c>
      <c r="H327" s="22" t="s">
        <v>9</v>
      </c>
      <c r="I327">
        <f t="shared" si="99"/>
        <v>2015</v>
      </c>
      <c r="J327" s="20">
        <f t="shared" si="91"/>
        <v>2015.4166666666667</v>
      </c>
      <c r="K327" s="79">
        <v>17560.32</v>
      </c>
      <c r="L327" s="79">
        <f t="shared" si="92"/>
        <v>17560.32</v>
      </c>
      <c r="M327" s="79">
        <f t="shared" si="93"/>
        <v>146.33599999999998</v>
      </c>
      <c r="N327" s="79">
        <f t="shared" si="94"/>
        <v>1756.0319999999997</v>
      </c>
      <c r="O327" s="79">
        <f t="shared" si="95"/>
        <v>0</v>
      </c>
      <c r="P327" s="79">
        <f t="shared" si="96"/>
        <v>17560.32</v>
      </c>
      <c r="Q327" s="79">
        <f t="shared" si="97"/>
        <v>17560.32</v>
      </c>
      <c r="R327" s="79">
        <f t="shared" si="98"/>
        <v>0</v>
      </c>
    </row>
    <row r="328" spans="2:18">
      <c r="B328" s="50">
        <v>4</v>
      </c>
      <c r="C328" t="s">
        <v>172</v>
      </c>
      <c r="D328">
        <v>2005</v>
      </c>
      <c r="E328">
        <v>6</v>
      </c>
      <c r="F328">
        <v>0</v>
      </c>
      <c r="G328" t="s">
        <v>78</v>
      </c>
      <c r="H328" s="22" t="s">
        <v>9</v>
      </c>
      <c r="I328">
        <f t="shared" si="99"/>
        <v>2015</v>
      </c>
      <c r="J328" s="20">
        <f t="shared" si="91"/>
        <v>2015.5</v>
      </c>
      <c r="K328" s="79">
        <v>19045.439999999999</v>
      </c>
      <c r="L328" s="79">
        <f t="shared" si="92"/>
        <v>19045.439999999999</v>
      </c>
      <c r="M328" s="79">
        <f t="shared" si="93"/>
        <v>158.71199999999999</v>
      </c>
      <c r="N328" s="79">
        <f t="shared" si="94"/>
        <v>1904.5439999999999</v>
      </c>
      <c r="O328" s="79">
        <f t="shared" si="95"/>
        <v>0</v>
      </c>
      <c r="P328" s="79">
        <f t="shared" si="96"/>
        <v>19045.439999999999</v>
      </c>
      <c r="Q328" s="79">
        <f t="shared" si="97"/>
        <v>19045.439999999999</v>
      </c>
      <c r="R328" s="79">
        <f t="shared" si="98"/>
        <v>0</v>
      </c>
    </row>
    <row r="329" spans="2:18">
      <c r="B329" s="50">
        <v>9</v>
      </c>
      <c r="C329" t="s">
        <v>171</v>
      </c>
      <c r="D329">
        <v>2006</v>
      </c>
      <c r="E329">
        <v>3</v>
      </c>
      <c r="F329">
        <v>0</v>
      </c>
      <c r="G329" t="s">
        <v>78</v>
      </c>
      <c r="H329" s="22" t="s">
        <v>9</v>
      </c>
      <c r="I329">
        <f t="shared" si="99"/>
        <v>2016</v>
      </c>
      <c r="J329" s="20">
        <f t="shared" si="91"/>
        <v>2016.25</v>
      </c>
      <c r="K329" s="79">
        <v>40974.080000000002</v>
      </c>
      <c r="L329" s="79">
        <f t="shared" si="92"/>
        <v>40974.080000000002</v>
      </c>
      <c r="M329" s="79">
        <f t="shared" si="93"/>
        <v>341.45066666666668</v>
      </c>
      <c r="N329" s="79">
        <f t="shared" si="94"/>
        <v>4097.4080000000004</v>
      </c>
      <c r="O329" s="79">
        <f t="shared" si="95"/>
        <v>0</v>
      </c>
      <c r="P329" s="79">
        <f t="shared" si="96"/>
        <v>40974.080000000002</v>
      </c>
      <c r="Q329" s="79">
        <f t="shared" si="97"/>
        <v>40974.080000000002</v>
      </c>
      <c r="R329" s="79">
        <f t="shared" si="98"/>
        <v>0</v>
      </c>
    </row>
    <row r="330" spans="2:18">
      <c r="B330" s="50">
        <v>4</v>
      </c>
      <c r="C330" t="s">
        <v>171</v>
      </c>
      <c r="D330">
        <v>2006</v>
      </c>
      <c r="E330">
        <v>3</v>
      </c>
      <c r="F330">
        <v>0</v>
      </c>
      <c r="G330" t="s">
        <v>78</v>
      </c>
      <c r="H330" s="22" t="s">
        <v>9</v>
      </c>
      <c r="I330">
        <f t="shared" si="99"/>
        <v>2016</v>
      </c>
      <c r="J330" s="20">
        <f t="shared" si="91"/>
        <v>2016.25</v>
      </c>
      <c r="K330" s="79">
        <v>17560.32</v>
      </c>
      <c r="L330" s="79">
        <f t="shared" si="92"/>
        <v>17560.32</v>
      </c>
      <c r="M330" s="79">
        <f t="shared" si="93"/>
        <v>146.33599999999998</v>
      </c>
      <c r="N330" s="79">
        <f t="shared" si="94"/>
        <v>1756.0319999999997</v>
      </c>
      <c r="O330" s="79">
        <f t="shared" si="95"/>
        <v>0</v>
      </c>
      <c r="P330" s="79">
        <f t="shared" si="96"/>
        <v>17560.32</v>
      </c>
      <c r="Q330" s="79">
        <f t="shared" si="97"/>
        <v>17560.32</v>
      </c>
      <c r="R330" s="79">
        <f t="shared" si="98"/>
        <v>0</v>
      </c>
    </row>
    <row r="331" spans="2:18">
      <c r="B331" s="50">
        <v>10</v>
      </c>
      <c r="C331" t="s">
        <v>172</v>
      </c>
      <c r="D331">
        <v>2006</v>
      </c>
      <c r="E331">
        <v>3</v>
      </c>
      <c r="F331">
        <v>0</v>
      </c>
      <c r="G331" t="s">
        <v>78</v>
      </c>
      <c r="H331" s="22" t="s">
        <v>9</v>
      </c>
      <c r="I331">
        <f t="shared" si="99"/>
        <v>2016</v>
      </c>
      <c r="J331" s="20">
        <f t="shared" si="91"/>
        <v>2016.25</v>
      </c>
      <c r="K331" s="79">
        <v>52119.56</v>
      </c>
      <c r="L331" s="79">
        <f t="shared" si="92"/>
        <v>52119.56</v>
      </c>
      <c r="M331" s="79">
        <f t="shared" si="93"/>
        <v>434.3296666666667</v>
      </c>
      <c r="N331" s="79">
        <f t="shared" si="94"/>
        <v>5211.9560000000001</v>
      </c>
      <c r="O331" s="79">
        <f t="shared" si="95"/>
        <v>0</v>
      </c>
      <c r="P331" s="79">
        <f t="shared" si="96"/>
        <v>52119.56</v>
      </c>
      <c r="Q331" s="79">
        <f t="shared" si="97"/>
        <v>52119.56</v>
      </c>
      <c r="R331" s="79">
        <f t="shared" si="98"/>
        <v>0</v>
      </c>
    </row>
    <row r="332" spans="2:18">
      <c r="B332" s="50">
        <v>6</v>
      </c>
      <c r="C332" t="s">
        <v>170</v>
      </c>
      <c r="D332">
        <v>2006</v>
      </c>
      <c r="E332">
        <v>7</v>
      </c>
      <c r="F332">
        <v>0</v>
      </c>
      <c r="G332" t="s">
        <v>78</v>
      </c>
      <c r="H332" s="22" t="s">
        <v>9</v>
      </c>
      <c r="I332">
        <f t="shared" si="99"/>
        <v>2016</v>
      </c>
      <c r="J332" s="20">
        <f t="shared" si="91"/>
        <v>2016.5833333333333</v>
      </c>
      <c r="K332" s="79">
        <v>24898.880000000001</v>
      </c>
      <c r="L332" s="79">
        <f t="shared" si="92"/>
        <v>24898.880000000001</v>
      </c>
      <c r="M332" s="79">
        <f t="shared" si="93"/>
        <v>207.49066666666667</v>
      </c>
      <c r="N332" s="79">
        <f t="shared" si="94"/>
        <v>2489.8879999999999</v>
      </c>
      <c r="O332" s="79">
        <f t="shared" si="95"/>
        <v>0</v>
      </c>
      <c r="P332" s="79">
        <f t="shared" si="96"/>
        <v>24898.880000000001</v>
      </c>
      <c r="Q332" s="79">
        <f t="shared" si="97"/>
        <v>24898.880000000001</v>
      </c>
      <c r="R332" s="79">
        <f t="shared" si="98"/>
        <v>0</v>
      </c>
    </row>
    <row r="333" spans="2:18">
      <c r="B333" s="50">
        <v>4</v>
      </c>
      <c r="C333" t="s">
        <v>171</v>
      </c>
      <c r="D333">
        <v>2006</v>
      </c>
      <c r="E333">
        <v>8</v>
      </c>
      <c r="F333">
        <v>0</v>
      </c>
      <c r="G333" t="s">
        <v>78</v>
      </c>
      <c r="H333" s="22" t="s">
        <v>9</v>
      </c>
      <c r="I333">
        <f t="shared" si="99"/>
        <v>2016</v>
      </c>
      <c r="J333" s="20">
        <f t="shared" si="91"/>
        <v>2016.6666666666667</v>
      </c>
      <c r="K333" s="79">
        <v>17560.32</v>
      </c>
      <c r="L333" s="79">
        <f t="shared" si="92"/>
        <v>17560.32</v>
      </c>
      <c r="M333" s="79">
        <f t="shared" si="93"/>
        <v>146.33599999999998</v>
      </c>
      <c r="N333" s="79">
        <f t="shared" si="94"/>
        <v>1756.0319999999997</v>
      </c>
      <c r="O333" s="79">
        <f t="shared" si="95"/>
        <v>0</v>
      </c>
      <c r="P333" s="79">
        <f t="shared" si="96"/>
        <v>17560.32</v>
      </c>
      <c r="Q333" s="79">
        <f t="shared" si="97"/>
        <v>17560.32</v>
      </c>
      <c r="R333" s="79">
        <f t="shared" si="98"/>
        <v>0</v>
      </c>
    </row>
    <row r="334" spans="2:18">
      <c r="B334" s="50">
        <v>4</v>
      </c>
      <c r="C334" t="s">
        <v>171</v>
      </c>
      <c r="D334">
        <v>2006</v>
      </c>
      <c r="E334">
        <v>8</v>
      </c>
      <c r="F334">
        <v>0</v>
      </c>
      <c r="G334" t="s">
        <v>78</v>
      </c>
      <c r="H334" s="22" t="s">
        <v>9</v>
      </c>
      <c r="I334">
        <f t="shared" si="99"/>
        <v>2016</v>
      </c>
      <c r="J334" s="20">
        <f t="shared" si="91"/>
        <v>2016.6666666666667</v>
      </c>
      <c r="K334" s="79">
        <v>17560.32</v>
      </c>
      <c r="L334" s="79">
        <f t="shared" si="92"/>
        <v>17560.32</v>
      </c>
      <c r="M334" s="79">
        <f t="shared" si="93"/>
        <v>146.33599999999998</v>
      </c>
      <c r="N334" s="79">
        <f t="shared" si="94"/>
        <v>1756.0319999999997</v>
      </c>
      <c r="O334" s="79">
        <f t="shared" si="95"/>
        <v>0</v>
      </c>
      <c r="P334" s="79">
        <f t="shared" si="96"/>
        <v>17560.32</v>
      </c>
      <c r="Q334" s="79">
        <f t="shared" si="97"/>
        <v>17560.32</v>
      </c>
      <c r="R334" s="79">
        <f t="shared" si="98"/>
        <v>0</v>
      </c>
    </row>
    <row r="335" spans="2:18">
      <c r="B335" s="50">
        <v>1</v>
      </c>
      <c r="C335" t="s">
        <v>171</v>
      </c>
      <c r="D335">
        <v>2006</v>
      </c>
      <c r="E335">
        <v>8</v>
      </c>
      <c r="F335">
        <v>0</v>
      </c>
      <c r="G335" t="s">
        <v>78</v>
      </c>
      <c r="H335" s="22" t="s">
        <v>9</v>
      </c>
      <c r="I335">
        <f t="shared" si="99"/>
        <v>2016</v>
      </c>
      <c r="J335" s="20">
        <f t="shared" si="91"/>
        <v>2016.6666666666667</v>
      </c>
      <c r="K335" s="79">
        <v>5853.44</v>
      </c>
      <c r="L335" s="79">
        <f t="shared" si="92"/>
        <v>5853.44</v>
      </c>
      <c r="M335" s="79">
        <f t="shared" si="93"/>
        <v>48.778666666666659</v>
      </c>
      <c r="N335" s="79">
        <f t="shared" si="94"/>
        <v>585.34399999999994</v>
      </c>
      <c r="O335" s="79">
        <f t="shared" si="95"/>
        <v>0</v>
      </c>
      <c r="P335" s="79">
        <f t="shared" si="96"/>
        <v>5853.44</v>
      </c>
      <c r="Q335" s="79">
        <f t="shared" si="97"/>
        <v>5853.44</v>
      </c>
      <c r="R335" s="79">
        <f t="shared" si="98"/>
        <v>0</v>
      </c>
    </row>
    <row r="336" spans="2:18">
      <c r="B336" s="50">
        <v>19</v>
      </c>
      <c r="C336" t="s">
        <v>170</v>
      </c>
      <c r="D336">
        <v>2007</v>
      </c>
      <c r="E336">
        <v>6</v>
      </c>
      <c r="F336">
        <v>0</v>
      </c>
      <c r="G336" t="s">
        <v>78</v>
      </c>
      <c r="H336" s="22" t="s">
        <v>9</v>
      </c>
      <c r="I336">
        <f t="shared" si="99"/>
        <v>2017</v>
      </c>
      <c r="J336" s="20">
        <f t="shared" si="91"/>
        <v>2017.5</v>
      </c>
      <c r="K336" s="79">
        <v>78734.7</v>
      </c>
      <c r="L336" s="79">
        <f t="shared" si="92"/>
        <v>78734.7</v>
      </c>
      <c r="M336" s="79">
        <f t="shared" si="93"/>
        <v>656.12249999999995</v>
      </c>
      <c r="N336" s="79">
        <f t="shared" si="94"/>
        <v>7873.4699999999993</v>
      </c>
      <c r="O336" s="79">
        <f t="shared" si="95"/>
        <v>0</v>
      </c>
      <c r="P336" s="79">
        <f t="shared" si="96"/>
        <v>78734.7</v>
      </c>
      <c r="Q336" s="79">
        <f t="shared" si="97"/>
        <v>78734.7</v>
      </c>
      <c r="R336" s="79">
        <f t="shared" si="98"/>
        <v>0</v>
      </c>
    </row>
    <row r="337" spans="1:18">
      <c r="B337" s="50">
        <v>5</v>
      </c>
      <c r="C337" t="s">
        <v>171</v>
      </c>
      <c r="D337">
        <v>2007</v>
      </c>
      <c r="E337">
        <v>6</v>
      </c>
      <c r="F337">
        <v>0</v>
      </c>
      <c r="G337" t="s">
        <v>78</v>
      </c>
      <c r="H337" s="22" t="s">
        <v>9</v>
      </c>
      <c r="I337">
        <f t="shared" ref="I337:I339" si="100">D337+H337</f>
        <v>2017</v>
      </c>
      <c r="J337" s="20">
        <f t="shared" ref="J337:J339" si="101">+I337+(E337/12)</f>
        <v>2017.5</v>
      </c>
      <c r="K337" s="79">
        <v>23788.12</v>
      </c>
      <c r="L337" s="79">
        <f t="shared" si="92"/>
        <v>23788.12</v>
      </c>
      <c r="M337" s="79">
        <f t="shared" si="93"/>
        <v>198.23433333333332</v>
      </c>
      <c r="N337" s="79">
        <f t="shared" ref="N337:N339" si="102">+M337*12</f>
        <v>2378.8119999999999</v>
      </c>
      <c r="O337" s="79">
        <f t="shared" si="95"/>
        <v>0</v>
      </c>
      <c r="P337" s="79">
        <f t="shared" si="96"/>
        <v>23788.12</v>
      </c>
      <c r="Q337" s="79">
        <f t="shared" si="97"/>
        <v>23788.12</v>
      </c>
      <c r="R337" s="79">
        <f t="shared" si="98"/>
        <v>0</v>
      </c>
    </row>
    <row r="338" spans="1:18">
      <c r="B338" s="50">
        <v>8</v>
      </c>
      <c r="C338" t="s">
        <v>171</v>
      </c>
      <c r="D338">
        <v>2007</v>
      </c>
      <c r="E338">
        <v>7</v>
      </c>
      <c r="F338">
        <v>0</v>
      </c>
      <c r="G338" t="s">
        <v>78</v>
      </c>
      <c r="H338" s="22" t="s">
        <v>9</v>
      </c>
      <c r="I338">
        <f t="shared" si="100"/>
        <v>2017</v>
      </c>
      <c r="J338" s="20">
        <f t="shared" si="101"/>
        <v>2017.5833333333333</v>
      </c>
      <c r="K338" s="79">
        <v>36858.300000000003</v>
      </c>
      <c r="L338" s="79">
        <f t="shared" ref="L338:L339" si="103">K338-K338*F338</f>
        <v>36858.300000000003</v>
      </c>
      <c r="M338" s="79">
        <f t="shared" ref="M338:M339" si="104">L338/H338/12</f>
        <v>307.15250000000003</v>
      </c>
      <c r="N338" s="79">
        <f t="shared" si="102"/>
        <v>3685.8300000000004</v>
      </c>
      <c r="O338" s="79">
        <f t="shared" ref="O338:O339" si="105">+IF(J338&lt;=$L$5,0,IF(I338&gt;$L$4,N338,(M338*E338)))</f>
        <v>0</v>
      </c>
      <c r="P338" s="79">
        <f t="shared" ref="P338:P339" si="106">+IF(O338=0,L338,IF($L$3-D338&lt;1,0,(($L$3-D338)*O338)))</f>
        <v>36858.300000000003</v>
      </c>
      <c r="Q338" s="79">
        <f t="shared" ref="Q338:Q339" si="107">+IF(O338=0,P338,P338+O338)</f>
        <v>36858.300000000003</v>
      </c>
      <c r="R338" s="79">
        <f t="shared" ref="R338:R339" si="108">+K338-Q338</f>
        <v>0</v>
      </c>
    </row>
    <row r="339" spans="1:18">
      <c r="B339" s="50">
        <v>12</v>
      </c>
      <c r="C339" t="s">
        <v>171</v>
      </c>
      <c r="D339">
        <v>2007</v>
      </c>
      <c r="E339">
        <v>9</v>
      </c>
      <c r="F339">
        <v>0</v>
      </c>
      <c r="G339" t="s">
        <v>78</v>
      </c>
      <c r="H339" s="22" t="s">
        <v>9</v>
      </c>
      <c r="I339">
        <f t="shared" si="100"/>
        <v>2017</v>
      </c>
      <c r="J339" s="20">
        <f t="shared" si="101"/>
        <v>2017.75</v>
      </c>
      <c r="K339" s="79">
        <v>59470.3</v>
      </c>
      <c r="L339" s="79">
        <f t="shared" si="103"/>
        <v>59470.3</v>
      </c>
      <c r="M339" s="79">
        <f t="shared" si="104"/>
        <v>495.58583333333337</v>
      </c>
      <c r="N339" s="79">
        <f t="shared" si="102"/>
        <v>5947.0300000000007</v>
      </c>
      <c r="O339" s="79">
        <f t="shared" si="105"/>
        <v>0</v>
      </c>
      <c r="P339" s="79">
        <f t="shared" si="106"/>
        <v>59470.3</v>
      </c>
      <c r="Q339" s="79">
        <f t="shared" si="107"/>
        <v>59470.3</v>
      </c>
      <c r="R339" s="79">
        <f t="shared" si="108"/>
        <v>0</v>
      </c>
    </row>
    <row r="340" spans="1:18">
      <c r="A340" s="119">
        <v>200600</v>
      </c>
      <c r="B340" s="50">
        <v>56</v>
      </c>
      <c r="C340" s="84" t="s">
        <v>751</v>
      </c>
      <c r="D340" s="50">
        <v>2008</v>
      </c>
      <c r="E340" s="50">
        <v>11</v>
      </c>
      <c r="F340" s="50">
        <v>0</v>
      </c>
      <c r="G340" s="84" t="s">
        <v>78</v>
      </c>
      <c r="H340" s="62">
        <v>7</v>
      </c>
      <c r="I340" s="50">
        <f t="shared" ref="I340:I348" si="109">D340+H340</f>
        <v>2015</v>
      </c>
      <c r="J340" s="85">
        <f t="shared" ref="J340:J348" si="110">+I340+(E340/12)</f>
        <v>2015.9166666666667</v>
      </c>
      <c r="K340" s="86">
        <v>72596.160000000003</v>
      </c>
      <c r="L340" s="86">
        <f t="shared" ref="L340" si="111">K340-K340*F340</f>
        <v>72596.160000000003</v>
      </c>
      <c r="M340" s="86">
        <f t="shared" ref="M340" si="112">L340/H340/12</f>
        <v>864.24000000000012</v>
      </c>
      <c r="N340" s="86">
        <f t="shared" ref="N340" si="113">+M340*12</f>
        <v>10370.880000000001</v>
      </c>
      <c r="O340" s="86">
        <f t="shared" ref="O340" si="114">+IF(J340&lt;=$L$5,0,IF(I340&gt;$L$4,N340,(M340*E340)))</f>
        <v>0</v>
      </c>
      <c r="P340" s="86">
        <f t="shared" ref="P340" si="115">+IF(O340=0,L340,IF($L$3-D340&lt;1,0,(($L$3-D340)*O340)))</f>
        <v>72596.160000000003</v>
      </c>
      <c r="Q340" s="86">
        <f t="shared" ref="Q340" si="116">+IF(O340=0,P340,P340+O340)</f>
        <v>72596.160000000003</v>
      </c>
      <c r="R340" s="86">
        <f t="shared" ref="R340" si="117">+K340-Q340</f>
        <v>0</v>
      </c>
    </row>
    <row r="341" spans="1:18">
      <c r="A341" s="119">
        <v>200599</v>
      </c>
      <c r="B341" s="50">
        <v>12</v>
      </c>
      <c r="C341" s="84" t="s">
        <v>753</v>
      </c>
      <c r="D341" s="50">
        <v>2008</v>
      </c>
      <c r="E341" s="50">
        <v>11</v>
      </c>
      <c r="F341" s="50">
        <v>0</v>
      </c>
      <c r="G341" s="84" t="s">
        <v>78</v>
      </c>
      <c r="H341" s="62">
        <v>7</v>
      </c>
      <c r="I341" s="50">
        <f t="shared" si="109"/>
        <v>2015</v>
      </c>
      <c r="J341" s="85">
        <f t="shared" si="110"/>
        <v>2015.9166666666667</v>
      </c>
      <c r="K341" s="86">
        <v>15556.32</v>
      </c>
      <c r="L341" s="86">
        <f t="shared" ref="L341:L349" si="118">K341-K341*F341</f>
        <v>15556.32</v>
      </c>
      <c r="M341" s="86">
        <f t="shared" ref="M341:M349" si="119">L341/H341/12</f>
        <v>185.19428571428571</v>
      </c>
      <c r="N341" s="86">
        <f t="shared" ref="N341:N349" si="120">+M341*12</f>
        <v>2222.3314285714287</v>
      </c>
      <c r="O341" s="86">
        <f t="shared" ref="O341:O349" si="121">+IF(J341&lt;=$L$5,0,IF(I341&gt;$L$4,N341,(M341*E341)))</f>
        <v>0</v>
      </c>
      <c r="P341" s="86">
        <f t="shared" ref="P341:P349" si="122">+IF(O341=0,L341,IF($L$3-D341&lt;1,0,(($L$3-D341)*O341)))</f>
        <v>15556.32</v>
      </c>
      <c r="Q341" s="86">
        <f t="shared" ref="Q341:Q349" si="123">+IF(O341=0,P341,P341+O341)</f>
        <v>15556.32</v>
      </c>
      <c r="R341" s="86">
        <f t="shared" ref="R341:R349" si="124">+K341-Q341</f>
        <v>0</v>
      </c>
    </row>
    <row r="342" spans="1:18">
      <c r="A342" s="119">
        <v>200593</v>
      </c>
      <c r="B342" s="50">
        <v>88</v>
      </c>
      <c r="C342" s="84" t="s">
        <v>786</v>
      </c>
      <c r="D342" s="50">
        <v>2008</v>
      </c>
      <c r="E342" s="50">
        <v>11</v>
      </c>
      <c r="F342" s="50">
        <v>0</v>
      </c>
      <c r="G342" s="84" t="s">
        <v>78</v>
      </c>
      <c r="H342" s="62">
        <v>7</v>
      </c>
      <c r="I342" s="50">
        <f t="shared" si="109"/>
        <v>2015</v>
      </c>
      <c r="J342" s="85">
        <f t="shared" si="110"/>
        <v>2015.9166666666667</v>
      </c>
      <c r="K342" s="86">
        <v>114079.67999999999</v>
      </c>
      <c r="L342" s="86">
        <f t="shared" si="118"/>
        <v>114079.67999999999</v>
      </c>
      <c r="M342" s="86">
        <f t="shared" si="119"/>
        <v>1358.0914285714284</v>
      </c>
      <c r="N342" s="86">
        <f t="shared" si="120"/>
        <v>16297.097142857141</v>
      </c>
      <c r="O342" s="86">
        <f t="shared" si="121"/>
        <v>0</v>
      </c>
      <c r="P342" s="86">
        <f t="shared" si="122"/>
        <v>114079.67999999999</v>
      </c>
      <c r="Q342" s="86">
        <f t="shared" si="123"/>
        <v>114079.67999999999</v>
      </c>
      <c r="R342" s="86">
        <f t="shared" si="124"/>
        <v>0</v>
      </c>
    </row>
    <row r="343" spans="1:18">
      <c r="A343" s="119">
        <v>200586</v>
      </c>
      <c r="B343" s="50">
        <v>89</v>
      </c>
      <c r="C343" s="84" t="s">
        <v>787</v>
      </c>
      <c r="D343" s="50">
        <v>2008</v>
      </c>
      <c r="E343" s="50">
        <v>11</v>
      </c>
      <c r="F343" s="50">
        <v>0</v>
      </c>
      <c r="G343" s="84" t="s">
        <v>78</v>
      </c>
      <c r="H343" s="62">
        <v>7</v>
      </c>
      <c r="I343" s="50">
        <f t="shared" si="109"/>
        <v>2015</v>
      </c>
      <c r="J343" s="85">
        <f t="shared" si="110"/>
        <v>2015.9166666666667</v>
      </c>
      <c r="K343" s="86">
        <v>115376.93</v>
      </c>
      <c r="L343" s="86">
        <f t="shared" si="118"/>
        <v>115376.93</v>
      </c>
      <c r="M343" s="86">
        <f t="shared" si="119"/>
        <v>1373.5348809523809</v>
      </c>
      <c r="N343" s="86">
        <f t="shared" si="120"/>
        <v>16482.41857142857</v>
      </c>
      <c r="O343" s="86">
        <f t="shared" si="121"/>
        <v>0</v>
      </c>
      <c r="P343" s="86">
        <f t="shared" si="122"/>
        <v>115376.93</v>
      </c>
      <c r="Q343" s="86">
        <f t="shared" si="123"/>
        <v>115376.93</v>
      </c>
      <c r="R343" s="86">
        <f t="shared" si="124"/>
        <v>0</v>
      </c>
    </row>
    <row r="344" spans="1:18">
      <c r="A344" s="119">
        <v>200582</v>
      </c>
      <c r="B344" s="50">
        <v>5</v>
      </c>
      <c r="C344" s="84" t="s">
        <v>788</v>
      </c>
      <c r="D344" s="50">
        <v>2008</v>
      </c>
      <c r="E344" s="50">
        <v>11</v>
      </c>
      <c r="F344" s="50">
        <v>0</v>
      </c>
      <c r="G344" s="84" t="s">
        <v>78</v>
      </c>
      <c r="H344" s="62">
        <v>7</v>
      </c>
      <c r="I344" s="50">
        <f t="shared" si="109"/>
        <v>2015</v>
      </c>
      <c r="J344" s="85">
        <f t="shared" si="110"/>
        <v>2015.9166666666667</v>
      </c>
      <c r="K344" s="86">
        <v>6481.85</v>
      </c>
      <c r="L344" s="86">
        <f t="shared" si="118"/>
        <v>6481.85</v>
      </c>
      <c r="M344" s="86">
        <f t="shared" si="119"/>
        <v>77.164880952380955</v>
      </c>
      <c r="N344" s="86">
        <f t="shared" si="120"/>
        <v>925.97857142857151</v>
      </c>
      <c r="O344" s="86">
        <f t="shared" si="121"/>
        <v>0</v>
      </c>
      <c r="P344" s="86">
        <f t="shared" si="122"/>
        <v>6481.85</v>
      </c>
      <c r="Q344" s="86">
        <f t="shared" si="123"/>
        <v>6481.85</v>
      </c>
      <c r="R344" s="86">
        <f t="shared" si="124"/>
        <v>0</v>
      </c>
    </row>
    <row r="345" spans="1:18">
      <c r="A345" s="119">
        <v>200581</v>
      </c>
      <c r="B345" s="50">
        <v>111</v>
      </c>
      <c r="C345" s="84" t="s">
        <v>786</v>
      </c>
      <c r="D345" s="50">
        <v>2008</v>
      </c>
      <c r="E345" s="50">
        <v>11</v>
      </c>
      <c r="F345" s="50">
        <v>0</v>
      </c>
      <c r="G345" s="84" t="s">
        <v>78</v>
      </c>
      <c r="H345" s="62">
        <v>7</v>
      </c>
      <c r="I345" s="50">
        <f t="shared" si="109"/>
        <v>2015</v>
      </c>
      <c r="J345" s="85">
        <f t="shared" si="110"/>
        <v>2015.9166666666667</v>
      </c>
      <c r="K345" s="86">
        <v>166692.03</v>
      </c>
      <c r="L345" s="86">
        <f t="shared" si="118"/>
        <v>166692.03</v>
      </c>
      <c r="M345" s="86">
        <f t="shared" si="119"/>
        <v>1984.4289285714285</v>
      </c>
      <c r="N345" s="86">
        <f t="shared" si="120"/>
        <v>23813.147142857142</v>
      </c>
      <c r="O345" s="86">
        <f t="shared" si="121"/>
        <v>0</v>
      </c>
      <c r="P345" s="86">
        <f t="shared" si="122"/>
        <v>166692.03</v>
      </c>
      <c r="Q345" s="86">
        <f t="shared" si="123"/>
        <v>166692.03</v>
      </c>
      <c r="R345" s="86">
        <f t="shared" si="124"/>
        <v>0</v>
      </c>
    </row>
    <row r="346" spans="1:18">
      <c r="A346" s="119">
        <v>200571</v>
      </c>
      <c r="B346" s="50">
        <v>12</v>
      </c>
      <c r="C346" s="84" t="s">
        <v>789</v>
      </c>
      <c r="D346" s="50">
        <v>2008</v>
      </c>
      <c r="E346" s="50">
        <v>11</v>
      </c>
      <c r="F346" s="50">
        <v>0</v>
      </c>
      <c r="G346" s="84" t="s">
        <v>78</v>
      </c>
      <c r="H346" s="62">
        <v>7</v>
      </c>
      <c r="I346" s="50">
        <f t="shared" si="109"/>
        <v>2015</v>
      </c>
      <c r="J346" s="85">
        <f t="shared" si="110"/>
        <v>2015.9166666666667</v>
      </c>
      <c r="K346" s="86">
        <v>1567.56</v>
      </c>
      <c r="L346" s="86">
        <f t="shared" si="118"/>
        <v>1567.56</v>
      </c>
      <c r="M346" s="86">
        <f t="shared" si="119"/>
        <v>18.661428571428569</v>
      </c>
      <c r="N346" s="86">
        <f t="shared" si="120"/>
        <v>223.93714285714282</v>
      </c>
      <c r="O346" s="86">
        <f t="shared" si="121"/>
        <v>0</v>
      </c>
      <c r="P346" s="86">
        <f t="shared" si="122"/>
        <v>1567.56</v>
      </c>
      <c r="Q346" s="86">
        <f t="shared" si="123"/>
        <v>1567.56</v>
      </c>
      <c r="R346" s="86">
        <f t="shared" si="124"/>
        <v>0</v>
      </c>
    </row>
    <row r="347" spans="1:18">
      <c r="A347" s="119">
        <v>200570</v>
      </c>
      <c r="B347" s="50">
        <v>5</v>
      </c>
      <c r="C347" s="84" t="s">
        <v>753</v>
      </c>
      <c r="D347" s="50">
        <v>2008</v>
      </c>
      <c r="E347" s="50">
        <v>11</v>
      </c>
      <c r="F347" s="50">
        <v>0</v>
      </c>
      <c r="G347" s="84" t="s">
        <v>78</v>
      </c>
      <c r="H347" s="62">
        <v>7</v>
      </c>
      <c r="I347" s="50">
        <f t="shared" si="109"/>
        <v>2015</v>
      </c>
      <c r="J347" s="85">
        <f t="shared" si="110"/>
        <v>2015.9166666666667</v>
      </c>
      <c r="K347" s="86">
        <v>71822.95</v>
      </c>
      <c r="L347" s="86">
        <f t="shared" si="118"/>
        <v>71822.95</v>
      </c>
      <c r="M347" s="86">
        <f t="shared" si="119"/>
        <v>855.03511904761899</v>
      </c>
      <c r="N347" s="86">
        <f t="shared" si="120"/>
        <v>10260.421428571428</v>
      </c>
      <c r="O347" s="86">
        <f t="shared" si="121"/>
        <v>0</v>
      </c>
      <c r="P347" s="86">
        <f t="shared" si="122"/>
        <v>71822.95</v>
      </c>
      <c r="Q347" s="86">
        <f t="shared" si="123"/>
        <v>71822.95</v>
      </c>
      <c r="R347" s="86">
        <f t="shared" si="124"/>
        <v>0</v>
      </c>
    </row>
    <row r="348" spans="1:18">
      <c r="A348" s="119">
        <v>200569</v>
      </c>
      <c r="B348" s="50">
        <v>1</v>
      </c>
      <c r="C348" s="84" t="s">
        <v>787</v>
      </c>
      <c r="D348" s="50">
        <v>2008</v>
      </c>
      <c r="E348" s="50">
        <v>11</v>
      </c>
      <c r="F348" s="50">
        <v>0</v>
      </c>
      <c r="G348" s="84" t="s">
        <v>78</v>
      </c>
      <c r="H348" s="62">
        <v>7</v>
      </c>
      <c r="I348" s="50">
        <f t="shared" si="109"/>
        <v>2015</v>
      </c>
      <c r="J348" s="85">
        <f t="shared" si="110"/>
        <v>2015.9166666666667</v>
      </c>
      <c r="K348" s="86">
        <v>1501.73</v>
      </c>
      <c r="L348" s="86">
        <f t="shared" si="118"/>
        <v>1501.73</v>
      </c>
      <c r="M348" s="86">
        <f t="shared" si="119"/>
        <v>17.877738095238097</v>
      </c>
      <c r="N348" s="86">
        <f t="shared" si="120"/>
        <v>214.53285714285715</v>
      </c>
      <c r="O348" s="86">
        <f t="shared" si="121"/>
        <v>0</v>
      </c>
      <c r="P348" s="86">
        <f t="shared" si="122"/>
        <v>1501.73</v>
      </c>
      <c r="Q348" s="86">
        <f t="shared" si="123"/>
        <v>1501.73</v>
      </c>
      <c r="R348" s="86">
        <f t="shared" si="124"/>
        <v>0</v>
      </c>
    </row>
    <row r="349" spans="1:18">
      <c r="A349" s="119">
        <v>198066</v>
      </c>
      <c r="B349" s="50">
        <v>2</v>
      </c>
      <c r="C349" s="84" t="s">
        <v>790</v>
      </c>
      <c r="D349" s="50">
        <v>2012</v>
      </c>
      <c r="E349" s="50">
        <v>3</v>
      </c>
      <c r="F349" s="50">
        <v>0</v>
      </c>
      <c r="G349" s="84" t="s">
        <v>78</v>
      </c>
      <c r="H349" s="62">
        <v>7</v>
      </c>
      <c r="I349" s="50">
        <f t="shared" ref="I349" si="125">D349+H349</f>
        <v>2019</v>
      </c>
      <c r="J349" s="85">
        <f t="shared" ref="J349" si="126">+I349+(E349/12)</f>
        <v>2019.25</v>
      </c>
      <c r="K349" s="86">
        <v>3000</v>
      </c>
      <c r="L349" s="86">
        <f t="shared" si="118"/>
        <v>3000</v>
      </c>
      <c r="M349" s="86">
        <f t="shared" si="119"/>
        <v>35.714285714285715</v>
      </c>
      <c r="N349" s="86">
        <f t="shared" si="120"/>
        <v>428.57142857142856</v>
      </c>
      <c r="O349" s="86">
        <f t="shared" si="121"/>
        <v>0</v>
      </c>
      <c r="P349" s="86">
        <f t="shared" si="122"/>
        <v>3000</v>
      </c>
      <c r="Q349" s="86">
        <f t="shared" si="123"/>
        <v>3000</v>
      </c>
      <c r="R349" s="86">
        <f t="shared" si="124"/>
        <v>0</v>
      </c>
    </row>
    <row r="350" spans="1:18">
      <c r="A350" s="118" t="s">
        <v>525</v>
      </c>
      <c r="B350" s="50">
        <v>72</v>
      </c>
      <c r="C350" s="67" t="s">
        <v>526</v>
      </c>
      <c r="D350" s="67">
        <v>2014</v>
      </c>
      <c r="E350" s="67">
        <v>12</v>
      </c>
      <c r="F350" s="67">
        <v>0</v>
      </c>
      <c r="G350" s="67" t="s">
        <v>78</v>
      </c>
      <c r="H350" s="22">
        <v>5</v>
      </c>
      <c r="I350" s="67">
        <f t="shared" ref="I350:I363" si="127">D350+H350</f>
        <v>2019</v>
      </c>
      <c r="J350" s="20">
        <f t="shared" ref="J350:J363" si="128">+I350+(E350/12)</f>
        <v>2020</v>
      </c>
      <c r="K350" s="79">
        <f>51081.75+23609.1</f>
        <v>74690.850000000006</v>
      </c>
      <c r="L350" s="79">
        <f t="shared" ref="L350:L362" si="129">K350-K350*F350</f>
        <v>74690.850000000006</v>
      </c>
      <c r="M350" s="79">
        <f t="shared" ref="M350:M362" si="130">L350/H350/12</f>
        <v>1244.8475000000001</v>
      </c>
      <c r="N350" s="79">
        <f t="shared" ref="N350:N362" si="131">+M350*12</f>
        <v>14938.170000000002</v>
      </c>
      <c r="O350" s="79">
        <f t="shared" ref="O350:O362" si="132">+IF(J350&lt;=$L$5,0,IF(I350&gt;$L$4,N350,(M350*E350)))</f>
        <v>14938.170000000002</v>
      </c>
      <c r="P350" s="79">
        <f t="shared" ref="P350:P362" si="133">+IF(O350=0,L350,IF($L$3-D350&lt;1,0,(($L$3-D350)*O350)))</f>
        <v>59752.680000000008</v>
      </c>
      <c r="Q350" s="79">
        <f t="shared" ref="Q350:Q362" si="134">+IF(O350=0,P350,P350+O350)</f>
        <v>74690.850000000006</v>
      </c>
      <c r="R350" s="79">
        <f t="shared" ref="R350:R362" si="135">+K350-Q350</f>
        <v>0</v>
      </c>
    </row>
    <row r="351" spans="1:18">
      <c r="A351" s="118">
        <v>124524</v>
      </c>
      <c r="B351" s="50">
        <v>6</v>
      </c>
      <c r="C351" t="s">
        <v>172</v>
      </c>
      <c r="D351">
        <v>2015</v>
      </c>
      <c r="E351">
        <v>4</v>
      </c>
      <c r="F351">
        <v>0</v>
      </c>
      <c r="G351" t="s">
        <v>78</v>
      </c>
      <c r="H351" s="22">
        <v>12</v>
      </c>
      <c r="I351">
        <f t="shared" si="127"/>
        <v>2027</v>
      </c>
      <c r="J351" s="20">
        <f t="shared" si="128"/>
        <v>2027.3333333333333</v>
      </c>
      <c r="K351" s="79">
        <v>40590</v>
      </c>
      <c r="L351" s="79">
        <f t="shared" si="129"/>
        <v>40590</v>
      </c>
      <c r="M351" s="79">
        <f t="shared" si="130"/>
        <v>281.875</v>
      </c>
      <c r="N351" s="79">
        <f t="shared" si="131"/>
        <v>3382.5</v>
      </c>
      <c r="O351" s="79">
        <f t="shared" si="132"/>
        <v>3382.5</v>
      </c>
      <c r="P351" s="79">
        <f t="shared" si="133"/>
        <v>10147.5</v>
      </c>
      <c r="Q351" s="79">
        <f t="shared" si="134"/>
        <v>13530</v>
      </c>
      <c r="R351" s="79">
        <f t="shared" si="135"/>
        <v>27060</v>
      </c>
    </row>
    <row r="352" spans="1:18">
      <c r="A352" s="118">
        <v>132479</v>
      </c>
      <c r="B352" s="50">
        <v>3</v>
      </c>
      <c r="C352" t="s">
        <v>171</v>
      </c>
      <c r="D352">
        <v>2016</v>
      </c>
      <c r="E352">
        <v>4</v>
      </c>
      <c r="F352">
        <v>0</v>
      </c>
      <c r="G352" t="s">
        <v>78</v>
      </c>
      <c r="H352" s="22">
        <v>12</v>
      </c>
      <c r="I352">
        <f t="shared" si="127"/>
        <v>2028</v>
      </c>
      <c r="J352" s="20">
        <f t="shared" si="128"/>
        <v>2028.3333333333333</v>
      </c>
      <c r="K352" s="79">
        <v>17610</v>
      </c>
      <c r="L352" s="79">
        <f t="shared" si="129"/>
        <v>17610</v>
      </c>
      <c r="M352" s="79">
        <f t="shared" si="130"/>
        <v>122.29166666666667</v>
      </c>
      <c r="N352" s="79">
        <f t="shared" si="131"/>
        <v>1467.5</v>
      </c>
      <c r="O352" s="79">
        <f t="shared" si="132"/>
        <v>1467.5</v>
      </c>
      <c r="P352" s="79">
        <f t="shared" si="133"/>
        <v>2935</v>
      </c>
      <c r="Q352" s="79">
        <f t="shared" si="134"/>
        <v>4402.5</v>
      </c>
      <c r="R352" s="79">
        <f t="shared" si="135"/>
        <v>13207.5</v>
      </c>
    </row>
    <row r="353" spans="1:18">
      <c r="A353" s="118">
        <v>132591</v>
      </c>
      <c r="B353" s="50">
        <v>6</v>
      </c>
      <c r="C353" t="s">
        <v>172</v>
      </c>
      <c r="D353">
        <v>2016</v>
      </c>
      <c r="E353">
        <v>4</v>
      </c>
      <c r="F353">
        <v>0</v>
      </c>
      <c r="G353" t="s">
        <v>78</v>
      </c>
      <c r="H353" s="22">
        <v>12</v>
      </c>
      <c r="I353">
        <f t="shared" si="127"/>
        <v>2028</v>
      </c>
      <c r="J353" s="20">
        <f t="shared" si="128"/>
        <v>2028.3333333333333</v>
      </c>
      <c r="K353" s="79">
        <v>39270</v>
      </c>
      <c r="L353" s="79">
        <f t="shared" si="129"/>
        <v>39270</v>
      </c>
      <c r="M353" s="79">
        <f t="shared" si="130"/>
        <v>272.70833333333331</v>
      </c>
      <c r="N353" s="79">
        <f t="shared" si="131"/>
        <v>3272.5</v>
      </c>
      <c r="O353" s="79">
        <f t="shared" si="132"/>
        <v>3272.5</v>
      </c>
      <c r="P353" s="79">
        <f t="shared" si="133"/>
        <v>6545</v>
      </c>
      <c r="Q353" s="79">
        <f t="shared" si="134"/>
        <v>9817.5</v>
      </c>
      <c r="R353" s="79">
        <f t="shared" si="135"/>
        <v>29452.5</v>
      </c>
    </row>
    <row r="354" spans="1:18">
      <c r="A354" s="118">
        <v>165694</v>
      </c>
      <c r="B354" s="50">
        <v>3</v>
      </c>
      <c r="C354" t="s">
        <v>172</v>
      </c>
      <c r="D354">
        <v>2016</v>
      </c>
      <c r="E354">
        <v>7</v>
      </c>
      <c r="F354">
        <v>0</v>
      </c>
      <c r="G354" t="s">
        <v>78</v>
      </c>
      <c r="H354" s="22">
        <v>12</v>
      </c>
      <c r="I354">
        <f t="shared" si="127"/>
        <v>2028</v>
      </c>
      <c r="J354" s="20">
        <f t="shared" si="128"/>
        <v>2028.5833333333333</v>
      </c>
      <c r="K354" s="79">
        <v>19635</v>
      </c>
      <c r="L354" s="79">
        <f t="shared" si="129"/>
        <v>19635</v>
      </c>
      <c r="M354" s="79">
        <f t="shared" si="130"/>
        <v>136.35416666666666</v>
      </c>
      <c r="N354" s="79">
        <f t="shared" si="131"/>
        <v>1636.25</v>
      </c>
      <c r="O354" s="79">
        <f t="shared" si="132"/>
        <v>1636.25</v>
      </c>
      <c r="P354" s="79">
        <f t="shared" si="133"/>
        <v>3272.5</v>
      </c>
      <c r="Q354" s="79">
        <f t="shared" si="134"/>
        <v>4908.75</v>
      </c>
      <c r="R354" s="79">
        <f t="shared" si="135"/>
        <v>14726.25</v>
      </c>
    </row>
    <row r="355" spans="1:18">
      <c r="A355" s="118">
        <v>172712</v>
      </c>
      <c r="B355" s="50">
        <v>4</v>
      </c>
      <c r="C355" t="s">
        <v>629</v>
      </c>
      <c r="D355">
        <v>2017</v>
      </c>
      <c r="E355">
        <v>1</v>
      </c>
      <c r="F355">
        <v>0</v>
      </c>
      <c r="G355" t="s">
        <v>78</v>
      </c>
      <c r="H355" s="22">
        <v>11.11</v>
      </c>
      <c r="I355">
        <f t="shared" si="127"/>
        <v>2028.11</v>
      </c>
      <c r="J355" s="20">
        <f t="shared" si="128"/>
        <v>2028.1933333333332</v>
      </c>
      <c r="K355" s="79">
        <v>23940</v>
      </c>
      <c r="L355" s="79">
        <f t="shared" si="129"/>
        <v>23940</v>
      </c>
      <c r="M355" s="79">
        <f t="shared" si="130"/>
        <v>179.56795679567958</v>
      </c>
      <c r="N355" s="79">
        <f t="shared" si="131"/>
        <v>2154.8154815481548</v>
      </c>
      <c r="O355" s="79">
        <f t="shared" si="132"/>
        <v>2154.8154815481548</v>
      </c>
      <c r="P355" s="79">
        <f t="shared" si="133"/>
        <v>2154.8154815481548</v>
      </c>
      <c r="Q355" s="79">
        <f t="shared" si="134"/>
        <v>4309.6309630963096</v>
      </c>
      <c r="R355" s="79">
        <f t="shared" si="135"/>
        <v>19630.369036903692</v>
      </c>
    </row>
    <row r="356" spans="1:18">
      <c r="A356" s="118">
        <v>182636</v>
      </c>
      <c r="B356" s="50">
        <v>3</v>
      </c>
      <c r="C356" t="s">
        <v>618</v>
      </c>
      <c r="D356">
        <v>2017</v>
      </c>
      <c r="E356">
        <v>5</v>
      </c>
      <c r="F356">
        <v>0</v>
      </c>
      <c r="G356" t="s">
        <v>78</v>
      </c>
      <c r="H356" s="22">
        <v>12</v>
      </c>
      <c r="I356">
        <f t="shared" si="127"/>
        <v>2029</v>
      </c>
      <c r="J356" s="20">
        <f t="shared" si="128"/>
        <v>2029.4166666666667</v>
      </c>
      <c r="K356" s="79">
        <v>21435</v>
      </c>
      <c r="L356" s="79">
        <f t="shared" si="129"/>
        <v>21435</v>
      </c>
      <c r="M356" s="79">
        <f t="shared" si="130"/>
        <v>148.85416666666666</v>
      </c>
      <c r="N356" s="79">
        <f t="shared" si="131"/>
        <v>1786.25</v>
      </c>
      <c r="O356" s="79">
        <f t="shared" si="132"/>
        <v>1786.25</v>
      </c>
      <c r="P356" s="79">
        <f t="shared" si="133"/>
        <v>1786.25</v>
      </c>
      <c r="Q356" s="79">
        <f t="shared" si="134"/>
        <v>3572.5</v>
      </c>
      <c r="R356" s="79">
        <f t="shared" si="135"/>
        <v>17862.5</v>
      </c>
    </row>
    <row r="357" spans="1:18">
      <c r="A357" s="118">
        <v>182597</v>
      </c>
      <c r="B357" s="50">
        <v>4</v>
      </c>
      <c r="C357" t="s">
        <v>618</v>
      </c>
      <c r="D357">
        <v>2017</v>
      </c>
      <c r="E357">
        <v>5</v>
      </c>
      <c r="F357">
        <v>0</v>
      </c>
      <c r="G357" t="s">
        <v>78</v>
      </c>
      <c r="H357" s="22">
        <v>12</v>
      </c>
      <c r="I357">
        <f t="shared" si="127"/>
        <v>2029</v>
      </c>
      <c r="J357" s="20">
        <f t="shared" si="128"/>
        <v>2029.4166666666667</v>
      </c>
      <c r="K357" s="79">
        <v>28580</v>
      </c>
      <c r="L357" s="79">
        <f t="shared" si="129"/>
        <v>28580</v>
      </c>
      <c r="M357" s="79">
        <f t="shared" si="130"/>
        <v>198.4722222222222</v>
      </c>
      <c r="N357" s="79">
        <f t="shared" si="131"/>
        <v>2381.6666666666665</v>
      </c>
      <c r="O357" s="79">
        <f t="shared" si="132"/>
        <v>2381.6666666666665</v>
      </c>
      <c r="P357" s="79">
        <f t="shared" si="133"/>
        <v>2381.6666666666665</v>
      </c>
      <c r="Q357" s="79">
        <f t="shared" si="134"/>
        <v>4763.333333333333</v>
      </c>
      <c r="R357" s="79">
        <f t="shared" si="135"/>
        <v>23816.666666666668</v>
      </c>
    </row>
    <row r="358" spans="1:18">
      <c r="A358" s="118">
        <v>182548</v>
      </c>
      <c r="B358" s="50">
        <v>3</v>
      </c>
      <c r="C358" t="s">
        <v>618</v>
      </c>
      <c r="D358">
        <v>2017</v>
      </c>
      <c r="E358">
        <v>5</v>
      </c>
      <c r="F358">
        <v>0</v>
      </c>
      <c r="G358" t="s">
        <v>78</v>
      </c>
      <c r="H358" s="22">
        <v>12</v>
      </c>
      <c r="I358">
        <f t="shared" si="127"/>
        <v>2029</v>
      </c>
      <c r="J358" s="20">
        <f t="shared" si="128"/>
        <v>2029.4166666666667</v>
      </c>
      <c r="K358" s="79">
        <v>21435</v>
      </c>
      <c r="L358" s="79">
        <f t="shared" si="129"/>
        <v>21435</v>
      </c>
      <c r="M358" s="79">
        <f t="shared" si="130"/>
        <v>148.85416666666666</v>
      </c>
      <c r="N358" s="79">
        <f t="shared" si="131"/>
        <v>1786.25</v>
      </c>
      <c r="O358" s="79">
        <f t="shared" si="132"/>
        <v>1786.25</v>
      </c>
      <c r="P358" s="79">
        <f t="shared" si="133"/>
        <v>1786.25</v>
      </c>
      <c r="Q358" s="79">
        <f t="shared" si="134"/>
        <v>3572.5</v>
      </c>
      <c r="R358" s="79">
        <f t="shared" si="135"/>
        <v>17862.5</v>
      </c>
    </row>
    <row r="359" spans="1:18">
      <c r="A359" s="118">
        <v>184509</v>
      </c>
      <c r="B359" s="50">
        <v>9</v>
      </c>
      <c r="C359" t="s">
        <v>611</v>
      </c>
      <c r="D359">
        <v>2017</v>
      </c>
      <c r="E359">
        <v>7</v>
      </c>
      <c r="F359">
        <v>0</v>
      </c>
      <c r="G359" t="s">
        <v>78</v>
      </c>
      <c r="H359" s="22">
        <v>12</v>
      </c>
      <c r="I359">
        <f t="shared" si="127"/>
        <v>2029</v>
      </c>
      <c r="J359" s="20">
        <f t="shared" si="128"/>
        <v>2029.5833333333333</v>
      </c>
      <c r="K359" s="79">
        <v>55575</v>
      </c>
      <c r="L359" s="79">
        <f t="shared" si="129"/>
        <v>55575</v>
      </c>
      <c r="M359" s="79">
        <f t="shared" si="130"/>
        <v>385.9375</v>
      </c>
      <c r="N359" s="79">
        <f t="shared" si="131"/>
        <v>4631.25</v>
      </c>
      <c r="O359" s="79">
        <f t="shared" si="132"/>
        <v>4631.25</v>
      </c>
      <c r="P359" s="79">
        <f t="shared" si="133"/>
        <v>4631.25</v>
      </c>
      <c r="Q359" s="79">
        <f t="shared" si="134"/>
        <v>9262.5</v>
      </c>
      <c r="R359" s="79">
        <f t="shared" si="135"/>
        <v>46312.5</v>
      </c>
    </row>
    <row r="360" spans="1:18">
      <c r="A360" s="118">
        <v>186461</v>
      </c>
      <c r="B360" s="50">
        <v>3</v>
      </c>
      <c r="C360" t="s">
        <v>611</v>
      </c>
      <c r="D360">
        <v>2017</v>
      </c>
      <c r="E360">
        <v>9</v>
      </c>
      <c r="F360">
        <v>0</v>
      </c>
      <c r="G360" t="s">
        <v>78</v>
      </c>
      <c r="H360" s="22">
        <v>12</v>
      </c>
      <c r="I360">
        <f t="shared" si="127"/>
        <v>2029</v>
      </c>
      <c r="J360" s="20">
        <f t="shared" si="128"/>
        <v>2029.75</v>
      </c>
      <c r="K360" s="79">
        <v>18525</v>
      </c>
      <c r="L360" s="79">
        <f t="shared" si="129"/>
        <v>18525</v>
      </c>
      <c r="M360" s="79">
        <f t="shared" si="130"/>
        <v>128.64583333333334</v>
      </c>
      <c r="N360" s="79">
        <f t="shared" si="131"/>
        <v>1543.75</v>
      </c>
      <c r="O360" s="79">
        <f t="shared" si="132"/>
        <v>1543.75</v>
      </c>
      <c r="P360" s="79">
        <f t="shared" si="133"/>
        <v>1543.75</v>
      </c>
      <c r="Q360" s="79">
        <f t="shared" si="134"/>
        <v>3087.5</v>
      </c>
      <c r="R360" s="79">
        <f t="shared" si="135"/>
        <v>15437.5</v>
      </c>
    </row>
    <row r="361" spans="1:18">
      <c r="A361" s="118">
        <v>187206</v>
      </c>
      <c r="B361" s="50">
        <v>3</v>
      </c>
      <c r="C361" s="67" t="s">
        <v>722</v>
      </c>
      <c r="D361" s="67">
        <v>2017</v>
      </c>
      <c r="E361" s="67">
        <v>9</v>
      </c>
      <c r="F361" s="67">
        <v>0</v>
      </c>
      <c r="G361" s="67" t="s">
        <v>78</v>
      </c>
      <c r="H361" s="22">
        <v>12</v>
      </c>
      <c r="I361" s="67">
        <f t="shared" si="127"/>
        <v>2029</v>
      </c>
      <c r="J361" s="20">
        <f t="shared" si="128"/>
        <v>2029.75</v>
      </c>
      <c r="K361" s="79">
        <v>18525</v>
      </c>
      <c r="L361" s="79">
        <f t="shared" si="129"/>
        <v>18525</v>
      </c>
      <c r="M361" s="79">
        <f t="shared" si="130"/>
        <v>128.64583333333334</v>
      </c>
      <c r="N361" s="79">
        <f t="shared" si="131"/>
        <v>1543.75</v>
      </c>
      <c r="O361" s="79">
        <f t="shared" si="132"/>
        <v>1543.75</v>
      </c>
      <c r="P361" s="79">
        <f t="shared" si="133"/>
        <v>1543.75</v>
      </c>
      <c r="Q361" s="79">
        <f t="shared" si="134"/>
        <v>3087.5</v>
      </c>
      <c r="R361" s="79">
        <f t="shared" si="135"/>
        <v>15437.5</v>
      </c>
    </row>
    <row r="362" spans="1:18">
      <c r="A362" s="121" t="s">
        <v>752</v>
      </c>
      <c r="B362" s="50">
        <v>10</v>
      </c>
      <c r="C362" s="84" t="s">
        <v>751</v>
      </c>
      <c r="D362" s="50">
        <v>2018</v>
      </c>
      <c r="E362" s="50">
        <v>10</v>
      </c>
      <c r="F362" s="50">
        <v>0</v>
      </c>
      <c r="G362" s="84" t="s">
        <v>78</v>
      </c>
      <c r="H362" s="62">
        <v>12</v>
      </c>
      <c r="I362" s="50">
        <f t="shared" si="127"/>
        <v>2030</v>
      </c>
      <c r="J362" s="85">
        <f t="shared" si="128"/>
        <v>2030.8333333333333</v>
      </c>
      <c r="K362" s="86">
        <f>33480.65+33268.62</f>
        <v>66749.27</v>
      </c>
      <c r="L362" s="86">
        <f t="shared" si="129"/>
        <v>66749.27</v>
      </c>
      <c r="M362" s="86">
        <f t="shared" si="130"/>
        <v>463.53659722222227</v>
      </c>
      <c r="N362" s="86">
        <f t="shared" si="131"/>
        <v>5562.439166666667</v>
      </c>
      <c r="O362" s="86">
        <f t="shared" si="132"/>
        <v>5562.439166666667</v>
      </c>
      <c r="P362" s="86">
        <f t="shared" si="133"/>
        <v>0</v>
      </c>
      <c r="Q362" s="86">
        <f t="shared" si="134"/>
        <v>5562.439166666667</v>
      </c>
      <c r="R362" s="86">
        <f t="shared" si="135"/>
        <v>61186.830833333341</v>
      </c>
    </row>
    <row r="363" spans="1:18" s="53" customFormat="1">
      <c r="A363" s="122" t="s">
        <v>811</v>
      </c>
      <c r="B363" s="50">
        <v>10</v>
      </c>
      <c r="C363" s="59" t="s">
        <v>822</v>
      </c>
      <c r="D363" s="53">
        <v>2019</v>
      </c>
      <c r="E363" s="53">
        <v>6</v>
      </c>
      <c r="F363" s="53">
        <v>0</v>
      </c>
      <c r="G363" s="59" t="s">
        <v>78</v>
      </c>
      <c r="H363" s="57">
        <v>12</v>
      </c>
      <c r="I363" s="53">
        <f t="shared" si="127"/>
        <v>2031</v>
      </c>
      <c r="J363" s="58">
        <f t="shared" si="128"/>
        <v>2031.5</v>
      </c>
      <c r="K363" s="80">
        <v>144000</v>
      </c>
      <c r="L363" s="80">
        <f t="shared" ref="L363" si="136">K363-K363*F363</f>
        <v>144000</v>
      </c>
      <c r="M363" s="80">
        <f t="shared" ref="M363" si="137">L363/H363/12</f>
        <v>1000</v>
      </c>
      <c r="N363" s="80">
        <f t="shared" ref="N363" si="138">+M363*12</f>
        <v>12000</v>
      </c>
      <c r="O363" s="80">
        <f t="shared" ref="O363" si="139">+IF(J363&lt;=$L$5,0,IF(I363&gt;$L$4,N363,(M363*E363)))</f>
        <v>12000</v>
      </c>
      <c r="P363" s="80">
        <f t="shared" ref="P363" si="140">+IF(O363=0,L363,IF($L$3-D363&lt;1,0,(($L$3-D363)*O363)))</f>
        <v>0</v>
      </c>
      <c r="Q363" s="80">
        <f t="shared" ref="Q363" si="141">+IF(O363=0,P363,P363+O363)</f>
        <v>12000</v>
      </c>
      <c r="R363" s="80">
        <f t="shared" ref="R363" si="142">+K363-Q363</f>
        <v>132000</v>
      </c>
    </row>
    <row r="364" spans="1:18">
      <c r="K364" s="79"/>
      <c r="L364" s="79"/>
      <c r="M364" s="79"/>
      <c r="N364" s="79"/>
      <c r="O364" s="79"/>
      <c r="P364" s="79"/>
      <c r="Q364" s="79"/>
      <c r="R364" s="79"/>
    </row>
    <row r="365" spans="1:18">
      <c r="C365" s="9" t="s">
        <v>394</v>
      </c>
      <c r="K365" s="81">
        <f t="shared" ref="K365:R365" si="143">SUM(K299:K364)</f>
        <v>1928961.99</v>
      </c>
      <c r="L365" s="81">
        <f t="shared" si="143"/>
        <v>1928961.99</v>
      </c>
      <c r="M365" s="81">
        <f t="shared" si="143"/>
        <v>18024.922752430597</v>
      </c>
      <c r="N365" s="81">
        <f t="shared" si="143"/>
        <v>216299.07302916722</v>
      </c>
      <c r="O365" s="81">
        <f t="shared" si="143"/>
        <v>58087.091314881487</v>
      </c>
      <c r="P365" s="81">
        <f t="shared" si="143"/>
        <v>1436882.2821482148</v>
      </c>
      <c r="Q365" s="81">
        <f t="shared" si="143"/>
        <v>1494969.3734630963</v>
      </c>
      <c r="R365" s="81">
        <f t="shared" si="143"/>
        <v>433992.61653690366</v>
      </c>
    </row>
    <row r="366" spans="1:18">
      <c r="K366" s="79"/>
      <c r="L366" s="79"/>
      <c r="M366" s="79"/>
      <c r="N366" s="79"/>
      <c r="O366" s="79"/>
      <c r="P366" s="79"/>
      <c r="Q366" s="79"/>
      <c r="R366" s="79"/>
    </row>
    <row r="367" spans="1:18">
      <c r="K367" s="79"/>
      <c r="L367" s="79"/>
      <c r="M367" s="79"/>
      <c r="N367" s="79"/>
      <c r="O367" s="79"/>
      <c r="P367" s="79"/>
      <c r="Q367" s="79"/>
      <c r="R367" s="79"/>
    </row>
    <row r="368" spans="1:18">
      <c r="K368" s="79"/>
      <c r="L368" s="79"/>
      <c r="M368" s="79"/>
      <c r="N368" s="79"/>
      <c r="O368" s="79"/>
      <c r="P368" s="79"/>
      <c r="Q368" s="79"/>
      <c r="R368" s="79"/>
    </row>
    <row r="369" spans="1:18">
      <c r="C369" s="9" t="s">
        <v>396</v>
      </c>
      <c r="K369" s="79"/>
      <c r="L369" s="79"/>
      <c r="M369" s="79"/>
      <c r="N369" s="79"/>
      <c r="O369" s="79"/>
      <c r="P369" s="79"/>
      <c r="Q369" s="79"/>
      <c r="R369" s="79"/>
    </row>
    <row r="370" spans="1:18" ht="11.25" customHeight="1">
      <c r="B370" s="50">
        <v>23600</v>
      </c>
      <c r="C370" t="s">
        <v>236</v>
      </c>
      <c r="D370">
        <v>2007</v>
      </c>
      <c r="E370">
        <v>3</v>
      </c>
      <c r="F370">
        <v>0</v>
      </c>
      <c r="G370" t="s">
        <v>78</v>
      </c>
      <c r="H370" s="22" t="s">
        <v>9</v>
      </c>
      <c r="I370">
        <f t="shared" ref="I370:I393" si="144">D370+H370</f>
        <v>2017</v>
      </c>
      <c r="J370" s="20">
        <f t="shared" ref="J370:J393" si="145">+I370+(E370/12)</f>
        <v>2017.25</v>
      </c>
      <c r="K370" s="79">
        <v>1251419.21</v>
      </c>
      <c r="L370" s="79">
        <f t="shared" ref="L370:L394" si="146">K370-K370*F370</f>
        <v>1251419.21</v>
      </c>
      <c r="M370" s="79">
        <f t="shared" ref="M370:M394" si="147">L370/H370/12</f>
        <v>10428.493416666666</v>
      </c>
      <c r="N370" s="79">
        <f t="shared" ref="N370:N393" si="148">+M370*12</f>
        <v>125141.921</v>
      </c>
      <c r="O370" s="79">
        <f t="shared" ref="O370:O394" si="149">+IF(J370&lt;=$L$5,0,IF(I370&gt;$L$4,N370,(M370*E370)))</f>
        <v>0</v>
      </c>
      <c r="P370" s="79">
        <f t="shared" ref="P370:P394" si="150">+IF(O370=0,L370,IF($L$3-D370&lt;1,0,(($L$3-D370)*O370)))</f>
        <v>1251419.21</v>
      </c>
      <c r="Q370" s="79">
        <f t="shared" ref="Q370:Q394" si="151">+IF(O370=0,P370,P370+O370)</f>
        <v>1251419.21</v>
      </c>
      <c r="R370" s="79">
        <f t="shared" ref="R370:R394" si="152">+K370-Q370</f>
        <v>0</v>
      </c>
    </row>
    <row r="371" spans="1:18">
      <c r="B371" s="50">
        <v>20500</v>
      </c>
      <c r="C371" t="s">
        <v>237</v>
      </c>
      <c r="D371">
        <v>2007</v>
      </c>
      <c r="E371">
        <v>4</v>
      </c>
      <c r="F371">
        <v>0</v>
      </c>
      <c r="G371" t="s">
        <v>78</v>
      </c>
      <c r="H371" s="22" t="s">
        <v>9</v>
      </c>
      <c r="I371">
        <f t="shared" si="144"/>
        <v>2017</v>
      </c>
      <c r="J371" s="20">
        <f t="shared" si="145"/>
        <v>2017.3333333333333</v>
      </c>
      <c r="K371" s="79">
        <v>1088127.6000000001</v>
      </c>
      <c r="L371" s="79">
        <f t="shared" si="146"/>
        <v>1088127.6000000001</v>
      </c>
      <c r="M371" s="79">
        <f t="shared" si="147"/>
        <v>9067.7300000000014</v>
      </c>
      <c r="N371" s="79">
        <f t="shared" si="148"/>
        <v>108812.76000000001</v>
      </c>
      <c r="O371" s="79">
        <f t="shared" si="149"/>
        <v>0</v>
      </c>
      <c r="P371" s="79">
        <f t="shared" si="150"/>
        <v>1088127.6000000001</v>
      </c>
      <c r="Q371" s="79">
        <f t="shared" si="151"/>
        <v>1088127.6000000001</v>
      </c>
      <c r="R371" s="79">
        <f t="shared" si="152"/>
        <v>0</v>
      </c>
    </row>
    <row r="372" spans="1:18">
      <c r="B372" s="50">
        <v>6006</v>
      </c>
      <c r="C372" t="s">
        <v>238</v>
      </c>
      <c r="D372">
        <v>2007</v>
      </c>
      <c r="E372">
        <v>5</v>
      </c>
      <c r="F372">
        <v>0</v>
      </c>
      <c r="G372" t="s">
        <v>78</v>
      </c>
      <c r="H372" s="22" t="s">
        <v>9</v>
      </c>
      <c r="I372">
        <f t="shared" si="144"/>
        <v>2017</v>
      </c>
      <c r="J372" s="20">
        <f t="shared" si="145"/>
        <v>2017.4166666666667</v>
      </c>
      <c r="K372" s="79">
        <v>288277.68</v>
      </c>
      <c r="L372" s="79">
        <f t="shared" si="146"/>
        <v>288277.68</v>
      </c>
      <c r="M372" s="79">
        <f t="shared" si="147"/>
        <v>2402.3139999999999</v>
      </c>
      <c r="N372" s="79">
        <f t="shared" si="148"/>
        <v>28827.767999999996</v>
      </c>
      <c r="O372" s="79">
        <f t="shared" si="149"/>
        <v>0</v>
      </c>
      <c r="P372" s="79">
        <f t="shared" si="150"/>
        <v>288277.68</v>
      </c>
      <c r="Q372" s="79">
        <f t="shared" si="151"/>
        <v>288277.68</v>
      </c>
      <c r="R372" s="79">
        <f t="shared" si="152"/>
        <v>0</v>
      </c>
    </row>
    <row r="373" spans="1:18">
      <c r="A373" s="118">
        <v>77217</v>
      </c>
      <c r="B373" s="50">
        <v>486</v>
      </c>
      <c r="C373" t="s">
        <v>402</v>
      </c>
      <c r="D373">
        <v>2010</v>
      </c>
      <c r="E373">
        <v>9</v>
      </c>
      <c r="F373">
        <v>0</v>
      </c>
      <c r="G373" t="s">
        <v>78</v>
      </c>
      <c r="H373" s="22" t="s">
        <v>9</v>
      </c>
      <c r="I373">
        <f t="shared" si="144"/>
        <v>2020</v>
      </c>
      <c r="J373" s="20">
        <f t="shared" si="145"/>
        <v>2020.75</v>
      </c>
      <c r="K373" s="79">
        <v>24055.88</v>
      </c>
      <c r="L373" s="79">
        <f t="shared" si="146"/>
        <v>24055.88</v>
      </c>
      <c r="M373" s="79">
        <f t="shared" si="147"/>
        <v>200.46566666666669</v>
      </c>
      <c r="N373" s="79">
        <f t="shared" si="148"/>
        <v>2405.5880000000002</v>
      </c>
      <c r="O373" s="79">
        <f t="shared" si="149"/>
        <v>2405.5880000000002</v>
      </c>
      <c r="P373" s="79">
        <f t="shared" si="150"/>
        <v>19244.704000000002</v>
      </c>
      <c r="Q373" s="79">
        <f t="shared" si="151"/>
        <v>21650.292000000001</v>
      </c>
      <c r="R373" s="79">
        <f t="shared" si="152"/>
        <v>2405.5879999999997</v>
      </c>
    </row>
    <row r="374" spans="1:18">
      <c r="A374" s="118">
        <v>78782</v>
      </c>
      <c r="B374" s="50">
        <v>360</v>
      </c>
      <c r="C374" t="s">
        <v>402</v>
      </c>
      <c r="D374">
        <v>2010</v>
      </c>
      <c r="E374">
        <v>11</v>
      </c>
      <c r="F374">
        <v>0</v>
      </c>
      <c r="G374" t="s">
        <v>78</v>
      </c>
      <c r="H374" s="22" t="s">
        <v>9</v>
      </c>
      <c r="I374">
        <f t="shared" si="144"/>
        <v>2020</v>
      </c>
      <c r="J374" s="20">
        <f t="shared" si="145"/>
        <v>2020.9166666666667</v>
      </c>
      <c r="K374" s="79">
        <v>17592.62</v>
      </c>
      <c r="L374" s="79">
        <f t="shared" si="146"/>
        <v>17592.62</v>
      </c>
      <c r="M374" s="79">
        <f t="shared" si="147"/>
        <v>146.60516666666666</v>
      </c>
      <c r="N374" s="79">
        <f t="shared" si="148"/>
        <v>1759.2619999999999</v>
      </c>
      <c r="O374" s="79">
        <f t="shared" si="149"/>
        <v>1759.2619999999999</v>
      </c>
      <c r="P374" s="79">
        <f t="shared" si="150"/>
        <v>14074.096</v>
      </c>
      <c r="Q374" s="79">
        <f t="shared" si="151"/>
        <v>15833.358</v>
      </c>
      <c r="R374" s="79">
        <f t="shared" si="152"/>
        <v>1759.2619999999988</v>
      </c>
    </row>
    <row r="375" spans="1:18">
      <c r="A375" s="118" t="s">
        <v>427</v>
      </c>
      <c r="B375" s="50">
        <v>629</v>
      </c>
      <c r="C375" t="s">
        <v>402</v>
      </c>
      <c r="D375">
        <v>2011</v>
      </c>
      <c r="E375">
        <v>4</v>
      </c>
      <c r="F375">
        <v>0</v>
      </c>
      <c r="G375" t="s">
        <v>78</v>
      </c>
      <c r="H375" s="22" t="s">
        <v>9</v>
      </c>
      <c r="I375">
        <f t="shared" si="144"/>
        <v>2021</v>
      </c>
      <c r="J375" s="20">
        <f t="shared" si="145"/>
        <v>2021.3333333333333</v>
      </c>
      <c r="K375" s="79">
        <v>33468.239999999998</v>
      </c>
      <c r="L375" s="79">
        <f t="shared" si="146"/>
        <v>33468.239999999998</v>
      </c>
      <c r="M375" s="79">
        <f t="shared" si="147"/>
        <v>278.90199999999999</v>
      </c>
      <c r="N375" s="79">
        <f t="shared" si="148"/>
        <v>3346.8239999999996</v>
      </c>
      <c r="O375" s="79">
        <f t="shared" si="149"/>
        <v>3346.8239999999996</v>
      </c>
      <c r="P375" s="79">
        <f t="shared" si="150"/>
        <v>23427.767999999996</v>
      </c>
      <c r="Q375" s="79">
        <f t="shared" si="151"/>
        <v>26774.591999999997</v>
      </c>
      <c r="R375" s="79">
        <f t="shared" si="152"/>
        <v>6693.648000000001</v>
      </c>
    </row>
    <row r="376" spans="1:18">
      <c r="A376" s="118">
        <v>86471</v>
      </c>
      <c r="B376" s="50">
        <v>486</v>
      </c>
      <c r="C376" t="s">
        <v>402</v>
      </c>
      <c r="D376">
        <v>2011</v>
      </c>
      <c r="E376">
        <v>9</v>
      </c>
      <c r="F376">
        <v>0</v>
      </c>
      <c r="G376" t="s">
        <v>78</v>
      </c>
      <c r="H376" s="22" t="s">
        <v>9</v>
      </c>
      <c r="I376">
        <f t="shared" si="144"/>
        <v>2021</v>
      </c>
      <c r="J376" s="20">
        <f t="shared" si="145"/>
        <v>2021.75</v>
      </c>
      <c r="K376" s="79">
        <v>26699.38</v>
      </c>
      <c r="L376" s="79">
        <f t="shared" si="146"/>
        <v>26699.38</v>
      </c>
      <c r="M376" s="79">
        <f t="shared" si="147"/>
        <v>222.49483333333333</v>
      </c>
      <c r="N376" s="79">
        <f t="shared" si="148"/>
        <v>2669.9380000000001</v>
      </c>
      <c r="O376" s="79">
        <f t="shared" si="149"/>
        <v>2669.9380000000001</v>
      </c>
      <c r="P376" s="79">
        <f t="shared" si="150"/>
        <v>18689.565999999999</v>
      </c>
      <c r="Q376" s="79">
        <f t="shared" si="151"/>
        <v>21359.504000000001</v>
      </c>
      <c r="R376" s="79">
        <f t="shared" si="152"/>
        <v>5339.8760000000002</v>
      </c>
    </row>
    <row r="377" spans="1:18">
      <c r="A377" s="118">
        <v>88134</v>
      </c>
      <c r="B377" s="50">
        <v>486</v>
      </c>
      <c r="C377" t="s">
        <v>402</v>
      </c>
      <c r="D377">
        <v>2011</v>
      </c>
      <c r="E377">
        <v>10</v>
      </c>
      <c r="F377">
        <v>0</v>
      </c>
      <c r="G377" t="s">
        <v>78</v>
      </c>
      <c r="H377" s="22" t="s">
        <v>9</v>
      </c>
      <c r="I377">
        <f t="shared" si="144"/>
        <v>2021</v>
      </c>
      <c r="J377" s="20">
        <f t="shared" si="145"/>
        <v>2021.8333333333333</v>
      </c>
      <c r="K377" s="79">
        <v>26699.38</v>
      </c>
      <c r="L377" s="79">
        <f t="shared" si="146"/>
        <v>26699.38</v>
      </c>
      <c r="M377" s="79">
        <f t="shared" si="147"/>
        <v>222.49483333333333</v>
      </c>
      <c r="N377" s="79">
        <f t="shared" si="148"/>
        <v>2669.9380000000001</v>
      </c>
      <c r="O377" s="79">
        <f t="shared" si="149"/>
        <v>2669.9380000000001</v>
      </c>
      <c r="P377" s="79">
        <f t="shared" si="150"/>
        <v>18689.565999999999</v>
      </c>
      <c r="Q377" s="79">
        <f t="shared" si="151"/>
        <v>21359.504000000001</v>
      </c>
      <c r="R377" s="79">
        <f t="shared" si="152"/>
        <v>5339.8760000000002</v>
      </c>
    </row>
    <row r="378" spans="1:18">
      <c r="A378" s="118" t="s">
        <v>465</v>
      </c>
      <c r="B378" s="50">
        <v>486</v>
      </c>
      <c r="C378" t="s">
        <v>466</v>
      </c>
      <c r="D378">
        <v>2012</v>
      </c>
      <c r="E378">
        <v>6</v>
      </c>
      <c r="F378">
        <v>0</v>
      </c>
      <c r="G378" t="s">
        <v>78</v>
      </c>
      <c r="H378" s="22" t="s">
        <v>9</v>
      </c>
      <c r="I378">
        <f t="shared" si="144"/>
        <v>2022</v>
      </c>
      <c r="J378" s="20">
        <f t="shared" si="145"/>
        <v>2022.5</v>
      </c>
      <c r="K378" s="79">
        <v>25210</v>
      </c>
      <c r="L378" s="79">
        <f t="shared" si="146"/>
        <v>25210</v>
      </c>
      <c r="M378" s="79">
        <f t="shared" si="147"/>
        <v>210.08333333333334</v>
      </c>
      <c r="N378" s="79">
        <f t="shared" si="148"/>
        <v>2521</v>
      </c>
      <c r="O378" s="79">
        <f t="shared" si="149"/>
        <v>2521</v>
      </c>
      <c r="P378" s="79">
        <f t="shared" si="150"/>
        <v>15126</v>
      </c>
      <c r="Q378" s="79">
        <f t="shared" si="151"/>
        <v>17647</v>
      </c>
      <c r="R378" s="79">
        <f t="shared" si="152"/>
        <v>7563</v>
      </c>
    </row>
    <row r="379" spans="1:18">
      <c r="A379" s="118" t="s">
        <v>481</v>
      </c>
      <c r="B379" s="50">
        <v>360</v>
      </c>
      <c r="C379" t="s">
        <v>511</v>
      </c>
      <c r="D379">
        <v>2013</v>
      </c>
      <c r="E379">
        <v>5</v>
      </c>
      <c r="F379">
        <v>0</v>
      </c>
      <c r="G379" t="s">
        <v>78</v>
      </c>
      <c r="H379" s="22">
        <v>7</v>
      </c>
      <c r="I379">
        <f t="shared" si="144"/>
        <v>2020</v>
      </c>
      <c r="J379" s="20">
        <f t="shared" si="145"/>
        <v>2020.4166666666667</v>
      </c>
      <c r="K379" s="79">
        <f>14320.19+4482.74</f>
        <v>18802.93</v>
      </c>
      <c r="L379" s="79">
        <f t="shared" si="146"/>
        <v>18802.93</v>
      </c>
      <c r="M379" s="79">
        <f t="shared" si="147"/>
        <v>223.84440476190477</v>
      </c>
      <c r="N379" s="79">
        <f t="shared" si="148"/>
        <v>2686.1328571428571</v>
      </c>
      <c r="O379" s="79">
        <f t="shared" si="149"/>
        <v>2686.1328571428571</v>
      </c>
      <c r="P379" s="79">
        <f t="shared" si="150"/>
        <v>13430.664285714285</v>
      </c>
      <c r="Q379" s="79">
        <f t="shared" si="151"/>
        <v>16116.797142857142</v>
      </c>
      <c r="R379" s="79">
        <f t="shared" si="152"/>
        <v>2686.1328571428585</v>
      </c>
    </row>
    <row r="380" spans="1:18">
      <c r="A380" s="118" t="s">
        <v>483</v>
      </c>
      <c r="B380" s="50">
        <f>486+5</f>
        <v>491</v>
      </c>
      <c r="C380" t="s">
        <v>511</v>
      </c>
      <c r="D380">
        <v>2013</v>
      </c>
      <c r="E380">
        <v>7</v>
      </c>
      <c r="F380">
        <v>0</v>
      </c>
      <c r="G380" t="s">
        <v>78</v>
      </c>
      <c r="H380" s="22">
        <v>7</v>
      </c>
      <c r="I380">
        <f t="shared" si="144"/>
        <v>2020</v>
      </c>
      <c r="J380" s="20">
        <f t="shared" si="145"/>
        <v>2020.5833333333333</v>
      </c>
      <c r="K380" s="79">
        <f>24969.75+243.98</f>
        <v>25213.73</v>
      </c>
      <c r="L380" s="79">
        <f t="shared" si="146"/>
        <v>25213.73</v>
      </c>
      <c r="M380" s="79">
        <f t="shared" si="147"/>
        <v>300.16345238095238</v>
      </c>
      <c r="N380" s="79">
        <f t="shared" si="148"/>
        <v>3601.9614285714288</v>
      </c>
      <c r="O380" s="79">
        <f t="shared" si="149"/>
        <v>3601.9614285714288</v>
      </c>
      <c r="P380" s="79">
        <f t="shared" si="150"/>
        <v>18009.807142857142</v>
      </c>
      <c r="Q380" s="79">
        <f t="shared" si="151"/>
        <v>21611.768571428569</v>
      </c>
      <c r="R380" s="79">
        <f t="shared" si="152"/>
        <v>3601.9614285714306</v>
      </c>
    </row>
    <row r="381" spans="1:18">
      <c r="A381" s="118" t="s">
        <v>489</v>
      </c>
      <c r="B381" s="50">
        <f>121+1</f>
        <v>122</v>
      </c>
      <c r="C381" t="s">
        <v>511</v>
      </c>
      <c r="D381">
        <v>2013</v>
      </c>
      <c r="E381">
        <v>11</v>
      </c>
      <c r="F381">
        <v>0</v>
      </c>
      <c r="G381" t="s">
        <v>78</v>
      </c>
      <c r="H381" s="22">
        <v>7</v>
      </c>
      <c r="I381">
        <f t="shared" si="144"/>
        <v>2020</v>
      </c>
      <c r="J381" s="20">
        <f t="shared" si="145"/>
        <v>2020.9166666666667</v>
      </c>
      <c r="K381" s="79">
        <f>7248.64+47.49</f>
        <v>7296.13</v>
      </c>
      <c r="L381" s="79">
        <f t="shared" si="146"/>
        <v>7296.13</v>
      </c>
      <c r="M381" s="79">
        <f t="shared" si="147"/>
        <v>86.858690476190475</v>
      </c>
      <c r="N381" s="79">
        <f t="shared" si="148"/>
        <v>1042.3042857142857</v>
      </c>
      <c r="O381" s="79">
        <f t="shared" si="149"/>
        <v>1042.3042857142857</v>
      </c>
      <c r="P381" s="79">
        <f t="shared" si="150"/>
        <v>5211.5214285714283</v>
      </c>
      <c r="Q381" s="79">
        <f t="shared" si="151"/>
        <v>6253.8257142857137</v>
      </c>
      <c r="R381" s="79">
        <f t="shared" si="152"/>
        <v>1042.3042857142864</v>
      </c>
    </row>
    <row r="382" spans="1:18">
      <c r="A382" s="118">
        <v>112461</v>
      </c>
      <c r="B382" s="50">
        <v>486</v>
      </c>
      <c r="C382" t="s">
        <v>511</v>
      </c>
      <c r="D382">
        <v>2014</v>
      </c>
      <c r="E382">
        <v>3</v>
      </c>
      <c r="F382">
        <v>0</v>
      </c>
      <c r="G382" t="s">
        <v>78</v>
      </c>
      <c r="H382" s="22">
        <v>7</v>
      </c>
      <c r="I382">
        <f t="shared" si="144"/>
        <v>2021</v>
      </c>
      <c r="J382" s="20">
        <f t="shared" si="145"/>
        <v>2021.25</v>
      </c>
      <c r="K382" s="79">
        <v>27064.05</v>
      </c>
      <c r="L382" s="79">
        <f t="shared" si="146"/>
        <v>27064.05</v>
      </c>
      <c r="M382" s="79">
        <f t="shared" si="147"/>
        <v>322.19107142857143</v>
      </c>
      <c r="N382" s="79">
        <f t="shared" si="148"/>
        <v>3866.2928571428574</v>
      </c>
      <c r="O382" s="79">
        <f t="shared" si="149"/>
        <v>3866.2928571428574</v>
      </c>
      <c r="P382" s="79">
        <f t="shared" si="150"/>
        <v>15465.17142857143</v>
      </c>
      <c r="Q382" s="79">
        <f t="shared" si="151"/>
        <v>19331.464285714286</v>
      </c>
      <c r="R382" s="79">
        <f t="shared" si="152"/>
        <v>7732.585714285713</v>
      </c>
    </row>
    <row r="383" spans="1:18">
      <c r="A383" s="118">
        <v>115102</v>
      </c>
      <c r="B383" s="50">
        <v>624</v>
      </c>
      <c r="C383" t="s">
        <v>512</v>
      </c>
      <c r="D383">
        <v>2014</v>
      </c>
      <c r="E383">
        <v>7</v>
      </c>
      <c r="F383">
        <v>0</v>
      </c>
      <c r="G383" t="s">
        <v>78</v>
      </c>
      <c r="H383" s="22">
        <v>7</v>
      </c>
      <c r="I383">
        <f t="shared" si="144"/>
        <v>2021</v>
      </c>
      <c r="J383" s="20">
        <f t="shared" si="145"/>
        <v>2021.5833333333333</v>
      </c>
      <c r="K383" s="79">
        <v>36227.360000000001</v>
      </c>
      <c r="L383" s="79">
        <f t="shared" si="146"/>
        <v>36227.360000000001</v>
      </c>
      <c r="M383" s="79">
        <f t="shared" si="147"/>
        <v>431.2780952380952</v>
      </c>
      <c r="N383" s="79">
        <f t="shared" si="148"/>
        <v>5175.3371428571427</v>
      </c>
      <c r="O383" s="79">
        <f t="shared" si="149"/>
        <v>5175.3371428571427</v>
      </c>
      <c r="P383" s="79">
        <f t="shared" si="150"/>
        <v>20701.348571428571</v>
      </c>
      <c r="Q383" s="79">
        <f t="shared" si="151"/>
        <v>25876.685714285712</v>
      </c>
      <c r="R383" s="79">
        <f t="shared" si="152"/>
        <v>10350.674285714289</v>
      </c>
    </row>
    <row r="384" spans="1:18">
      <c r="A384" s="118">
        <v>120168</v>
      </c>
      <c r="B384" s="50">
        <v>624</v>
      </c>
      <c r="C384" t="s">
        <v>512</v>
      </c>
      <c r="D384">
        <v>2015</v>
      </c>
      <c r="E384">
        <v>1</v>
      </c>
      <c r="F384">
        <v>0</v>
      </c>
      <c r="G384" t="s">
        <v>78</v>
      </c>
      <c r="H384" s="22">
        <v>7</v>
      </c>
      <c r="I384">
        <f t="shared" si="144"/>
        <v>2022</v>
      </c>
      <c r="J384" s="20">
        <f t="shared" si="145"/>
        <v>2022.0833333333333</v>
      </c>
      <c r="K384" s="79">
        <v>33703.620000000003</v>
      </c>
      <c r="L384" s="79">
        <f t="shared" si="146"/>
        <v>33703.620000000003</v>
      </c>
      <c r="M384" s="79">
        <f t="shared" si="147"/>
        <v>401.23357142857145</v>
      </c>
      <c r="N384" s="79">
        <f t="shared" si="148"/>
        <v>4814.8028571428576</v>
      </c>
      <c r="O384" s="79">
        <f t="shared" si="149"/>
        <v>4814.8028571428576</v>
      </c>
      <c r="P384" s="79">
        <f t="shared" si="150"/>
        <v>14444.408571428572</v>
      </c>
      <c r="Q384" s="79">
        <f t="shared" si="151"/>
        <v>19259.211428571431</v>
      </c>
      <c r="R384" s="79">
        <f t="shared" si="152"/>
        <v>14444.408571428572</v>
      </c>
    </row>
    <row r="385" spans="1:18">
      <c r="A385" s="118" t="s">
        <v>566</v>
      </c>
      <c r="B385" s="50">
        <f>624+156</f>
        <v>780</v>
      </c>
      <c r="C385" t="s">
        <v>512</v>
      </c>
      <c r="D385">
        <v>2015</v>
      </c>
      <c r="E385">
        <v>4</v>
      </c>
      <c r="F385">
        <v>0</v>
      </c>
      <c r="G385" t="s">
        <v>78</v>
      </c>
      <c r="H385" s="22">
        <v>7</v>
      </c>
      <c r="I385">
        <f t="shared" si="144"/>
        <v>2022</v>
      </c>
      <c r="J385" s="20">
        <f t="shared" si="145"/>
        <v>2022.3333333333333</v>
      </c>
      <c r="K385" s="79">
        <f>33250.24+8180.16</f>
        <v>41430.399999999994</v>
      </c>
      <c r="L385" s="79">
        <f t="shared" si="146"/>
        <v>41430.399999999994</v>
      </c>
      <c r="M385" s="79">
        <f t="shared" si="147"/>
        <v>493.21904761904756</v>
      </c>
      <c r="N385" s="79">
        <f t="shared" si="148"/>
        <v>5918.6285714285705</v>
      </c>
      <c r="O385" s="79">
        <f t="shared" si="149"/>
        <v>5918.6285714285705</v>
      </c>
      <c r="P385" s="79">
        <f t="shared" si="150"/>
        <v>17755.885714285712</v>
      </c>
      <c r="Q385" s="79">
        <f t="shared" si="151"/>
        <v>23674.514285714282</v>
      </c>
      <c r="R385" s="79">
        <f t="shared" si="152"/>
        <v>17755.885714285712</v>
      </c>
    </row>
    <row r="386" spans="1:18">
      <c r="A386" s="118">
        <v>123664</v>
      </c>
      <c r="B386" s="50">
        <v>276</v>
      </c>
      <c r="C386" t="s">
        <v>512</v>
      </c>
      <c r="D386">
        <v>2015</v>
      </c>
      <c r="E386">
        <v>6</v>
      </c>
      <c r="F386">
        <v>0</v>
      </c>
      <c r="G386" t="s">
        <v>78</v>
      </c>
      <c r="H386" s="22">
        <v>7</v>
      </c>
      <c r="I386">
        <f t="shared" si="144"/>
        <v>2022</v>
      </c>
      <c r="J386" s="20">
        <f t="shared" si="145"/>
        <v>2022.5</v>
      </c>
      <c r="K386" s="79">
        <v>14190.57</v>
      </c>
      <c r="L386" s="79">
        <f t="shared" si="146"/>
        <v>14190.57</v>
      </c>
      <c r="M386" s="79">
        <f t="shared" si="147"/>
        <v>168.93535714285716</v>
      </c>
      <c r="N386" s="79">
        <f t="shared" si="148"/>
        <v>2027.224285714286</v>
      </c>
      <c r="O386" s="79">
        <f t="shared" si="149"/>
        <v>2027.224285714286</v>
      </c>
      <c r="P386" s="79">
        <f t="shared" si="150"/>
        <v>6081.6728571428575</v>
      </c>
      <c r="Q386" s="79">
        <f t="shared" si="151"/>
        <v>8108.897142857144</v>
      </c>
      <c r="R386" s="79">
        <f t="shared" si="152"/>
        <v>6081.6728571428557</v>
      </c>
    </row>
    <row r="387" spans="1:18">
      <c r="A387" s="118">
        <v>128181</v>
      </c>
      <c r="B387" s="50">
        <v>624</v>
      </c>
      <c r="C387" t="s">
        <v>512</v>
      </c>
      <c r="D387">
        <v>2015</v>
      </c>
      <c r="E387">
        <v>10</v>
      </c>
      <c r="F387">
        <v>0</v>
      </c>
      <c r="G387" t="s">
        <v>78</v>
      </c>
      <c r="H387" s="22">
        <v>7</v>
      </c>
      <c r="I387">
        <f t="shared" si="144"/>
        <v>2022</v>
      </c>
      <c r="J387" s="20">
        <f t="shared" si="145"/>
        <v>2022.8333333333333</v>
      </c>
      <c r="K387" s="79">
        <v>31816.22</v>
      </c>
      <c r="L387" s="79">
        <f t="shared" si="146"/>
        <v>31816.22</v>
      </c>
      <c r="M387" s="79">
        <f t="shared" si="147"/>
        <v>378.76452380952384</v>
      </c>
      <c r="N387" s="79">
        <f t="shared" si="148"/>
        <v>4545.1742857142863</v>
      </c>
      <c r="O387" s="79">
        <f t="shared" si="149"/>
        <v>4545.1742857142863</v>
      </c>
      <c r="P387" s="79">
        <f t="shared" si="150"/>
        <v>13635.52285714286</v>
      </c>
      <c r="Q387" s="79">
        <f t="shared" si="151"/>
        <v>18180.697142857145</v>
      </c>
      <c r="R387" s="79">
        <f t="shared" si="152"/>
        <v>13635.522857142856</v>
      </c>
    </row>
    <row r="388" spans="1:18">
      <c r="A388" s="118">
        <v>128182</v>
      </c>
      <c r="B388" s="50">
        <v>624</v>
      </c>
      <c r="C388" t="s">
        <v>512</v>
      </c>
      <c r="D388">
        <v>2015</v>
      </c>
      <c r="E388">
        <v>11</v>
      </c>
      <c r="F388">
        <v>0</v>
      </c>
      <c r="G388" t="s">
        <v>78</v>
      </c>
      <c r="H388" s="22">
        <v>7</v>
      </c>
      <c r="I388">
        <f t="shared" si="144"/>
        <v>2022</v>
      </c>
      <c r="J388" s="20">
        <f t="shared" si="145"/>
        <v>2022.9166666666667</v>
      </c>
      <c r="K388" s="79">
        <v>32078.49</v>
      </c>
      <c r="L388" s="79">
        <f t="shared" si="146"/>
        <v>32078.49</v>
      </c>
      <c r="M388" s="79">
        <f t="shared" si="147"/>
        <v>381.88678571428574</v>
      </c>
      <c r="N388" s="79">
        <f t="shared" si="148"/>
        <v>4582.6414285714291</v>
      </c>
      <c r="O388" s="79">
        <f t="shared" si="149"/>
        <v>4582.6414285714291</v>
      </c>
      <c r="P388" s="79">
        <f t="shared" si="150"/>
        <v>13747.924285714287</v>
      </c>
      <c r="Q388" s="79">
        <f t="shared" si="151"/>
        <v>18330.565714285716</v>
      </c>
      <c r="R388" s="79">
        <f t="shared" si="152"/>
        <v>13747.924285714285</v>
      </c>
    </row>
    <row r="389" spans="1:18">
      <c r="A389" s="118">
        <v>131776</v>
      </c>
      <c r="B389" s="50">
        <v>312</v>
      </c>
      <c r="C389" t="s">
        <v>512</v>
      </c>
      <c r="D389">
        <v>2016</v>
      </c>
      <c r="E389">
        <v>3</v>
      </c>
      <c r="F389">
        <v>0</v>
      </c>
      <c r="G389" t="s">
        <v>78</v>
      </c>
      <c r="H389" s="22">
        <v>7</v>
      </c>
      <c r="I389">
        <f t="shared" si="144"/>
        <v>2023</v>
      </c>
      <c r="J389" s="20">
        <f t="shared" si="145"/>
        <v>2023.25</v>
      </c>
      <c r="K389" s="79">
        <v>15417.47</v>
      </c>
      <c r="L389" s="79">
        <f t="shared" si="146"/>
        <v>15417.47</v>
      </c>
      <c r="M389" s="79">
        <f t="shared" si="147"/>
        <v>183.54130952380953</v>
      </c>
      <c r="N389" s="79">
        <f t="shared" si="148"/>
        <v>2202.4957142857143</v>
      </c>
      <c r="O389" s="79">
        <f t="shared" si="149"/>
        <v>2202.4957142857143</v>
      </c>
      <c r="P389" s="79">
        <f t="shared" si="150"/>
        <v>4404.9914285714285</v>
      </c>
      <c r="Q389" s="79">
        <f t="shared" si="151"/>
        <v>6607.4871428571423</v>
      </c>
      <c r="R389" s="79">
        <f t="shared" si="152"/>
        <v>8809.982857142857</v>
      </c>
    </row>
    <row r="390" spans="1:18">
      <c r="A390" s="118">
        <v>170977</v>
      </c>
      <c r="B390" s="50">
        <v>624</v>
      </c>
      <c r="C390" t="s">
        <v>512</v>
      </c>
      <c r="D390">
        <v>2016</v>
      </c>
      <c r="E390">
        <v>12</v>
      </c>
      <c r="F390">
        <v>0</v>
      </c>
      <c r="G390" t="s">
        <v>78</v>
      </c>
      <c r="H390" s="22">
        <v>7</v>
      </c>
      <c r="I390">
        <f t="shared" si="144"/>
        <v>2023</v>
      </c>
      <c r="J390" s="20">
        <f t="shared" si="145"/>
        <v>2024</v>
      </c>
      <c r="K390" s="79">
        <v>31926.69</v>
      </c>
      <c r="L390" s="79">
        <f t="shared" si="146"/>
        <v>31926.69</v>
      </c>
      <c r="M390" s="79">
        <f t="shared" si="147"/>
        <v>380.0796428571428</v>
      </c>
      <c r="N390" s="79">
        <f t="shared" si="148"/>
        <v>4560.9557142857138</v>
      </c>
      <c r="O390" s="79">
        <f t="shared" si="149"/>
        <v>4560.9557142857138</v>
      </c>
      <c r="P390" s="79">
        <f t="shared" si="150"/>
        <v>9121.9114285714277</v>
      </c>
      <c r="Q390" s="79">
        <f t="shared" si="151"/>
        <v>13682.867142857142</v>
      </c>
      <c r="R390" s="79">
        <f t="shared" si="152"/>
        <v>18243.822857142855</v>
      </c>
    </row>
    <row r="391" spans="1:18">
      <c r="A391" s="118">
        <v>182635</v>
      </c>
      <c r="B391" s="50">
        <v>624</v>
      </c>
      <c r="C391" t="s">
        <v>619</v>
      </c>
      <c r="D391">
        <v>2017</v>
      </c>
      <c r="E391">
        <v>6</v>
      </c>
      <c r="F391">
        <v>0</v>
      </c>
      <c r="G391" t="s">
        <v>78</v>
      </c>
      <c r="H391" s="22">
        <v>7</v>
      </c>
      <c r="I391">
        <f t="shared" si="144"/>
        <v>2024</v>
      </c>
      <c r="J391" s="20">
        <f t="shared" si="145"/>
        <v>2024.5</v>
      </c>
      <c r="K391" s="79">
        <v>32816.83</v>
      </c>
      <c r="L391" s="79">
        <f t="shared" si="146"/>
        <v>32816.83</v>
      </c>
      <c r="M391" s="79">
        <f t="shared" si="147"/>
        <v>390.67654761904765</v>
      </c>
      <c r="N391" s="79">
        <f t="shared" si="148"/>
        <v>4688.1185714285721</v>
      </c>
      <c r="O391" s="79">
        <f t="shared" si="149"/>
        <v>4688.1185714285721</v>
      </c>
      <c r="P391" s="79">
        <f t="shared" si="150"/>
        <v>4688.1185714285721</v>
      </c>
      <c r="Q391" s="79">
        <f t="shared" si="151"/>
        <v>9376.2371428571441</v>
      </c>
      <c r="R391" s="79">
        <f t="shared" si="152"/>
        <v>23440.592857142859</v>
      </c>
    </row>
    <row r="392" spans="1:18">
      <c r="A392" s="118">
        <v>178889</v>
      </c>
      <c r="B392" s="50">
        <v>624</v>
      </c>
      <c r="C392" t="s">
        <v>623</v>
      </c>
      <c r="D392">
        <v>2017</v>
      </c>
      <c r="E392">
        <v>3</v>
      </c>
      <c r="F392">
        <v>0</v>
      </c>
      <c r="G392" t="s">
        <v>78</v>
      </c>
      <c r="H392" s="22">
        <v>7</v>
      </c>
      <c r="I392">
        <f t="shared" si="144"/>
        <v>2024</v>
      </c>
      <c r="J392" s="20">
        <f t="shared" si="145"/>
        <v>2024.25</v>
      </c>
      <c r="K392" s="79">
        <v>31795.97</v>
      </c>
      <c r="L392" s="79">
        <f t="shared" si="146"/>
        <v>31795.97</v>
      </c>
      <c r="M392" s="79">
        <f t="shared" si="147"/>
        <v>378.52345238095239</v>
      </c>
      <c r="N392" s="79">
        <f t="shared" si="148"/>
        <v>4542.2814285714285</v>
      </c>
      <c r="O392" s="79">
        <f t="shared" si="149"/>
        <v>4542.2814285714285</v>
      </c>
      <c r="P392" s="79">
        <f t="shared" si="150"/>
        <v>4542.2814285714285</v>
      </c>
      <c r="Q392" s="79">
        <f t="shared" si="151"/>
        <v>9084.562857142857</v>
      </c>
      <c r="R392" s="79">
        <f t="shared" si="152"/>
        <v>22711.407142857144</v>
      </c>
    </row>
    <row r="393" spans="1:18">
      <c r="A393" s="118">
        <v>187522</v>
      </c>
      <c r="B393" s="50">
        <v>624</v>
      </c>
      <c r="C393" t="s">
        <v>721</v>
      </c>
      <c r="D393">
        <v>2017</v>
      </c>
      <c r="E393">
        <v>10</v>
      </c>
      <c r="F393">
        <v>0</v>
      </c>
      <c r="G393" t="s">
        <v>78</v>
      </c>
      <c r="H393" s="22">
        <v>7</v>
      </c>
      <c r="I393">
        <f t="shared" si="144"/>
        <v>2024</v>
      </c>
      <c r="J393" s="20">
        <f t="shared" si="145"/>
        <v>2024.8333333333333</v>
      </c>
      <c r="K393" s="79">
        <v>32805.43</v>
      </c>
      <c r="L393" s="79">
        <f t="shared" si="146"/>
        <v>32805.43</v>
      </c>
      <c r="M393" s="79">
        <f t="shared" si="147"/>
        <v>390.5408333333333</v>
      </c>
      <c r="N393" s="79">
        <f t="shared" si="148"/>
        <v>4686.49</v>
      </c>
      <c r="O393" s="79">
        <f t="shared" si="149"/>
        <v>4686.49</v>
      </c>
      <c r="P393" s="79">
        <f t="shared" si="150"/>
        <v>4686.49</v>
      </c>
      <c r="Q393" s="79">
        <f t="shared" si="151"/>
        <v>9372.98</v>
      </c>
      <c r="R393" s="79">
        <f t="shared" si="152"/>
        <v>23432.45</v>
      </c>
    </row>
    <row r="394" spans="1:18">
      <c r="A394" s="118">
        <v>187521</v>
      </c>
      <c r="B394" s="50">
        <v>624</v>
      </c>
      <c r="C394" t="s">
        <v>721</v>
      </c>
      <c r="D394">
        <v>2017</v>
      </c>
      <c r="E394">
        <v>10</v>
      </c>
      <c r="F394">
        <v>0</v>
      </c>
      <c r="G394" t="s">
        <v>78</v>
      </c>
      <c r="H394" s="22">
        <v>7</v>
      </c>
      <c r="I394">
        <f t="shared" ref="I394:I403" si="153">D394+H394</f>
        <v>2024</v>
      </c>
      <c r="J394" s="20">
        <f t="shared" ref="J394:J396" si="154">+I394+(E394/12)</f>
        <v>2024.8333333333333</v>
      </c>
      <c r="K394" s="79">
        <v>32805.43</v>
      </c>
      <c r="L394" s="79">
        <f t="shared" si="146"/>
        <v>32805.43</v>
      </c>
      <c r="M394" s="79">
        <f t="shared" si="147"/>
        <v>390.5408333333333</v>
      </c>
      <c r="N394" s="79">
        <f t="shared" ref="N394:N396" si="155">+M394*12</f>
        <v>4686.49</v>
      </c>
      <c r="O394" s="79">
        <f t="shared" si="149"/>
        <v>4686.49</v>
      </c>
      <c r="P394" s="79">
        <f t="shared" si="150"/>
        <v>4686.49</v>
      </c>
      <c r="Q394" s="79">
        <f t="shared" si="151"/>
        <v>9372.98</v>
      </c>
      <c r="R394" s="79">
        <f t="shared" si="152"/>
        <v>23432.45</v>
      </c>
    </row>
    <row r="395" spans="1:18">
      <c r="A395" s="118">
        <v>190751</v>
      </c>
      <c r="B395" s="50">
        <v>642</v>
      </c>
      <c r="C395" t="s">
        <v>623</v>
      </c>
      <c r="D395">
        <v>2017</v>
      </c>
      <c r="E395">
        <v>11</v>
      </c>
      <c r="F395">
        <v>0</v>
      </c>
      <c r="G395" t="s">
        <v>78</v>
      </c>
      <c r="H395" s="22">
        <v>7</v>
      </c>
      <c r="I395">
        <f t="shared" si="153"/>
        <v>2024</v>
      </c>
      <c r="J395" s="20">
        <f t="shared" si="154"/>
        <v>2024.9166666666667</v>
      </c>
      <c r="K395" s="79">
        <v>32805.43</v>
      </c>
      <c r="L395" s="79">
        <f t="shared" ref="L395:L396" si="156">K395-K395*F395</f>
        <v>32805.43</v>
      </c>
      <c r="M395" s="79">
        <f t="shared" ref="M395:M396" si="157">L395/H395/12</f>
        <v>390.5408333333333</v>
      </c>
      <c r="N395" s="79">
        <f t="shared" si="155"/>
        <v>4686.49</v>
      </c>
      <c r="O395" s="79">
        <f t="shared" ref="O395:O396" si="158">+IF(J395&lt;=$L$5,0,IF(I395&gt;$L$4,N395,(M395*E395)))</f>
        <v>4686.49</v>
      </c>
      <c r="P395" s="79">
        <f t="shared" ref="P395:P396" si="159">+IF(O395=0,L395,IF($L$3-D395&lt;1,0,(($L$3-D395)*O395)))</f>
        <v>4686.49</v>
      </c>
      <c r="Q395" s="79">
        <f t="shared" ref="Q395:Q396" si="160">+IF(O395=0,P395,P395+O395)</f>
        <v>9372.98</v>
      </c>
      <c r="R395" s="79">
        <f t="shared" ref="R395:R396" si="161">+K395-Q395</f>
        <v>23432.45</v>
      </c>
    </row>
    <row r="396" spans="1:18">
      <c r="A396" s="119">
        <v>199445</v>
      </c>
      <c r="B396" s="50">
        <v>624</v>
      </c>
      <c r="C396" s="50" t="s">
        <v>623</v>
      </c>
      <c r="D396" s="50">
        <v>2018</v>
      </c>
      <c r="E396" s="50">
        <v>4</v>
      </c>
      <c r="F396" s="50">
        <v>0</v>
      </c>
      <c r="G396" s="50" t="s">
        <v>78</v>
      </c>
      <c r="H396" s="62">
        <v>7</v>
      </c>
      <c r="I396" s="50">
        <f t="shared" si="153"/>
        <v>2025</v>
      </c>
      <c r="J396" s="85">
        <f t="shared" si="154"/>
        <v>2025.3333333333333</v>
      </c>
      <c r="K396" s="86">
        <v>33108.660000000003</v>
      </c>
      <c r="L396" s="86">
        <f t="shared" si="156"/>
        <v>33108.660000000003</v>
      </c>
      <c r="M396" s="86">
        <f t="shared" si="157"/>
        <v>394.15071428571429</v>
      </c>
      <c r="N396" s="86">
        <f t="shared" si="155"/>
        <v>4729.8085714285717</v>
      </c>
      <c r="O396" s="86">
        <f t="shared" si="158"/>
        <v>4729.8085714285717</v>
      </c>
      <c r="P396" s="86">
        <f t="shared" si="159"/>
        <v>0</v>
      </c>
      <c r="Q396" s="86">
        <f t="shared" si="160"/>
        <v>4729.8085714285717</v>
      </c>
      <c r="R396" s="86">
        <f t="shared" si="161"/>
        <v>28378.851428571434</v>
      </c>
    </row>
    <row r="397" spans="1:18">
      <c r="A397" s="119">
        <v>202194</v>
      </c>
      <c r="B397" s="50">
        <v>624</v>
      </c>
      <c r="C397" s="50" t="s">
        <v>623</v>
      </c>
      <c r="D397" s="50">
        <v>2018</v>
      </c>
      <c r="E397" s="50">
        <v>8</v>
      </c>
      <c r="F397" s="50">
        <v>0</v>
      </c>
      <c r="G397" s="50" t="s">
        <v>78</v>
      </c>
      <c r="H397" s="62">
        <v>7</v>
      </c>
      <c r="I397" s="50">
        <f t="shared" si="153"/>
        <v>2025</v>
      </c>
      <c r="J397" s="85">
        <f t="shared" ref="J397:J403" si="162">+I397+(E397/12)</f>
        <v>2025.6666666666667</v>
      </c>
      <c r="K397" s="86">
        <v>33435.82</v>
      </c>
      <c r="L397" s="86">
        <f t="shared" ref="L397:L402" si="163">K397-K397*F397</f>
        <v>33435.82</v>
      </c>
      <c r="M397" s="86">
        <f t="shared" ref="M397:M402" si="164">L397/H397/12</f>
        <v>398.04547619047617</v>
      </c>
      <c r="N397" s="86">
        <f t="shared" ref="N397:N402" si="165">+M397*12</f>
        <v>4776.545714285714</v>
      </c>
      <c r="O397" s="86">
        <f t="shared" ref="O397:O402" si="166">+IF(J397&lt;=$L$5,0,IF(I397&gt;$L$4,N397,(M397*E397)))</f>
        <v>4776.545714285714</v>
      </c>
      <c r="P397" s="86">
        <f t="shared" ref="P397:P402" si="167">+IF(O397=0,L397,IF($L$3-D397&lt;1,0,(($L$3-D397)*O397)))</f>
        <v>0</v>
      </c>
      <c r="Q397" s="86">
        <f t="shared" ref="Q397:Q402" si="168">+IF(O397=0,P397,P397+O397)</f>
        <v>4776.545714285714</v>
      </c>
      <c r="R397" s="86">
        <f t="shared" ref="R397:R402" si="169">+K397-Q397</f>
        <v>28659.274285714288</v>
      </c>
    </row>
    <row r="398" spans="1:18">
      <c r="A398" s="119">
        <v>204245</v>
      </c>
      <c r="B398" s="50">
        <v>312</v>
      </c>
      <c r="C398" s="50" t="s">
        <v>623</v>
      </c>
      <c r="D398" s="50">
        <v>2018</v>
      </c>
      <c r="E398" s="50">
        <v>8</v>
      </c>
      <c r="F398" s="50">
        <v>0</v>
      </c>
      <c r="G398" s="50" t="s">
        <v>78</v>
      </c>
      <c r="H398" s="62">
        <v>7</v>
      </c>
      <c r="I398" s="50">
        <f t="shared" si="153"/>
        <v>2025</v>
      </c>
      <c r="J398" s="85">
        <f t="shared" si="162"/>
        <v>2025.6666666666667</v>
      </c>
      <c r="K398" s="86">
        <v>16735.59</v>
      </c>
      <c r="L398" s="86">
        <f t="shared" si="163"/>
        <v>16735.59</v>
      </c>
      <c r="M398" s="86">
        <f t="shared" si="164"/>
        <v>199.2332142857143</v>
      </c>
      <c r="N398" s="86">
        <f t="shared" si="165"/>
        <v>2390.7985714285714</v>
      </c>
      <c r="O398" s="86">
        <f t="shared" si="166"/>
        <v>2390.7985714285714</v>
      </c>
      <c r="P398" s="86">
        <f t="shared" si="167"/>
        <v>0</v>
      </c>
      <c r="Q398" s="86">
        <f t="shared" si="168"/>
        <v>2390.7985714285714</v>
      </c>
      <c r="R398" s="86">
        <f t="shared" si="169"/>
        <v>14344.791428571429</v>
      </c>
    </row>
    <row r="399" spans="1:18" s="53" customFormat="1">
      <c r="A399" s="120">
        <v>210120</v>
      </c>
      <c r="B399" s="50">
        <v>624</v>
      </c>
      <c r="C399" s="54" t="s">
        <v>806</v>
      </c>
      <c r="D399" s="53">
        <v>2019</v>
      </c>
      <c r="E399" s="53">
        <v>1</v>
      </c>
      <c r="F399" s="53">
        <v>0</v>
      </c>
      <c r="G399" s="54" t="s">
        <v>78</v>
      </c>
      <c r="H399" s="57">
        <v>7</v>
      </c>
      <c r="I399" s="53">
        <f t="shared" si="153"/>
        <v>2026</v>
      </c>
      <c r="J399" s="58">
        <f t="shared" si="162"/>
        <v>2026.0833333333333</v>
      </c>
      <c r="K399" s="80">
        <v>31843.759999999998</v>
      </c>
      <c r="L399" s="80">
        <f t="shared" si="163"/>
        <v>31843.759999999998</v>
      </c>
      <c r="M399" s="80">
        <f t="shared" si="164"/>
        <v>379.09238095238089</v>
      </c>
      <c r="N399" s="80">
        <f t="shared" si="165"/>
        <v>4549.1085714285709</v>
      </c>
      <c r="O399" s="80">
        <f t="shared" si="166"/>
        <v>4549.1085714285709</v>
      </c>
      <c r="P399" s="80">
        <f t="shared" si="167"/>
        <v>0</v>
      </c>
      <c r="Q399" s="80">
        <f t="shared" si="168"/>
        <v>4549.1085714285709</v>
      </c>
      <c r="R399" s="80">
        <f t="shared" si="169"/>
        <v>27294.651428571429</v>
      </c>
    </row>
    <row r="400" spans="1:18" s="53" customFormat="1" ht="25.5">
      <c r="A400" s="120" t="s">
        <v>817</v>
      </c>
      <c r="B400" s="50">
        <v>624</v>
      </c>
      <c r="C400" s="54" t="s">
        <v>806</v>
      </c>
      <c r="D400" s="53">
        <v>2019</v>
      </c>
      <c r="E400" s="53">
        <v>5</v>
      </c>
      <c r="F400" s="53">
        <v>0</v>
      </c>
      <c r="G400" s="54" t="s">
        <v>78</v>
      </c>
      <c r="H400" s="57">
        <v>7</v>
      </c>
      <c r="I400" s="53">
        <f t="shared" si="153"/>
        <v>2026</v>
      </c>
      <c r="J400" s="58">
        <f t="shared" si="162"/>
        <v>2026.4166666666667</v>
      </c>
      <c r="K400" s="80">
        <v>30295.87</v>
      </c>
      <c r="L400" s="80">
        <f t="shared" si="163"/>
        <v>30295.87</v>
      </c>
      <c r="M400" s="80">
        <f t="shared" si="164"/>
        <v>360.66511904761904</v>
      </c>
      <c r="N400" s="80">
        <f t="shared" si="165"/>
        <v>4327.9814285714283</v>
      </c>
      <c r="O400" s="80">
        <f t="shared" si="166"/>
        <v>4327.9814285714283</v>
      </c>
      <c r="P400" s="80">
        <f t="shared" si="167"/>
        <v>0</v>
      </c>
      <c r="Q400" s="80">
        <f t="shared" si="168"/>
        <v>4327.9814285714283</v>
      </c>
      <c r="R400" s="80">
        <f t="shared" si="169"/>
        <v>25967.888571428572</v>
      </c>
    </row>
    <row r="401" spans="1:18" s="53" customFormat="1">
      <c r="A401" s="120" t="s">
        <v>807</v>
      </c>
      <c r="B401" s="50"/>
      <c r="C401" s="54" t="s">
        <v>623</v>
      </c>
      <c r="D401" s="53">
        <v>2019</v>
      </c>
      <c r="E401" s="53">
        <v>8</v>
      </c>
      <c r="F401" s="53">
        <v>0</v>
      </c>
      <c r="G401" s="54" t="s">
        <v>78</v>
      </c>
      <c r="H401" s="57">
        <v>7</v>
      </c>
      <c r="I401" s="53">
        <f t="shared" si="153"/>
        <v>2026</v>
      </c>
      <c r="J401" s="58">
        <f t="shared" si="162"/>
        <v>2026.6666666666667</v>
      </c>
      <c r="K401" s="80">
        <f>175000/2</f>
        <v>87500</v>
      </c>
      <c r="L401" s="80">
        <f t="shared" si="163"/>
        <v>87500</v>
      </c>
      <c r="M401" s="80">
        <f t="shared" si="164"/>
        <v>1041.6666666666667</v>
      </c>
      <c r="N401" s="80">
        <f t="shared" si="165"/>
        <v>12500</v>
      </c>
      <c r="O401" s="80">
        <f t="shared" si="166"/>
        <v>12500</v>
      </c>
      <c r="P401" s="80">
        <f t="shared" si="167"/>
        <v>0</v>
      </c>
      <c r="Q401" s="80">
        <f t="shared" si="168"/>
        <v>12500</v>
      </c>
      <c r="R401" s="80">
        <f t="shared" si="169"/>
        <v>75000</v>
      </c>
    </row>
    <row r="402" spans="1:18" s="53" customFormat="1">
      <c r="A402" s="120" t="s">
        <v>807</v>
      </c>
      <c r="B402" s="50"/>
      <c r="C402" s="54" t="s">
        <v>623</v>
      </c>
      <c r="D402" s="53">
        <v>2019</v>
      </c>
      <c r="E402" s="53">
        <v>11</v>
      </c>
      <c r="F402" s="53">
        <v>0</v>
      </c>
      <c r="G402" s="54" t="s">
        <v>78</v>
      </c>
      <c r="H402" s="57">
        <v>7</v>
      </c>
      <c r="I402" s="53">
        <f t="shared" si="153"/>
        <v>2026</v>
      </c>
      <c r="J402" s="58">
        <f t="shared" si="162"/>
        <v>2026.9166666666667</v>
      </c>
      <c r="K402" s="80">
        <f>75000/2</f>
        <v>37500</v>
      </c>
      <c r="L402" s="80">
        <f t="shared" si="163"/>
        <v>37500</v>
      </c>
      <c r="M402" s="80">
        <f t="shared" si="164"/>
        <v>446.42857142857139</v>
      </c>
      <c r="N402" s="80">
        <f t="shared" si="165"/>
        <v>5357.1428571428569</v>
      </c>
      <c r="O402" s="80">
        <f t="shared" si="166"/>
        <v>5357.1428571428569</v>
      </c>
      <c r="P402" s="80">
        <f t="shared" si="167"/>
        <v>0</v>
      </c>
      <c r="Q402" s="80">
        <f t="shared" si="168"/>
        <v>5357.1428571428569</v>
      </c>
      <c r="R402" s="80">
        <f t="shared" si="169"/>
        <v>32142.857142857145</v>
      </c>
    </row>
    <row r="403" spans="1:18" s="53" customFormat="1">
      <c r="A403" s="120" t="s">
        <v>807</v>
      </c>
      <c r="B403" s="50"/>
      <c r="C403" s="54" t="s">
        <v>623</v>
      </c>
      <c r="D403" s="53">
        <v>2019</v>
      </c>
      <c r="E403" s="53">
        <v>5</v>
      </c>
      <c r="F403" s="53">
        <v>0</v>
      </c>
      <c r="G403" s="54" t="s">
        <v>78</v>
      </c>
      <c r="H403" s="57">
        <v>7</v>
      </c>
      <c r="I403" s="53">
        <f t="shared" si="153"/>
        <v>2026</v>
      </c>
      <c r="J403" s="58">
        <f t="shared" si="162"/>
        <v>2026.4166666666667</v>
      </c>
      <c r="K403" s="80">
        <v>30296</v>
      </c>
      <c r="L403" s="80">
        <f t="shared" ref="L403" si="170">K403-K403*F403</f>
        <v>30296</v>
      </c>
      <c r="M403" s="80">
        <f t="shared" ref="M403" si="171">L403/H403/12</f>
        <v>360.66666666666669</v>
      </c>
      <c r="N403" s="80">
        <f t="shared" ref="N403" si="172">+M403*12</f>
        <v>4328</v>
      </c>
      <c r="O403" s="80">
        <f t="shared" ref="O403" si="173">+IF(J403&lt;=$L$5,0,IF(I403&gt;$L$4,N403,(M403*E403)))</f>
        <v>4328</v>
      </c>
      <c r="P403" s="80">
        <f t="shared" ref="P403" si="174">+IF(O403=0,L403,IF($L$3-D403&lt;1,0,(($L$3-D403)*O403)))</f>
        <v>0</v>
      </c>
      <c r="Q403" s="80">
        <f t="shared" ref="Q403" si="175">+IF(O403=0,P403,P403+O403)</f>
        <v>4328</v>
      </c>
      <c r="R403" s="80">
        <f t="shared" ref="R403" si="176">+K403-Q403</f>
        <v>25968</v>
      </c>
    </row>
    <row r="404" spans="1:18">
      <c r="K404" s="79"/>
      <c r="L404" s="79"/>
      <c r="M404" s="79"/>
      <c r="N404" s="79"/>
      <c r="O404" s="79"/>
      <c r="P404" s="79"/>
      <c r="Q404" s="79"/>
      <c r="R404" s="79"/>
    </row>
    <row r="405" spans="1:18">
      <c r="C405" s="9" t="s">
        <v>397</v>
      </c>
      <c r="K405" s="81">
        <f t="shared" ref="K405:R405" si="177">SUM(K370:K404)</f>
        <v>3560462.4400000009</v>
      </c>
      <c r="L405" s="81">
        <f t="shared" si="177"/>
        <v>3560462.4400000009</v>
      </c>
      <c r="M405" s="81">
        <f t="shared" si="177"/>
        <v>32452.350511904773</v>
      </c>
      <c r="N405" s="81">
        <f t="shared" si="177"/>
        <v>389428.20614285721</v>
      </c>
      <c r="O405" s="81">
        <f t="shared" si="177"/>
        <v>126645.75714285717</v>
      </c>
      <c r="P405" s="81">
        <f t="shared" si="177"/>
        <v>2912376.8900000011</v>
      </c>
      <c r="Q405" s="81">
        <f t="shared" si="177"/>
        <v>3039022.6471428573</v>
      </c>
      <c r="R405" s="81">
        <f t="shared" si="177"/>
        <v>521439.79285714298</v>
      </c>
    </row>
    <row r="406" spans="1:18">
      <c r="K406" s="79"/>
      <c r="L406" s="79"/>
      <c r="M406" s="79"/>
      <c r="N406" s="79"/>
      <c r="O406" s="79"/>
      <c r="P406" s="79"/>
      <c r="Q406" s="79"/>
      <c r="R406" s="79"/>
    </row>
    <row r="407" spans="1:18">
      <c r="K407" s="79"/>
      <c r="L407" s="79"/>
      <c r="M407" s="79"/>
      <c r="N407" s="79"/>
      <c r="O407" s="79"/>
      <c r="P407" s="79"/>
      <c r="Q407" s="79"/>
      <c r="R407" s="79"/>
    </row>
    <row r="408" spans="1:18">
      <c r="C408" s="9" t="s">
        <v>295</v>
      </c>
      <c r="K408" s="79"/>
      <c r="L408" s="79"/>
      <c r="M408" s="79"/>
      <c r="N408" s="79"/>
      <c r="O408" s="79"/>
      <c r="P408" s="79"/>
      <c r="Q408" s="79"/>
      <c r="R408" s="79"/>
    </row>
    <row r="409" spans="1:18">
      <c r="B409" s="50">
        <v>402</v>
      </c>
      <c r="C409" t="s">
        <v>261</v>
      </c>
      <c r="D409">
        <v>2004</v>
      </c>
      <c r="E409">
        <v>2</v>
      </c>
      <c r="F409">
        <v>0</v>
      </c>
      <c r="G409" t="s">
        <v>78</v>
      </c>
      <c r="H409" s="22" t="s">
        <v>9</v>
      </c>
      <c r="I409">
        <f t="shared" ref="I409:I430" si="178">D409+H409</f>
        <v>2014</v>
      </c>
      <c r="J409" s="20">
        <f t="shared" ref="J409:J449" si="179">+I409+(E409/12)</f>
        <v>2014.1666666666667</v>
      </c>
      <c r="K409" s="79">
        <v>19316.88</v>
      </c>
      <c r="L409" s="79">
        <f t="shared" ref="L409:L449" si="180">K409-K409*F409</f>
        <v>19316.88</v>
      </c>
      <c r="M409" s="79">
        <f t="shared" ref="M409:M449" si="181">L409/H409/12</f>
        <v>160.97400000000002</v>
      </c>
      <c r="N409" s="79">
        <f t="shared" ref="N409:N449" si="182">+M409*12</f>
        <v>1931.6880000000001</v>
      </c>
      <c r="O409" s="79">
        <f t="shared" ref="O409:O449" si="183">+IF(J409&lt;=$L$5,0,IF(I409&gt;$L$4,N409,(M409*E409)))</f>
        <v>0</v>
      </c>
      <c r="P409" s="79">
        <f t="shared" ref="P409:P449" si="184">+IF(O409=0,L409,IF($L$3-D409&lt;1,0,(($L$3-D409)*O409)))</f>
        <v>19316.88</v>
      </c>
      <c r="Q409" s="79">
        <f t="shared" ref="Q409:Q449" si="185">+IF(O409=0,P409,P409+O409)</f>
        <v>19316.88</v>
      </c>
      <c r="R409" s="79">
        <f t="shared" ref="R409:R449" si="186">+K409-Q409</f>
        <v>0</v>
      </c>
    </row>
    <row r="410" spans="1:18">
      <c r="B410" s="50">
        <v>411</v>
      </c>
      <c r="C410" t="s">
        <v>261</v>
      </c>
      <c r="D410">
        <v>2004</v>
      </c>
      <c r="E410">
        <v>5</v>
      </c>
      <c r="F410">
        <v>0</v>
      </c>
      <c r="G410" t="s">
        <v>78</v>
      </c>
      <c r="H410" s="22" t="s">
        <v>9</v>
      </c>
      <c r="I410">
        <f t="shared" si="178"/>
        <v>2014</v>
      </c>
      <c r="J410" s="20">
        <f t="shared" si="179"/>
        <v>2014.4166666666667</v>
      </c>
      <c r="K410" s="79">
        <v>19743.97</v>
      </c>
      <c r="L410" s="79">
        <f t="shared" si="180"/>
        <v>19743.97</v>
      </c>
      <c r="M410" s="79">
        <f t="shared" si="181"/>
        <v>164.53308333333334</v>
      </c>
      <c r="N410" s="79">
        <f t="shared" si="182"/>
        <v>1974.3969999999999</v>
      </c>
      <c r="O410" s="79">
        <f t="shared" si="183"/>
        <v>0</v>
      </c>
      <c r="P410" s="79">
        <f t="shared" si="184"/>
        <v>19743.97</v>
      </c>
      <c r="Q410" s="79">
        <f t="shared" si="185"/>
        <v>19743.97</v>
      </c>
      <c r="R410" s="79">
        <f t="shared" si="186"/>
        <v>0</v>
      </c>
    </row>
    <row r="411" spans="1:18">
      <c r="B411" s="50">
        <v>253</v>
      </c>
      <c r="C411" t="s">
        <v>261</v>
      </c>
      <c r="D411">
        <v>2004</v>
      </c>
      <c r="E411">
        <v>6</v>
      </c>
      <c r="F411">
        <v>0</v>
      </c>
      <c r="G411" t="s">
        <v>78</v>
      </c>
      <c r="H411" s="22" t="s">
        <v>9</v>
      </c>
      <c r="I411">
        <f t="shared" si="178"/>
        <v>2014</v>
      </c>
      <c r="J411" s="20">
        <f t="shared" si="179"/>
        <v>2014.5</v>
      </c>
      <c r="K411" s="79">
        <v>12128.88</v>
      </c>
      <c r="L411" s="79">
        <f t="shared" si="180"/>
        <v>12128.88</v>
      </c>
      <c r="M411" s="79">
        <f t="shared" si="181"/>
        <v>101.074</v>
      </c>
      <c r="N411" s="79">
        <f t="shared" si="182"/>
        <v>1212.8879999999999</v>
      </c>
      <c r="O411" s="79">
        <f t="shared" si="183"/>
        <v>0</v>
      </c>
      <c r="P411" s="79">
        <f t="shared" si="184"/>
        <v>12128.88</v>
      </c>
      <c r="Q411" s="79">
        <f t="shared" si="185"/>
        <v>12128.88</v>
      </c>
      <c r="R411" s="79">
        <f t="shared" si="186"/>
        <v>0</v>
      </c>
    </row>
    <row r="412" spans="1:18">
      <c r="B412" s="50">
        <v>281</v>
      </c>
      <c r="C412" t="s">
        <v>141</v>
      </c>
      <c r="D412">
        <v>2006</v>
      </c>
      <c r="E412">
        <v>2</v>
      </c>
      <c r="F412">
        <v>0</v>
      </c>
      <c r="G412" t="s">
        <v>78</v>
      </c>
      <c r="H412" s="22" t="s">
        <v>9</v>
      </c>
      <c r="I412">
        <f t="shared" si="178"/>
        <v>2016</v>
      </c>
      <c r="J412" s="20">
        <f t="shared" si="179"/>
        <v>2016.1666666666667</v>
      </c>
      <c r="K412" s="79">
        <v>13484.82</v>
      </c>
      <c r="L412" s="79">
        <f t="shared" si="180"/>
        <v>13484.82</v>
      </c>
      <c r="M412" s="79">
        <f t="shared" si="181"/>
        <v>112.37349999999999</v>
      </c>
      <c r="N412" s="79">
        <f t="shared" si="182"/>
        <v>1348.482</v>
      </c>
      <c r="O412" s="79">
        <f t="shared" si="183"/>
        <v>0</v>
      </c>
      <c r="P412" s="79">
        <f t="shared" si="184"/>
        <v>13484.82</v>
      </c>
      <c r="Q412" s="79">
        <f t="shared" si="185"/>
        <v>13484.82</v>
      </c>
      <c r="R412" s="79">
        <f t="shared" si="186"/>
        <v>0</v>
      </c>
    </row>
    <row r="413" spans="1:18">
      <c r="B413" s="50">
        <v>517</v>
      </c>
      <c r="C413" t="s">
        <v>234</v>
      </c>
      <c r="D413">
        <v>2006</v>
      </c>
      <c r="E413">
        <v>5</v>
      </c>
      <c r="F413">
        <v>0</v>
      </c>
      <c r="G413" t="s">
        <v>78</v>
      </c>
      <c r="H413" s="22" t="s">
        <v>9</v>
      </c>
      <c r="I413">
        <f t="shared" si="178"/>
        <v>2016</v>
      </c>
      <c r="J413" s="20">
        <f t="shared" si="179"/>
        <v>2016.4166666666667</v>
      </c>
      <c r="K413" s="79">
        <v>24793.06</v>
      </c>
      <c r="L413" s="79">
        <f t="shared" si="180"/>
        <v>24793.06</v>
      </c>
      <c r="M413" s="79">
        <f t="shared" si="181"/>
        <v>206.60883333333334</v>
      </c>
      <c r="N413" s="79">
        <f t="shared" si="182"/>
        <v>2479.306</v>
      </c>
      <c r="O413" s="79">
        <f t="shared" si="183"/>
        <v>0</v>
      </c>
      <c r="P413" s="79">
        <f t="shared" si="184"/>
        <v>24793.06</v>
      </c>
      <c r="Q413" s="79">
        <f t="shared" si="185"/>
        <v>24793.06</v>
      </c>
      <c r="R413" s="79">
        <f t="shared" si="186"/>
        <v>0</v>
      </c>
    </row>
    <row r="414" spans="1:18">
      <c r="B414" s="50">
        <v>275</v>
      </c>
      <c r="C414" t="s">
        <v>261</v>
      </c>
      <c r="D414">
        <v>2006</v>
      </c>
      <c r="E414">
        <v>8</v>
      </c>
      <c r="F414">
        <v>0</v>
      </c>
      <c r="G414" t="s">
        <v>78</v>
      </c>
      <c r="H414" s="22" t="s">
        <v>9</v>
      </c>
      <c r="I414">
        <f t="shared" si="178"/>
        <v>2016</v>
      </c>
      <c r="J414" s="20">
        <f t="shared" si="179"/>
        <v>2016.6666666666667</v>
      </c>
      <c r="K414" s="79">
        <v>13179.77</v>
      </c>
      <c r="L414" s="79">
        <f t="shared" si="180"/>
        <v>13179.77</v>
      </c>
      <c r="M414" s="79">
        <f t="shared" si="181"/>
        <v>109.83141666666667</v>
      </c>
      <c r="N414" s="79">
        <f t="shared" si="182"/>
        <v>1317.9770000000001</v>
      </c>
      <c r="O414" s="79">
        <f t="shared" si="183"/>
        <v>0</v>
      </c>
      <c r="P414" s="79">
        <f t="shared" si="184"/>
        <v>13179.77</v>
      </c>
      <c r="Q414" s="79">
        <f t="shared" si="185"/>
        <v>13179.77</v>
      </c>
      <c r="R414" s="79">
        <f t="shared" si="186"/>
        <v>0</v>
      </c>
    </row>
    <row r="415" spans="1:18">
      <c r="B415" s="50">
        <v>558</v>
      </c>
      <c r="C415" t="s">
        <v>233</v>
      </c>
      <c r="D415">
        <v>2007</v>
      </c>
      <c r="E415">
        <v>1</v>
      </c>
      <c r="F415">
        <v>0</v>
      </c>
      <c r="G415" t="s">
        <v>78</v>
      </c>
      <c r="H415" s="22" t="s">
        <v>9</v>
      </c>
      <c r="I415">
        <f t="shared" si="178"/>
        <v>2017</v>
      </c>
      <c r="J415" s="20">
        <f t="shared" si="179"/>
        <v>2017.0833333333333</v>
      </c>
      <c r="K415" s="79">
        <v>26801.47</v>
      </c>
      <c r="L415" s="79">
        <f t="shared" si="180"/>
        <v>26801.47</v>
      </c>
      <c r="M415" s="79">
        <f t="shared" si="181"/>
        <v>223.34558333333334</v>
      </c>
      <c r="N415" s="79">
        <f t="shared" si="182"/>
        <v>2680.1469999999999</v>
      </c>
      <c r="O415" s="79">
        <f t="shared" si="183"/>
        <v>0</v>
      </c>
      <c r="P415" s="79">
        <f t="shared" si="184"/>
        <v>26801.47</v>
      </c>
      <c r="Q415" s="79">
        <f t="shared" si="185"/>
        <v>26801.47</v>
      </c>
      <c r="R415" s="79">
        <f t="shared" si="186"/>
        <v>0</v>
      </c>
    </row>
    <row r="416" spans="1:18">
      <c r="B416" s="50">
        <v>548</v>
      </c>
      <c r="C416" t="s">
        <v>234</v>
      </c>
      <c r="D416">
        <v>2007</v>
      </c>
      <c r="E416">
        <v>3</v>
      </c>
      <c r="F416">
        <v>0</v>
      </c>
      <c r="G416" t="s">
        <v>78</v>
      </c>
      <c r="H416" s="22" t="s">
        <v>9</v>
      </c>
      <c r="I416">
        <f t="shared" si="178"/>
        <v>2017</v>
      </c>
      <c r="J416" s="20">
        <f t="shared" si="179"/>
        <v>2017.25</v>
      </c>
      <c r="K416" s="79">
        <v>26301.27</v>
      </c>
      <c r="L416" s="79">
        <f t="shared" si="180"/>
        <v>26301.27</v>
      </c>
      <c r="M416" s="79">
        <f t="shared" si="181"/>
        <v>219.17724999999999</v>
      </c>
      <c r="N416" s="79">
        <f t="shared" si="182"/>
        <v>2630.127</v>
      </c>
      <c r="O416" s="79">
        <f t="shared" si="183"/>
        <v>0</v>
      </c>
      <c r="P416" s="79">
        <f t="shared" si="184"/>
        <v>26301.27</v>
      </c>
      <c r="Q416" s="79">
        <f t="shared" si="185"/>
        <v>26301.27</v>
      </c>
      <c r="R416" s="79">
        <f t="shared" si="186"/>
        <v>0</v>
      </c>
    </row>
    <row r="417" spans="1:18">
      <c r="B417" s="50">
        <v>1115</v>
      </c>
      <c r="C417" t="s">
        <v>234</v>
      </c>
      <c r="D417">
        <v>2007</v>
      </c>
      <c r="E417">
        <v>5</v>
      </c>
      <c r="F417">
        <v>0</v>
      </c>
      <c r="G417" t="s">
        <v>78</v>
      </c>
      <c r="H417" s="22" t="s">
        <v>9</v>
      </c>
      <c r="I417">
        <f t="shared" si="178"/>
        <v>2017</v>
      </c>
      <c r="J417" s="20">
        <f t="shared" si="179"/>
        <v>2017.4166666666667</v>
      </c>
      <c r="K417" s="79">
        <v>53530.7</v>
      </c>
      <c r="L417" s="79">
        <f t="shared" si="180"/>
        <v>53530.7</v>
      </c>
      <c r="M417" s="79">
        <f t="shared" si="181"/>
        <v>446.08916666666664</v>
      </c>
      <c r="N417" s="79">
        <f t="shared" si="182"/>
        <v>5353.07</v>
      </c>
      <c r="O417" s="79">
        <f t="shared" si="183"/>
        <v>0</v>
      </c>
      <c r="P417" s="79">
        <f t="shared" si="184"/>
        <v>53530.7</v>
      </c>
      <c r="Q417" s="79">
        <f t="shared" si="185"/>
        <v>53530.7</v>
      </c>
      <c r="R417" s="79">
        <f t="shared" si="186"/>
        <v>0</v>
      </c>
    </row>
    <row r="418" spans="1:18">
      <c r="B418" s="50">
        <v>566</v>
      </c>
      <c r="C418" t="s">
        <v>261</v>
      </c>
      <c r="D418">
        <v>2007</v>
      </c>
      <c r="E418">
        <v>5</v>
      </c>
      <c r="F418">
        <v>0</v>
      </c>
      <c r="G418" t="s">
        <v>78</v>
      </c>
      <c r="H418" s="22" t="s">
        <v>9</v>
      </c>
      <c r="I418">
        <f t="shared" si="178"/>
        <v>2017</v>
      </c>
      <c r="J418" s="20">
        <f t="shared" si="179"/>
        <v>2017.4166666666667</v>
      </c>
      <c r="K418" s="79">
        <v>27148.21</v>
      </c>
      <c r="L418" s="79">
        <f t="shared" si="180"/>
        <v>27148.21</v>
      </c>
      <c r="M418" s="79">
        <f t="shared" si="181"/>
        <v>226.23508333333334</v>
      </c>
      <c r="N418" s="79">
        <f t="shared" si="182"/>
        <v>2714.8209999999999</v>
      </c>
      <c r="O418" s="79">
        <f t="shared" si="183"/>
        <v>0</v>
      </c>
      <c r="P418" s="79">
        <f t="shared" si="184"/>
        <v>27148.21</v>
      </c>
      <c r="Q418" s="79">
        <f t="shared" si="185"/>
        <v>27148.21</v>
      </c>
      <c r="R418" s="79">
        <f t="shared" si="186"/>
        <v>0</v>
      </c>
    </row>
    <row r="419" spans="1:18">
      <c r="B419" s="50">
        <v>565</v>
      </c>
      <c r="C419" t="s">
        <v>234</v>
      </c>
      <c r="D419">
        <v>2007</v>
      </c>
      <c r="E419">
        <v>6</v>
      </c>
      <c r="F419">
        <v>0</v>
      </c>
      <c r="G419" t="s">
        <v>78</v>
      </c>
      <c r="H419" s="22" t="s">
        <v>9</v>
      </c>
      <c r="I419">
        <f t="shared" si="178"/>
        <v>2017</v>
      </c>
      <c r="J419" s="20">
        <f t="shared" si="179"/>
        <v>2017.5</v>
      </c>
      <c r="K419" s="79">
        <v>27111.66</v>
      </c>
      <c r="L419" s="79">
        <f t="shared" si="180"/>
        <v>27111.66</v>
      </c>
      <c r="M419" s="79">
        <f t="shared" si="181"/>
        <v>225.93050000000002</v>
      </c>
      <c r="N419" s="79">
        <f t="shared" si="182"/>
        <v>2711.1660000000002</v>
      </c>
      <c r="O419" s="79">
        <f t="shared" si="183"/>
        <v>0</v>
      </c>
      <c r="P419" s="79">
        <f t="shared" si="184"/>
        <v>27111.66</v>
      </c>
      <c r="Q419" s="79">
        <f t="shared" si="185"/>
        <v>27111.66</v>
      </c>
      <c r="R419" s="79">
        <f t="shared" si="186"/>
        <v>0</v>
      </c>
    </row>
    <row r="420" spans="1:18">
      <c r="B420" s="50">
        <v>565</v>
      </c>
      <c r="C420" t="s">
        <v>241</v>
      </c>
      <c r="D420">
        <v>2007</v>
      </c>
      <c r="E420">
        <v>7</v>
      </c>
      <c r="F420">
        <v>0</v>
      </c>
      <c r="G420" t="s">
        <v>78</v>
      </c>
      <c r="H420" s="22" t="s">
        <v>9</v>
      </c>
      <c r="I420">
        <f t="shared" si="178"/>
        <v>2017</v>
      </c>
      <c r="J420" s="20">
        <f t="shared" si="179"/>
        <v>2017.5833333333333</v>
      </c>
      <c r="K420" s="79">
        <v>27100.07</v>
      </c>
      <c r="L420" s="79">
        <f t="shared" si="180"/>
        <v>27100.07</v>
      </c>
      <c r="M420" s="79">
        <f t="shared" si="181"/>
        <v>225.83391666666668</v>
      </c>
      <c r="N420" s="79">
        <f t="shared" si="182"/>
        <v>2710.0070000000001</v>
      </c>
      <c r="O420" s="79">
        <f t="shared" si="183"/>
        <v>0</v>
      </c>
      <c r="P420" s="79">
        <f t="shared" si="184"/>
        <v>27100.07</v>
      </c>
      <c r="Q420" s="79">
        <f t="shared" si="185"/>
        <v>27100.07</v>
      </c>
      <c r="R420" s="79">
        <f t="shared" si="186"/>
        <v>0</v>
      </c>
    </row>
    <row r="421" spans="1:18">
      <c r="B421" s="50">
        <v>555</v>
      </c>
      <c r="C421" t="s">
        <v>241</v>
      </c>
      <c r="D421">
        <v>2007</v>
      </c>
      <c r="E421">
        <v>9</v>
      </c>
      <c r="F421">
        <v>0</v>
      </c>
      <c r="G421" t="s">
        <v>78</v>
      </c>
      <c r="H421" s="22" t="s">
        <v>9</v>
      </c>
      <c r="I421">
        <f t="shared" si="178"/>
        <v>2017</v>
      </c>
      <c r="J421" s="20">
        <f t="shared" si="179"/>
        <v>2017.75</v>
      </c>
      <c r="K421" s="79">
        <v>26657.64</v>
      </c>
      <c r="L421" s="79">
        <f t="shared" si="180"/>
        <v>26657.64</v>
      </c>
      <c r="M421" s="79">
        <f t="shared" si="181"/>
        <v>222.14700000000002</v>
      </c>
      <c r="N421" s="79">
        <f t="shared" si="182"/>
        <v>2665.7640000000001</v>
      </c>
      <c r="O421" s="79">
        <f t="shared" si="183"/>
        <v>0</v>
      </c>
      <c r="P421" s="79">
        <f t="shared" si="184"/>
        <v>26657.64</v>
      </c>
      <c r="Q421" s="79">
        <f t="shared" si="185"/>
        <v>26657.64</v>
      </c>
      <c r="R421" s="79">
        <f t="shared" si="186"/>
        <v>0</v>
      </c>
    </row>
    <row r="422" spans="1:18">
      <c r="B422" s="50">
        <v>421</v>
      </c>
      <c r="C422" t="s">
        <v>234</v>
      </c>
      <c r="D422">
        <v>2008</v>
      </c>
      <c r="E422">
        <v>2</v>
      </c>
      <c r="F422">
        <v>0</v>
      </c>
      <c r="G422" t="s">
        <v>78</v>
      </c>
      <c r="H422" s="22" t="s">
        <v>8</v>
      </c>
      <c r="I422">
        <f t="shared" si="178"/>
        <v>2013</v>
      </c>
      <c r="J422" s="20">
        <f t="shared" si="179"/>
        <v>2013.1666666666667</v>
      </c>
      <c r="K422" s="79">
        <v>20215.189999999999</v>
      </c>
      <c r="L422" s="79">
        <f t="shared" si="180"/>
        <v>20215.189999999999</v>
      </c>
      <c r="M422" s="79">
        <f t="shared" si="181"/>
        <v>336.91983333333332</v>
      </c>
      <c r="N422" s="79">
        <f t="shared" si="182"/>
        <v>4043.0379999999996</v>
      </c>
      <c r="O422" s="79">
        <f t="shared" si="183"/>
        <v>0</v>
      </c>
      <c r="P422" s="79">
        <f t="shared" si="184"/>
        <v>20215.189999999999</v>
      </c>
      <c r="Q422" s="79">
        <f t="shared" si="185"/>
        <v>20215.189999999999</v>
      </c>
      <c r="R422" s="79">
        <f t="shared" si="186"/>
        <v>0</v>
      </c>
    </row>
    <row r="423" spans="1:18">
      <c r="B423" s="50">
        <v>1216</v>
      </c>
      <c r="C423" t="s">
        <v>241</v>
      </c>
      <c r="D423">
        <v>2008</v>
      </c>
      <c r="E423">
        <v>3</v>
      </c>
      <c r="F423">
        <v>0</v>
      </c>
      <c r="G423" t="s">
        <v>78</v>
      </c>
      <c r="H423" s="22" t="s">
        <v>8</v>
      </c>
      <c r="I423">
        <f t="shared" si="178"/>
        <v>2013</v>
      </c>
      <c r="J423" s="20">
        <f t="shared" si="179"/>
        <v>2013.25</v>
      </c>
      <c r="K423" s="79">
        <v>58388.76</v>
      </c>
      <c r="L423" s="79">
        <f t="shared" si="180"/>
        <v>58388.76</v>
      </c>
      <c r="M423" s="79">
        <f t="shared" si="181"/>
        <v>973.14600000000007</v>
      </c>
      <c r="N423" s="79">
        <f t="shared" si="182"/>
        <v>11677.752</v>
      </c>
      <c r="O423" s="79">
        <f t="shared" si="183"/>
        <v>0</v>
      </c>
      <c r="P423" s="79">
        <f t="shared" si="184"/>
        <v>58388.76</v>
      </c>
      <c r="Q423" s="79">
        <f t="shared" si="185"/>
        <v>58388.76</v>
      </c>
      <c r="R423" s="79">
        <f t="shared" si="186"/>
        <v>0</v>
      </c>
    </row>
    <row r="424" spans="1:18">
      <c r="B424" s="50">
        <v>622</v>
      </c>
      <c r="C424" t="s">
        <v>234</v>
      </c>
      <c r="D424">
        <v>2008</v>
      </c>
      <c r="E424">
        <v>5</v>
      </c>
      <c r="F424">
        <v>0</v>
      </c>
      <c r="G424" t="s">
        <v>78</v>
      </c>
      <c r="H424" s="22" t="s">
        <v>8</v>
      </c>
      <c r="I424">
        <f t="shared" si="178"/>
        <v>2013</v>
      </c>
      <c r="J424" s="20">
        <f t="shared" si="179"/>
        <v>2013.4166666666667</v>
      </c>
      <c r="K424" s="79">
        <v>29838.69</v>
      </c>
      <c r="L424" s="79">
        <f t="shared" si="180"/>
        <v>29838.69</v>
      </c>
      <c r="M424" s="79">
        <f t="shared" si="181"/>
        <v>497.31149999999997</v>
      </c>
      <c r="N424" s="79">
        <f t="shared" si="182"/>
        <v>5967.7379999999994</v>
      </c>
      <c r="O424" s="79">
        <f t="shared" si="183"/>
        <v>0</v>
      </c>
      <c r="P424" s="79">
        <f t="shared" si="184"/>
        <v>29838.69</v>
      </c>
      <c r="Q424" s="79">
        <f t="shared" si="185"/>
        <v>29838.69</v>
      </c>
      <c r="R424" s="79">
        <f t="shared" si="186"/>
        <v>0</v>
      </c>
    </row>
    <row r="425" spans="1:18">
      <c r="B425" s="50">
        <v>622</v>
      </c>
      <c r="C425" t="s">
        <v>241</v>
      </c>
      <c r="D425">
        <v>2008</v>
      </c>
      <c r="E425">
        <v>6</v>
      </c>
      <c r="F425">
        <v>0</v>
      </c>
      <c r="G425" t="s">
        <v>78</v>
      </c>
      <c r="H425" s="22" t="s">
        <v>8</v>
      </c>
      <c r="I425">
        <f t="shared" si="178"/>
        <v>2013</v>
      </c>
      <c r="J425" s="20">
        <f t="shared" si="179"/>
        <v>2013.5</v>
      </c>
      <c r="K425" s="79">
        <v>29849.61</v>
      </c>
      <c r="L425" s="79">
        <f t="shared" si="180"/>
        <v>29849.61</v>
      </c>
      <c r="M425" s="79">
        <f t="shared" si="181"/>
        <v>497.49350000000004</v>
      </c>
      <c r="N425" s="79">
        <f t="shared" si="182"/>
        <v>5969.9220000000005</v>
      </c>
      <c r="O425" s="79">
        <f t="shared" si="183"/>
        <v>0</v>
      </c>
      <c r="P425" s="79">
        <f t="shared" si="184"/>
        <v>29849.61</v>
      </c>
      <c r="Q425" s="79">
        <f t="shared" si="185"/>
        <v>29849.61</v>
      </c>
      <c r="R425" s="79">
        <f t="shared" si="186"/>
        <v>0</v>
      </c>
    </row>
    <row r="426" spans="1:18">
      <c r="B426" s="50">
        <v>622</v>
      </c>
      <c r="C426" t="s">
        <v>234</v>
      </c>
      <c r="D426">
        <v>2008</v>
      </c>
      <c r="E426">
        <v>7</v>
      </c>
      <c r="F426">
        <v>0</v>
      </c>
      <c r="G426" t="s">
        <v>78</v>
      </c>
      <c r="H426" s="22" t="s">
        <v>8</v>
      </c>
      <c r="I426">
        <f t="shared" si="178"/>
        <v>2013</v>
      </c>
      <c r="J426" s="20">
        <f t="shared" si="179"/>
        <v>2013.5833333333333</v>
      </c>
      <c r="K426" s="79">
        <v>29874.75</v>
      </c>
      <c r="L426" s="79">
        <f t="shared" si="180"/>
        <v>29874.75</v>
      </c>
      <c r="M426" s="79">
        <f t="shared" si="181"/>
        <v>497.91249999999997</v>
      </c>
      <c r="N426" s="79">
        <f t="shared" si="182"/>
        <v>5974.95</v>
      </c>
      <c r="O426" s="79">
        <f t="shared" si="183"/>
        <v>0</v>
      </c>
      <c r="P426" s="79">
        <f t="shared" si="184"/>
        <v>29874.75</v>
      </c>
      <c r="Q426" s="79">
        <f t="shared" si="185"/>
        <v>29874.75</v>
      </c>
      <c r="R426" s="79">
        <f t="shared" si="186"/>
        <v>0</v>
      </c>
    </row>
    <row r="427" spans="1:18">
      <c r="B427" s="50">
        <v>622</v>
      </c>
      <c r="C427" t="s">
        <v>261</v>
      </c>
      <c r="D427">
        <v>2008</v>
      </c>
      <c r="E427">
        <v>8</v>
      </c>
      <c r="F427">
        <v>0</v>
      </c>
      <c r="G427" t="s">
        <v>78</v>
      </c>
      <c r="H427" s="22" t="s">
        <v>8</v>
      </c>
      <c r="I427">
        <f t="shared" si="178"/>
        <v>2013</v>
      </c>
      <c r="J427" s="20">
        <f t="shared" si="179"/>
        <v>2013.6666666666667</v>
      </c>
      <c r="K427" s="79">
        <v>29874.75</v>
      </c>
      <c r="L427" s="79">
        <f t="shared" si="180"/>
        <v>29874.75</v>
      </c>
      <c r="M427" s="79">
        <f t="shared" si="181"/>
        <v>497.91249999999997</v>
      </c>
      <c r="N427" s="79">
        <f t="shared" si="182"/>
        <v>5974.95</v>
      </c>
      <c r="O427" s="79">
        <f t="shared" si="183"/>
        <v>0</v>
      </c>
      <c r="P427" s="79">
        <f t="shared" si="184"/>
        <v>29874.75</v>
      </c>
      <c r="Q427" s="79">
        <f t="shared" si="185"/>
        <v>29874.75</v>
      </c>
      <c r="R427" s="79">
        <f t="shared" si="186"/>
        <v>0</v>
      </c>
    </row>
    <row r="428" spans="1:18">
      <c r="B428" s="50">
        <v>436</v>
      </c>
      <c r="C428" t="s">
        <v>240</v>
      </c>
      <c r="D428">
        <v>2009</v>
      </c>
      <c r="E428">
        <v>4</v>
      </c>
      <c r="F428">
        <v>0</v>
      </c>
      <c r="G428" t="s">
        <v>78</v>
      </c>
      <c r="H428" s="22">
        <v>7</v>
      </c>
      <c r="I428">
        <f t="shared" si="178"/>
        <v>2016</v>
      </c>
      <c r="J428" s="20">
        <f t="shared" si="179"/>
        <v>2016.3333333333333</v>
      </c>
      <c r="K428" s="79">
        <v>21651.7</v>
      </c>
      <c r="L428" s="79">
        <f t="shared" si="180"/>
        <v>21651.7</v>
      </c>
      <c r="M428" s="79">
        <f t="shared" si="181"/>
        <v>257.75833333333333</v>
      </c>
      <c r="N428" s="79">
        <f t="shared" si="182"/>
        <v>3093.1</v>
      </c>
      <c r="O428" s="79">
        <f t="shared" si="183"/>
        <v>0</v>
      </c>
      <c r="P428" s="79">
        <f t="shared" si="184"/>
        <v>21651.7</v>
      </c>
      <c r="Q428" s="79">
        <f t="shared" si="185"/>
        <v>21651.7</v>
      </c>
      <c r="R428" s="79">
        <f t="shared" si="186"/>
        <v>0</v>
      </c>
    </row>
    <row r="429" spans="1:18">
      <c r="B429" s="50">
        <v>436</v>
      </c>
      <c r="C429" t="s">
        <v>183</v>
      </c>
      <c r="D429">
        <v>2009</v>
      </c>
      <c r="E429">
        <v>6</v>
      </c>
      <c r="F429">
        <v>0</v>
      </c>
      <c r="G429" t="s">
        <v>78</v>
      </c>
      <c r="H429" s="22">
        <v>7</v>
      </c>
      <c r="I429">
        <f t="shared" si="178"/>
        <v>2016</v>
      </c>
      <c r="J429" s="20">
        <f t="shared" si="179"/>
        <v>2016.5</v>
      </c>
      <c r="K429" s="79">
        <v>20185.46</v>
      </c>
      <c r="L429" s="79">
        <f t="shared" si="180"/>
        <v>20185.46</v>
      </c>
      <c r="M429" s="79">
        <f t="shared" si="181"/>
        <v>240.30309523809524</v>
      </c>
      <c r="N429" s="79">
        <f t="shared" si="182"/>
        <v>2883.6371428571429</v>
      </c>
      <c r="O429" s="79">
        <f t="shared" si="183"/>
        <v>0</v>
      </c>
      <c r="P429" s="79">
        <f t="shared" si="184"/>
        <v>20185.46</v>
      </c>
      <c r="Q429" s="79">
        <f t="shared" si="185"/>
        <v>20185.46</v>
      </c>
      <c r="R429" s="79">
        <f t="shared" si="186"/>
        <v>0</v>
      </c>
    </row>
    <row r="430" spans="1:18">
      <c r="B430" s="50">
        <v>99</v>
      </c>
      <c r="C430" t="s">
        <v>239</v>
      </c>
      <c r="D430">
        <v>2009</v>
      </c>
      <c r="E430">
        <v>6</v>
      </c>
      <c r="F430">
        <v>0</v>
      </c>
      <c r="G430" t="s">
        <v>78</v>
      </c>
      <c r="H430" s="22">
        <v>7</v>
      </c>
      <c r="I430">
        <f t="shared" si="178"/>
        <v>2016</v>
      </c>
      <c r="J430" s="20">
        <f t="shared" si="179"/>
        <v>2016.5</v>
      </c>
      <c r="K430" s="79">
        <v>4583.41</v>
      </c>
      <c r="L430" s="79">
        <f t="shared" si="180"/>
        <v>4583.41</v>
      </c>
      <c r="M430" s="79">
        <f t="shared" si="181"/>
        <v>54.564404761904761</v>
      </c>
      <c r="N430" s="79">
        <f t="shared" si="182"/>
        <v>654.77285714285711</v>
      </c>
      <c r="O430" s="79">
        <f t="shared" si="183"/>
        <v>0</v>
      </c>
      <c r="P430" s="79">
        <f t="shared" si="184"/>
        <v>4583.41</v>
      </c>
      <c r="Q430" s="79">
        <f t="shared" si="185"/>
        <v>4583.41</v>
      </c>
      <c r="R430" s="79">
        <f t="shared" si="186"/>
        <v>0</v>
      </c>
    </row>
    <row r="431" spans="1:18">
      <c r="B431" s="50">
        <v>243</v>
      </c>
      <c r="C431" t="s">
        <v>307</v>
      </c>
      <c r="D431">
        <v>2009</v>
      </c>
      <c r="E431">
        <v>7</v>
      </c>
      <c r="F431">
        <v>0</v>
      </c>
      <c r="G431" t="s">
        <v>78</v>
      </c>
      <c r="H431" s="22">
        <v>7</v>
      </c>
      <c r="I431">
        <f t="shared" ref="I431:I449" si="187">D431+H431</f>
        <v>2016</v>
      </c>
      <c r="J431" s="20">
        <f t="shared" si="179"/>
        <v>2016.5833333333333</v>
      </c>
      <c r="K431" s="79">
        <v>11698.36</v>
      </c>
      <c r="L431" s="79">
        <f t="shared" si="180"/>
        <v>11698.36</v>
      </c>
      <c r="M431" s="79">
        <f t="shared" si="181"/>
        <v>139.26619047619047</v>
      </c>
      <c r="N431" s="79">
        <f t="shared" si="182"/>
        <v>1671.1942857142858</v>
      </c>
      <c r="O431" s="79">
        <f t="shared" si="183"/>
        <v>0</v>
      </c>
      <c r="P431" s="79">
        <f t="shared" si="184"/>
        <v>11698.36</v>
      </c>
      <c r="Q431" s="79">
        <f t="shared" si="185"/>
        <v>11698.36</v>
      </c>
      <c r="R431" s="79">
        <f t="shared" si="186"/>
        <v>0</v>
      </c>
    </row>
    <row r="432" spans="1:18">
      <c r="A432" s="118">
        <v>77218</v>
      </c>
      <c r="B432" s="50">
        <v>386</v>
      </c>
      <c r="C432" t="s">
        <v>401</v>
      </c>
      <c r="D432">
        <v>2010</v>
      </c>
      <c r="E432">
        <v>9</v>
      </c>
      <c r="F432">
        <v>0</v>
      </c>
      <c r="G432" t="s">
        <v>78</v>
      </c>
      <c r="H432" s="22">
        <v>7</v>
      </c>
      <c r="I432">
        <f t="shared" si="187"/>
        <v>2017</v>
      </c>
      <c r="J432" s="20">
        <f t="shared" si="179"/>
        <v>2017.75</v>
      </c>
      <c r="K432" s="79">
        <v>18687.3</v>
      </c>
      <c r="L432" s="79">
        <f t="shared" si="180"/>
        <v>18687.3</v>
      </c>
      <c r="M432" s="79">
        <f t="shared" si="181"/>
        <v>222.46785714285713</v>
      </c>
      <c r="N432" s="79">
        <f t="shared" si="182"/>
        <v>2669.6142857142854</v>
      </c>
      <c r="O432" s="79">
        <f t="shared" si="183"/>
        <v>0</v>
      </c>
      <c r="P432" s="79">
        <f t="shared" si="184"/>
        <v>18687.3</v>
      </c>
      <c r="Q432" s="79">
        <f t="shared" si="185"/>
        <v>18687.3</v>
      </c>
      <c r="R432" s="79">
        <f t="shared" si="186"/>
        <v>0</v>
      </c>
    </row>
    <row r="433" spans="1:18">
      <c r="A433" s="118">
        <v>85602</v>
      </c>
      <c r="B433" s="50">
        <v>174</v>
      </c>
      <c r="C433" t="s">
        <v>401</v>
      </c>
      <c r="D433">
        <v>2011</v>
      </c>
      <c r="E433">
        <v>7</v>
      </c>
      <c r="F433">
        <v>0</v>
      </c>
      <c r="G433" t="s">
        <v>78</v>
      </c>
      <c r="H433" s="22">
        <v>7</v>
      </c>
      <c r="I433">
        <f t="shared" si="187"/>
        <v>2018</v>
      </c>
      <c r="J433" s="20">
        <f t="shared" si="179"/>
        <v>2018.5833333333333</v>
      </c>
      <c r="K433" s="79">
        <v>9570.39</v>
      </c>
      <c r="L433" s="79">
        <f t="shared" si="180"/>
        <v>9570.39</v>
      </c>
      <c r="M433" s="79">
        <f t="shared" si="181"/>
        <v>113.93321428571427</v>
      </c>
      <c r="N433" s="79">
        <f t="shared" si="182"/>
        <v>1367.1985714285713</v>
      </c>
      <c r="O433" s="79">
        <f t="shared" si="183"/>
        <v>0</v>
      </c>
      <c r="P433" s="79">
        <f t="shared" si="184"/>
        <v>9570.39</v>
      </c>
      <c r="Q433" s="79">
        <f t="shared" si="185"/>
        <v>9570.39</v>
      </c>
      <c r="R433" s="79">
        <f t="shared" si="186"/>
        <v>0</v>
      </c>
    </row>
    <row r="434" spans="1:18">
      <c r="A434" s="118">
        <v>85603</v>
      </c>
      <c r="B434" s="50">
        <v>45</v>
      </c>
      <c r="C434" t="s">
        <v>401</v>
      </c>
      <c r="D434">
        <v>2011</v>
      </c>
      <c r="E434">
        <v>7</v>
      </c>
      <c r="F434">
        <v>0</v>
      </c>
      <c r="G434" t="s">
        <v>78</v>
      </c>
      <c r="H434" s="22">
        <v>7</v>
      </c>
      <c r="I434">
        <f t="shared" si="187"/>
        <v>2018</v>
      </c>
      <c r="J434" s="20">
        <f t="shared" si="179"/>
        <v>2018.5833333333333</v>
      </c>
      <c r="K434" s="79">
        <v>3208.82</v>
      </c>
      <c r="L434" s="79">
        <f t="shared" si="180"/>
        <v>3208.82</v>
      </c>
      <c r="M434" s="79">
        <f t="shared" si="181"/>
        <v>38.200238095238099</v>
      </c>
      <c r="N434" s="79">
        <f t="shared" si="182"/>
        <v>458.40285714285721</v>
      </c>
      <c r="O434" s="79">
        <f t="shared" si="183"/>
        <v>0</v>
      </c>
      <c r="P434" s="79">
        <f t="shared" si="184"/>
        <v>3208.82</v>
      </c>
      <c r="Q434" s="79">
        <f t="shared" si="185"/>
        <v>3208.82</v>
      </c>
      <c r="R434" s="79">
        <f t="shared" si="186"/>
        <v>0</v>
      </c>
    </row>
    <row r="435" spans="1:18">
      <c r="A435" s="118">
        <v>114301</v>
      </c>
      <c r="B435" s="50">
        <v>134</v>
      </c>
      <c r="C435" t="s">
        <v>560</v>
      </c>
      <c r="D435">
        <v>2011</v>
      </c>
      <c r="E435">
        <v>7</v>
      </c>
      <c r="F435">
        <v>0</v>
      </c>
      <c r="G435" t="s">
        <v>78</v>
      </c>
      <c r="H435" s="22">
        <v>7</v>
      </c>
      <c r="I435">
        <f t="shared" si="187"/>
        <v>2018</v>
      </c>
      <c r="J435" s="20">
        <f t="shared" si="179"/>
        <v>2018.5833333333333</v>
      </c>
      <c r="K435" s="79">
        <v>7370.3</v>
      </c>
      <c r="L435" s="79">
        <f t="shared" si="180"/>
        <v>7370.3</v>
      </c>
      <c r="M435" s="79">
        <f t="shared" si="181"/>
        <v>87.741666666666674</v>
      </c>
      <c r="N435" s="79">
        <f t="shared" si="182"/>
        <v>1052.9000000000001</v>
      </c>
      <c r="O435" s="79">
        <f t="shared" si="183"/>
        <v>0</v>
      </c>
      <c r="P435" s="79">
        <f t="shared" si="184"/>
        <v>7370.3</v>
      </c>
      <c r="Q435" s="79">
        <f t="shared" si="185"/>
        <v>7370.3</v>
      </c>
      <c r="R435" s="79">
        <f t="shared" si="186"/>
        <v>0</v>
      </c>
    </row>
    <row r="436" spans="1:18">
      <c r="A436" s="118">
        <v>114300</v>
      </c>
      <c r="B436" s="50">
        <v>178</v>
      </c>
      <c r="C436" t="s">
        <v>559</v>
      </c>
      <c r="D436">
        <v>2011</v>
      </c>
      <c r="E436">
        <v>7</v>
      </c>
      <c r="F436">
        <v>0</v>
      </c>
      <c r="G436" t="s">
        <v>78</v>
      </c>
      <c r="H436" s="22">
        <v>7</v>
      </c>
      <c r="I436">
        <f t="shared" si="187"/>
        <v>2018</v>
      </c>
      <c r="J436" s="20">
        <f t="shared" si="179"/>
        <v>2018.5833333333333</v>
      </c>
      <c r="K436" s="79">
        <v>8660.43</v>
      </c>
      <c r="L436" s="79">
        <f t="shared" si="180"/>
        <v>8660.43</v>
      </c>
      <c r="M436" s="79">
        <f t="shared" si="181"/>
        <v>103.10035714285715</v>
      </c>
      <c r="N436" s="79">
        <f t="shared" si="182"/>
        <v>1237.2042857142858</v>
      </c>
      <c r="O436" s="79">
        <f t="shared" si="183"/>
        <v>0</v>
      </c>
      <c r="P436" s="79">
        <f t="shared" si="184"/>
        <v>8660.43</v>
      </c>
      <c r="Q436" s="79">
        <f t="shared" si="185"/>
        <v>8660.43</v>
      </c>
      <c r="R436" s="79">
        <f t="shared" si="186"/>
        <v>0</v>
      </c>
    </row>
    <row r="437" spans="1:18">
      <c r="A437" s="118">
        <v>114301</v>
      </c>
      <c r="B437" s="50">
        <v>55</v>
      </c>
      <c r="C437" t="s">
        <v>558</v>
      </c>
      <c r="D437">
        <v>2011</v>
      </c>
      <c r="E437">
        <v>7</v>
      </c>
      <c r="F437">
        <v>0</v>
      </c>
      <c r="G437" t="s">
        <v>78</v>
      </c>
      <c r="H437" s="22">
        <v>7</v>
      </c>
      <c r="I437">
        <f t="shared" si="187"/>
        <v>2018</v>
      </c>
      <c r="J437" s="20">
        <f t="shared" si="179"/>
        <v>2018.5833333333333</v>
      </c>
      <c r="K437" s="79">
        <v>3921.9</v>
      </c>
      <c r="L437" s="79">
        <f t="shared" si="180"/>
        <v>3921.9</v>
      </c>
      <c r="M437" s="79">
        <f t="shared" si="181"/>
        <v>46.689285714285717</v>
      </c>
      <c r="N437" s="79">
        <f t="shared" si="182"/>
        <v>560.2714285714286</v>
      </c>
      <c r="O437" s="79">
        <f t="shared" si="183"/>
        <v>0</v>
      </c>
      <c r="P437" s="79">
        <f t="shared" si="184"/>
        <v>3921.9</v>
      </c>
      <c r="Q437" s="79">
        <f t="shared" si="185"/>
        <v>3921.9</v>
      </c>
      <c r="R437" s="79">
        <f t="shared" si="186"/>
        <v>0</v>
      </c>
    </row>
    <row r="438" spans="1:18">
      <c r="A438" s="118">
        <v>114297</v>
      </c>
      <c r="B438" s="50">
        <v>212</v>
      </c>
      <c r="C438" t="s">
        <v>558</v>
      </c>
      <c r="D438">
        <v>2011</v>
      </c>
      <c r="E438">
        <v>7</v>
      </c>
      <c r="F438">
        <v>0</v>
      </c>
      <c r="G438" t="s">
        <v>78</v>
      </c>
      <c r="H438" s="22">
        <v>7</v>
      </c>
      <c r="I438">
        <f t="shared" si="187"/>
        <v>2018</v>
      </c>
      <c r="J438" s="20">
        <f t="shared" si="179"/>
        <v>2018.5833333333333</v>
      </c>
      <c r="K438" s="79">
        <v>11660.46</v>
      </c>
      <c r="L438" s="79">
        <f t="shared" si="180"/>
        <v>11660.46</v>
      </c>
      <c r="M438" s="79">
        <f t="shared" si="181"/>
        <v>138.815</v>
      </c>
      <c r="N438" s="79">
        <f t="shared" si="182"/>
        <v>1665.78</v>
      </c>
      <c r="O438" s="79">
        <f t="shared" si="183"/>
        <v>0</v>
      </c>
      <c r="P438" s="79">
        <f t="shared" si="184"/>
        <v>11660.46</v>
      </c>
      <c r="Q438" s="79">
        <f t="shared" si="185"/>
        <v>11660.46</v>
      </c>
      <c r="R438" s="79">
        <f t="shared" si="186"/>
        <v>0</v>
      </c>
    </row>
    <row r="439" spans="1:18">
      <c r="A439" s="118">
        <v>106521</v>
      </c>
      <c r="B439" s="50">
        <v>243</v>
      </c>
      <c r="C439" t="s">
        <v>401</v>
      </c>
      <c r="D439">
        <v>2013</v>
      </c>
      <c r="E439">
        <v>7</v>
      </c>
      <c r="F439">
        <v>0</v>
      </c>
      <c r="G439" t="s">
        <v>78</v>
      </c>
      <c r="H439" s="22">
        <v>7</v>
      </c>
      <c r="I439">
        <f t="shared" si="187"/>
        <v>2020</v>
      </c>
      <c r="J439" s="20">
        <f t="shared" si="179"/>
        <v>2020.5833333333333</v>
      </c>
      <c r="K439" s="79">
        <v>11857.29</v>
      </c>
      <c r="L439" s="79">
        <f t="shared" si="180"/>
        <v>11857.29</v>
      </c>
      <c r="M439" s="79">
        <f t="shared" si="181"/>
        <v>141.15821428571431</v>
      </c>
      <c r="N439" s="79">
        <f t="shared" si="182"/>
        <v>1693.8985714285718</v>
      </c>
      <c r="O439" s="79">
        <f t="shared" si="183"/>
        <v>1693.8985714285718</v>
      </c>
      <c r="P439" s="79">
        <f t="shared" si="184"/>
        <v>8469.4928571428591</v>
      </c>
      <c r="Q439" s="79">
        <f t="shared" si="185"/>
        <v>10163.391428571431</v>
      </c>
      <c r="R439" s="79">
        <f t="shared" si="186"/>
        <v>1693.89857142857</v>
      </c>
    </row>
    <row r="440" spans="1:18">
      <c r="A440" s="118">
        <v>113497</v>
      </c>
      <c r="B440" s="50">
        <v>486</v>
      </c>
      <c r="C440" t="s">
        <v>401</v>
      </c>
      <c r="D440">
        <v>2014</v>
      </c>
      <c r="E440">
        <v>6</v>
      </c>
      <c r="F440">
        <v>0</v>
      </c>
      <c r="G440" t="s">
        <v>78</v>
      </c>
      <c r="H440" s="22">
        <v>7</v>
      </c>
      <c r="I440">
        <f t="shared" si="187"/>
        <v>2021</v>
      </c>
      <c r="J440" s="20">
        <f t="shared" si="179"/>
        <v>2021.5</v>
      </c>
      <c r="K440" s="79">
        <v>28222.41</v>
      </c>
      <c r="L440" s="79">
        <f t="shared" si="180"/>
        <v>28222.41</v>
      </c>
      <c r="M440" s="79">
        <f t="shared" si="181"/>
        <v>335.9810714285714</v>
      </c>
      <c r="N440" s="79">
        <f t="shared" si="182"/>
        <v>4031.772857142857</v>
      </c>
      <c r="O440" s="79">
        <f t="shared" si="183"/>
        <v>4031.772857142857</v>
      </c>
      <c r="P440" s="79">
        <f t="shared" si="184"/>
        <v>16127.091428571428</v>
      </c>
      <c r="Q440" s="79">
        <f t="shared" si="185"/>
        <v>20158.864285714284</v>
      </c>
      <c r="R440" s="79">
        <f t="shared" si="186"/>
        <v>8063.5457142857158</v>
      </c>
    </row>
    <row r="441" spans="1:18">
      <c r="A441" s="118">
        <v>113498</v>
      </c>
      <c r="B441" s="50">
        <v>486</v>
      </c>
      <c r="C441" t="s">
        <v>401</v>
      </c>
      <c r="D441">
        <v>2014</v>
      </c>
      <c r="E441">
        <v>6</v>
      </c>
      <c r="F441">
        <v>0</v>
      </c>
      <c r="G441" t="s">
        <v>78</v>
      </c>
      <c r="H441" s="22">
        <v>7</v>
      </c>
      <c r="I441">
        <f t="shared" si="187"/>
        <v>2021</v>
      </c>
      <c r="J441" s="20">
        <f t="shared" si="179"/>
        <v>2021.5</v>
      </c>
      <c r="K441" s="79">
        <v>28222.41</v>
      </c>
      <c r="L441" s="79">
        <f t="shared" si="180"/>
        <v>28222.41</v>
      </c>
      <c r="M441" s="79">
        <f t="shared" si="181"/>
        <v>335.9810714285714</v>
      </c>
      <c r="N441" s="79">
        <f t="shared" si="182"/>
        <v>4031.772857142857</v>
      </c>
      <c r="O441" s="79">
        <f t="shared" si="183"/>
        <v>4031.772857142857</v>
      </c>
      <c r="P441" s="79">
        <f t="shared" si="184"/>
        <v>16127.091428571428</v>
      </c>
      <c r="Q441" s="79">
        <f t="shared" si="185"/>
        <v>20158.864285714284</v>
      </c>
      <c r="R441" s="79">
        <f t="shared" si="186"/>
        <v>8063.5457142857158</v>
      </c>
    </row>
    <row r="442" spans="1:18">
      <c r="A442" s="118">
        <v>116681</v>
      </c>
      <c r="B442" s="50">
        <v>312</v>
      </c>
      <c r="C442" t="s">
        <v>515</v>
      </c>
      <c r="D442">
        <v>2014</v>
      </c>
      <c r="E442">
        <v>10</v>
      </c>
      <c r="F442">
        <v>0</v>
      </c>
      <c r="G442" t="s">
        <v>78</v>
      </c>
      <c r="H442" s="22">
        <v>7</v>
      </c>
      <c r="I442">
        <f t="shared" si="187"/>
        <v>2021</v>
      </c>
      <c r="J442" s="20">
        <f t="shared" si="179"/>
        <v>2021.8333333333333</v>
      </c>
      <c r="K442" s="79">
        <v>17502.7</v>
      </c>
      <c r="L442" s="79">
        <f t="shared" si="180"/>
        <v>17502.7</v>
      </c>
      <c r="M442" s="79">
        <f t="shared" si="181"/>
        <v>208.36547619047622</v>
      </c>
      <c r="N442" s="79">
        <f t="shared" si="182"/>
        <v>2500.3857142857146</v>
      </c>
      <c r="O442" s="79">
        <f t="shared" si="183"/>
        <v>2500.3857142857146</v>
      </c>
      <c r="P442" s="79">
        <f t="shared" si="184"/>
        <v>10001.542857142858</v>
      </c>
      <c r="Q442" s="79">
        <f t="shared" si="185"/>
        <v>12501.928571428572</v>
      </c>
      <c r="R442" s="79">
        <f t="shared" si="186"/>
        <v>5000.7714285714283</v>
      </c>
    </row>
    <row r="443" spans="1:18">
      <c r="A443" s="118">
        <v>123666</v>
      </c>
      <c r="B443" s="50">
        <v>624</v>
      </c>
      <c r="C443" t="s">
        <v>515</v>
      </c>
      <c r="D443">
        <v>2015</v>
      </c>
      <c r="E443">
        <v>6</v>
      </c>
      <c r="F443">
        <v>0</v>
      </c>
      <c r="G443" t="s">
        <v>78</v>
      </c>
      <c r="H443" s="22">
        <v>7</v>
      </c>
      <c r="I443">
        <f t="shared" si="187"/>
        <v>2022</v>
      </c>
      <c r="J443" s="20">
        <f t="shared" si="179"/>
        <v>2022.5</v>
      </c>
      <c r="K443" s="79">
        <v>32155.37</v>
      </c>
      <c r="L443" s="79">
        <f t="shared" si="180"/>
        <v>32155.37</v>
      </c>
      <c r="M443" s="79">
        <f t="shared" si="181"/>
        <v>382.80202380952375</v>
      </c>
      <c r="N443" s="79">
        <f t="shared" si="182"/>
        <v>4593.6242857142852</v>
      </c>
      <c r="O443" s="79">
        <f t="shared" si="183"/>
        <v>4593.6242857142852</v>
      </c>
      <c r="P443" s="79">
        <f t="shared" si="184"/>
        <v>13780.872857142855</v>
      </c>
      <c r="Q443" s="79">
        <f t="shared" si="185"/>
        <v>18374.497142857141</v>
      </c>
      <c r="R443" s="79">
        <f t="shared" si="186"/>
        <v>13780.872857142858</v>
      </c>
    </row>
    <row r="444" spans="1:18">
      <c r="A444" s="118">
        <v>165692</v>
      </c>
      <c r="B444" s="50">
        <v>624</v>
      </c>
      <c r="C444" t="s">
        <v>596</v>
      </c>
      <c r="D444">
        <v>2016</v>
      </c>
      <c r="E444">
        <v>6</v>
      </c>
      <c r="F444">
        <v>0</v>
      </c>
      <c r="G444" t="s">
        <v>78</v>
      </c>
      <c r="H444" s="22">
        <v>7</v>
      </c>
      <c r="I444">
        <f t="shared" si="187"/>
        <v>2023</v>
      </c>
      <c r="J444" s="20">
        <f t="shared" si="179"/>
        <v>2023.5</v>
      </c>
      <c r="K444" s="79">
        <v>30864.1</v>
      </c>
      <c r="L444" s="79">
        <f t="shared" si="180"/>
        <v>30864.1</v>
      </c>
      <c r="M444" s="79">
        <f t="shared" si="181"/>
        <v>367.42976190476185</v>
      </c>
      <c r="N444" s="79">
        <f t="shared" si="182"/>
        <v>4409.1571428571424</v>
      </c>
      <c r="O444" s="79">
        <f t="shared" si="183"/>
        <v>4409.1571428571424</v>
      </c>
      <c r="P444" s="79">
        <f t="shared" si="184"/>
        <v>8818.3142857142848</v>
      </c>
      <c r="Q444" s="79">
        <f t="shared" si="185"/>
        <v>13227.471428571427</v>
      </c>
      <c r="R444" s="79">
        <f t="shared" si="186"/>
        <v>17636.62857142857</v>
      </c>
    </row>
    <row r="445" spans="1:18">
      <c r="A445" s="118">
        <v>131777</v>
      </c>
      <c r="B445" s="50">
        <v>312</v>
      </c>
      <c r="C445" t="s">
        <v>596</v>
      </c>
      <c r="D445">
        <v>2016</v>
      </c>
      <c r="E445">
        <v>3</v>
      </c>
      <c r="F445">
        <v>0</v>
      </c>
      <c r="G445" t="s">
        <v>78</v>
      </c>
      <c r="H445" s="22">
        <v>7</v>
      </c>
      <c r="I445">
        <f t="shared" si="187"/>
        <v>2023</v>
      </c>
      <c r="J445" s="20">
        <f t="shared" si="179"/>
        <v>2023.25</v>
      </c>
      <c r="K445" s="79">
        <v>15417.47</v>
      </c>
      <c r="L445" s="79">
        <f t="shared" si="180"/>
        <v>15417.47</v>
      </c>
      <c r="M445" s="79">
        <f t="shared" si="181"/>
        <v>183.54130952380953</v>
      </c>
      <c r="N445" s="79">
        <f t="shared" si="182"/>
        <v>2202.4957142857143</v>
      </c>
      <c r="O445" s="79">
        <f t="shared" si="183"/>
        <v>2202.4957142857143</v>
      </c>
      <c r="P445" s="79">
        <f t="shared" si="184"/>
        <v>4404.9914285714285</v>
      </c>
      <c r="Q445" s="79">
        <f t="shared" si="185"/>
        <v>6607.4871428571423</v>
      </c>
      <c r="R445" s="79">
        <f t="shared" si="186"/>
        <v>8809.982857142857</v>
      </c>
    </row>
    <row r="446" spans="1:18">
      <c r="A446" s="118">
        <v>178891</v>
      </c>
      <c r="B446" s="50">
        <v>624</v>
      </c>
      <c r="C446" t="s">
        <v>615</v>
      </c>
      <c r="D446">
        <v>2017</v>
      </c>
      <c r="E446">
        <v>3</v>
      </c>
      <c r="F446">
        <v>0</v>
      </c>
      <c r="G446" t="s">
        <v>78</v>
      </c>
      <c r="H446" s="22">
        <v>7</v>
      </c>
      <c r="I446">
        <f t="shared" si="187"/>
        <v>2024</v>
      </c>
      <c r="J446" s="20">
        <f t="shared" si="179"/>
        <v>2024.25</v>
      </c>
      <c r="K446" s="79">
        <v>31795.97</v>
      </c>
      <c r="L446" s="79">
        <f t="shared" si="180"/>
        <v>31795.97</v>
      </c>
      <c r="M446" s="79">
        <f t="shared" si="181"/>
        <v>378.52345238095239</v>
      </c>
      <c r="N446" s="79">
        <f t="shared" si="182"/>
        <v>4542.2814285714285</v>
      </c>
      <c r="O446" s="79">
        <f t="shared" si="183"/>
        <v>4542.2814285714285</v>
      </c>
      <c r="P446" s="79">
        <f t="shared" si="184"/>
        <v>4542.2814285714285</v>
      </c>
      <c r="Q446" s="79">
        <f t="shared" si="185"/>
        <v>9084.562857142857</v>
      </c>
      <c r="R446" s="79">
        <f t="shared" si="186"/>
        <v>22711.407142857144</v>
      </c>
    </row>
    <row r="447" spans="1:18">
      <c r="A447" s="118">
        <v>178890</v>
      </c>
      <c r="B447" s="50">
        <v>624</v>
      </c>
      <c r="C447" t="s">
        <v>615</v>
      </c>
      <c r="D447">
        <v>2017</v>
      </c>
      <c r="E447">
        <v>3</v>
      </c>
      <c r="F447">
        <v>0</v>
      </c>
      <c r="G447" t="s">
        <v>78</v>
      </c>
      <c r="H447" s="22">
        <v>7</v>
      </c>
      <c r="I447">
        <f t="shared" si="187"/>
        <v>2024</v>
      </c>
      <c r="J447" s="20">
        <f t="shared" si="179"/>
        <v>2024.25</v>
      </c>
      <c r="K447" s="79">
        <v>31795.97</v>
      </c>
      <c r="L447" s="79">
        <f t="shared" si="180"/>
        <v>31795.97</v>
      </c>
      <c r="M447" s="79">
        <f t="shared" si="181"/>
        <v>378.52345238095239</v>
      </c>
      <c r="N447" s="79">
        <f t="shared" si="182"/>
        <v>4542.2814285714285</v>
      </c>
      <c r="O447" s="79">
        <f t="shared" si="183"/>
        <v>4542.2814285714285</v>
      </c>
      <c r="P447" s="79">
        <f t="shared" si="184"/>
        <v>4542.2814285714285</v>
      </c>
      <c r="Q447" s="79">
        <f t="shared" si="185"/>
        <v>9084.562857142857</v>
      </c>
      <c r="R447" s="79">
        <f t="shared" si="186"/>
        <v>22711.407142857144</v>
      </c>
    </row>
    <row r="448" spans="1:18">
      <c r="A448" s="118">
        <v>183938</v>
      </c>
      <c r="B448" s="50">
        <v>624</v>
      </c>
      <c r="C448" t="s">
        <v>615</v>
      </c>
      <c r="D448">
        <v>2017</v>
      </c>
      <c r="E448">
        <v>6</v>
      </c>
      <c r="F448">
        <v>0</v>
      </c>
      <c r="G448" t="s">
        <v>78</v>
      </c>
      <c r="H448" s="22">
        <v>7</v>
      </c>
      <c r="I448">
        <f t="shared" si="187"/>
        <v>2024</v>
      </c>
      <c r="J448" s="20">
        <f t="shared" si="179"/>
        <v>2024.5</v>
      </c>
      <c r="K448" s="79">
        <v>32107.98</v>
      </c>
      <c r="L448" s="79">
        <f t="shared" si="180"/>
        <v>32107.98</v>
      </c>
      <c r="M448" s="79">
        <f t="shared" si="181"/>
        <v>382.23785714285714</v>
      </c>
      <c r="N448" s="79">
        <f t="shared" si="182"/>
        <v>4586.8542857142857</v>
      </c>
      <c r="O448" s="79">
        <f t="shared" si="183"/>
        <v>4586.8542857142857</v>
      </c>
      <c r="P448" s="79">
        <f t="shared" si="184"/>
        <v>4586.8542857142857</v>
      </c>
      <c r="Q448" s="79">
        <f t="shared" si="185"/>
        <v>9173.7085714285713</v>
      </c>
      <c r="R448" s="79">
        <f t="shared" si="186"/>
        <v>22934.271428571428</v>
      </c>
    </row>
    <row r="449" spans="1:18">
      <c r="A449" s="119">
        <v>196551</v>
      </c>
      <c r="B449" s="50">
        <v>624</v>
      </c>
      <c r="C449" s="50" t="s">
        <v>615</v>
      </c>
      <c r="D449" s="50">
        <v>2018</v>
      </c>
      <c r="E449" s="50">
        <v>3</v>
      </c>
      <c r="F449" s="50">
        <v>0</v>
      </c>
      <c r="G449" s="50" t="s">
        <v>78</v>
      </c>
      <c r="H449" s="62">
        <v>7</v>
      </c>
      <c r="I449" s="50">
        <f t="shared" si="187"/>
        <v>2025</v>
      </c>
      <c r="J449" s="85">
        <f t="shared" si="179"/>
        <v>2025.25</v>
      </c>
      <c r="K449" s="86">
        <v>32857.040000000001</v>
      </c>
      <c r="L449" s="86">
        <f t="shared" si="180"/>
        <v>32857.040000000001</v>
      </c>
      <c r="M449" s="86">
        <f t="shared" si="181"/>
        <v>391.15523809523808</v>
      </c>
      <c r="N449" s="86">
        <f t="shared" si="182"/>
        <v>4693.8628571428571</v>
      </c>
      <c r="O449" s="86">
        <f t="shared" si="183"/>
        <v>4693.8628571428571</v>
      </c>
      <c r="P449" s="86">
        <f t="shared" si="184"/>
        <v>0</v>
      </c>
      <c r="Q449" s="86">
        <f t="shared" si="185"/>
        <v>4693.8628571428571</v>
      </c>
      <c r="R449" s="86">
        <f t="shared" si="186"/>
        <v>28163.177142857145</v>
      </c>
    </row>
    <row r="450" spans="1:18">
      <c r="A450" s="119">
        <v>199448</v>
      </c>
      <c r="B450" s="50">
        <v>624</v>
      </c>
      <c r="C450" s="50" t="s">
        <v>615</v>
      </c>
      <c r="D450" s="50">
        <v>2018</v>
      </c>
      <c r="E450" s="50">
        <v>4</v>
      </c>
      <c r="F450" s="50">
        <v>0</v>
      </c>
      <c r="G450" s="50" t="s">
        <v>78</v>
      </c>
      <c r="H450" s="62">
        <v>7</v>
      </c>
      <c r="I450" s="50">
        <f t="shared" ref="I450:I455" si="188">D450+H450</f>
        <v>2025</v>
      </c>
      <c r="J450" s="85">
        <f t="shared" ref="J450:J455" si="189">+I450+(E450/12)</f>
        <v>2025.3333333333333</v>
      </c>
      <c r="K450" s="86">
        <v>33108.660000000003</v>
      </c>
      <c r="L450" s="86">
        <f t="shared" ref="L450:L455" si="190">K450-K450*F450</f>
        <v>33108.660000000003</v>
      </c>
      <c r="M450" s="86">
        <f t="shared" ref="M450:M455" si="191">L450/H450/12</f>
        <v>394.15071428571429</v>
      </c>
      <c r="N450" s="86">
        <f t="shared" ref="N450:N455" si="192">+M450*12</f>
        <v>4729.8085714285717</v>
      </c>
      <c r="O450" s="86">
        <f t="shared" ref="O450:O455" si="193">+IF(J450&lt;=$L$5,0,IF(I450&gt;$L$4,N450,(M450*E450)))</f>
        <v>4729.8085714285717</v>
      </c>
      <c r="P450" s="86">
        <f t="shared" ref="P450:P455" si="194">+IF(O450=0,L450,IF($L$3-D450&lt;1,0,(($L$3-D450)*O450)))</f>
        <v>0</v>
      </c>
      <c r="Q450" s="86">
        <f t="shared" ref="Q450:Q455" si="195">+IF(O450=0,P450,P450+O450)</f>
        <v>4729.8085714285717</v>
      </c>
      <c r="R450" s="86">
        <f t="shared" ref="R450:R455" si="196">+K450-Q450</f>
        <v>28378.851428571434</v>
      </c>
    </row>
    <row r="451" spans="1:18">
      <c r="A451" s="119">
        <v>202195</v>
      </c>
      <c r="B451" s="50">
        <v>624</v>
      </c>
      <c r="C451" s="50" t="s">
        <v>615</v>
      </c>
      <c r="D451" s="50">
        <v>2018</v>
      </c>
      <c r="E451" s="50">
        <v>6</v>
      </c>
      <c r="F451" s="50">
        <v>0</v>
      </c>
      <c r="G451" s="50" t="s">
        <v>78</v>
      </c>
      <c r="H451" s="62">
        <v>7</v>
      </c>
      <c r="I451" s="50">
        <f t="shared" si="188"/>
        <v>2025</v>
      </c>
      <c r="J451" s="85">
        <f t="shared" si="189"/>
        <v>2025.5</v>
      </c>
      <c r="K451" s="86">
        <v>33336.99</v>
      </c>
      <c r="L451" s="86">
        <f t="shared" si="190"/>
        <v>33336.99</v>
      </c>
      <c r="M451" s="86">
        <f t="shared" si="191"/>
        <v>396.86892857142857</v>
      </c>
      <c r="N451" s="86">
        <f t="shared" si="192"/>
        <v>4762.4271428571428</v>
      </c>
      <c r="O451" s="86">
        <f t="shared" si="193"/>
        <v>4762.4271428571428</v>
      </c>
      <c r="P451" s="86">
        <f t="shared" si="194"/>
        <v>0</v>
      </c>
      <c r="Q451" s="86">
        <f t="shared" si="195"/>
        <v>4762.4271428571428</v>
      </c>
      <c r="R451" s="86">
        <f t="shared" si="196"/>
        <v>28574.562857142853</v>
      </c>
    </row>
    <row r="452" spans="1:18">
      <c r="A452" s="119">
        <v>206415</v>
      </c>
      <c r="B452" s="50">
        <v>624</v>
      </c>
      <c r="C452" s="50" t="s">
        <v>615</v>
      </c>
      <c r="D452" s="50">
        <v>2018</v>
      </c>
      <c r="E452" s="50">
        <v>10</v>
      </c>
      <c r="F452" s="50">
        <v>0</v>
      </c>
      <c r="G452" s="50" t="s">
        <v>78</v>
      </c>
      <c r="H452" s="62">
        <v>7</v>
      </c>
      <c r="I452" s="50">
        <f t="shared" si="188"/>
        <v>2025</v>
      </c>
      <c r="J452" s="85">
        <f t="shared" si="189"/>
        <v>2025.8333333333333</v>
      </c>
      <c r="K452" s="86">
        <v>33383.51</v>
      </c>
      <c r="L452" s="86">
        <f t="shared" si="190"/>
        <v>33383.51</v>
      </c>
      <c r="M452" s="86">
        <f t="shared" si="191"/>
        <v>397.42273809523812</v>
      </c>
      <c r="N452" s="86">
        <f t="shared" si="192"/>
        <v>4769.0728571428572</v>
      </c>
      <c r="O452" s="86">
        <f t="shared" si="193"/>
        <v>4769.0728571428572</v>
      </c>
      <c r="P452" s="86">
        <f t="shared" si="194"/>
        <v>0</v>
      </c>
      <c r="Q452" s="86">
        <f t="shared" si="195"/>
        <v>4769.0728571428572</v>
      </c>
      <c r="R452" s="86">
        <f t="shared" si="196"/>
        <v>28614.437142857147</v>
      </c>
    </row>
    <row r="453" spans="1:18" s="53" customFormat="1">
      <c r="A453" s="120">
        <v>210117</v>
      </c>
      <c r="B453" s="84">
        <v>624</v>
      </c>
      <c r="C453" s="54" t="s">
        <v>805</v>
      </c>
      <c r="D453" s="53">
        <v>2019</v>
      </c>
      <c r="E453" s="53">
        <v>1</v>
      </c>
      <c r="F453" s="53">
        <v>0</v>
      </c>
      <c r="G453" s="54" t="s">
        <v>78</v>
      </c>
      <c r="H453" s="57">
        <v>7</v>
      </c>
      <c r="I453" s="53">
        <f t="shared" si="188"/>
        <v>2026</v>
      </c>
      <c r="J453" s="58">
        <f t="shared" si="189"/>
        <v>2026.0833333333333</v>
      </c>
      <c r="K453" s="80">
        <v>31843.759999999998</v>
      </c>
      <c r="L453" s="80">
        <f t="shared" si="190"/>
        <v>31843.759999999998</v>
      </c>
      <c r="M453" s="80">
        <f t="shared" si="191"/>
        <v>379.09238095238089</v>
      </c>
      <c r="N453" s="80">
        <f t="shared" si="192"/>
        <v>4549.1085714285709</v>
      </c>
      <c r="O453" s="80">
        <f t="shared" si="193"/>
        <v>4549.1085714285709</v>
      </c>
      <c r="P453" s="80">
        <f t="shared" si="194"/>
        <v>0</v>
      </c>
      <c r="Q453" s="80">
        <f t="shared" si="195"/>
        <v>4549.1085714285709</v>
      </c>
      <c r="R453" s="80">
        <f t="shared" si="196"/>
        <v>27294.651428571429</v>
      </c>
    </row>
    <row r="454" spans="1:18" s="53" customFormat="1">
      <c r="A454" s="120" t="s">
        <v>807</v>
      </c>
      <c r="B454" s="84"/>
      <c r="C454" s="54" t="s">
        <v>805</v>
      </c>
      <c r="D454" s="53">
        <v>2019</v>
      </c>
      <c r="E454" s="53">
        <v>5</v>
      </c>
      <c r="F454" s="53">
        <v>0</v>
      </c>
      <c r="G454" s="54" t="s">
        <v>78</v>
      </c>
      <c r="H454" s="57">
        <v>7</v>
      </c>
      <c r="I454" s="53">
        <f t="shared" si="188"/>
        <v>2026</v>
      </c>
      <c r="J454" s="58">
        <f t="shared" si="189"/>
        <v>2026.4166666666667</v>
      </c>
      <c r="K454" s="80">
        <v>15148</v>
      </c>
      <c r="L454" s="80">
        <f t="shared" si="190"/>
        <v>15148</v>
      </c>
      <c r="M454" s="80">
        <f t="shared" si="191"/>
        <v>180.33333333333334</v>
      </c>
      <c r="N454" s="80">
        <f t="shared" si="192"/>
        <v>2164</v>
      </c>
      <c r="O454" s="80">
        <f t="shared" si="193"/>
        <v>2164</v>
      </c>
      <c r="P454" s="80">
        <f t="shared" si="194"/>
        <v>0</v>
      </c>
      <c r="Q454" s="80">
        <f t="shared" si="195"/>
        <v>2164</v>
      </c>
      <c r="R454" s="80">
        <f t="shared" si="196"/>
        <v>12984</v>
      </c>
    </row>
    <row r="455" spans="1:18" s="53" customFormat="1">
      <c r="A455" s="120" t="s">
        <v>807</v>
      </c>
      <c r="B455" s="84"/>
      <c r="C455" s="54" t="s">
        <v>805</v>
      </c>
      <c r="D455" s="53">
        <v>2019</v>
      </c>
      <c r="E455" s="53">
        <v>5</v>
      </c>
      <c r="F455" s="53">
        <v>0</v>
      </c>
      <c r="G455" s="54" t="s">
        <v>78</v>
      </c>
      <c r="H455" s="57">
        <v>7</v>
      </c>
      <c r="I455" s="53">
        <f t="shared" si="188"/>
        <v>2026</v>
      </c>
      <c r="J455" s="58">
        <f t="shared" si="189"/>
        <v>2026.4166666666667</v>
      </c>
      <c r="K455" s="80">
        <v>30296</v>
      </c>
      <c r="L455" s="80">
        <f t="shared" si="190"/>
        <v>30296</v>
      </c>
      <c r="M455" s="80">
        <f t="shared" si="191"/>
        <v>360.66666666666669</v>
      </c>
      <c r="N455" s="80">
        <f t="shared" si="192"/>
        <v>4328</v>
      </c>
      <c r="O455" s="80">
        <f t="shared" si="193"/>
        <v>4328</v>
      </c>
      <c r="P455" s="80">
        <f t="shared" si="194"/>
        <v>0</v>
      </c>
      <c r="Q455" s="80">
        <f t="shared" si="195"/>
        <v>4328</v>
      </c>
      <c r="R455" s="80">
        <f t="shared" si="196"/>
        <v>25968</v>
      </c>
    </row>
    <row r="456" spans="1:18">
      <c r="K456" s="79"/>
      <c r="L456" s="79"/>
      <c r="M456" s="79"/>
      <c r="N456" s="79"/>
      <c r="O456" s="79"/>
      <c r="P456" s="79"/>
      <c r="Q456" s="79"/>
      <c r="R456" s="79"/>
    </row>
    <row r="457" spans="1:18">
      <c r="C457" s="9" t="s">
        <v>277</v>
      </c>
      <c r="K457" s="81">
        <f t="shared" ref="K457:R457" si="197">SUM(K409:K456)</f>
        <v>1106454.31</v>
      </c>
      <c r="L457" s="81">
        <f t="shared" si="197"/>
        <v>1106454.31</v>
      </c>
      <c r="M457" s="81">
        <f t="shared" si="197"/>
        <v>12981.922499999997</v>
      </c>
      <c r="N457" s="81">
        <f t="shared" si="197"/>
        <v>155783.07</v>
      </c>
      <c r="O457" s="81">
        <f t="shared" si="197"/>
        <v>67130.804285714286</v>
      </c>
      <c r="P457" s="81">
        <f t="shared" si="197"/>
        <v>727939.49428571423</v>
      </c>
      <c r="Q457" s="81">
        <f t="shared" si="197"/>
        <v>795070.29857142852</v>
      </c>
      <c r="R457" s="81">
        <f t="shared" si="197"/>
        <v>311384.01142857142</v>
      </c>
    </row>
    <row r="458" spans="1:18">
      <c r="K458" s="79"/>
      <c r="L458" s="79"/>
      <c r="M458" s="79"/>
      <c r="N458" s="79"/>
      <c r="O458" s="79"/>
      <c r="P458" s="79"/>
      <c r="Q458" s="79"/>
      <c r="R458" s="79"/>
    </row>
    <row r="459" spans="1:18" ht="13.5" thickBot="1">
      <c r="C459" s="9" t="s">
        <v>404</v>
      </c>
      <c r="K459" s="82">
        <f t="shared" ref="K459:R459" si="198">K457+K405+K365+K295+K166</f>
        <v>11019727.93</v>
      </c>
      <c r="L459" s="82">
        <f t="shared" si="198"/>
        <v>11019727.93</v>
      </c>
      <c r="M459" s="82">
        <f t="shared" si="198"/>
        <v>108531.80354409726</v>
      </c>
      <c r="N459" s="82">
        <f t="shared" si="198"/>
        <v>1302381.6425291675</v>
      </c>
      <c r="O459" s="82">
        <f t="shared" si="198"/>
        <v>560346.36752916733</v>
      </c>
      <c r="P459" s="82">
        <f t="shared" si="198"/>
        <v>7733782.0823386908</v>
      </c>
      <c r="Q459" s="82">
        <f t="shared" si="198"/>
        <v>8294128.4498678576</v>
      </c>
      <c r="R459" s="82">
        <f t="shared" si="198"/>
        <v>2725599.4801321412</v>
      </c>
    </row>
    <row r="460" spans="1:18" ht="13.5" thickTop="1"/>
    <row r="463" spans="1:18">
      <c r="C463" s="7"/>
      <c r="D463" s="7"/>
      <c r="E463" s="7"/>
      <c r="F463" s="22"/>
      <c r="G463" s="7"/>
      <c r="H463" s="7"/>
      <c r="I463" s="7"/>
    </row>
    <row r="464" spans="1:18">
      <c r="C464" s="7"/>
      <c r="D464" s="7"/>
      <c r="E464" s="7"/>
      <c r="F464" s="22"/>
      <c r="G464" s="7"/>
      <c r="H464" s="7"/>
      <c r="I464" s="7"/>
    </row>
    <row r="465" spans="3:9">
      <c r="C465" s="7"/>
      <c r="D465" s="7"/>
      <c r="E465" s="7"/>
      <c r="F465" s="22"/>
      <c r="G465" s="7"/>
      <c r="H465" s="7"/>
      <c r="I465" s="7"/>
    </row>
  </sheetData>
  <sortState ref="A170:R290">
    <sortCondition ref="D170:D290"/>
    <sortCondition ref="E170:E290"/>
  </sortState>
  <phoneticPr fontId="4" type="noConversion"/>
  <pageMargins left="0" right="0" top="0" bottom="0" header="0.5" footer="0.5"/>
  <pageSetup scale="57" fitToHeight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5"/>
  <sheetViews>
    <sheetView showGridLines="0" view="pageBreakPreview" zoomScaleNormal="100" zoomScaleSheetLayoutView="100" workbookViewId="0">
      <pane xSplit="1" ySplit="11" topLeftCell="B12" activePane="bottomRight" state="frozen"/>
      <selection activeCell="K49" sqref="K49"/>
      <selection pane="topRight" activeCell="K49" sqref="K49"/>
      <selection pane="bottomLeft" activeCell="K49" sqref="K49"/>
      <selection pane="bottomRight" activeCell="K49" sqref="K49"/>
    </sheetView>
  </sheetViews>
  <sheetFormatPr defaultColWidth="11.42578125" defaultRowHeight="12.75"/>
  <cols>
    <col min="1" max="1" width="7" customWidth="1"/>
    <col min="2" max="2" width="6.7109375" customWidth="1"/>
    <col min="3" max="3" width="53.140625" bestFit="1" customWidth="1"/>
    <col min="4" max="4" width="14.28515625" bestFit="1" customWidth="1"/>
    <col min="5" max="5" width="7.28515625" bestFit="1" customWidth="1"/>
    <col min="6" max="6" width="3.42578125" bestFit="1" customWidth="1"/>
    <col min="7" max="7" width="7" style="27" bestFit="1" customWidth="1"/>
    <col min="8" max="8" width="1.28515625" customWidth="1"/>
    <col min="9" max="9" width="7" bestFit="1" customWidth="1"/>
    <col min="10" max="10" width="5.5703125" bestFit="1" customWidth="1"/>
    <col min="11" max="11" width="7" customWidth="1"/>
    <col min="12" max="12" width="8.42578125" bestFit="1" customWidth="1"/>
    <col min="13" max="14" width="13" bestFit="1" customWidth="1"/>
    <col min="15" max="15" width="11.7109375" customWidth="1"/>
    <col min="16" max="16" width="12.140625" bestFit="1" customWidth="1"/>
    <col min="17" max="17" width="11.28515625" bestFit="1" customWidth="1"/>
    <col min="18" max="20" width="12.85546875" bestFit="1" customWidth="1"/>
    <col min="21" max="16384" width="11.42578125" style="50"/>
  </cols>
  <sheetData>
    <row r="1" spans="1:20">
      <c r="C1" s="77" t="s">
        <v>343</v>
      </c>
    </row>
    <row r="2" spans="1:20">
      <c r="C2" s="77" t="s">
        <v>26</v>
      </c>
      <c r="N2">
        <f>'Trucks 2183'!M2</f>
        <v>8</v>
      </c>
      <c r="O2" t="s">
        <v>27</v>
      </c>
    </row>
    <row r="3" spans="1:20">
      <c r="C3" s="78">
        <f>'Summary 2183'!H7</f>
        <v>43585</v>
      </c>
      <c r="N3">
        <f>'Trucks 2183'!M3</f>
        <v>2018</v>
      </c>
      <c r="O3" t="s">
        <v>28</v>
      </c>
    </row>
    <row r="4" spans="1:20">
      <c r="N4">
        <f>'Trucks 2183'!M4</f>
        <v>2019</v>
      </c>
      <c r="O4" t="s">
        <v>31</v>
      </c>
    </row>
    <row r="5" spans="1:20">
      <c r="N5" s="20">
        <f>'Trucks 2183'!M5</f>
        <v>2019.6666666666667</v>
      </c>
      <c r="O5" t="s">
        <v>34</v>
      </c>
    </row>
    <row r="8" spans="1:20">
      <c r="A8" s="9"/>
      <c r="B8" s="9"/>
      <c r="C8" s="9"/>
      <c r="D8" s="9"/>
      <c r="E8" s="9"/>
      <c r="F8" s="9"/>
      <c r="G8" s="69"/>
      <c r="H8" s="9"/>
      <c r="I8" s="9"/>
      <c r="J8" s="9"/>
      <c r="K8" s="9"/>
      <c r="L8" s="9"/>
      <c r="M8" s="9"/>
      <c r="N8" s="9"/>
      <c r="O8" s="9"/>
      <c r="P8" s="9"/>
      <c r="Q8" s="9"/>
      <c r="R8" s="4" t="s">
        <v>25</v>
      </c>
      <c r="S8" s="4" t="s">
        <v>43</v>
      </c>
      <c r="T8" s="9"/>
    </row>
    <row r="9" spans="1:20">
      <c r="A9" s="9"/>
      <c r="B9" s="9" t="s">
        <v>45</v>
      </c>
      <c r="C9" s="9"/>
      <c r="D9" s="9"/>
      <c r="E9" s="4" t="s">
        <v>46</v>
      </c>
      <c r="F9" s="4"/>
      <c r="G9" s="70" t="s">
        <v>47</v>
      </c>
      <c r="H9" s="4"/>
      <c r="I9" s="4" t="s">
        <v>45</v>
      </c>
      <c r="J9" s="4"/>
      <c r="K9" s="4" t="s">
        <v>48</v>
      </c>
      <c r="L9" s="4" t="s">
        <v>45</v>
      </c>
      <c r="M9" s="4" t="s">
        <v>45</v>
      </c>
      <c r="N9" s="4" t="s">
        <v>45</v>
      </c>
      <c r="O9" s="4"/>
      <c r="P9" s="4"/>
      <c r="Q9" s="4"/>
      <c r="R9" s="4" t="s">
        <v>54</v>
      </c>
      <c r="S9" s="4" t="s">
        <v>54</v>
      </c>
      <c r="T9" s="4" t="s">
        <v>55</v>
      </c>
    </row>
    <row r="10" spans="1:20">
      <c r="A10" s="9"/>
      <c r="B10" s="9"/>
      <c r="C10" s="9"/>
      <c r="D10" s="9"/>
      <c r="E10" s="4" t="s">
        <v>57</v>
      </c>
      <c r="F10" s="4"/>
      <c r="G10" s="70" t="s">
        <v>58</v>
      </c>
      <c r="H10" s="4"/>
      <c r="I10" s="4" t="s">
        <v>100</v>
      </c>
      <c r="J10" s="4" t="s">
        <v>59</v>
      </c>
      <c r="K10" s="4" t="s">
        <v>60</v>
      </c>
      <c r="L10" s="4" t="s">
        <v>742</v>
      </c>
      <c r="M10" s="4" t="s">
        <v>49</v>
      </c>
      <c r="N10" s="4" t="s">
        <v>62</v>
      </c>
      <c r="O10" s="4" t="s">
        <v>63</v>
      </c>
      <c r="P10" s="4" t="s">
        <v>747</v>
      </c>
      <c r="Q10" s="4" t="s">
        <v>65</v>
      </c>
      <c r="R10" s="4" t="s">
        <v>68</v>
      </c>
      <c r="S10" s="4" t="s">
        <v>68</v>
      </c>
      <c r="T10" s="4" t="s">
        <v>6</v>
      </c>
    </row>
    <row r="11" spans="1:20">
      <c r="A11" s="9" t="s">
        <v>71</v>
      </c>
      <c r="B11" s="9" t="s">
        <v>72</v>
      </c>
      <c r="C11" s="9" t="s">
        <v>73</v>
      </c>
      <c r="D11" s="9" t="s">
        <v>433</v>
      </c>
      <c r="E11" s="4" t="s">
        <v>48</v>
      </c>
      <c r="F11" s="4" t="s">
        <v>74</v>
      </c>
      <c r="G11" s="70" t="s">
        <v>51</v>
      </c>
      <c r="H11" s="4" t="s">
        <v>99</v>
      </c>
      <c r="I11" s="4" t="s">
        <v>75</v>
      </c>
      <c r="J11" s="4" t="s">
        <v>76</v>
      </c>
      <c r="K11" s="4" t="s">
        <v>62</v>
      </c>
      <c r="L11" s="4" t="s">
        <v>749</v>
      </c>
      <c r="M11" s="4" t="s">
        <v>173</v>
      </c>
      <c r="N11" s="4" t="s">
        <v>173</v>
      </c>
      <c r="O11" s="4" t="s">
        <v>62</v>
      </c>
      <c r="P11" s="4" t="s">
        <v>62</v>
      </c>
      <c r="Q11" s="4" t="s">
        <v>77</v>
      </c>
      <c r="R11" s="25">
        <f>+'Summary 2183'!F7</f>
        <v>43221</v>
      </c>
      <c r="S11" s="25">
        <f>+C3</f>
        <v>43585</v>
      </c>
      <c r="T11" s="25">
        <f>S11</f>
        <v>43585</v>
      </c>
    </row>
    <row r="12" spans="1:20">
      <c r="A12" s="7"/>
      <c r="B12" s="7"/>
      <c r="C12" s="9" t="s">
        <v>748</v>
      </c>
      <c r="D12" s="7"/>
      <c r="E12" s="7"/>
      <c r="F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>
      <c r="C13" t="s">
        <v>17</v>
      </c>
      <c r="E13">
        <v>2000</v>
      </c>
      <c r="F13">
        <v>7</v>
      </c>
      <c r="G13" s="27">
        <v>0</v>
      </c>
      <c r="I13" t="s">
        <v>78</v>
      </c>
      <c r="J13" t="s">
        <v>10</v>
      </c>
      <c r="K13">
        <f t="shared" ref="K13:K19" si="0">E13+J13</f>
        <v>2039</v>
      </c>
      <c r="L13" s="20">
        <f>+K13+(F13/12)</f>
        <v>2039.5833333333333</v>
      </c>
      <c r="M13" s="1">
        <v>157653.60999999999</v>
      </c>
      <c r="N13" s="1">
        <f>M13-M13*G13</f>
        <v>157653.60999999999</v>
      </c>
      <c r="O13" s="1">
        <f t="shared" ref="O13" si="1">N13/J13/12</f>
        <v>336.86668803418803</v>
      </c>
      <c r="P13" s="1">
        <f t="shared" ref="P13:P19" si="2">+O13*12</f>
        <v>4042.4002564102566</v>
      </c>
      <c r="Q13" s="1">
        <f>+IF(L13&lt;=$N$5,0,IF(K13&gt;$N$4,P13,(O13*F13)))</f>
        <v>4042.4002564102566</v>
      </c>
      <c r="R13" s="1">
        <f>+IF(Q13=0,N13,IF($N$3-E13&lt;1,0,(($N$3-E13)*Q13)))</f>
        <v>72763.204615384617</v>
      </c>
      <c r="S13" s="1">
        <f>+IF(Q13=0,R13,R13+Q13)</f>
        <v>76805.604871794872</v>
      </c>
      <c r="T13" s="1">
        <f t="shared" ref="T13" si="3">+M13-S13</f>
        <v>80848.005128205114</v>
      </c>
    </row>
    <row r="14" spans="1:20">
      <c r="C14" t="s">
        <v>18</v>
      </c>
      <c r="E14">
        <v>2000</v>
      </c>
      <c r="F14">
        <v>7</v>
      </c>
      <c r="G14" s="27">
        <v>0</v>
      </c>
      <c r="I14" t="s">
        <v>78</v>
      </c>
      <c r="J14" t="s">
        <v>10</v>
      </c>
      <c r="K14">
        <f t="shared" si="0"/>
        <v>2039</v>
      </c>
      <c r="L14" s="20">
        <f t="shared" ref="L14:L19" si="4">+K14+(F14/12)</f>
        <v>2039.5833333333333</v>
      </c>
      <c r="M14" s="1">
        <v>749055.76</v>
      </c>
      <c r="N14" s="1">
        <f t="shared" ref="N14:N19" si="5">M14-M14*G14</f>
        <v>749055.76</v>
      </c>
      <c r="O14" s="1">
        <f t="shared" ref="O14:O19" si="6">N14/J14/12</f>
        <v>1600.5464957264958</v>
      </c>
      <c r="P14" s="1">
        <f t="shared" si="2"/>
        <v>19206.557948717949</v>
      </c>
      <c r="Q14" s="1">
        <f t="shared" ref="Q14:Q19" si="7">+IF(L14&lt;=$N$5,0,IF(K14&gt;$N$4,P14,(O14*F14)))</f>
        <v>19206.557948717949</v>
      </c>
      <c r="R14" s="1">
        <f t="shared" ref="R14:R19" si="8">+IF(Q14=0,N14,IF($N$3-E14&lt;1,0,(($N$3-E14)*Q14)))</f>
        <v>345718.04307692312</v>
      </c>
      <c r="S14" s="1">
        <f t="shared" ref="S14:S19" si="9">+IF(Q14=0,R14,R14+Q14)</f>
        <v>364924.60102564108</v>
      </c>
      <c r="T14" s="1">
        <f t="shared" ref="T14:T19" si="10">+M14-S14</f>
        <v>384131.15897435893</v>
      </c>
    </row>
    <row r="15" spans="1:20">
      <c r="C15" t="s">
        <v>349</v>
      </c>
      <c r="E15">
        <v>2001</v>
      </c>
      <c r="F15">
        <v>1</v>
      </c>
      <c r="G15" s="27">
        <v>0</v>
      </c>
      <c r="I15" t="s">
        <v>78</v>
      </c>
      <c r="J15" t="s">
        <v>10</v>
      </c>
      <c r="K15">
        <f t="shared" si="0"/>
        <v>2040</v>
      </c>
      <c r="L15" s="20">
        <f t="shared" si="4"/>
        <v>2040.0833333333333</v>
      </c>
      <c r="M15" s="1">
        <v>26815.63</v>
      </c>
      <c r="N15" s="1">
        <f t="shared" si="5"/>
        <v>26815.63</v>
      </c>
      <c r="O15" s="1">
        <f t="shared" si="6"/>
        <v>57.298354700854702</v>
      </c>
      <c r="P15" s="1">
        <f t="shared" si="2"/>
        <v>687.58025641025642</v>
      </c>
      <c r="Q15" s="1">
        <f t="shared" si="7"/>
        <v>687.58025641025642</v>
      </c>
      <c r="R15" s="1">
        <f t="shared" si="8"/>
        <v>11688.864358974359</v>
      </c>
      <c r="S15" s="1">
        <f t="shared" si="9"/>
        <v>12376.444615384615</v>
      </c>
      <c r="T15" s="1">
        <f t="shared" si="10"/>
        <v>14439.185384615386</v>
      </c>
    </row>
    <row r="16" spans="1:20">
      <c r="C16" t="s">
        <v>344</v>
      </c>
      <c r="E16">
        <v>2006</v>
      </c>
      <c r="F16">
        <v>8</v>
      </c>
      <c r="G16" s="27">
        <v>0</v>
      </c>
      <c r="I16" t="s">
        <v>78</v>
      </c>
      <c r="J16" t="s">
        <v>10</v>
      </c>
      <c r="K16">
        <f t="shared" si="0"/>
        <v>2045</v>
      </c>
      <c r="L16" s="20">
        <f t="shared" si="4"/>
        <v>2045.6666666666667</v>
      </c>
      <c r="M16" s="1">
        <v>32833.279999999999</v>
      </c>
      <c r="N16" s="1">
        <f t="shared" si="5"/>
        <v>32833.279999999999</v>
      </c>
      <c r="O16" s="1">
        <f t="shared" si="6"/>
        <v>70.1565811965812</v>
      </c>
      <c r="P16" s="1">
        <f t="shared" si="2"/>
        <v>841.87897435897435</v>
      </c>
      <c r="Q16" s="1">
        <f t="shared" si="7"/>
        <v>841.87897435897435</v>
      </c>
      <c r="R16" s="1">
        <f t="shared" si="8"/>
        <v>10102.547692307693</v>
      </c>
      <c r="S16" s="1">
        <f t="shared" si="9"/>
        <v>10944.426666666668</v>
      </c>
      <c r="T16" s="1">
        <f t="shared" si="10"/>
        <v>21888.853333333333</v>
      </c>
    </row>
    <row r="17" spans="3:20">
      <c r="C17" t="s">
        <v>301</v>
      </c>
      <c r="E17">
        <v>2006</v>
      </c>
      <c r="F17">
        <v>4</v>
      </c>
      <c r="G17" s="27">
        <v>0</v>
      </c>
      <c r="I17" t="s">
        <v>78</v>
      </c>
      <c r="J17" t="s">
        <v>10</v>
      </c>
      <c r="K17">
        <f t="shared" si="0"/>
        <v>2045</v>
      </c>
      <c r="L17" s="20">
        <f t="shared" si="4"/>
        <v>2045.3333333333333</v>
      </c>
      <c r="M17" s="1">
        <v>8226.42</v>
      </c>
      <c r="N17" s="1">
        <f t="shared" si="5"/>
        <v>8226.42</v>
      </c>
      <c r="O17" s="1">
        <f t="shared" si="6"/>
        <v>17.577820512820512</v>
      </c>
      <c r="P17" s="1">
        <f t="shared" si="2"/>
        <v>210.93384615384616</v>
      </c>
      <c r="Q17" s="1">
        <f t="shared" si="7"/>
        <v>210.93384615384616</v>
      </c>
      <c r="R17" s="1">
        <f t="shared" si="8"/>
        <v>2531.2061538461539</v>
      </c>
      <c r="S17" s="1">
        <f t="shared" si="9"/>
        <v>2742.1400000000003</v>
      </c>
      <c r="T17" s="1">
        <f t="shared" si="10"/>
        <v>5484.28</v>
      </c>
    </row>
    <row r="18" spans="3:20">
      <c r="C18" t="s">
        <v>15</v>
      </c>
      <c r="E18">
        <v>2006</v>
      </c>
      <c r="F18">
        <v>1</v>
      </c>
      <c r="G18" s="27">
        <v>0</v>
      </c>
      <c r="I18" t="s">
        <v>78</v>
      </c>
      <c r="J18" t="s">
        <v>10</v>
      </c>
      <c r="K18">
        <f t="shared" si="0"/>
        <v>2045</v>
      </c>
      <c r="L18" s="20">
        <f t="shared" si="4"/>
        <v>2045.0833333333333</v>
      </c>
      <c r="M18" s="1">
        <v>16082.22</v>
      </c>
      <c r="N18" s="1">
        <f t="shared" si="5"/>
        <v>16082.22</v>
      </c>
      <c r="O18" s="1">
        <f t="shared" si="6"/>
        <v>34.363717948717948</v>
      </c>
      <c r="P18" s="1">
        <f t="shared" si="2"/>
        <v>412.36461538461538</v>
      </c>
      <c r="Q18" s="1">
        <f t="shared" si="7"/>
        <v>412.36461538461538</v>
      </c>
      <c r="R18" s="1">
        <f t="shared" si="8"/>
        <v>4948.375384615385</v>
      </c>
      <c r="S18" s="1">
        <f t="shared" si="9"/>
        <v>5360.7400000000007</v>
      </c>
      <c r="T18" s="1">
        <f t="shared" si="10"/>
        <v>10721.48</v>
      </c>
    </row>
    <row r="19" spans="3:20">
      <c r="C19" t="s">
        <v>110</v>
      </c>
      <c r="E19">
        <v>2007</v>
      </c>
      <c r="F19">
        <v>5</v>
      </c>
      <c r="G19" s="27">
        <v>0</v>
      </c>
      <c r="I19" t="s">
        <v>78</v>
      </c>
      <c r="J19" t="s">
        <v>102</v>
      </c>
      <c r="K19">
        <f t="shared" si="0"/>
        <v>2022</v>
      </c>
      <c r="L19" s="20">
        <f t="shared" si="4"/>
        <v>2022.4166666666667</v>
      </c>
      <c r="M19" s="1">
        <v>6504</v>
      </c>
      <c r="N19" s="1">
        <f t="shared" si="5"/>
        <v>6504</v>
      </c>
      <c r="O19" s="1">
        <f t="shared" si="6"/>
        <v>36.133333333333333</v>
      </c>
      <c r="P19" s="1">
        <f t="shared" si="2"/>
        <v>433.6</v>
      </c>
      <c r="Q19" s="1">
        <f t="shared" si="7"/>
        <v>433.6</v>
      </c>
      <c r="R19" s="1">
        <f t="shared" si="8"/>
        <v>4769.6000000000004</v>
      </c>
      <c r="S19" s="1">
        <f t="shared" si="9"/>
        <v>5203.2000000000007</v>
      </c>
      <c r="T19" s="1">
        <f t="shared" si="10"/>
        <v>1300.7999999999993</v>
      </c>
    </row>
    <row r="20" spans="3:20">
      <c r="C20" t="s">
        <v>316</v>
      </c>
    </row>
    <row r="21" spans="3:20">
      <c r="C21" s="9" t="s">
        <v>79</v>
      </c>
      <c r="M21" s="24">
        <f t="shared" ref="M21:T21" si="11">SUM(M13:M20)</f>
        <v>997170.92</v>
      </c>
      <c r="N21" s="24">
        <f t="shared" si="11"/>
        <v>997170.92</v>
      </c>
      <c r="O21" s="24">
        <f t="shared" si="11"/>
        <v>2152.942991452991</v>
      </c>
      <c r="P21" s="24">
        <f t="shared" si="11"/>
        <v>25835.315897435896</v>
      </c>
      <c r="Q21" s="24">
        <f t="shared" si="11"/>
        <v>25835.315897435896</v>
      </c>
      <c r="R21" s="24">
        <f t="shared" si="11"/>
        <v>452521.84128205129</v>
      </c>
      <c r="S21" s="24">
        <f t="shared" si="11"/>
        <v>478357.15717948729</v>
      </c>
      <c r="T21" s="24">
        <f t="shared" si="11"/>
        <v>518813.76282051275</v>
      </c>
    </row>
    <row r="22" spans="3:20">
      <c r="C22" t="s">
        <v>316</v>
      </c>
    </row>
    <row r="23" spans="3:20">
      <c r="C23" t="s">
        <v>316</v>
      </c>
    </row>
    <row r="24" spans="3:20">
      <c r="C24" s="9" t="s">
        <v>264</v>
      </c>
    </row>
    <row r="25" spans="3:20">
      <c r="C25" t="s">
        <v>347</v>
      </c>
      <c r="E25">
        <v>1982</v>
      </c>
      <c r="F25">
        <v>4</v>
      </c>
      <c r="G25" s="27">
        <v>0</v>
      </c>
      <c r="I25" t="s">
        <v>78</v>
      </c>
      <c r="J25" t="s">
        <v>176</v>
      </c>
      <c r="K25">
        <f t="shared" ref="K25:K43" si="12">E25+J25</f>
        <v>2032</v>
      </c>
      <c r="L25" s="20">
        <f t="shared" ref="L25:L44" si="13">+K25+(F25/12)</f>
        <v>2032.3333333333333</v>
      </c>
      <c r="M25">
        <v>3500</v>
      </c>
      <c r="N25" s="1">
        <f>M25-M25*G25</f>
        <v>3500</v>
      </c>
      <c r="O25" s="1">
        <f t="shared" ref="O25" si="14">N25/J25/12</f>
        <v>5.833333333333333</v>
      </c>
      <c r="P25" s="1">
        <f t="shared" ref="P25" si="15">+O25*12</f>
        <v>70</v>
      </c>
      <c r="Q25" s="1">
        <f>+IF(L25&lt;=$N$5,0,IF(K25&gt;$N$4,P25,(O25*F25)))</f>
        <v>70</v>
      </c>
      <c r="R25" s="1">
        <f>+IF(Q25=0,N25,IF($N$3-E25&lt;1,0,(($N$3-E25)*Q25)))</f>
        <v>2520</v>
      </c>
      <c r="S25" s="1">
        <f>+IF(Q25=0,R25,R25+Q25)</f>
        <v>2590</v>
      </c>
      <c r="T25" s="1">
        <f t="shared" ref="T25" si="16">+M25-S25</f>
        <v>910</v>
      </c>
    </row>
    <row r="26" spans="3:20">
      <c r="C26" t="s">
        <v>347</v>
      </c>
      <c r="E26">
        <v>1982</v>
      </c>
      <c r="F26">
        <v>4</v>
      </c>
      <c r="G26" s="27">
        <v>0</v>
      </c>
      <c r="I26" t="s">
        <v>78</v>
      </c>
      <c r="J26" t="s">
        <v>102</v>
      </c>
      <c r="K26">
        <f t="shared" si="12"/>
        <v>1997</v>
      </c>
      <c r="L26" s="20">
        <f t="shared" si="13"/>
        <v>1997.3333333333333</v>
      </c>
      <c r="M26">
        <v>25135</v>
      </c>
      <c r="N26" s="1">
        <f t="shared" ref="N26:N44" si="17">M26-M26*G26</f>
        <v>25135</v>
      </c>
      <c r="O26" s="1">
        <f t="shared" ref="O26:O44" si="18">N26/J26/12</f>
        <v>139.63888888888889</v>
      </c>
      <c r="P26" s="1">
        <f t="shared" ref="P26:P44" si="19">+O26*12</f>
        <v>1675.6666666666665</v>
      </c>
      <c r="Q26" s="1">
        <f t="shared" ref="Q26:Q44" si="20">+IF(L26&lt;=$N$5,0,IF(K26&gt;$N$4,P26,(O26*F26)))</f>
        <v>0</v>
      </c>
      <c r="R26" s="1">
        <f t="shared" ref="R26:R44" si="21">+IF(Q26=0,N26,IF($N$3-E26&lt;1,0,(($N$3-E26)*Q26)))</f>
        <v>25135</v>
      </c>
      <c r="S26" s="1">
        <f t="shared" ref="S26:S44" si="22">+IF(Q26=0,R26,R26+Q26)</f>
        <v>25135</v>
      </c>
      <c r="T26" s="1">
        <f t="shared" ref="T26:T44" si="23">+M26-S26</f>
        <v>0</v>
      </c>
    </row>
    <row r="27" spans="3:20">
      <c r="C27" t="s">
        <v>16</v>
      </c>
      <c r="E27">
        <v>2000</v>
      </c>
      <c r="F27">
        <v>7</v>
      </c>
      <c r="G27" s="27">
        <v>0</v>
      </c>
      <c r="I27" t="s">
        <v>78</v>
      </c>
      <c r="J27" t="s">
        <v>102</v>
      </c>
      <c r="K27">
        <f t="shared" si="12"/>
        <v>2015</v>
      </c>
      <c r="L27" s="20">
        <f t="shared" si="13"/>
        <v>2015.5833333333333</v>
      </c>
      <c r="M27">
        <v>1338603.97</v>
      </c>
      <c r="N27" s="1">
        <f t="shared" si="17"/>
        <v>1338603.97</v>
      </c>
      <c r="O27" s="1">
        <f t="shared" si="18"/>
        <v>7436.6887222222222</v>
      </c>
      <c r="P27" s="1">
        <f t="shared" si="19"/>
        <v>89240.26466666667</v>
      </c>
      <c r="Q27" s="1">
        <f t="shared" si="20"/>
        <v>0</v>
      </c>
      <c r="R27" s="1">
        <f t="shared" si="21"/>
        <v>1338603.97</v>
      </c>
      <c r="S27" s="1">
        <f t="shared" si="22"/>
        <v>1338603.97</v>
      </c>
      <c r="T27" s="1">
        <f t="shared" si="23"/>
        <v>0</v>
      </c>
    </row>
    <row r="28" spans="3:20">
      <c r="C28" t="s">
        <v>350</v>
      </c>
      <c r="E28">
        <v>2001</v>
      </c>
      <c r="F28">
        <v>12</v>
      </c>
      <c r="G28" s="27">
        <v>0</v>
      </c>
      <c r="I28" t="s">
        <v>78</v>
      </c>
      <c r="J28" t="s">
        <v>7</v>
      </c>
      <c r="K28">
        <f t="shared" si="12"/>
        <v>2021</v>
      </c>
      <c r="L28" s="20">
        <f t="shared" si="13"/>
        <v>2022</v>
      </c>
      <c r="M28">
        <v>16629.8</v>
      </c>
      <c r="N28" s="1">
        <f t="shared" si="17"/>
        <v>16629.8</v>
      </c>
      <c r="O28" s="1">
        <f t="shared" si="18"/>
        <v>69.290833333333339</v>
      </c>
      <c r="P28" s="1">
        <f t="shared" si="19"/>
        <v>831.49</v>
      </c>
      <c r="Q28" s="1">
        <f t="shared" si="20"/>
        <v>831.49</v>
      </c>
      <c r="R28" s="1">
        <f t="shared" si="21"/>
        <v>14135.33</v>
      </c>
      <c r="S28" s="1">
        <f t="shared" si="22"/>
        <v>14966.82</v>
      </c>
      <c r="T28" s="1">
        <f t="shared" si="23"/>
        <v>1662.9799999999996</v>
      </c>
    </row>
    <row r="29" spans="3:20" ht="12" customHeight="1">
      <c r="C29" t="s">
        <v>351</v>
      </c>
      <c r="E29">
        <v>2001</v>
      </c>
      <c r="F29">
        <v>11</v>
      </c>
      <c r="G29" s="27">
        <v>0</v>
      </c>
      <c r="I29" t="s">
        <v>78</v>
      </c>
      <c r="J29" t="s">
        <v>7</v>
      </c>
      <c r="K29">
        <f t="shared" si="12"/>
        <v>2021</v>
      </c>
      <c r="L29" s="20">
        <f t="shared" si="13"/>
        <v>2021.9166666666667</v>
      </c>
      <c r="M29">
        <v>944175.96</v>
      </c>
      <c r="N29" s="1">
        <f t="shared" si="17"/>
        <v>944175.96</v>
      </c>
      <c r="O29" s="1">
        <f t="shared" si="18"/>
        <v>3934.0664999999995</v>
      </c>
      <c r="P29" s="1">
        <f t="shared" si="19"/>
        <v>47208.797999999995</v>
      </c>
      <c r="Q29" s="1">
        <f t="shared" si="20"/>
        <v>47208.797999999995</v>
      </c>
      <c r="R29" s="1">
        <f t="shared" si="21"/>
        <v>802549.56599999988</v>
      </c>
      <c r="S29" s="1">
        <f t="shared" si="22"/>
        <v>849758.36399999983</v>
      </c>
      <c r="T29" s="1">
        <f t="shared" si="23"/>
        <v>94417.596000000136</v>
      </c>
    </row>
    <row r="30" spans="3:20">
      <c r="C30" t="s">
        <v>13</v>
      </c>
      <c r="E30">
        <v>2001</v>
      </c>
      <c r="F30">
        <v>7</v>
      </c>
      <c r="G30" s="27">
        <v>0</v>
      </c>
      <c r="I30" t="s">
        <v>78</v>
      </c>
      <c r="J30" t="s">
        <v>7</v>
      </c>
      <c r="K30">
        <f t="shared" si="12"/>
        <v>2021</v>
      </c>
      <c r="L30" s="20">
        <f t="shared" si="13"/>
        <v>2021.5833333333333</v>
      </c>
      <c r="M30">
        <v>46855</v>
      </c>
      <c r="N30" s="1">
        <f t="shared" si="17"/>
        <v>46855</v>
      </c>
      <c r="O30" s="1">
        <f t="shared" si="18"/>
        <v>195.22916666666666</v>
      </c>
      <c r="P30" s="1">
        <f t="shared" si="19"/>
        <v>2342.75</v>
      </c>
      <c r="Q30" s="1">
        <f t="shared" si="20"/>
        <v>2342.75</v>
      </c>
      <c r="R30" s="1">
        <f t="shared" si="21"/>
        <v>39826.75</v>
      </c>
      <c r="S30" s="1">
        <f t="shared" si="22"/>
        <v>42169.5</v>
      </c>
      <c r="T30" s="1">
        <f t="shared" si="23"/>
        <v>4685.5</v>
      </c>
    </row>
    <row r="31" spans="3:20">
      <c r="C31" t="s">
        <v>86</v>
      </c>
      <c r="E31">
        <v>2002</v>
      </c>
      <c r="F31">
        <v>9</v>
      </c>
      <c r="G31" s="27">
        <v>0</v>
      </c>
      <c r="I31" t="s">
        <v>78</v>
      </c>
      <c r="J31" t="s">
        <v>10</v>
      </c>
      <c r="K31">
        <f t="shared" si="12"/>
        <v>2041</v>
      </c>
      <c r="L31" s="20">
        <f t="shared" si="13"/>
        <v>2041.75</v>
      </c>
      <c r="M31">
        <v>17566.23</v>
      </c>
      <c r="N31" s="1">
        <f t="shared" si="17"/>
        <v>17566.23</v>
      </c>
      <c r="O31" s="1">
        <f t="shared" si="18"/>
        <v>37.534679487179488</v>
      </c>
      <c r="P31" s="1">
        <f t="shared" si="19"/>
        <v>450.41615384615386</v>
      </c>
      <c r="Q31" s="1">
        <f t="shared" si="20"/>
        <v>450.41615384615386</v>
      </c>
      <c r="R31" s="1">
        <f t="shared" si="21"/>
        <v>7206.6584615384618</v>
      </c>
      <c r="S31" s="1">
        <f t="shared" si="22"/>
        <v>7657.0746153846158</v>
      </c>
      <c r="T31" s="1">
        <f t="shared" si="23"/>
        <v>9909.1553846153838</v>
      </c>
    </row>
    <row r="32" spans="3:20">
      <c r="C32" t="s">
        <v>267</v>
      </c>
      <c r="E32">
        <v>2002</v>
      </c>
      <c r="F32">
        <v>11</v>
      </c>
      <c r="G32" s="27">
        <v>0</v>
      </c>
      <c r="I32" t="s">
        <v>78</v>
      </c>
      <c r="J32" t="s">
        <v>102</v>
      </c>
      <c r="K32">
        <f t="shared" si="12"/>
        <v>2017</v>
      </c>
      <c r="L32" s="20">
        <f t="shared" si="13"/>
        <v>2017.9166666666667</v>
      </c>
      <c r="M32">
        <v>4096.84</v>
      </c>
      <c r="N32" s="1">
        <f t="shared" si="17"/>
        <v>4096.84</v>
      </c>
      <c r="O32" s="1">
        <f t="shared" si="18"/>
        <v>22.760222222222225</v>
      </c>
      <c r="P32" s="1">
        <f t="shared" si="19"/>
        <v>273.1226666666667</v>
      </c>
      <c r="Q32" s="1">
        <f t="shared" si="20"/>
        <v>0</v>
      </c>
      <c r="R32" s="1">
        <f t="shared" si="21"/>
        <v>4096.84</v>
      </c>
      <c r="S32" s="1">
        <f t="shared" si="22"/>
        <v>4096.84</v>
      </c>
      <c r="T32" s="1">
        <f t="shared" si="23"/>
        <v>0</v>
      </c>
    </row>
    <row r="33" spans="3:20">
      <c r="C33" t="s">
        <v>12</v>
      </c>
      <c r="E33">
        <v>2004</v>
      </c>
      <c r="F33">
        <v>7</v>
      </c>
      <c r="G33" s="27">
        <v>0</v>
      </c>
      <c r="I33" t="s">
        <v>78</v>
      </c>
      <c r="J33" t="s">
        <v>102</v>
      </c>
      <c r="K33">
        <f t="shared" si="12"/>
        <v>2019</v>
      </c>
      <c r="L33" s="20">
        <f t="shared" si="13"/>
        <v>2019.5833333333333</v>
      </c>
      <c r="M33">
        <v>24008.400000000001</v>
      </c>
      <c r="N33" s="1">
        <f t="shared" si="17"/>
        <v>24008.400000000001</v>
      </c>
      <c r="O33" s="1">
        <f t="shared" si="18"/>
        <v>133.38000000000002</v>
      </c>
      <c r="P33" s="1">
        <f t="shared" si="19"/>
        <v>1600.5600000000004</v>
      </c>
      <c r="Q33" s="1">
        <f t="shared" si="20"/>
        <v>0</v>
      </c>
      <c r="R33" s="1">
        <f t="shared" si="21"/>
        <v>24008.400000000001</v>
      </c>
      <c r="S33" s="1">
        <f t="shared" si="22"/>
        <v>24008.400000000001</v>
      </c>
      <c r="T33" s="1">
        <f t="shared" si="23"/>
        <v>0</v>
      </c>
    </row>
    <row r="34" spans="3:20">
      <c r="C34" t="s">
        <v>109</v>
      </c>
      <c r="E34">
        <v>2007</v>
      </c>
      <c r="F34">
        <v>3</v>
      </c>
      <c r="G34" s="27">
        <v>0</v>
      </c>
      <c r="I34" t="s">
        <v>78</v>
      </c>
      <c r="J34" t="s">
        <v>102</v>
      </c>
      <c r="K34">
        <f t="shared" si="12"/>
        <v>2022</v>
      </c>
      <c r="L34" s="20">
        <f t="shared" si="13"/>
        <v>2022.25</v>
      </c>
      <c r="M34">
        <v>163426.01999999999</v>
      </c>
      <c r="N34" s="1">
        <f t="shared" si="17"/>
        <v>163426.01999999999</v>
      </c>
      <c r="O34" s="1">
        <f t="shared" si="18"/>
        <v>907.92233333333331</v>
      </c>
      <c r="P34" s="1">
        <f t="shared" si="19"/>
        <v>10895.067999999999</v>
      </c>
      <c r="Q34" s="1">
        <f t="shared" si="20"/>
        <v>10895.067999999999</v>
      </c>
      <c r="R34" s="1">
        <f t="shared" si="21"/>
        <v>119845.74799999999</v>
      </c>
      <c r="S34" s="1">
        <f t="shared" si="22"/>
        <v>130740.81599999999</v>
      </c>
      <c r="T34" s="1">
        <f t="shared" si="23"/>
        <v>32685.203999999998</v>
      </c>
    </row>
    <row r="35" spans="3:20">
      <c r="C35" t="s">
        <v>111</v>
      </c>
      <c r="E35">
        <v>2008</v>
      </c>
      <c r="F35">
        <v>1</v>
      </c>
      <c r="G35" s="27">
        <v>0</v>
      </c>
      <c r="I35" t="s">
        <v>78</v>
      </c>
      <c r="J35" t="s">
        <v>102</v>
      </c>
      <c r="K35">
        <f t="shared" si="12"/>
        <v>2023</v>
      </c>
      <c r="L35" s="20">
        <f t="shared" si="13"/>
        <v>2023.0833333333333</v>
      </c>
      <c r="M35">
        <v>3824.1</v>
      </c>
      <c r="N35" s="1">
        <f t="shared" si="17"/>
        <v>3824.1</v>
      </c>
      <c r="O35" s="1">
        <f t="shared" si="18"/>
        <v>21.245000000000001</v>
      </c>
      <c r="P35" s="1">
        <f t="shared" si="19"/>
        <v>254.94</v>
      </c>
      <c r="Q35" s="1">
        <f t="shared" si="20"/>
        <v>254.94</v>
      </c>
      <c r="R35" s="1">
        <f t="shared" si="21"/>
        <v>2549.4</v>
      </c>
      <c r="S35" s="1">
        <f t="shared" si="22"/>
        <v>2804.34</v>
      </c>
      <c r="T35" s="1">
        <f t="shared" si="23"/>
        <v>1019.7599999999998</v>
      </c>
    </row>
    <row r="36" spans="3:20">
      <c r="C36" t="s">
        <v>413</v>
      </c>
      <c r="D36">
        <v>77321</v>
      </c>
      <c r="E36">
        <v>2010</v>
      </c>
      <c r="F36">
        <v>8</v>
      </c>
      <c r="G36" s="27">
        <v>0</v>
      </c>
      <c r="I36" t="s">
        <v>78</v>
      </c>
      <c r="J36">
        <v>10</v>
      </c>
      <c r="K36">
        <f t="shared" si="12"/>
        <v>2020</v>
      </c>
      <c r="L36" s="20">
        <f t="shared" si="13"/>
        <v>2020.6666666666667</v>
      </c>
      <c r="M36">
        <v>790.01</v>
      </c>
      <c r="N36" s="1">
        <f t="shared" si="17"/>
        <v>790.01</v>
      </c>
      <c r="O36" s="1">
        <f t="shared" si="18"/>
        <v>6.5834166666666674</v>
      </c>
      <c r="P36" s="1">
        <f t="shared" si="19"/>
        <v>79.001000000000005</v>
      </c>
      <c r="Q36" s="1">
        <f t="shared" si="20"/>
        <v>79.001000000000005</v>
      </c>
      <c r="R36" s="1">
        <f t="shared" si="21"/>
        <v>632.00800000000004</v>
      </c>
      <c r="S36" s="1">
        <f t="shared" si="22"/>
        <v>711.00900000000001</v>
      </c>
      <c r="T36" s="1">
        <f t="shared" si="23"/>
        <v>79.000999999999976</v>
      </c>
    </row>
    <row r="37" spans="3:20">
      <c r="C37" t="s">
        <v>414</v>
      </c>
      <c r="D37">
        <v>76639</v>
      </c>
      <c r="E37">
        <v>2010</v>
      </c>
      <c r="F37">
        <v>8</v>
      </c>
      <c r="G37" s="27">
        <v>0</v>
      </c>
      <c r="I37" t="s">
        <v>78</v>
      </c>
      <c r="J37">
        <v>10</v>
      </c>
      <c r="K37">
        <f t="shared" si="12"/>
        <v>2020</v>
      </c>
      <c r="L37" s="20">
        <f t="shared" si="13"/>
        <v>2020.6666666666667</v>
      </c>
      <c r="M37">
        <v>7000</v>
      </c>
      <c r="N37" s="1">
        <f t="shared" si="17"/>
        <v>7000</v>
      </c>
      <c r="O37" s="1">
        <f t="shared" si="18"/>
        <v>58.333333333333336</v>
      </c>
      <c r="P37" s="1">
        <f t="shared" si="19"/>
        <v>700</v>
      </c>
      <c r="Q37" s="1">
        <f t="shared" si="20"/>
        <v>700</v>
      </c>
      <c r="R37" s="1">
        <f t="shared" si="21"/>
        <v>5600</v>
      </c>
      <c r="S37" s="1">
        <f t="shared" si="22"/>
        <v>6300</v>
      </c>
      <c r="T37" s="1">
        <f t="shared" si="23"/>
        <v>700</v>
      </c>
    </row>
    <row r="38" spans="3:20">
      <c r="C38" t="s">
        <v>415</v>
      </c>
      <c r="D38">
        <v>77322</v>
      </c>
      <c r="E38">
        <v>2010</v>
      </c>
      <c r="F38">
        <v>8</v>
      </c>
      <c r="G38" s="27">
        <v>0</v>
      </c>
      <c r="I38" t="s">
        <v>78</v>
      </c>
      <c r="J38">
        <v>10</v>
      </c>
      <c r="K38">
        <f t="shared" si="12"/>
        <v>2020</v>
      </c>
      <c r="L38" s="20">
        <f t="shared" si="13"/>
        <v>2020.6666666666667</v>
      </c>
      <c r="M38">
        <v>1127.8399999999999</v>
      </c>
      <c r="N38" s="1">
        <f t="shared" si="17"/>
        <v>1127.8399999999999</v>
      </c>
      <c r="O38" s="1">
        <f t="shared" si="18"/>
        <v>9.3986666666666654</v>
      </c>
      <c r="P38" s="1">
        <f t="shared" si="19"/>
        <v>112.78399999999999</v>
      </c>
      <c r="Q38" s="1">
        <f t="shared" si="20"/>
        <v>112.78399999999999</v>
      </c>
      <c r="R38" s="1">
        <f t="shared" si="21"/>
        <v>902.27199999999993</v>
      </c>
      <c r="S38" s="1">
        <f t="shared" si="22"/>
        <v>1015.0559999999999</v>
      </c>
      <c r="T38" s="1">
        <f t="shared" si="23"/>
        <v>112.78399999999999</v>
      </c>
    </row>
    <row r="39" spans="3:20">
      <c r="C39" t="s">
        <v>416</v>
      </c>
      <c r="D39">
        <v>76800</v>
      </c>
      <c r="E39">
        <v>2010</v>
      </c>
      <c r="F39">
        <v>8</v>
      </c>
      <c r="G39" s="27">
        <v>0</v>
      </c>
      <c r="I39" t="s">
        <v>78</v>
      </c>
      <c r="J39">
        <v>10</v>
      </c>
      <c r="K39">
        <f t="shared" si="12"/>
        <v>2020</v>
      </c>
      <c r="L39" s="20">
        <f t="shared" si="13"/>
        <v>2020.6666666666667</v>
      </c>
      <c r="M39">
        <v>8574.6</v>
      </c>
      <c r="N39" s="1">
        <f t="shared" si="17"/>
        <v>8574.6</v>
      </c>
      <c r="O39" s="1">
        <f t="shared" si="18"/>
        <v>71.454999999999998</v>
      </c>
      <c r="P39" s="1">
        <f t="shared" si="19"/>
        <v>857.46</v>
      </c>
      <c r="Q39" s="1">
        <f t="shared" si="20"/>
        <v>857.46</v>
      </c>
      <c r="R39" s="1">
        <f t="shared" si="21"/>
        <v>6859.68</v>
      </c>
      <c r="S39" s="1">
        <f t="shared" si="22"/>
        <v>7717.14</v>
      </c>
      <c r="T39" s="1">
        <f t="shared" si="23"/>
        <v>857.46</v>
      </c>
    </row>
    <row r="40" spans="3:20">
      <c r="C40" t="s">
        <v>411</v>
      </c>
      <c r="D40">
        <v>76648</v>
      </c>
      <c r="E40">
        <v>2010</v>
      </c>
      <c r="F40">
        <v>9</v>
      </c>
      <c r="G40" s="27">
        <v>0</v>
      </c>
      <c r="I40" t="s">
        <v>78</v>
      </c>
      <c r="J40">
        <v>10</v>
      </c>
      <c r="K40">
        <f t="shared" si="12"/>
        <v>2020</v>
      </c>
      <c r="L40" s="20">
        <f t="shared" si="13"/>
        <v>2020.75</v>
      </c>
      <c r="M40">
        <v>19869.22</v>
      </c>
      <c r="N40" s="1">
        <f t="shared" si="17"/>
        <v>19869.22</v>
      </c>
      <c r="O40" s="1">
        <f t="shared" si="18"/>
        <v>165.57683333333333</v>
      </c>
      <c r="P40" s="1">
        <f t="shared" si="19"/>
        <v>1986.922</v>
      </c>
      <c r="Q40" s="1">
        <f t="shared" si="20"/>
        <v>1986.922</v>
      </c>
      <c r="R40" s="1">
        <f t="shared" si="21"/>
        <v>15895.376</v>
      </c>
      <c r="S40" s="1">
        <f t="shared" si="22"/>
        <v>17882.297999999999</v>
      </c>
      <c r="T40" s="1">
        <f t="shared" si="23"/>
        <v>1986.9220000000023</v>
      </c>
    </row>
    <row r="41" spans="3:20">
      <c r="C41" t="s">
        <v>412</v>
      </c>
      <c r="D41">
        <v>77100</v>
      </c>
      <c r="E41">
        <v>2010</v>
      </c>
      <c r="F41">
        <v>9</v>
      </c>
      <c r="G41" s="27">
        <v>0</v>
      </c>
      <c r="I41" t="s">
        <v>78</v>
      </c>
      <c r="J41">
        <v>10</v>
      </c>
      <c r="K41">
        <f t="shared" si="12"/>
        <v>2020</v>
      </c>
      <c r="L41" s="20">
        <f t="shared" si="13"/>
        <v>2020.75</v>
      </c>
      <c r="M41">
        <v>932.5</v>
      </c>
      <c r="N41" s="1">
        <f t="shared" si="17"/>
        <v>932.5</v>
      </c>
      <c r="O41" s="1">
        <f t="shared" si="18"/>
        <v>7.770833333333333</v>
      </c>
      <c r="P41" s="1">
        <f t="shared" si="19"/>
        <v>93.25</v>
      </c>
      <c r="Q41" s="1">
        <f t="shared" si="20"/>
        <v>93.25</v>
      </c>
      <c r="R41" s="1">
        <f t="shared" si="21"/>
        <v>746</v>
      </c>
      <c r="S41" s="1">
        <f t="shared" si="22"/>
        <v>839.25</v>
      </c>
      <c r="T41" s="1">
        <f t="shared" si="23"/>
        <v>93.25</v>
      </c>
    </row>
    <row r="42" spans="3:20">
      <c r="C42" t="s">
        <v>412</v>
      </c>
      <c r="D42">
        <v>77791</v>
      </c>
      <c r="E42">
        <v>2010</v>
      </c>
      <c r="F42">
        <v>9</v>
      </c>
      <c r="G42" s="27">
        <v>0</v>
      </c>
      <c r="I42" t="s">
        <v>78</v>
      </c>
      <c r="J42">
        <v>10</v>
      </c>
      <c r="K42">
        <f t="shared" si="12"/>
        <v>2020</v>
      </c>
      <c r="L42" s="20">
        <f t="shared" si="13"/>
        <v>2020.75</v>
      </c>
      <c r="M42">
        <v>1098.69</v>
      </c>
      <c r="N42" s="1">
        <f t="shared" si="17"/>
        <v>1098.69</v>
      </c>
      <c r="O42" s="1">
        <f t="shared" si="18"/>
        <v>9.1557499999999994</v>
      </c>
      <c r="P42" s="1">
        <f t="shared" si="19"/>
        <v>109.869</v>
      </c>
      <c r="Q42" s="1">
        <f t="shared" si="20"/>
        <v>109.869</v>
      </c>
      <c r="R42" s="1">
        <f t="shared" si="21"/>
        <v>878.952</v>
      </c>
      <c r="S42" s="1">
        <f t="shared" si="22"/>
        <v>988.82100000000003</v>
      </c>
      <c r="T42" s="1">
        <f t="shared" si="23"/>
        <v>109.86900000000003</v>
      </c>
    </row>
    <row r="43" spans="3:20">
      <c r="C43" t="s">
        <v>580</v>
      </c>
      <c r="D43">
        <v>125074</v>
      </c>
      <c r="E43">
        <v>2015</v>
      </c>
      <c r="F43">
        <v>7</v>
      </c>
      <c r="G43" s="27">
        <v>0</v>
      </c>
      <c r="I43" t="s">
        <v>78</v>
      </c>
      <c r="J43">
        <v>10</v>
      </c>
      <c r="K43">
        <f t="shared" si="12"/>
        <v>2025</v>
      </c>
      <c r="L43" s="20">
        <f t="shared" si="13"/>
        <v>2025.5833333333333</v>
      </c>
      <c r="M43">
        <v>5978.5</v>
      </c>
      <c r="N43" s="1">
        <f t="shared" si="17"/>
        <v>5978.5</v>
      </c>
      <c r="O43" s="1">
        <f t="shared" si="18"/>
        <v>49.820833333333333</v>
      </c>
      <c r="P43" s="1">
        <f t="shared" si="19"/>
        <v>597.85</v>
      </c>
      <c r="Q43" s="1">
        <f t="shared" si="20"/>
        <v>597.85</v>
      </c>
      <c r="R43" s="1">
        <f t="shared" si="21"/>
        <v>1793.5500000000002</v>
      </c>
      <c r="S43" s="1">
        <f t="shared" si="22"/>
        <v>2391.4</v>
      </c>
      <c r="T43" s="1">
        <f t="shared" si="23"/>
        <v>3587.1</v>
      </c>
    </row>
    <row r="44" spans="3:20">
      <c r="C44" t="s">
        <v>607</v>
      </c>
      <c r="D44">
        <v>169402</v>
      </c>
      <c r="E44">
        <v>2016</v>
      </c>
      <c r="F44">
        <v>8</v>
      </c>
      <c r="G44" s="27">
        <v>0</v>
      </c>
      <c r="I44" t="s">
        <v>78</v>
      </c>
      <c r="J44">
        <v>10</v>
      </c>
      <c r="K44">
        <f>E44+J44</f>
        <v>2026</v>
      </c>
      <c r="L44" s="20">
        <f t="shared" si="13"/>
        <v>2026.6666666666667</v>
      </c>
      <c r="M44">
        <v>27577.19</v>
      </c>
      <c r="N44" s="1">
        <f t="shared" si="17"/>
        <v>27577.19</v>
      </c>
      <c r="O44" s="1">
        <f t="shared" si="18"/>
        <v>229.80991666666668</v>
      </c>
      <c r="P44" s="1">
        <f t="shared" si="19"/>
        <v>2757.7190000000001</v>
      </c>
      <c r="Q44" s="1">
        <f t="shared" si="20"/>
        <v>2757.7190000000001</v>
      </c>
      <c r="R44" s="1">
        <f t="shared" si="21"/>
        <v>5515.4380000000001</v>
      </c>
      <c r="S44" s="1">
        <f t="shared" si="22"/>
        <v>8273.1569999999992</v>
      </c>
      <c r="T44" s="1">
        <f t="shared" si="23"/>
        <v>19304.032999999999</v>
      </c>
    </row>
    <row r="45" spans="3:20">
      <c r="C45" t="s">
        <v>316</v>
      </c>
    </row>
    <row r="46" spans="3:20">
      <c r="C46" s="9" t="s">
        <v>177</v>
      </c>
      <c r="M46" s="24">
        <f t="shared" ref="M46:T46" si="24">SUM(M25:M45)</f>
        <v>2660769.8699999996</v>
      </c>
      <c r="N46" s="24">
        <f t="shared" si="24"/>
        <v>2660769.8699999996</v>
      </c>
      <c r="O46" s="24">
        <f t="shared" si="24"/>
        <v>13511.494262820514</v>
      </c>
      <c r="P46" s="24">
        <f t="shared" si="24"/>
        <v>162137.93115384618</v>
      </c>
      <c r="Q46" s="24">
        <f t="shared" si="24"/>
        <v>69348.317153846161</v>
      </c>
      <c r="R46" s="24">
        <f t="shared" si="24"/>
        <v>2419300.9384615384</v>
      </c>
      <c r="S46" s="24">
        <f t="shared" si="24"/>
        <v>2488649.2556153843</v>
      </c>
      <c r="T46" s="24">
        <f t="shared" si="24"/>
        <v>172120.6143846155</v>
      </c>
    </row>
    <row r="47" spans="3:20">
      <c r="C47" t="s">
        <v>316</v>
      </c>
    </row>
    <row r="48" spans="3:20">
      <c r="C48" t="s">
        <v>316</v>
      </c>
    </row>
    <row r="49" spans="1:20">
      <c r="C49" s="9" t="s">
        <v>265</v>
      </c>
    </row>
    <row r="50" spans="1:20">
      <c r="C50" t="s">
        <v>359</v>
      </c>
      <c r="E50">
        <v>1992</v>
      </c>
      <c r="F50">
        <v>1</v>
      </c>
      <c r="G50" s="27">
        <v>0</v>
      </c>
      <c r="I50" t="s">
        <v>78</v>
      </c>
      <c r="J50" t="s">
        <v>9</v>
      </c>
      <c r="K50">
        <f t="shared" ref="K50:K93" si="25">E50+J50</f>
        <v>2002</v>
      </c>
      <c r="L50" s="20">
        <f t="shared" ref="L50:L95" si="26">+K50+(F50/12)</f>
        <v>2002.0833333333333</v>
      </c>
      <c r="M50" s="1">
        <v>10411</v>
      </c>
      <c r="N50" s="1">
        <f t="shared" ref="N50" si="27">M50-M50*G50</f>
        <v>10411</v>
      </c>
      <c r="O50" s="1">
        <f t="shared" ref="O50" si="28">N50/J50/12</f>
        <v>86.758333333333326</v>
      </c>
      <c r="P50" s="1">
        <f t="shared" ref="P50" si="29">+O50*12</f>
        <v>1041.0999999999999</v>
      </c>
      <c r="Q50" s="1">
        <f t="shared" ref="Q50" si="30">+IF(L50&lt;=$N$5,0,IF(K50&gt;$N$4,P50,(O50*F50)))</f>
        <v>0</v>
      </c>
      <c r="R50" s="1">
        <f t="shared" ref="R50" si="31">+IF(Q50=0,N50,IF($N$3-E50&lt;1,0,(($N$3-E50)*Q50)))</f>
        <v>10411</v>
      </c>
      <c r="S50" s="1">
        <f t="shared" ref="S50" si="32">+IF(Q50=0,R50,R50+Q50)</f>
        <v>10411</v>
      </c>
      <c r="T50" s="1">
        <f t="shared" ref="T50" si="33">+M50-S50</f>
        <v>0</v>
      </c>
    </row>
    <row r="51" spans="1:20">
      <c r="C51" t="s">
        <v>113</v>
      </c>
      <c r="E51">
        <v>1992</v>
      </c>
      <c r="F51">
        <v>6</v>
      </c>
      <c r="G51" s="27">
        <v>0</v>
      </c>
      <c r="I51" t="s">
        <v>78</v>
      </c>
      <c r="J51">
        <v>5</v>
      </c>
      <c r="K51">
        <f t="shared" si="25"/>
        <v>1997</v>
      </c>
      <c r="L51" s="20">
        <f t="shared" si="26"/>
        <v>1997.5</v>
      </c>
      <c r="M51" s="1">
        <v>179873</v>
      </c>
      <c r="N51" s="1">
        <f t="shared" ref="N51:N95" si="34">M51-M51*G51</f>
        <v>179873</v>
      </c>
      <c r="O51" s="1">
        <f t="shared" ref="O51:O95" si="35">N51/J51/12</f>
        <v>2997.8833333333332</v>
      </c>
      <c r="P51" s="1">
        <f t="shared" ref="P51:P95" si="36">+O51*12</f>
        <v>35974.6</v>
      </c>
      <c r="Q51" s="1">
        <f t="shared" ref="Q51:Q95" si="37">+IF(L51&lt;=$N$5,0,IF(K51&gt;$N$4,P51,(O51*F51)))</f>
        <v>0</v>
      </c>
      <c r="R51" s="1">
        <f t="shared" ref="R51:R95" si="38">+IF(Q51=0,N51,IF($N$3-E51&lt;1,0,(($N$3-E51)*Q51)))</f>
        <v>179873</v>
      </c>
      <c r="S51" s="1">
        <f t="shared" ref="S51:S95" si="39">+IF(Q51=0,R51,R51+Q51)</f>
        <v>179873</v>
      </c>
      <c r="T51" s="1">
        <f t="shared" ref="T51:T95" si="40">+M51-S51</f>
        <v>0</v>
      </c>
    </row>
    <row r="52" spans="1:20">
      <c r="B52">
        <v>9243</v>
      </c>
      <c r="C52" t="s">
        <v>345</v>
      </c>
      <c r="E52">
        <v>1995</v>
      </c>
      <c r="F52">
        <v>8</v>
      </c>
      <c r="G52" s="27">
        <v>0</v>
      </c>
      <c r="I52" t="s">
        <v>78</v>
      </c>
      <c r="J52">
        <v>7</v>
      </c>
      <c r="K52">
        <f>E52+J52</f>
        <v>2002</v>
      </c>
      <c r="L52" s="20">
        <f t="shared" si="26"/>
        <v>2002.6666666666667</v>
      </c>
      <c r="M52" s="1">
        <f>'Orig OTHER EQUIP 2183'!P55</f>
        <v>8848</v>
      </c>
      <c r="N52" s="1">
        <f t="shared" si="34"/>
        <v>8848</v>
      </c>
      <c r="O52" s="1">
        <f t="shared" si="35"/>
        <v>105.33333333333333</v>
      </c>
      <c r="P52" s="1">
        <f t="shared" si="36"/>
        <v>1264</v>
      </c>
      <c r="Q52" s="1">
        <f t="shared" si="37"/>
        <v>0</v>
      </c>
      <c r="R52" s="1">
        <f t="shared" si="38"/>
        <v>8848</v>
      </c>
      <c r="S52" s="1">
        <f t="shared" si="39"/>
        <v>8848</v>
      </c>
      <c r="T52" s="1">
        <f t="shared" si="40"/>
        <v>0</v>
      </c>
    </row>
    <row r="53" spans="1:20">
      <c r="A53" s="2"/>
      <c r="B53" s="2"/>
      <c r="C53" s="2" t="s">
        <v>704</v>
      </c>
      <c r="D53" s="2"/>
      <c r="E53" s="2">
        <v>2018</v>
      </c>
      <c r="F53" s="2">
        <v>5</v>
      </c>
      <c r="G53" s="71">
        <v>0</v>
      </c>
      <c r="H53" s="2"/>
      <c r="I53" s="2" t="s">
        <v>78</v>
      </c>
      <c r="J53" s="2">
        <f>+IF(J52-$N$4&gt;=3,J52-$N$4,3)</f>
        <v>3</v>
      </c>
      <c r="K53" s="2">
        <f>E53+J53</f>
        <v>2021</v>
      </c>
      <c r="L53" s="28">
        <f t="shared" si="26"/>
        <v>2021.4166666666667</v>
      </c>
      <c r="M53" s="3">
        <f>'Orig OTHER EQUIP 2183'!N55-'OTHER EQUIP 2183'!M52</f>
        <v>2212</v>
      </c>
      <c r="N53" s="3">
        <f t="shared" si="34"/>
        <v>2212</v>
      </c>
      <c r="O53" s="3">
        <f t="shared" si="35"/>
        <v>61.44444444444445</v>
      </c>
      <c r="P53" s="3">
        <f t="shared" si="36"/>
        <v>737.33333333333337</v>
      </c>
      <c r="Q53" s="3">
        <f t="shared" si="37"/>
        <v>737.33333333333337</v>
      </c>
      <c r="R53" s="3">
        <f t="shared" si="38"/>
        <v>0</v>
      </c>
      <c r="S53" s="3">
        <f t="shared" si="39"/>
        <v>737.33333333333337</v>
      </c>
      <c r="T53" s="3">
        <f t="shared" si="40"/>
        <v>1474.6666666666665</v>
      </c>
    </row>
    <row r="54" spans="1:20">
      <c r="C54" t="s">
        <v>116</v>
      </c>
      <c r="E54">
        <v>1997</v>
      </c>
      <c r="F54">
        <v>10</v>
      </c>
      <c r="G54" s="27">
        <v>0</v>
      </c>
      <c r="I54" t="s">
        <v>78</v>
      </c>
      <c r="J54">
        <v>5</v>
      </c>
      <c r="K54">
        <f t="shared" si="25"/>
        <v>2002</v>
      </c>
      <c r="L54" s="20">
        <f t="shared" si="26"/>
        <v>2002.8333333333333</v>
      </c>
      <c r="M54" s="1">
        <v>4035.74</v>
      </c>
      <c r="N54" s="1">
        <f t="shared" si="34"/>
        <v>4035.74</v>
      </c>
      <c r="O54" s="1">
        <f t="shared" si="35"/>
        <v>67.262333333333331</v>
      </c>
      <c r="P54" s="1">
        <f t="shared" si="36"/>
        <v>807.14799999999991</v>
      </c>
      <c r="Q54" s="1">
        <f t="shared" si="37"/>
        <v>0</v>
      </c>
      <c r="R54" s="1">
        <f t="shared" si="38"/>
        <v>4035.74</v>
      </c>
      <c r="S54" s="1">
        <f t="shared" si="39"/>
        <v>4035.74</v>
      </c>
      <c r="T54" s="1">
        <f t="shared" si="40"/>
        <v>0</v>
      </c>
    </row>
    <row r="55" spans="1:20">
      <c r="C55" t="s">
        <v>357</v>
      </c>
      <c r="E55">
        <v>1998</v>
      </c>
      <c r="F55">
        <v>2</v>
      </c>
      <c r="G55" s="27">
        <v>0</v>
      </c>
      <c r="I55" t="s">
        <v>78</v>
      </c>
      <c r="J55">
        <v>5</v>
      </c>
      <c r="K55">
        <f t="shared" si="25"/>
        <v>2003</v>
      </c>
      <c r="L55" s="20">
        <f t="shared" si="26"/>
        <v>2003.1666666666667</v>
      </c>
      <c r="M55" s="1">
        <v>130000</v>
      </c>
      <c r="N55" s="1">
        <f t="shared" si="34"/>
        <v>130000</v>
      </c>
      <c r="O55" s="1">
        <f t="shared" si="35"/>
        <v>2166.6666666666665</v>
      </c>
      <c r="P55" s="1">
        <f t="shared" si="36"/>
        <v>26000</v>
      </c>
      <c r="Q55" s="1">
        <f t="shared" si="37"/>
        <v>0</v>
      </c>
      <c r="R55" s="1">
        <f t="shared" si="38"/>
        <v>130000</v>
      </c>
      <c r="S55" s="1">
        <f t="shared" si="39"/>
        <v>130000</v>
      </c>
      <c r="T55" s="1">
        <f t="shared" si="40"/>
        <v>0</v>
      </c>
    </row>
    <row r="56" spans="1:20">
      <c r="C56" t="s">
        <v>117</v>
      </c>
      <c r="E56">
        <v>1998</v>
      </c>
      <c r="F56">
        <v>2</v>
      </c>
      <c r="G56" s="27">
        <v>0</v>
      </c>
      <c r="I56" t="s">
        <v>78</v>
      </c>
      <c r="J56">
        <v>5</v>
      </c>
      <c r="K56">
        <f t="shared" si="25"/>
        <v>2003</v>
      </c>
      <c r="L56" s="20">
        <f t="shared" si="26"/>
        <v>2003.1666666666667</v>
      </c>
      <c r="M56" s="1">
        <v>85000</v>
      </c>
      <c r="N56" s="1">
        <f t="shared" si="34"/>
        <v>85000</v>
      </c>
      <c r="O56" s="1">
        <f t="shared" si="35"/>
        <v>1416.6666666666667</v>
      </c>
      <c r="P56" s="1">
        <f t="shared" si="36"/>
        <v>17000</v>
      </c>
      <c r="Q56" s="1">
        <f t="shared" si="37"/>
        <v>0</v>
      </c>
      <c r="R56" s="1">
        <f t="shared" si="38"/>
        <v>85000</v>
      </c>
      <c r="S56" s="1">
        <f t="shared" si="39"/>
        <v>85000</v>
      </c>
      <c r="T56" s="1">
        <f t="shared" si="40"/>
        <v>0</v>
      </c>
    </row>
    <row r="57" spans="1:20">
      <c r="C57" t="s">
        <v>118</v>
      </c>
      <c r="E57">
        <v>1998</v>
      </c>
      <c r="F57">
        <v>2</v>
      </c>
      <c r="G57" s="27">
        <v>0</v>
      </c>
      <c r="I57" t="s">
        <v>78</v>
      </c>
      <c r="J57">
        <v>5</v>
      </c>
      <c r="K57">
        <f t="shared" si="25"/>
        <v>2003</v>
      </c>
      <c r="L57" s="20">
        <f t="shared" si="26"/>
        <v>2003.1666666666667</v>
      </c>
      <c r="M57" s="1">
        <v>25000</v>
      </c>
      <c r="N57" s="1">
        <f t="shared" si="34"/>
        <v>25000</v>
      </c>
      <c r="O57" s="1">
        <f t="shared" si="35"/>
        <v>416.66666666666669</v>
      </c>
      <c r="P57" s="1">
        <f t="shared" si="36"/>
        <v>5000</v>
      </c>
      <c r="Q57" s="1">
        <f t="shared" si="37"/>
        <v>0</v>
      </c>
      <c r="R57" s="1">
        <f t="shared" si="38"/>
        <v>25000</v>
      </c>
      <c r="S57" s="1">
        <f t="shared" si="39"/>
        <v>25000</v>
      </c>
      <c r="T57" s="1">
        <f t="shared" si="40"/>
        <v>0</v>
      </c>
    </row>
    <row r="58" spans="1:20">
      <c r="A58" s="8"/>
      <c r="B58" s="8">
        <v>9206</v>
      </c>
      <c r="C58" s="8" t="s">
        <v>364</v>
      </c>
      <c r="D58" s="8"/>
      <c r="E58" s="8">
        <v>1999</v>
      </c>
      <c r="F58" s="8">
        <v>12</v>
      </c>
      <c r="G58" s="27">
        <v>0</v>
      </c>
      <c r="H58" s="8"/>
      <c r="I58" s="8" t="s">
        <v>78</v>
      </c>
      <c r="J58" s="8">
        <v>5</v>
      </c>
      <c r="K58" s="8">
        <f t="shared" si="25"/>
        <v>2004</v>
      </c>
      <c r="L58" s="20">
        <f t="shared" si="26"/>
        <v>2005</v>
      </c>
      <c r="M58" s="1">
        <f>'Orig OTHER EQUIP 2183'!P63</f>
        <v>6150.6</v>
      </c>
      <c r="N58" s="1">
        <f t="shared" si="34"/>
        <v>6150.6</v>
      </c>
      <c r="O58" s="1">
        <f t="shared" si="35"/>
        <v>102.51</v>
      </c>
      <c r="P58" s="1">
        <f t="shared" si="36"/>
        <v>1230.1200000000001</v>
      </c>
      <c r="Q58" s="1">
        <f t="shared" si="37"/>
        <v>0</v>
      </c>
      <c r="R58" s="1">
        <f t="shared" si="38"/>
        <v>6150.6</v>
      </c>
      <c r="S58" s="1">
        <f t="shared" si="39"/>
        <v>6150.6</v>
      </c>
      <c r="T58" s="1">
        <f t="shared" si="40"/>
        <v>0</v>
      </c>
    </row>
    <row r="59" spans="1:20">
      <c r="A59" s="2"/>
      <c r="B59" s="2"/>
      <c r="C59" s="2" t="s">
        <v>705</v>
      </c>
      <c r="D59" s="2"/>
      <c r="E59" s="2">
        <v>2018</v>
      </c>
      <c r="F59" s="2">
        <v>5</v>
      </c>
      <c r="G59" s="71">
        <v>0</v>
      </c>
      <c r="H59" s="2"/>
      <c r="I59" s="2" t="s">
        <v>78</v>
      </c>
      <c r="J59" s="2">
        <f>+IF(J58-$N$4&gt;=3,J58-$N$4,3)</f>
        <v>3</v>
      </c>
      <c r="K59" s="2">
        <f>E59+J59</f>
        <v>2021</v>
      </c>
      <c r="L59" s="28">
        <f t="shared" si="26"/>
        <v>2021.4166666666667</v>
      </c>
      <c r="M59" s="3">
        <f>'Orig OTHER EQUIP 2183'!N63-'OTHER EQUIP 2183'!M58</f>
        <v>3029.3999999999996</v>
      </c>
      <c r="N59" s="3">
        <f t="shared" si="34"/>
        <v>3029.3999999999996</v>
      </c>
      <c r="O59" s="3">
        <f t="shared" si="35"/>
        <v>84.149999999999991</v>
      </c>
      <c r="P59" s="3">
        <f t="shared" si="36"/>
        <v>1009.8</v>
      </c>
      <c r="Q59" s="3">
        <f t="shared" si="37"/>
        <v>1009.8</v>
      </c>
      <c r="R59" s="3">
        <f t="shared" si="38"/>
        <v>0</v>
      </c>
      <c r="S59" s="3">
        <f t="shared" si="39"/>
        <v>1009.8</v>
      </c>
      <c r="T59" s="3">
        <f t="shared" si="40"/>
        <v>2019.5999999999997</v>
      </c>
    </row>
    <row r="60" spans="1:20">
      <c r="C60" t="s">
        <v>121</v>
      </c>
      <c r="E60">
        <v>2000</v>
      </c>
      <c r="F60">
        <v>7</v>
      </c>
      <c r="G60" s="27">
        <v>0</v>
      </c>
      <c r="I60" t="s">
        <v>78</v>
      </c>
      <c r="J60" t="s">
        <v>9</v>
      </c>
      <c r="K60">
        <f t="shared" si="25"/>
        <v>2010</v>
      </c>
      <c r="L60" s="20">
        <f t="shared" si="26"/>
        <v>2010.5833333333333</v>
      </c>
      <c r="M60" s="1">
        <v>412561.55</v>
      </c>
      <c r="N60" s="1">
        <f t="shared" si="34"/>
        <v>412561.55</v>
      </c>
      <c r="O60" s="1">
        <f t="shared" si="35"/>
        <v>3438.0129166666666</v>
      </c>
      <c r="P60" s="1">
        <f t="shared" si="36"/>
        <v>41256.154999999999</v>
      </c>
      <c r="Q60" s="1">
        <f t="shared" si="37"/>
        <v>0</v>
      </c>
      <c r="R60" s="1">
        <f t="shared" si="38"/>
        <v>412561.55</v>
      </c>
      <c r="S60" s="1">
        <f t="shared" si="39"/>
        <v>412561.55</v>
      </c>
      <c r="T60" s="1">
        <f t="shared" si="40"/>
        <v>0</v>
      </c>
    </row>
    <row r="61" spans="1:20">
      <c r="C61" t="s">
        <v>122</v>
      </c>
      <c r="E61">
        <v>2000</v>
      </c>
      <c r="F61">
        <v>7</v>
      </c>
      <c r="G61" s="27">
        <v>0</v>
      </c>
      <c r="I61" t="s">
        <v>78</v>
      </c>
      <c r="J61" t="s">
        <v>9</v>
      </c>
      <c r="K61">
        <f t="shared" si="25"/>
        <v>2010</v>
      </c>
      <c r="L61" s="20">
        <f t="shared" si="26"/>
        <v>2010.5833333333333</v>
      </c>
      <c r="M61" s="1">
        <v>36913.86</v>
      </c>
      <c r="N61" s="1">
        <f t="shared" si="34"/>
        <v>36913.86</v>
      </c>
      <c r="O61" s="1">
        <f t="shared" si="35"/>
        <v>307.6155</v>
      </c>
      <c r="P61" s="1">
        <f t="shared" si="36"/>
        <v>3691.386</v>
      </c>
      <c r="Q61" s="1">
        <f t="shared" si="37"/>
        <v>0</v>
      </c>
      <c r="R61" s="1">
        <f t="shared" si="38"/>
        <v>36913.86</v>
      </c>
      <c r="S61" s="1">
        <f t="shared" si="39"/>
        <v>36913.86</v>
      </c>
      <c r="T61" s="1">
        <f t="shared" si="40"/>
        <v>0</v>
      </c>
    </row>
    <row r="62" spans="1:20">
      <c r="C62" t="s">
        <v>123</v>
      </c>
      <c r="E62">
        <v>2000</v>
      </c>
      <c r="F62">
        <v>7</v>
      </c>
      <c r="G62" s="27">
        <v>0</v>
      </c>
      <c r="I62" t="s">
        <v>78</v>
      </c>
      <c r="J62" t="s">
        <v>9</v>
      </c>
      <c r="K62">
        <f t="shared" si="25"/>
        <v>2010</v>
      </c>
      <c r="L62" s="20">
        <f t="shared" si="26"/>
        <v>2010.5833333333333</v>
      </c>
      <c r="M62" s="1">
        <v>92093.69</v>
      </c>
      <c r="N62" s="1">
        <f t="shared" si="34"/>
        <v>92093.69</v>
      </c>
      <c r="O62" s="1">
        <f t="shared" si="35"/>
        <v>767.44741666666675</v>
      </c>
      <c r="P62" s="1">
        <f t="shared" si="36"/>
        <v>9209.3690000000006</v>
      </c>
      <c r="Q62" s="1">
        <f t="shared" si="37"/>
        <v>0</v>
      </c>
      <c r="R62" s="1">
        <f t="shared" si="38"/>
        <v>92093.69</v>
      </c>
      <c r="S62" s="1">
        <f t="shared" si="39"/>
        <v>92093.69</v>
      </c>
      <c r="T62" s="1">
        <f t="shared" si="40"/>
        <v>0</v>
      </c>
    </row>
    <row r="63" spans="1:20">
      <c r="C63" t="s">
        <v>112</v>
      </c>
      <c r="E63">
        <v>2000</v>
      </c>
      <c r="F63">
        <v>8</v>
      </c>
      <c r="G63" s="27">
        <v>0</v>
      </c>
      <c r="I63" t="s">
        <v>78</v>
      </c>
      <c r="J63">
        <v>5</v>
      </c>
      <c r="K63">
        <f t="shared" si="25"/>
        <v>2005</v>
      </c>
      <c r="L63" s="20">
        <f t="shared" si="26"/>
        <v>2005.6666666666667</v>
      </c>
      <c r="M63" s="1">
        <v>8228.75</v>
      </c>
      <c r="N63" s="1">
        <f t="shared" si="34"/>
        <v>8228.75</v>
      </c>
      <c r="O63" s="1">
        <f t="shared" si="35"/>
        <v>137.14583333333334</v>
      </c>
      <c r="P63" s="1">
        <f t="shared" si="36"/>
        <v>1645.75</v>
      </c>
      <c r="Q63" s="1">
        <f t="shared" si="37"/>
        <v>0</v>
      </c>
      <c r="R63" s="1">
        <f t="shared" si="38"/>
        <v>8228.75</v>
      </c>
      <c r="S63" s="1">
        <f t="shared" si="39"/>
        <v>8228.75</v>
      </c>
      <c r="T63" s="1">
        <f t="shared" si="40"/>
        <v>0</v>
      </c>
    </row>
    <row r="64" spans="1:20">
      <c r="C64" t="s">
        <v>125</v>
      </c>
      <c r="E64">
        <v>2001</v>
      </c>
      <c r="F64">
        <v>2</v>
      </c>
      <c r="G64" s="27">
        <v>0</v>
      </c>
      <c r="I64" t="s">
        <v>78</v>
      </c>
      <c r="J64" t="s">
        <v>11</v>
      </c>
      <c r="K64">
        <f t="shared" si="25"/>
        <v>2008</v>
      </c>
      <c r="L64" s="20">
        <f t="shared" si="26"/>
        <v>2008.1666666666667</v>
      </c>
      <c r="M64" s="1">
        <v>152358.79999999999</v>
      </c>
      <c r="N64" s="1">
        <f t="shared" si="34"/>
        <v>152358.79999999999</v>
      </c>
      <c r="O64" s="1">
        <f t="shared" si="35"/>
        <v>1813.7952380952381</v>
      </c>
      <c r="P64" s="1">
        <f t="shared" si="36"/>
        <v>21765.542857142857</v>
      </c>
      <c r="Q64" s="1">
        <f t="shared" si="37"/>
        <v>0</v>
      </c>
      <c r="R64" s="1">
        <f t="shared" si="38"/>
        <v>152358.79999999999</v>
      </c>
      <c r="S64" s="1">
        <f t="shared" si="39"/>
        <v>152358.79999999999</v>
      </c>
      <c r="T64" s="1">
        <f t="shared" si="40"/>
        <v>0</v>
      </c>
    </row>
    <row r="65" spans="1:20">
      <c r="C65" t="s">
        <v>127</v>
      </c>
      <c r="E65">
        <v>2001</v>
      </c>
      <c r="F65">
        <v>12</v>
      </c>
      <c r="G65" s="27">
        <v>0</v>
      </c>
      <c r="I65" t="s">
        <v>78</v>
      </c>
      <c r="J65">
        <v>5</v>
      </c>
      <c r="K65">
        <f t="shared" si="25"/>
        <v>2006</v>
      </c>
      <c r="L65" s="20">
        <f t="shared" si="26"/>
        <v>2007</v>
      </c>
      <c r="M65" s="1">
        <v>2246.4</v>
      </c>
      <c r="N65" s="1">
        <f t="shared" si="34"/>
        <v>2246.4</v>
      </c>
      <c r="O65" s="1">
        <f t="shared" si="35"/>
        <v>37.440000000000005</v>
      </c>
      <c r="P65" s="1">
        <f t="shared" si="36"/>
        <v>449.28000000000009</v>
      </c>
      <c r="Q65" s="1">
        <f t="shared" si="37"/>
        <v>0</v>
      </c>
      <c r="R65" s="1">
        <f t="shared" si="38"/>
        <v>2246.4</v>
      </c>
      <c r="S65" s="1">
        <f t="shared" si="39"/>
        <v>2246.4</v>
      </c>
      <c r="T65" s="1">
        <f t="shared" si="40"/>
        <v>0</v>
      </c>
    </row>
    <row r="66" spans="1:20">
      <c r="C66" t="s">
        <v>126</v>
      </c>
      <c r="E66">
        <v>2001</v>
      </c>
      <c r="F66">
        <v>12</v>
      </c>
      <c r="G66" s="27">
        <v>0</v>
      </c>
      <c r="I66" t="s">
        <v>78</v>
      </c>
      <c r="J66">
        <v>5</v>
      </c>
      <c r="K66">
        <f t="shared" si="25"/>
        <v>2006</v>
      </c>
      <c r="L66" s="20">
        <f t="shared" si="26"/>
        <v>2007</v>
      </c>
      <c r="M66" s="1">
        <v>1938.6</v>
      </c>
      <c r="N66" s="1">
        <f t="shared" si="34"/>
        <v>1938.6</v>
      </c>
      <c r="O66" s="1">
        <f t="shared" si="35"/>
        <v>32.309999999999995</v>
      </c>
      <c r="P66" s="1">
        <f t="shared" si="36"/>
        <v>387.71999999999991</v>
      </c>
      <c r="Q66" s="1">
        <f t="shared" si="37"/>
        <v>0</v>
      </c>
      <c r="R66" s="1">
        <f t="shared" si="38"/>
        <v>1938.6</v>
      </c>
      <c r="S66" s="1">
        <f t="shared" si="39"/>
        <v>1938.6</v>
      </c>
      <c r="T66" s="1">
        <f t="shared" si="40"/>
        <v>0</v>
      </c>
    </row>
    <row r="67" spans="1:20">
      <c r="C67" t="s">
        <v>124</v>
      </c>
      <c r="E67">
        <v>2001</v>
      </c>
      <c r="F67">
        <v>2</v>
      </c>
      <c r="G67" s="27">
        <v>0</v>
      </c>
      <c r="I67" t="s">
        <v>78</v>
      </c>
      <c r="J67">
        <v>5</v>
      </c>
      <c r="K67">
        <f t="shared" si="25"/>
        <v>2006</v>
      </c>
      <c r="L67" s="20">
        <f t="shared" si="26"/>
        <v>2006.1666666666667</v>
      </c>
      <c r="M67" s="1">
        <v>4266</v>
      </c>
      <c r="N67" s="1">
        <f t="shared" si="34"/>
        <v>4266</v>
      </c>
      <c r="O67" s="1">
        <f t="shared" si="35"/>
        <v>71.100000000000009</v>
      </c>
      <c r="P67" s="1">
        <f t="shared" si="36"/>
        <v>853.2</v>
      </c>
      <c r="Q67" s="1">
        <f t="shared" si="37"/>
        <v>0</v>
      </c>
      <c r="R67" s="1">
        <f t="shared" si="38"/>
        <v>4266</v>
      </c>
      <c r="S67" s="1">
        <f t="shared" si="39"/>
        <v>4266</v>
      </c>
      <c r="T67" s="1">
        <f t="shared" si="40"/>
        <v>0</v>
      </c>
    </row>
    <row r="68" spans="1:20">
      <c r="C68" t="s">
        <v>128</v>
      </c>
      <c r="E68">
        <v>2003</v>
      </c>
      <c r="F68">
        <v>1</v>
      </c>
      <c r="G68" s="27">
        <v>0</v>
      </c>
      <c r="I68" t="s">
        <v>78</v>
      </c>
      <c r="J68" t="s">
        <v>9</v>
      </c>
      <c r="K68">
        <f t="shared" si="25"/>
        <v>2013</v>
      </c>
      <c r="L68" s="20">
        <f t="shared" si="26"/>
        <v>2013.0833333333333</v>
      </c>
      <c r="M68" s="1">
        <v>96517.97</v>
      </c>
      <c r="N68" s="1">
        <f t="shared" si="34"/>
        <v>96517.97</v>
      </c>
      <c r="O68" s="1">
        <f t="shared" si="35"/>
        <v>804.31641666666667</v>
      </c>
      <c r="P68" s="1">
        <f t="shared" si="36"/>
        <v>9651.7970000000005</v>
      </c>
      <c r="Q68" s="1">
        <f t="shared" si="37"/>
        <v>0</v>
      </c>
      <c r="R68" s="1">
        <f t="shared" si="38"/>
        <v>96517.97</v>
      </c>
      <c r="S68" s="1">
        <f t="shared" si="39"/>
        <v>96517.97</v>
      </c>
      <c r="T68" s="1">
        <f t="shared" si="40"/>
        <v>0</v>
      </c>
    </row>
    <row r="69" spans="1:20">
      <c r="C69" t="s">
        <v>129</v>
      </c>
      <c r="E69">
        <v>2003</v>
      </c>
      <c r="F69">
        <v>2</v>
      </c>
      <c r="G69" s="27">
        <v>0</v>
      </c>
      <c r="I69" t="s">
        <v>78</v>
      </c>
      <c r="J69">
        <v>5</v>
      </c>
      <c r="K69">
        <f t="shared" si="25"/>
        <v>2008</v>
      </c>
      <c r="L69" s="20">
        <f t="shared" si="26"/>
        <v>2008.1666666666667</v>
      </c>
      <c r="M69" s="1">
        <v>3468.8</v>
      </c>
      <c r="N69" s="1">
        <f t="shared" si="34"/>
        <v>3468.8</v>
      </c>
      <c r="O69" s="1">
        <f t="shared" si="35"/>
        <v>57.813333333333333</v>
      </c>
      <c r="P69" s="1">
        <f t="shared" si="36"/>
        <v>693.76</v>
      </c>
      <c r="Q69" s="1">
        <f t="shared" si="37"/>
        <v>0</v>
      </c>
      <c r="R69" s="1">
        <f t="shared" si="38"/>
        <v>3468.8</v>
      </c>
      <c r="S69" s="1">
        <f t="shared" si="39"/>
        <v>3468.8</v>
      </c>
      <c r="T69" s="1">
        <f t="shared" si="40"/>
        <v>0</v>
      </c>
    </row>
    <row r="70" spans="1:20">
      <c r="C70" t="s">
        <v>20</v>
      </c>
      <c r="E70">
        <v>2004</v>
      </c>
      <c r="F70">
        <v>5</v>
      </c>
      <c r="G70" s="27">
        <v>0</v>
      </c>
      <c r="I70" t="s">
        <v>78</v>
      </c>
      <c r="J70">
        <v>5</v>
      </c>
      <c r="K70">
        <f t="shared" si="25"/>
        <v>2009</v>
      </c>
      <c r="L70" s="20">
        <f t="shared" si="26"/>
        <v>2009.4166666666667</v>
      </c>
      <c r="M70" s="1">
        <v>2174.9</v>
      </c>
      <c r="N70" s="1">
        <f t="shared" si="34"/>
        <v>2174.9</v>
      </c>
      <c r="O70" s="1">
        <f t="shared" si="35"/>
        <v>36.248333333333335</v>
      </c>
      <c r="P70" s="1">
        <f t="shared" si="36"/>
        <v>434.98</v>
      </c>
      <c r="Q70" s="1">
        <f t="shared" si="37"/>
        <v>0</v>
      </c>
      <c r="R70" s="1">
        <f t="shared" si="38"/>
        <v>2174.9</v>
      </c>
      <c r="S70" s="1">
        <f t="shared" si="39"/>
        <v>2174.9</v>
      </c>
      <c r="T70" s="1">
        <f t="shared" si="40"/>
        <v>0</v>
      </c>
    </row>
    <row r="71" spans="1:20">
      <c r="C71" t="s">
        <v>131</v>
      </c>
      <c r="E71">
        <v>2004</v>
      </c>
      <c r="F71">
        <v>3</v>
      </c>
      <c r="G71" s="27">
        <v>0</v>
      </c>
      <c r="I71" t="s">
        <v>78</v>
      </c>
      <c r="J71">
        <v>5</v>
      </c>
      <c r="K71">
        <f t="shared" si="25"/>
        <v>2009</v>
      </c>
      <c r="L71" s="20">
        <f t="shared" si="26"/>
        <v>2009.25</v>
      </c>
      <c r="M71" s="1">
        <v>7050.34</v>
      </c>
      <c r="N71" s="1">
        <f t="shared" si="34"/>
        <v>7050.34</v>
      </c>
      <c r="O71" s="1">
        <f t="shared" si="35"/>
        <v>117.50566666666667</v>
      </c>
      <c r="P71" s="1">
        <f t="shared" si="36"/>
        <v>1410.068</v>
      </c>
      <c r="Q71" s="1">
        <f t="shared" si="37"/>
        <v>0</v>
      </c>
      <c r="R71" s="1">
        <f t="shared" si="38"/>
        <v>7050.34</v>
      </c>
      <c r="S71" s="1">
        <f t="shared" si="39"/>
        <v>7050.34</v>
      </c>
      <c r="T71" s="1">
        <f t="shared" si="40"/>
        <v>0</v>
      </c>
    </row>
    <row r="72" spans="1:20">
      <c r="C72" t="s">
        <v>131</v>
      </c>
      <c r="E72">
        <v>2004</v>
      </c>
      <c r="F72">
        <v>2</v>
      </c>
      <c r="G72" s="27">
        <v>0</v>
      </c>
      <c r="I72" t="s">
        <v>78</v>
      </c>
      <c r="J72">
        <v>5</v>
      </c>
      <c r="K72">
        <f t="shared" si="25"/>
        <v>2009</v>
      </c>
      <c r="L72" s="20">
        <f t="shared" si="26"/>
        <v>2009.1666666666667</v>
      </c>
      <c r="M72" s="1">
        <v>2541.98</v>
      </c>
      <c r="N72" s="1">
        <f t="shared" si="34"/>
        <v>2541.98</v>
      </c>
      <c r="O72" s="1">
        <f t="shared" si="35"/>
        <v>42.366333333333337</v>
      </c>
      <c r="P72" s="1">
        <f t="shared" si="36"/>
        <v>508.39600000000007</v>
      </c>
      <c r="Q72" s="1">
        <f t="shared" si="37"/>
        <v>0</v>
      </c>
      <c r="R72" s="1">
        <f t="shared" si="38"/>
        <v>2541.98</v>
      </c>
      <c r="S72" s="1">
        <f t="shared" si="39"/>
        <v>2541.98</v>
      </c>
      <c r="T72" s="1">
        <f t="shared" si="40"/>
        <v>0</v>
      </c>
    </row>
    <row r="73" spans="1:20">
      <c r="C73" t="s">
        <v>105</v>
      </c>
      <c r="E73">
        <v>2006</v>
      </c>
      <c r="F73">
        <v>6</v>
      </c>
      <c r="G73" s="27">
        <v>0</v>
      </c>
      <c r="I73" t="s">
        <v>78</v>
      </c>
      <c r="J73">
        <v>5</v>
      </c>
      <c r="K73">
        <f t="shared" si="25"/>
        <v>2011</v>
      </c>
      <c r="L73" s="20">
        <f t="shared" si="26"/>
        <v>2011.5</v>
      </c>
      <c r="M73" s="1">
        <v>3059.68</v>
      </c>
      <c r="N73" s="1">
        <f t="shared" si="34"/>
        <v>3059.68</v>
      </c>
      <c r="O73" s="1">
        <f t="shared" si="35"/>
        <v>50.99466666666666</v>
      </c>
      <c r="P73" s="1">
        <f t="shared" si="36"/>
        <v>611.93599999999992</v>
      </c>
      <c r="Q73" s="1">
        <f t="shared" si="37"/>
        <v>0</v>
      </c>
      <c r="R73" s="1">
        <f t="shared" si="38"/>
        <v>3059.68</v>
      </c>
      <c r="S73" s="1">
        <f t="shared" si="39"/>
        <v>3059.68</v>
      </c>
      <c r="T73" s="1">
        <f t="shared" si="40"/>
        <v>0</v>
      </c>
    </row>
    <row r="74" spans="1:20">
      <c r="C74" t="s">
        <v>104</v>
      </c>
      <c r="E74">
        <v>2007</v>
      </c>
      <c r="F74">
        <v>5</v>
      </c>
      <c r="G74" s="27">
        <v>0</v>
      </c>
      <c r="I74" t="s">
        <v>78</v>
      </c>
      <c r="J74">
        <v>5</v>
      </c>
      <c r="K74">
        <f t="shared" si="25"/>
        <v>2012</v>
      </c>
      <c r="L74" s="20">
        <f t="shared" si="26"/>
        <v>2012.4166666666667</v>
      </c>
      <c r="M74" s="1">
        <v>9925.1</v>
      </c>
      <c r="N74" s="1">
        <f t="shared" si="34"/>
        <v>9925.1</v>
      </c>
      <c r="O74" s="1">
        <f t="shared" si="35"/>
        <v>165.41833333333332</v>
      </c>
      <c r="P74" s="1">
        <f t="shared" si="36"/>
        <v>1985.02</v>
      </c>
      <c r="Q74" s="1">
        <f t="shared" si="37"/>
        <v>0</v>
      </c>
      <c r="R74" s="1">
        <f t="shared" si="38"/>
        <v>9925.1</v>
      </c>
      <c r="S74" s="1">
        <f t="shared" si="39"/>
        <v>9925.1</v>
      </c>
      <c r="T74" s="1">
        <f t="shared" si="40"/>
        <v>0</v>
      </c>
    </row>
    <row r="75" spans="1:20">
      <c r="C75" t="s">
        <v>132</v>
      </c>
      <c r="E75">
        <v>2007</v>
      </c>
      <c r="F75">
        <v>4</v>
      </c>
      <c r="G75" s="27">
        <v>0</v>
      </c>
      <c r="I75" t="s">
        <v>78</v>
      </c>
      <c r="J75">
        <v>5</v>
      </c>
      <c r="K75">
        <f t="shared" si="25"/>
        <v>2012</v>
      </c>
      <c r="L75" s="20">
        <f t="shared" si="26"/>
        <v>2012.3333333333333</v>
      </c>
      <c r="M75" s="1">
        <v>2346.86</v>
      </c>
      <c r="N75" s="1">
        <f t="shared" si="34"/>
        <v>2346.86</v>
      </c>
      <c r="O75" s="1">
        <f t="shared" si="35"/>
        <v>39.114333333333335</v>
      </c>
      <c r="P75" s="1">
        <f t="shared" si="36"/>
        <v>469.37200000000001</v>
      </c>
      <c r="Q75" s="1">
        <f t="shared" si="37"/>
        <v>0</v>
      </c>
      <c r="R75" s="1">
        <f t="shared" si="38"/>
        <v>2346.86</v>
      </c>
      <c r="S75" s="1">
        <f t="shared" si="39"/>
        <v>2346.86</v>
      </c>
      <c r="T75" s="1">
        <f t="shared" si="40"/>
        <v>0</v>
      </c>
    </row>
    <row r="76" spans="1:20">
      <c r="C76" t="s">
        <v>107</v>
      </c>
      <c r="E76">
        <v>2007</v>
      </c>
      <c r="F76">
        <v>4</v>
      </c>
      <c r="G76" s="27">
        <v>0</v>
      </c>
      <c r="I76" t="s">
        <v>78</v>
      </c>
      <c r="J76">
        <v>5</v>
      </c>
      <c r="K76">
        <f t="shared" si="25"/>
        <v>2012</v>
      </c>
      <c r="L76" s="20">
        <f t="shared" si="26"/>
        <v>2012.3333333333333</v>
      </c>
      <c r="M76" s="1">
        <v>1699.29</v>
      </c>
      <c r="N76" s="1">
        <f t="shared" si="34"/>
        <v>1699.29</v>
      </c>
      <c r="O76" s="1">
        <f t="shared" si="35"/>
        <v>28.3215</v>
      </c>
      <c r="P76" s="1">
        <f t="shared" si="36"/>
        <v>339.858</v>
      </c>
      <c r="Q76" s="1">
        <f t="shared" si="37"/>
        <v>0</v>
      </c>
      <c r="R76" s="1">
        <f t="shared" si="38"/>
        <v>1699.29</v>
      </c>
      <c r="S76" s="1">
        <f t="shared" si="39"/>
        <v>1699.29</v>
      </c>
      <c r="T76" s="1">
        <f t="shared" si="40"/>
        <v>0</v>
      </c>
    </row>
    <row r="77" spans="1:20">
      <c r="C77" t="s">
        <v>108</v>
      </c>
      <c r="E77">
        <v>2007</v>
      </c>
      <c r="F77">
        <v>3</v>
      </c>
      <c r="G77" s="27">
        <v>0</v>
      </c>
      <c r="I77" t="s">
        <v>78</v>
      </c>
      <c r="J77">
        <v>5</v>
      </c>
      <c r="K77">
        <f t="shared" si="25"/>
        <v>2012</v>
      </c>
      <c r="L77" s="20">
        <f t="shared" si="26"/>
        <v>2012.25</v>
      </c>
      <c r="M77" s="1">
        <v>1078</v>
      </c>
      <c r="N77" s="1">
        <f t="shared" si="34"/>
        <v>1078</v>
      </c>
      <c r="O77" s="1">
        <f t="shared" si="35"/>
        <v>17.966666666666665</v>
      </c>
      <c r="P77" s="1">
        <f t="shared" si="36"/>
        <v>215.59999999999997</v>
      </c>
      <c r="Q77" s="1">
        <f t="shared" si="37"/>
        <v>0</v>
      </c>
      <c r="R77" s="1">
        <f t="shared" si="38"/>
        <v>1078</v>
      </c>
      <c r="S77" s="1">
        <f t="shared" si="39"/>
        <v>1078</v>
      </c>
      <c r="T77" s="1">
        <f t="shared" si="40"/>
        <v>0</v>
      </c>
    </row>
    <row r="78" spans="1:20">
      <c r="A78" t="s">
        <v>288</v>
      </c>
      <c r="B78">
        <v>6042</v>
      </c>
      <c r="C78" t="s">
        <v>450</v>
      </c>
      <c r="D78">
        <v>61091</v>
      </c>
      <c r="E78">
        <v>2008</v>
      </c>
      <c r="F78">
        <v>3</v>
      </c>
      <c r="G78" s="27">
        <v>0</v>
      </c>
      <c r="I78" t="s">
        <v>78</v>
      </c>
      <c r="J78">
        <v>5</v>
      </c>
      <c r="K78">
        <f>E78+J78</f>
        <v>2013</v>
      </c>
      <c r="L78" s="20">
        <f t="shared" si="26"/>
        <v>2013.25</v>
      </c>
      <c r="M78" s="1">
        <f>+'Orig OTHER EQUIP 2183'!P91</f>
        <v>10247.040300000001</v>
      </c>
      <c r="N78" s="1">
        <f t="shared" si="34"/>
        <v>10247.040300000001</v>
      </c>
      <c r="O78" s="1">
        <f t="shared" si="35"/>
        <v>170.78400500000001</v>
      </c>
      <c r="P78" s="1">
        <f t="shared" si="36"/>
        <v>2049.4080600000002</v>
      </c>
      <c r="Q78" s="1">
        <f t="shared" si="37"/>
        <v>0</v>
      </c>
      <c r="R78" s="1">
        <f t="shared" si="38"/>
        <v>10247.040300000001</v>
      </c>
      <c r="S78" s="1">
        <f t="shared" si="39"/>
        <v>10247.040300000001</v>
      </c>
      <c r="T78" s="1">
        <f t="shared" si="40"/>
        <v>0</v>
      </c>
    </row>
    <row r="79" spans="1:20">
      <c r="A79" s="2"/>
      <c r="B79" s="2"/>
      <c r="C79" s="2" t="s">
        <v>706</v>
      </c>
      <c r="D79" s="2"/>
      <c r="E79" s="2">
        <v>2018</v>
      </c>
      <c r="F79" s="2">
        <v>5</v>
      </c>
      <c r="G79" s="71">
        <v>0</v>
      </c>
      <c r="H79" s="2"/>
      <c r="I79" s="2" t="s">
        <v>78</v>
      </c>
      <c r="J79" s="2">
        <f>+IF(J78-$N$4&gt;=3,J78-$N$4,3)</f>
        <v>3</v>
      </c>
      <c r="K79" s="2">
        <f>E79+J79</f>
        <v>2021</v>
      </c>
      <c r="L79" s="28">
        <f t="shared" ref="L79" si="41">+K79+(F79/12)</f>
        <v>2021.4166666666667</v>
      </c>
      <c r="M79" s="3">
        <f>+'Orig OTHER EQUIP 2183'!N91-M78</f>
        <v>5047.0496999999996</v>
      </c>
      <c r="N79" s="3">
        <f t="shared" ref="N79" si="42">M79-M79*G79</f>
        <v>5047.0496999999996</v>
      </c>
      <c r="O79" s="3">
        <f t="shared" ref="O79" si="43">N79/J79/12</f>
        <v>140.19582499999999</v>
      </c>
      <c r="P79" s="3">
        <f t="shared" ref="P79" si="44">+O79*12</f>
        <v>1682.3498999999997</v>
      </c>
      <c r="Q79" s="3">
        <f t="shared" ref="Q79" si="45">+IF(L79&lt;=$N$5,0,IF(K79&gt;$N$4,P79,(O79*F79)))</f>
        <v>1682.3498999999997</v>
      </c>
      <c r="R79" s="3">
        <f t="shared" ref="R79" si="46">+IF(Q79=0,N79,IF($N$3-E79&lt;1,0,(($N$3-E79)*Q79)))</f>
        <v>0</v>
      </c>
      <c r="S79" s="3">
        <f t="shared" ref="S79" si="47">+IF(Q79=0,R79,R79+Q79)</f>
        <v>1682.3498999999997</v>
      </c>
      <c r="T79" s="3">
        <f t="shared" ref="T79" si="48">+M79-S79</f>
        <v>3364.6997999999999</v>
      </c>
    </row>
    <row r="80" spans="1:20">
      <c r="A80" s="8"/>
      <c r="B80" s="8">
        <v>6020</v>
      </c>
      <c r="C80" s="8" t="s">
        <v>434</v>
      </c>
      <c r="D80" s="8">
        <v>81814</v>
      </c>
      <c r="E80" s="8">
        <v>2008</v>
      </c>
      <c r="F80" s="8">
        <v>11</v>
      </c>
      <c r="G80" s="27">
        <v>0</v>
      </c>
      <c r="H80" s="8"/>
      <c r="I80" s="8" t="s">
        <v>78</v>
      </c>
      <c r="J80" s="8">
        <v>5</v>
      </c>
      <c r="K80" s="8">
        <f>E80+J80</f>
        <v>2013</v>
      </c>
      <c r="L80" s="20">
        <f t="shared" si="26"/>
        <v>2013.9166666666667</v>
      </c>
      <c r="M80" s="1">
        <f>'Orig OTHER EQUIP 2183'!P92</f>
        <v>1675</v>
      </c>
      <c r="N80" s="1">
        <f t="shared" si="34"/>
        <v>1675</v>
      </c>
      <c r="O80" s="1">
        <f t="shared" si="35"/>
        <v>27.916666666666668</v>
      </c>
      <c r="P80" s="1">
        <f t="shared" si="36"/>
        <v>335</v>
      </c>
      <c r="Q80" s="1">
        <f t="shared" si="37"/>
        <v>0</v>
      </c>
      <c r="R80" s="1">
        <f t="shared" si="38"/>
        <v>1675</v>
      </c>
      <c r="S80" s="1">
        <f t="shared" si="39"/>
        <v>1675</v>
      </c>
      <c r="T80" s="1">
        <f t="shared" si="40"/>
        <v>0</v>
      </c>
    </row>
    <row r="81" spans="1:20">
      <c r="A81" s="2"/>
      <c r="B81" s="2"/>
      <c r="C81" s="2" t="s">
        <v>706</v>
      </c>
      <c r="D81" s="2"/>
      <c r="E81" s="2">
        <v>2018</v>
      </c>
      <c r="F81" s="2">
        <v>5</v>
      </c>
      <c r="G81" s="71">
        <v>0</v>
      </c>
      <c r="H81" s="2"/>
      <c r="I81" s="2" t="s">
        <v>78</v>
      </c>
      <c r="J81" s="2">
        <f>+IF(J80-$N$4&gt;=3,J80-$N$4,3)</f>
        <v>3</v>
      </c>
      <c r="K81" s="2">
        <f>E81+J81</f>
        <v>2021</v>
      </c>
      <c r="L81" s="28">
        <f t="shared" si="26"/>
        <v>2021.4166666666667</v>
      </c>
      <c r="M81" s="3">
        <f>'Orig OTHER EQUIP 2183'!N92-'OTHER EQUIP 2183'!M80</f>
        <v>825</v>
      </c>
      <c r="N81" s="3">
        <f t="shared" si="34"/>
        <v>825</v>
      </c>
      <c r="O81" s="3">
        <f t="shared" si="35"/>
        <v>22.916666666666668</v>
      </c>
      <c r="P81" s="3">
        <f t="shared" si="36"/>
        <v>275</v>
      </c>
      <c r="Q81" s="3">
        <f t="shared" si="37"/>
        <v>275</v>
      </c>
      <c r="R81" s="3">
        <f t="shared" si="38"/>
        <v>0</v>
      </c>
      <c r="S81" s="3">
        <f t="shared" si="39"/>
        <v>275</v>
      </c>
      <c r="T81" s="3">
        <f t="shared" si="40"/>
        <v>550</v>
      </c>
    </row>
    <row r="82" spans="1:20">
      <c r="C82" t="s">
        <v>361</v>
      </c>
      <c r="E82">
        <v>2009</v>
      </c>
      <c r="F82">
        <v>7</v>
      </c>
      <c r="G82" s="27">
        <v>0</v>
      </c>
      <c r="I82" t="s">
        <v>78</v>
      </c>
      <c r="J82">
        <v>5</v>
      </c>
      <c r="K82">
        <f t="shared" si="25"/>
        <v>2014</v>
      </c>
      <c r="L82" s="20">
        <f t="shared" si="26"/>
        <v>2014.5833333333333</v>
      </c>
      <c r="M82" s="1">
        <v>2347.9299999999998</v>
      </c>
      <c r="N82" s="1">
        <f t="shared" si="34"/>
        <v>2347.9299999999998</v>
      </c>
      <c r="O82" s="1">
        <f t="shared" si="35"/>
        <v>39.132166666666663</v>
      </c>
      <c r="P82" s="1">
        <f t="shared" si="36"/>
        <v>469.58599999999996</v>
      </c>
      <c r="Q82" s="1">
        <f t="shared" si="37"/>
        <v>0</v>
      </c>
      <c r="R82" s="1">
        <f t="shared" si="38"/>
        <v>2347.9299999999998</v>
      </c>
      <c r="S82" s="1">
        <f t="shared" si="39"/>
        <v>2347.9299999999998</v>
      </c>
      <c r="T82" s="1">
        <f t="shared" si="40"/>
        <v>0</v>
      </c>
    </row>
    <row r="83" spans="1:20">
      <c r="C83" t="s">
        <v>362</v>
      </c>
      <c r="E83">
        <v>2009</v>
      </c>
      <c r="F83">
        <v>6</v>
      </c>
      <c r="G83" s="27">
        <v>0</v>
      </c>
      <c r="I83" t="s">
        <v>78</v>
      </c>
      <c r="J83">
        <v>5</v>
      </c>
      <c r="K83">
        <f t="shared" si="25"/>
        <v>2014</v>
      </c>
      <c r="L83" s="20">
        <f t="shared" si="26"/>
        <v>2014.5</v>
      </c>
      <c r="M83" s="1">
        <v>4147.3100000000004</v>
      </c>
      <c r="N83" s="1">
        <f t="shared" si="34"/>
        <v>4147.3100000000004</v>
      </c>
      <c r="O83" s="1">
        <f t="shared" si="35"/>
        <v>69.121833333333342</v>
      </c>
      <c r="P83" s="1">
        <f t="shared" si="36"/>
        <v>829.4620000000001</v>
      </c>
      <c r="Q83" s="1">
        <f t="shared" si="37"/>
        <v>0</v>
      </c>
      <c r="R83" s="1">
        <f t="shared" si="38"/>
        <v>4147.3100000000004</v>
      </c>
      <c r="S83" s="1">
        <f t="shared" si="39"/>
        <v>4147.3100000000004</v>
      </c>
      <c r="T83" s="1">
        <f t="shared" si="40"/>
        <v>0</v>
      </c>
    </row>
    <row r="84" spans="1:20">
      <c r="C84" t="s">
        <v>363</v>
      </c>
      <c r="E84">
        <v>2009</v>
      </c>
      <c r="F84">
        <v>1</v>
      </c>
      <c r="G84" s="27">
        <v>0</v>
      </c>
      <c r="I84" t="s">
        <v>78</v>
      </c>
      <c r="J84">
        <v>4.916666666666667</v>
      </c>
      <c r="K84">
        <f t="shared" si="25"/>
        <v>2013.9166666666667</v>
      </c>
      <c r="L84" s="20">
        <f t="shared" si="26"/>
        <v>2014</v>
      </c>
      <c r="M84" s="1">
        <v>2847</v>
      </c>
      <c r="N84" s="1">
        <f t="shared" si="34"/>
        <v>2847</v>
      </c>
      <c r="O84" s="1">
        <f t="shared" si="35"/>
        <v>48.254237288135592</v>
      </c>
      <c r="P84" s="1">
        <f t="shared" si="36"/>
        <v>579.05084745762713</v>
      </c>
      <c r="Q84" s="1">
        <f t="shared" si="37"/>
        <v>0</v>
      </c>
      <c r="R84" s="1">
        <f t="shared" si="38"/>
        <v>2847</v>
      </c>
      <c r="S84" s="1">
        <f t="shared" si="39"/>
        <v>2847</v>
      </c>
      <c r="T84" s="1">
        <f t="shared" si="40"/>
        <v>0</v>
      </c>
    </row>
    <row r="85" spans="1:20">
      <c r="C85" t="s">
        <v>420</v>
      </c>
      <c r="D85">
        <v>78790</v>
      </c>
      <c r="E85">
        <v>2010</v>
      </c>
      <c r="F85">
        <v>12</v>
      </c>
      <c r="G85" s="27">
        <v>0</v>
      </c>
      <c r="I85" t="s">
        <v>78</v>
      </c>
      <c r="J85">
        <v>5</v>
      </c>
      <c r="K85">
        <f t="shared" si="25"/>
        <v>2015</v>
      </c>
      <c r="L85" s="20">
        <f t="shared" si="26"/>
        <v>2016</v>
      </c>
      <c r="M85" s="1">
        <v>5900.24</v>
      </c>
      <c r="N85" s="1">
        <f t="shared" si="34"/>
        <v>5900.24</v>
      </c>
      <c r="O85" s="1">
        <f t="shared" si="35"/>
        <v>98.337333333333333</v>
      </c>
      <c r="P85" s="1">
        <f t="shared" si="36"/>
        <v>1180.048</v>
      </c>
      <c r="Q85" s="1">
        <f t="shared" si="37"/>
        <v>0</v>
      </c>
      <c r="R85" s="1">
        <f t="shared" si="38"/>
        <v>5900.24</v>
      </c>
      <c r="S85" s="1">
        <f t="shared" si="39"/>
        <v>5900.24</v>
      </c>
      <c r="T85" s="1">
        <f t="shared" si="40"/>
        <v>0</v>
      </c>
    </row>
    <row r="86" spans="1:20">
      <c r="C86" t="s">
        <v>470</v>
      </c>
      <c r="D86" t="s">
        <v>479</v>
      </c>
      <c r="E86">
        <v>2012</v>
      </c>
      <c r="F86">
        <v>10</v>
      </c>
      <c r="G86" s="27">
        <v>0</v>
      </c>
      <c r="I86" t="s">
        <v>78</v>
      </c>
      <c r="J86">
        <v>10</v>
      </c>
      <c r="K86">
        <f t="shared" si="25"/>
        <v>2022</v>
      </c>
      <c r="L86" s="20">
        <f t="shared" si="26"/>
        <v>2022.8333333333333</v>
      </c>
      <c r="M86" s="1">
        <f>9479+48345.38</f>
        <v>57824.38</v>
      </c>
      <c r="N86" s="1">
        <f t="shared" si="34"/>
        <v>57824.38</v>
      </c>
      <c r="O86" s="1">
        <f t="shared" si="35"/>
        <v>481.86983333333336</v>
      </c>
      <c r="P86" s="1">
        <f t="shared" si="36"/>
        <v>5782.4380000000001</v>
      </c>
      <c r="Q86" s="1">
        <f t="shared" si="37"/>
        <v>5782.4380000000001</v>
      </c>
      <c r="R86" s="1">
        <f t="shared" si="38"/>
        <v>34694.627999999997</v>
      </c>
      <c r="S86" s="1">
        <f t="shared" si="39"/>
        <v>40477.065999999999</v>
      </c>
      <c r="T86" s="1">
        <f t="shared" si="40"/>
        <v>17347.313999999998</v>
      </c>
    </row>
    <row r="87" spans="1:20">
      <c r="C87" t="s">
        <v>482</v>
      </c>
      <c r="D87">
        <v>106016</v>
      </c>
      <c r="E87">
        <v>2013</v>
      </c>
      <c r="F87">
        <v>7</v>
      </c>
      <c r="G87" s="27">
        <v>0</v>
      </c>
      <c r="I87" t="s">
        <v>78</v>
      </c>
      <c r="J87">
        <v>5</v>
      </c>
      <c r="K87">
        <f t="shared" si="25"/>
        <v>2018</v>
      </c>
      <c r="L87" s="20">
        <f t="shared" si="26"/>
        <v>2018.5833333333333</v>
      </c>
      <c r="M87" s="1">
        <v>14451.45</v>
      </c>
      <c r="N87" s="1">
        <f t="shared" si="34"/>
        <v>14451.45</v>
      </c>
      <c r="O87" s="1">
        <f t="shared" si="35"/>
        <v>240.85749999999999</v>
      </c>
      <c r="P87" s="1">
        <f t="shared" si="36"/>
        <v>2890.29</v>
      </c>
      <c r="Q87" s="1">
        <f t="shared" si="37"/>
        <v>0</v>
      </c>
      <c r="R87" s="1">
        <f t="shared" si="38"/>
        <v>14451.45</v>
      </c>
      <c r="S87" s="1">
        <f t="shared" si="39"/>
        <v>14451.45</v>
      </c>
      <c r="T87" s="1">
        <f t="shared" si="40"/>
        <v>0</v>
      </c>
    </row>
    <row r="89" spans="1:20">
      <c r="B89">
        <v>9228</v>
      </c>
      <c r="C89" t="s">
        <v>502</v>
      </c>
      <c r="D89">
        <v>110576</v>
      </c>
      <c r="E89">
        <v>2014</v>
      </c>
      <c r="F89">
        <v>1</v>
      </c>
      <c r="G89" s="27">
        <v>0.2</v>
      </c>
      <c r="I89" t="s">
        <v>78</v>
      </c>
      <c r="J89">
        <v>10</v>
      </c>
      <c r="K89">
        <f t="shared" si="25"/>
        <v>2024</v>
      </c>
      <c r="L89" s="20">
        <f t="shared" si="26"/>
        <v>2024.0833333333333</v>
      </c>
      <c r="M89" s="1">
        <v>98824.34</v>
      </c>
      <c r="N89" s="1">
        <f t="shared" si="34"/>
        <v>79059.471999999994</v>
      </c>
      <c r="O89" s="1">
        <f t="shared" si="35"/>
        <v>658.82893333333334</v>
      </c>
      <c r="P89" s="1">
        <f t="shared" si="36"/>
        <v>7905.9472000000005</v>
      </c>
      <c r="Q89" s="1">
        <f t="shared" si="37"/>
        <v>7905.9472000000005</v>
      </c>
      <c r="R89" s="1">
        <f t="shared" si="38"/>
        <v>31623.788800000002</v>
      </c>
      <c r="S89" s="1">
        <f t="shared" si="39"/>
        <v>39529.736000000004</v>
      </c>
      <c r="T89" s="1">
        <f t="shared" si="40"/>
        <v>59294.603999999992</v>
      </c>
    </row>
    <row r="90" spans="1:20">
      <c r="C90" t="s">
        <v>519</v>
      </c>
      <c r="D90">
        <v>116108</v>
      </c>
      <c r="E90">
        <v>2014</v>
      </c>
      <c r="F90">
        <v>8</v>
      </c>
      <c r="G90" s="27">
        <v>0</v>
      </c>
      <c r="I90" t="s">
        <v>78</v>
      </c>
      <c r="J90">
        <v>2</v>
      </c>
      <c r="K90">
        <f t="shared" si="25"/>
        <v>2016</v>
      </c>
      <c r="L90" s="20">
        <f t="shared" si="26"/>
        <v>2016.6666666666667</v>
      </c>
      <c r="M90" s="1">
        <v>1817.83</v>
      </c>
      <c r="N90" s="1">
        <f t="shared" si="34"/>
        <v>1817.83</v>
      </c>
      <c r="O90" s="1">
        <f t="shared" si="35"/>
        <v>75.742916666666659</v>
      </c>
      <c r="P90" s="1">
        <f t="shared" si="36"/>
        <v>908.91499999999996</v>
      </c>
      <c r="Q90" s="1">
        <f t="shared" si="37"/>
        <v>0</v>
      </c>
      <c r="R90" s="1">
        <f t="shared" si="38"/>
        <v>1817.83</v>
      </c>
      <c r="S90" s="1">
        <f t="shared" si="39"/>
        <v>1817.83</v>
      </c>
      <c r="T90" s="1">
        <f t="shared" si="40"/>
        <v>0</v>
      </c>
    </row>
    <row r="91" spans="1:20">
      <c r="C91" t="s">
        <v>520</v>
      </c>
      <c r="D91">
        <v>115427</v>
      </c>
      <c r="E91">
        <v>2014</v>
      </c>
      <c r="F91">
        <v>8</v>
      </c>
      <c r="G91" s="27">
        <v>0</v>
      </c>
      <c r="I91" t="s">
        <v>78</v>
      </c>
      <c r="J91">
        <v>3</v>
      </c>
      <c r="K91">
        <f t="shared" si="25"/>
        <v>2017</v>
      </c>
      <c r="L91" s="20">
        <f t="shared" si="26"/>
        <v>2017.6666666666667</v>
      </c>
      <c r="M91" s="1">
        <v>3198.54</v>
      </c>
      <c r="N91" s="1">
        <f t="shared" si="34"/>
        <v>3198.54</v>
      </c>
      <c r="O91" s="1">
        <f t="shared" si="35"/>
        <v>88.848333333333343</v>
      </c>
      <c r="P91" s="1">
        <f t="shared" si="36"/>
        <v>1066.18</v>
      </c>
      <c r="Q91" s="1">
        <f t="shared" si="37"/>
        <v>0</v>
      </c>
      <c r="R91" s="1">
        <f t="shared" si="38"/>
        <v>3198.54</v>
      </c>
      <c r="S91" s="1">
        <f t="shared" si="39"/>
        <v>3198.54</v>
      </c>
      <c r="T91" s="1">
        <f t="shared" si="40"/>
        <v>0</v>
      </c>
    </row>
    <row r="92" spans="1:20">
      <c r="C92" t="s">
        <v>524</v>
      </c>
      <c r="D92">
        <v>118278</v>
      </c>
      <c r="E92">
        <v>2014</v>
      </c>
      <c r="F92">
        <v>12</v>
      </c>
      <c r="G92" s="27">
        <v>0</v>
      </c>
      <c r="I92" t="s">
        <v>78</v>
      </c>
      <c r="J92">
        <v>10</v>
      </c>
      <c r="K92">
        <f t="shared" si="25"/>
        <v>2024</v>
      </c>
      <c r="L92" s="20">
        <f t="shared" si="26"/>
        <v>2025</v>
      </c>
      <c r="M92" s="1">
        <f>7879.66+2760.98</f>
        <v>10640.64</v>
      </c>
      <c r="N92" s="1">
        <f t="shared" si="34"/>
        <v>10640.64</v>
      </c>
      <c r="O92" s="1">
        <f t="shared" si="35"/>
        <v>88.671999999999983</v>
      </c>
      <c r="P92" s="1">
        <f t="shared" si="36"/>
        <v>1064.0639999999999</v>
      </c>
      <c r="Q92" s="1">
        <f t="shared" si="37"/>
        <v>1064.0639999999999</v>
      </c>
      <c r="R92" s="1">
        <f t="shared" si="38"/>
        <v>4256.2559999999994</v>
      </c>
      <c r="S92" s="1">
        <f t="shared" si="39"/>
        <v>5320.32</v>
      </c>
      <c r="T92" s="1">
        <f t="shared" si="40"/>
        <v>5320.32</v>
      </c>
    </row>
    <row r="93" spans="1:20">
      <c r="C93" t="s">
        <v>579</v>
      </c>
      <c r="D93" t="s">
        <v>578</v>
      </c>
      <c r="E93">
        <v>2015</v>
      </c>
      <c r="F93">
        <v>9</v>
      </c>
      <c r="G93" s="27">
        <v>0</v>
      </c>
      <c r="I93" t="s">
        <v>78</v>
      </c>
      <c r="J93">
        <v>5</v>
      </c>
      <c r="K93">
        <f t="shared" si="25"/>
        <v>2020</v>
      </c>
      <c r="L93" s="20">
        <f t="shared" si="26"/>
        <v>2020.75</v>
      </c>
      <c r="M93" s="1">
        <f>11499.37+1195.7</f>
        <v>12695.070000000002</v>
      </c>
      <c r="N93" s="1">
        <f t="shared" si="34"/>
        <v>12695.070000000002</v>
      </c>
      <c r="O93" s="1">
        <f t="shared" si="35"/>
        <v>211.58450000000002</v>
      </c>
      <c r="P93" s="1">
        <f t="shared" si="36"/>
        <v>2539.0140000000001</v>
      </c>
      <c r="Q93" s="1">
        <f t="shared" si="37"/>
        <v>2539.0140000000001</v>
      </c>
      <c r="R93" s="1">
        <f t="shared" si="38"/>
        <v>7617.0420000000004</v>
      </c>
      <c r="S93" s="1">
        <f t="shared" si="39"/>
        <v>10156.056</v>
      </c>
      <c r="T93" s="1">
        <f t="shared" si="40"/>
        <v>2539.014000000001</v>
      </c>
    </row>
    <row r="94" spans="1:20">
      <c r="C94" t="s">
        <v>606</v>
      </c>
      <c r="D94">
        <v>170171</v>
      </c>
      <c r="E94">
        <v>2016</v>
      </c>
      <c r="F94">
        <v>11</v>
      </c>
      <c r="G94" s="27">
        <v>0</v>
      </c>
      <c r="I94" t="s">
        <v>78</v>
      </c>
      <c r="J94">
        <v>5</v>
      </c>
      <c r="K94">
        <f>E94+J94</f>
        <v>2021</v>
      </c>
      <c r="L94" s="20">
        <f t="shared" si="26"/>
        <v>2021.9166666666667</v>
      </c>
      <c r="M94" s="1">
        <v>44611.57</v>
      </c>
      <c r="N94" s="1">
        <f t="shared" si="34"/>
        <v>44611.57</v>
      </c>
      <c r="O94" s="1">
        <f t="shared" si="35"/>
        <v>743.52616666666665</v>
      </c>
      <c r="P94" s="1">
        <f t="shared" si="36"/>
        <v>8922.3140000000003</v>
      </c>
      <c r="Q94" s="1">
        <f t="shared" si="37"/>
        <v>8922.3140000000003</v>
      </c>
      <c r="R94" s="1">
        <f t="shared" si="38"/>
        <v>17844.628000000001</v>
      </c>
      <c r="S94" s="1">
        <f t="shared" si="39"/>
        <v>26766.942000000003</v>
      </c>
      <c r="T94" s="1">
        <f t="shared" si="40"/>
        <v>17844.627999999997</v>
      </c>
    </row>
    <row r="95" spans="1:20">
      <c r="C95" t="s">
        <v>633</v>
      </c>
      <c r="D95">
        <v>185550</v>
      </c>
      <c r="E95">
        <v>2017</v>
      </c>
      <c r="F95">
        <v>8</v>
      </c>
      <c r="G95" s="27">
        <v>0</v>
      </c>
      <c r="I95" t="s">
        <v>78</v>
      </c>
      <c r="J95">
        <v>1</v>
      </c>
      <c r="K95">
        <f>E95+J95</f>
        <v>2018</v>
      </c>
      <c r="L95" s="20">
        <f t="shared" si="26"/>
        <v>2018.6666666666667</v>
      </c>
      <c r="M95" s="1">
        <v>1244.8</v>
      </c>
      <c r="N95" s="1">
        <f t="shared" si="34"/>
        <v>1244.8</v>
      </c>
      <c r="O95" s="1">
        <f t="shared" si="35"/>
        <v>103.73333333333333</v>
      </c>
      <c r="P95" s="1">
        <f t="shared" si="36"/>
        <v>1244.8</v>
      </c>
      <c r="Q95" s="1">
        <f t="shared" si="37"/>
        <v>0</v>
      </c>
      <c r="R95" s="1">
        <f t="shared" si="38"/>
        <v>1244.8</v>
      </c>
      <c r="S95" s="1">
        <f t="shared" si="39"/>
        <v>1244.8</v>
      </c>
      <c r="T95" s="1">
        <f t="shared" si="40"/>
        <v>0</v>
      </c>
    </row>
    <row r="96" spans="1:20" s="84" customFormat="1" ht="15">
      <c r="C96" s="87" t="s">
        <v>798</v>
      </c>
      <c r="D96" s="88">
        <v>198061</v>
      </c>
      <c r="E96" s="84">
        <v>1992</v>
      </c>
      <c r="F96" s="84">
        <v>3</v>
      </c>
      <c r="G96" s="89">
        <v>0</v>
      </c>
      <c r="I96" s="84" t="s">
        <v>78</v>
      </c>
      <c r="J96" s="84">
        <v>15</v>
      </c>
      <c r="K96" s="84">
        <f t="shared" ref="K96:K98" si="49">E96+J96</f>
        <v>2007</v>
      </c>
      <c r="L96" s="90">
        <f t="shared" ref="L96:L98" si="50">+K96+(F96/12)</f>
        <v>2007.25</v>
      </c>
      <c r="M96" s="91">
        <v>7710</v>
      </c>
      <c r="N96" s="92">
        <f t="shared" ref="N96:N98" si="51">M96-M96*G96</f>
        <v>7710</v>
      </c>
      <c r="O96" s="92">
        <f t="shared" ref="O96:O98" si="52">N96/J96/12</f>
        <v>42.833333333333336</v>
      </c>
      <c r="P96" s="92">
        <f t="shared" ref="P96:P98" si="53">+O96*12</f>
        <v>514</v>
      </c>
      <c r="Q96" s="92">
        <f t="shared" ref="Q96:Q98" si="54">+IF(L96&lt;=$N$5,0,IF(K96&gt;$N$4,P96,(O96*F96)))</f>
        <v>0</v>
      </c>
      <c r="R96" s="92">
        <f t="shared" ref="R96:R98" si="55">+IF(Q96=0,N96,IF($N$3-E96&lt;1,0,(($N$3-E96)*Q96)))</f>
        <v>7710</v>
      </c>
      <c r="S96" s="92">
        <f t="shared" ref="S96:S98" si="56">+IF(Q96=0,R96,R96+Q96)</f>
        <v>7710</v>
      </c>
      <c r="T96" s="92">
        <f t="shared" ref="T96:T98" si="57">+M96-S96</f>
        <v>0</v>
      </c>
    </row>
    <row r="97" spans="1:20" s="84" customFormat="1" ht="15">
      <c r="C97" s="87" t="s">
        <v>799</v>
      </c>
      <c r="D97" s="88">
        <v>198060</v>
      </c>
      <c r="E97" s="84">
        <v>1988</v>
      </c>
      <c r="F97" s="84">
        <v>2</v>
      </c>
      <c r="G97" s="89">
        <v>0</v>
      </c>
      <c r="I97" s="84" t="s">
        <v>78</v>
      </c>
      <c r="J97" s="84">
        <v>15</v>
      </c>
      <c r="K97" s="84">
        <f t="shared" si="49"/>
        <v>2003</v>
      </c>
      <c r="L97" s="90">
        <f t="shared" si="50"/>
        <v>2003.1666666666667</v>
      </c>
      <c r="M97" s="91">
        <v>22692</v>
      </c>
      <c r="N97" s="92">
        <f t="shared" si="51"/>
        <v>22692</v>
      </c>
      <c r="O97" s="92">
        <f t="shared" si="52"/>
        <v>126.06666666666666</v>
      </c>
      <c r="P97" s="92">
        <f t="shared" si="53"/>
        <v>1512.8</v>
      </c>
      <c r="Q97" s="92">
        <f t="shared" si="54"/>
        <v>0</v>
      </c>
      <c r="R97" s="92">
        <f t="shared" si="55"/>
        <v>22692</v>
      </c>
      <c r="S97" s="92">
        <f t="shared" si="56"/>
        <v>22692</v>
      </c>
      <c r="T97" s="92">
        <f t="shared" si="57"/>
        <v>0</v>
      </c>
    </row>
    <row r="98" spans="1:20" s="59" customFormat="1" ht="15">
      <c r="C98" s="98" t="s">
        <v>803</v>
      </c>
      <c r="D98" s="99">
        <v>210008</v>
      </c>
      <c r="E98" s="59">
        <v>2019</v>
      </c>
      <c r="F98" s="59">
        <v>1</v>
      </c>
      <c r="G98" s="96">
        <v>0</v>
      </c>
      <c r="I98" s="59" t="s">
        <v>78</v>
      </c>
      <c r="J98" s="59">
        <v>3</v>
      </c>
      <c r="K98" s="59">
        <f t="shared" si="49"/>
        <v>2022</v>
      </c>
      <c r="L98" s="100">
        <f t="shared" si="50"/>
        <v>2022.0833333333333</v>
      </c>
      <c r="M98" s="101">
        <v>1555.07</v>
      </c>
      <c r="N98" s="97">
        <f t="shared" si="51"/>
        <v>1555.07</v>
      </c>
      <c r="O98" s="97">
        <f t="shared" si="52"/>
        <v>43.19638888888889</v>
      </c>
      <c r="P98" s="97">
        <f t="shared" si="53"/>
        <v>518.35666666666668</v>
      </c>
      <c r="Q98" s="97">
        <f t="shared" si="54"/>
        <v>518.35666666666668</v>
      </c>
      <c r="R98" s="97">
        <f t="shared" si="55"/>
        <v>0</v>
      </c>
      <c r="S98" s="97">
        <f t="shared" si="56"/>
        <v>518.35666666666668</v>
      </c>
      <c r="T98" s="97">
        <f t="shared" si="57"/>
        <v>1036.7133333333331</v>
      </c>
    </row>
    <row r="100" spans="1:20">
      <c r="C100" s="9" t="s">
        <v>266</v>
      </c>
      <c r="M100" s="24">
        <f t="shared" ref="M100:T100" si="58">SUM(M50:M99)</f>
        <v>1605332.5700000005</v>
      </c>
      <c r="N100" s="24">
        <f t="shared" si="58"/>
        <v>1585567.7020000005</v>
      </c>
      <c r="O100" s="24">
        <f t="shared" si="58"/>
        <v>18992.692905383366</v>
      </c>
      <c r="P100" s="24">
        <f t="shared" si="58"/>
        <v>227912.31486460051</v>
      </c>
      <c r="Q100" s="24">
        <f t="shared" si="58"/>
        <v>30436.617099999996</v>
      </c>
      <c r="R100" s="24">
        <f t="shared" si="58"/>
        <v>1464104.3931000002</v>
      </c>
      <c r="S100" s="24">
        <f t="shared" si="58"/>
        <v>1494541.0102000006</v>
      </c>
      <c r="T100" s="24">
        <f t="shared" si="58"/>
        <v>110791.55979999997</v>
      </c>
    </row>
    <row r="101" spans="1:20">
      <c r="C101" t="s">
        <v>316</v>
      </c>
    </row>
    <row r="102" spans="1:20">
      <c r="C102" t="s">
        <v>316</v>
      </c>
    </row>
    <row r="103" spans="1:20">
      <c r="C103" s="9" t="s">
        <v>278</v>
      </c>
    </row>
    <row r="104" spans="1:20">
      <c r="A104" s="8"/>
      <c r="B104" s="8">
        <v>6029</v>
      </c>
      <c r="C104" s="8" t="s">
        <v>494</v>
      </c>
      <c r="D104" s="8">
        <v>105497</v>
      </c>
      <c r="E104" s="8">
        <v>2003</v>
      </c>
      <c r="F104" s="8">
        <v>3</v>
      </c>
      <c r="G104" s="27">
        <v>0</v>
      </c>
      <c r="H104" s="8"/>
      <c r="I104" s="8" t="s">
        <v>78</v>
      </c>
      <c r="J104" s="8">
        <v>5</v>
      </c>
      <c r="K104" s="8">
        <f t="shared" ref="K104:K113" si="59">E104+J104</f>
        <v>2008</v>
      </c>
      <c r="L104" s="20">
        <f t="shared" ref="L104:L113" si="60">+K104+(F104/12)</f>
        <v>2008.25</v>
      </c>
      <c r="M104" s="1">
        <f>'Orig OTHER EQUIP 2183'!P112</f>
        <v>12886.896000000001</v>
      </c>
      <c r="N104" s="1">
        <f t="shared" ref="N104" si="61">M104-M104*G104</f>
        <v>12886.896000000001</v>
      </c>
      <c r="O104" s="1">
        <f t="shared" ref="O104" si="62">N104/J104/12</f>
        <v>214.78160000000003</v>
      </c>
      <c r="P104" s="1">
        <f t="shared" ref="P104" si="63">+O104*12</f>
        <v>2577.3792000000003</v>
      </c>
      <c r="Q104" s="1">
        <f t="shared" ref="Q104" si="64">+IF(L104&lt;=$N$5,0,IF(K104&gt;$N$4,P104,(O104*F104)))</f>
        <v>0</v>
      </c>
      <c r="R104" s="1">
        <f t="shared" ref="R104" si="65">+IF(Q104=0,N104,IF($N$3-E104&lt;1,0,(($N$3-E104)*Q104)))</f>
        <v>12886.896000000001</v>
      </c>
      <c r="S104" s="1">
        <f t="shared" ref="S104" si="66">+IF(Q104=0,R104,R104+Q104)</f>
        <v>12886.896000000001</v>
      </c>
      <c r="T104" s="1">
        <f t="shared" ref="T104" si="67">+M104-S104</f>
        <v>0</v>
      </c>
    </row>
    <row r="105" spans="1:20">
      <c r="A105" s="2"/>
      <c r="B105" s="2"/>
      <c r="C105" s="2" t="s">
        <v>707</v>
      </c>
      <c r="D105" s="2"/>
      <c r="E105" s="2">
        <v>2018</v>
      </c>
      <c r="F105" s="2">
        <v>5</v>
      </c>
      <c r="G105" s="71">
        <v>0</v>
      </c>
      <c r="H105" s="2"/>
      <c r="I105" s="2" t="s">
        <v>78</v>
      </c>
      <c r="J105" s="2">
        <f>+IF(J104-$N$4&gt;=3,J104-$N$4,3)</f>
        <v>3</v>
      </c>
      <c r="K105" s="2">
        <f>E105+J105</f>
        <v>2021</v>
      </c>
      <c r="L105" s="28">
        <f t="shared" si="60"/>
        <v>2021.4166666666667</v>
      </c>
      <c r="M105" s="3">
        <f>'Orig OTHER EQUIP 2183'!N112-'OTHER EQUIP 2183'!M104</f>
        <v>3221.7240000000002</v>
      </c>
      <c r="N105" s="3">
        <f t="shared" ref="N105:N113" si="68">M105-M105*G105</f>
        <v>3221.7240000000002</v>
      </c>
      <c r="O105" s="3">
        <f t="shared" ref="O105:O113" si="69">N105/J105/12</f>
        <v>89.492333333333349</v>
      </c>
      <c r="P105" s="3">
        <f t="shared" ref="P105:P113" si="70">+O105*12</f>
        <v>1073.9080000000001</v>
      </c>
      <c r="Q105" s="3">
        <f t="shared" ref="Q105:Q113" si="71">+IF(L105&lt;=$N$5,0,IF(K105&gt;$N$4,P105,(O105*F105)))</f>
        <v>1073.9080000000001</v>
      </c>
      <c r="R105" s="3">
        <f t="shared" ref="R105:R113" si="72">+IF(Q105=0,N105,IF($N$3-E105&lt;1,0,(($N$3-E105)*Q105)))</f>
        <v>0</v>
      </c>
      <c r="S105" s="3">
        <f t="shared" ref="S105:S113" si="73">+IF(Q105=0,R105,R105+Q105)</f>
        <v>1073.9080000000001</v>
      </c>
      <c r="T105" s="3">
        <f t="shared" ref="T105:T113" si="74">+M105-S105</f>
        <v>2147.8159999999998</v>
      </c>
    </row>
    <row r="106" spans="1:20">
      <c r="A106" s="8"/>
      <c r="B106" s="8">
        <v>6050</v>
      </c>
      <c r="C106" s="8" t="s">
        <v>455</v>
      </c>
      <c r="D106" s="8">
        <v>75671</v>
      </c>
      <c r="E106" s="8">
        <v>2010</v>
      </c>
      <c r="F106" s="8">
        <v>7</v>
      </c>
      <c r="G106" s="27">
        <v>0</v>
      </c>
      <c r="H106" s="8"/>
      <c r="I106" s="8" t="s">
        <v>78</v>
      </c>
      <c r="J106" s="8">
        <v>5</v>
      </c>
      <c r="K106" s="8">
        <f t="shared" si="59"/>
        <v>2015</v>
      </c>
      <c r="L106" s="20">
        <f t="shared" si="60"/>
        <v>2015.5833333333333</v>
      </c>
      <c r="M106" s="1">
        <f>'Orig OTHER EQUIP 2183'!P113</f>
        <v>10050</v>
      </c>
      <c r="N106" s="1">
        <f t="shared" si="68"/>
        <v>10050</v>
      </c>
      <c r="O106" s="1">
        <f t="shared" si="69"/>
        <v>167.5</v>
      </c>
      <c r="P106" s="1">
        <f t="shared" si="70"/>
        <v>2010</v>
      </c>
      <c r="Q106" s="1">
        <f t="shared" si="71"/>
        <v>0</v>
      </c>
      <c r="R106" s="1">
        <f t="shared" si="72"/>
        <v>10050</v>
      </c>
      <c r="S106" s="1">
        <f t="shared" si="73"/>
        <v>10050</v>
      </c>
      <c r="T106" s="1">
        <f t="shared" si="74"/>
        <v>0</v>
      </c>
    </row>
    <row r="107" spans="1:20">
      <c r="A107" s="2"/>
      <c r="B107" s="2"/>
      <c r="C107" s="2" t="s">
        <v>708</v>
      </c>
      <c r="D107" s="2"/>
      <c r="E107" s="2">
        <v>2018</v>
      </c>
      <c r="F107" s="2">
        <v>5</v>
      </c>
      <c r="G107" s="71">
        <v>0</v>
      </c>
      <c r="H107" s="2"/>
      <c r="I107" s="2" t="s">
        <v>78</v>
      </c>
      <c r="J107" s="2">
        <f>+IF(J106-$N$4&gt;=3,J106-$N$4,3)</f>
        <v>3</v>
      </c>
      <c r="K107" s="2">
        <f>E107+J107</f>
        <v>2021</v>
      </c>
      <c r="L107" s="28">
        <f t="shared" si="60"/>
        <v>2021.4166666666667</v>
      </c>
      <c r="M107" s="3">
        <f>'Orig OTHER EQUIP 2183'!N113-'OTHER EQUIP 2183'!M106</f>
        <v>4950</v>
      </c>
      <c r="N107" s="3">
        <f t="shared" si="68"/>
        <v>4950</v>
      </c>
      <c r="O107" s="3">
        <f t="shared" si="69"/>
        <v>137.5</v>
      </c>
      <c r="P107" s="3">
        <f t="shared" si="70"/>
        <v>1650</v>
      </c>
      <c r="Q107" s="3">
        <f t="shared" si="71"/>
        <v>1650</v>
      </c>
      <c r="R107" s="3">
        <f t="shared" si="72"/>
        <v>0</v>
      </c>
      <c r="S107" s="3">
        <f t="shared" si="73"/>
        <v>1650</v>
      </c>
      <c r="T107" s="3">
        <f t="shared" si="74"/>
        <v>3300</v>
      </c>
    </row>
    <row r="108" spans="1:20">
      <c r="A108" s="8"/>
      <c r="B108" s="8"/>
      <c r="C108" s="8" t="s">
        <v>421</v>
      </c>
      <c r="D108" s="8">
        <v>79336</v>
      </c>
      <c r="E108" s="8">
        <v>2010</v>
      </c>
      <c r="F108" s="8">
        <v>12</v>
      </c>
      <c r="G108" s="27">
        <v>0</v>
      </c>
      <c r="H108" s="8"/>
      <c r="I108" s="8" t="s">
        <v>78</v>
      </c>
      <c r="J108" s="8">
        <v>5</v>
      </c>
      <c r="K108" s="8">
        <f t="shared" si="59"/>
        <v>2015</v>
      </c>
      <c r="L108" s="20">
        <f t="shared" si="60"/>
        <v>2016</v>
      </c>
      <c r="M108" s="1">
        <f>'Orig OTHER EQUIP 2183'!P114</f>
        <v>26323.898000000001</v>
      </c>
      <c r="N108" s="1">
        <f t="shared" si="68"/>
        <v>26323.898000000001</v>
      </c>
      <c r="O108" s="1">
        <f t="shared" si="69"/>
        <v>438.73163333333332</v>
      </c>
      <c r="P108" s="1">
        <f t="shared" si="70"/>
        <v>5264.7795999999998</v>
      </c>
      <c r="Q108" s="1">
        <f t="shared" si="71"/>
        <v>0</v>
      </c>
      <c r="R108" s="1">
        <f t="shared" si="72"/>
        <v>26323.898000000001</v>
      </c>
      <c r="S108" s="1">
        <f t="shared" si="73"/>
        <v>26323.898000000001</v>
      </c>
      <c r="T108" s="1">
        <f t="shared" si="74"/>
        <v>0</v>
      </c>
    </row>
    <row r="109" spans="1:20">
      <c r="A109" s="2"/>
      <c r="B109" s="2"/>
      <c r="C109" s="2" t="s">
        <v>709</v>
      </c>
      <c r="D109" s="2"/>
      <c r="E109" s="2">
        <v>2018</v>
      </c>
      <c r="F109" s="2">
        <v>5</v>
      </c>
      <c r="G109" s="71">
        <v>0</v>
      </c>
      <c r="H109" s="2"/>
      <c r="I109" s="2" t="s">
        <v>78</v>
      </c>
      <c r="J109" s="2">
        <f>+IF(J108-$N$4&gt;=3,J108-$N$4,3)</f>
        <v>3</v>
      </c>
      <c r="K109" s="2">
        <f>E109+J109</f>
        <v>2021</v>
      </c>
      <c r="L109" s="28">
        <f t="shared" si="60"/>
        <v>2021.4166666666667</v>
      </c>
      <c r="M109" s="3">
        <f>'Orig OTHER EQUIP 2183'!N114-'OTHER EQUIP 2183'!M108</f>
        <v>12965.502</v>
      </c>
      <c r="N109" s="3">
        <f t="shared" si="68"/>
        <v>12965.502</v>
      </c>
      <c r="O109" s="3">
        <f t="shared" si="69"/>
        <v>360.15283333333332</v>
      </c>
      <c r="P109" s="3">
        <f t="shared" si="70"/>
        <v>4321.8339999999998</v>
      </c>
      <c r="Q109" s="3">
        <f t="shared" si="71"/>
        <v>4321.8339999999998</v>
      </c>
      <c r="R109" s="3">
        <f t="shared" si="72"/>
        <v>0</v>
      </c>
      <c r="S109" s="3">
        <f t="shared" si="73"/>
        <v>4321.8339999999998</v>
      </c>
      <c r="T109" s="3">
        <f t="shared" si="74"/>
        <v>8643.6680000000015</v>
      </c>
    </row>
    <row r="110" spans="1:20">
      <c r="A110" s="8" t="s">
        <v>557</v>
      </c>
      <c r="B110" s="8">
        <v>6047</v>
      </c>
      <c r="C110" s="8" t="s">
        <v>556</v>
      </c>
      <c r="D110" s="8">
        <v>114290</v>
      </c>
      <c r="E110" s="8">
        <v>2011</v>
      </c>
      <c r="F110" s="8">
        <v>5</v>
      </c>
      <c r="G110" s="27">
        <v>0</v>
      </c>
      <c r="H110" s="8"/>
      <c r="I110" s="8" t="s">
        <v>78</v>
      </c>
      <c r="J110" s="8">
        <v>5</v>
      </c>
      <c r="K110" s="8">
        <f t="shared" si="59"/>
        <v>2016</v>
      </c>
      <c r="L110" s="20">
        <f t="shared" si="60"/>
        <v>2016.4166666666667</v>
      </c>
      <c r="M110" s="1">
        <f>'Orig OTHER EQUIP 2183'!P115</f>
        <v>14948.4303</v>
      </c>
      <c r="N110" s="1">
        <f t="shared" si="68"/>
        <v>14948.4303</v>
      </c>
      <c r="O110" s="1">
        <f t="shared" si="69"/>
        <v>249.14050499999999</v>
      </c>
      <c r="P110" s="1">
        <f t="shared" si="70"/>
        <v>2989.68606</v>
      </c>
      <c r="Q110" s="1">
        <f t="shared" si="71"/>
        <v>0</v>
      </c>
      <c r="R110" s="1">
        <f t="shared" si="72"/>
        <v>14948.4303</v>
      </c>
      <c r="S110" s="1">
        <f t="shared" si="73"/>
        <v>14948.4303</v>
      </c>
      <c r="T110" s="1">
        <f t="shared" si="74"/>
        <v>0</v>
      </c>
    </row>
    <row r="111" spans="1:20">
      <c r="A111" s="2"/>
      <c r="B111" s="2"/>
      <c r="C111" s="2" t="s">
        <v>710</v>
      </c>
      <c r="D111" s="2"/>
      <c r="E111" s="2">
        <v>2018</v>
      </c>
      <c r="F111" s="2">
        <v>5</v>
      </c>
      <c r="G111" s="71">
        <v>0</v>
      </c>
      <c r="H111" s="2"/>
      <c r="I111" s="2" t="s">
        <v>78</v>
      </c>
      <c r="J111" s="2">
        <f>+IF(J110-$N$4&gt;=3,J110-$N$4,3)</f>
        <v>3</v>
      </c>
      <c r="K111" s="2">
        <f>E111+J111</f>
        <v>2021</v>
      </c>
      <c r="L111" s="28">
        <f t="shared" si="60"/>
        <v>2021.4166666666667</v>
      </c>
      <c r="M111" s="3">
        <f>'Orig OTHER EQUIP 2183'!N115-'OTHER EQUIP 2183'!M110</f>
        <v>7362.6597000000002</v>
      </c>
      <c r="N111" s="3">
        <f t="shared" si="68"/>
        <v>7362.6597000000002</v>
      </c>
      <c r="O111" s="3">
        <f t="shared" si="69"/>
        <v>204.518325</v>
      </c>
      <c r="P111" s="3">
        <f t="shared" si="70"/>
        <v>2454.2199000000001</v>
      </c>
      <c r="Q111" s="3">
        <f t="shared" si="71"/>
        <v>2454.2199000000001</v>
      </c>
      <c r="R111" s="3">
        <f t="shared" si="72"/>
        <v>0</v>
      </c>
      <c r="S111" s="3">
        <f t="shared" si="73"/>
        <v>2454.2199000000001</v>
      </c>
      <c r="T111" s="3">
        <f t="shared" si="74"/>
        <v>4908.4398000000001</v>
      </c>
    </row>
    <row r="112" spans="1:20">
      <c r="B112">
        <v>7699</v>
      </c>
      <c r="C112" t="s">
        <v>583</v>
      </c>
      <c r="D112">
        <v>128432</v>
      </c>
      <c r="E112">
        <v>2015</v>
      </c>
      <c r="F112">
        <v>12</v>
      </c>
      <c r="G112" s="27">
        <v>0.2</v>
      </c>
      <c r="I112" t="s">
        <v>78</v>
      </c>
      <c r="J112">
        <v>9</v>
      </c>
      <c r="K112">
        <f t="shared" si="59"/>
        <v>2024</v>
      </c>
      <c r="L112" s="20">
        <f t="shared" si="60"/>
        <v>2025</v>
      </c>
      <c r="M112" s="1">
        <v>11848.3</v>
      </c>
      <c r="N112" s="1">
        <f t="shared" si="68"/>
        <v>9478.64</v>
      </c>
      <c r="O112" s="1">
        <f t="shared" si="69"/>
        <v>87.765185185185189</v>
      </c>
      <c r="P112" s="1">
        <f t="shared" si="70"/>
        <v>1053.1822222222222</v>
      </c>
      <c r="Q112" s="1">
        <f t="shared" si="71"/>
        <v>1053.1822222222222</v>
      </c>
      <c r="R112" s="1">
        <f t="shared" si="72"/>
        <v>3159.5466666666666</v>
      </c>
      <c r="S112" s="1">
        <f t="shared" si="73"/>
        <v>4212.7288888888888</v>
      </c>
      <c r="T112" s="1">
        <f t="shared" si="74"/>
        <v>7635.5711111111104</v>
      </c>
    </row>
    <row r="113" spans="1:20">
      <c r="B113">
        <v>6056</v>
      </c>
      <c r="C113" t="s">
        <v>604</v>
      </c>
      <c r="D113" t="s">
        <v>605</v>
      </c>
      <c r="E113">
        <v>2016</v>
      </c>
      <c r="F113">
        <v>9</v>
      </c>
      <c r="G113" s="27">
        <v>0</v>
      </c>
      <c r="I113" t="s">
        <v>78</v>
      </c>
      <c r="J113">
        <v>4</v>
      </c>
      <c r="K113">
        <f t="shared" si="59"/>
        <v>2020</v>
      </c>
      <c r="L113" s="20">
        <f t="shared" si="60"/>
        <v>2020.75</v>
      </c>
      <c r="M113" s="1">
        <f>29202.25+2673.24</f>
        <v>31875.489999999998</v>
      </c>
      <c r="N113" s="1">
        <f t="shared" si="68"/>
        <v>31875.489999999998</v>
      </c>
      <c r="O113" s="1">
        <f t="shared" si="69"/>
        <v>664.07270833333325</v>
      </c>
      <c r="P113" s="1">
        <f t="shared" si="70"/>
        <v>7968.8724999999995</v>
      </c>
      <c r="Q113" s="1">
        <f t="shared" si="71"/>
        <v>7968.8724999999995</v>
      </c>
      <c r="R113" s="1">
        <f t="shared" si="72"/>
        <v>15937.744999999999</v>
      </c>
      <c r="S113" s="1">
        <f t="shared" si="73"/>
        <v>23906.6175</v>
      </c>
      <c r="T113" s="1">
        <f t="shared" si="74"/>
        <v>7968.8724999999977</v>
      </c>
    </row>
    <row r="114" spans="1:20">
      <c r="A114" s="50"/>
      <c r="B114" s="50">
        <v>6058</v>
      </c>
      <c r="C114" s="50" t="s">
        <v>736</v>
      </c>
      <c r="D114" s="50" t="s">
        <v>792</v>
      </c>
      <c r="E114" s="50">
        <v>2018</v>
      </c>
      <c r="F114" s="50">
        <v>10</v>
      </c>
      <c r="G114" s="73">
        <v>0</v>
      </c>
      <c r="H114" s="50"/>
      <c r="I114" s="50" t="s">
        <v>78</v>
      </c>
      <c r="J114" s="50">
        <v>5</v>
      </c>
      <c r="K114" s="50">
        <f>E114+J114</f>
        <v>2023</v>
      </c>
      <c r="L114" s="85">
        <f>+K114+(F114/12)</f>
        <v>2023.8333333333333</v>
      </c>
      <c r="M114" s="52">
        <f>30633.03+2798.55</f>
        <v>33431.58</v>
      </c>
      <c r="N114" s="52">
        <f>M114-M114*G114</f>
        <v>33431.58</v>
      </c>
      <c r="O114" s="52">
        <f>N114/J114/12</f>
        <v>557.1930000000001</v>
      </c>
      <c r="P114" s="52">
        <f>+O114*12</f>
        <v>6686.3160000000007</v>
      </c>
      <c r="Q114" s="52">
        <f>+IF(L114&lt;=$N$5,0,IF(K114&gt;$N$4,P114,(O114*F114)))</f>
        <v>6686.3160000000007</v>
      </c>
      <c r="R114" s="52">
        <f>+IF(Q114=0,N114,IF($N$3-E114&lt;1,0,(($N$3-E114)*Q114)))</f>
        <v>0</v>
      </c>
      <c r="S114" s="52">
        <f>+IF(Q114=0,R114,R114+Q114)</f>
        <v>6686.3160000000007</v>
      </c>
      <c r="T114" s="52">
        <f>+M114-S114</f>
        <v>26745.264000000003</v>
      </c>
    </row>
    <row r="115" spans="1:20">
      <c r="A115" s="50"/>
      <c r="B115" s="50"/>
      <c r="C115" s="50" t="s">
        <v>793</v>
      </c>
      <c r="D115" s="50">
        <v>204941</v>
      </c>
      <c r="E115" s="50">
        <v>2018</v>
      </c>
      <c r="F115" s="50">
        <v>10</v>
      </c>
      <c r="G115" s="73">
        <v>0</v>
      </c>
      <c r="H115" s="50"/>
      <c r="I115" s="50" t="s">
        <v>78</v>
      </c>
      <c r="J115" s="50">
        <v>5</v>
      </c>
      <c r="K115" s="50">
        <f>E115+J115</f>
        <v>2023</v>
      </c>
      <c r="L115" s="85">
        <f>+K115+(F115/12)</f>
        <v>2023.8333333333333</v>
      </c>
      <c r="M115" s="52">
        <v>519.47</v>
      </c>
      <c r="N115" s="52">
        <f>M115-M115*G115</f>
        <v>519.47</v>
      </c>
      <c r="O115" s="52">
        <f>N115/J115/12</f>
        <v>8.6578333333333344</v>
      </c>
      <c r="P115" s="52">
        <f>+O115*12</f>
        <v>103.89400000000001</v>
      </c>
      <c r="Q115" s="52">
        <f>+IF(L115&lt;=$N$5,0,IF(K115&gt;$N$4,P115,(O115*F115)))</f>
        <v>103.89400000000001</v>
      </c>
      <c r="R115" s="52">
        <f>+IF(Q115=0,N115,IF($N$3-E115&lt;1,0,(($N$3-E115)*Q115)))</f>
        <v>0</v>
      </c>
      <c r="S115" s="52">
        <f>+IF(Q115=0,R115,R115+Q115)</f>
        <v>103.89400000000001</v>
      </c>
      <c r="T115" s="52">
        <f>+M115-S115</f>
        <v>415.57600000000002</v>
      </c>
    </row>
    <row r="116" spans="1:20">
      <c r="A116" s="50"/>
      <c r="B116" s="50"/>
      <c r="C116" s="50" t="s">
        <v>733</v>
      </c>
      <c r="D116" s="50">
        <v>205639</v>
      </c>
      <c r="E116" s="50">
        <v>2018</v>
      </c>
      <c r="F116" s="50">
        <v>11</v>
      </c>
      <c r="G116" s="73">
        <v>0</v>
      </c>
      <c r="H116" s="50"/>
      <c r="I116" s="50" t="s">
        <v>78</v>
      </c>
      <c r="J116" s="50">
        <v>5</v>
      </c>
      <c r="K116" s="50">
        <f>E116+J116</f>
        <v>2023</v>
      </c>
      <c r="L116" s="85">
        <f>+K116+(F116/12)</f>
        <v>2023.9166666666667</v>
      </c>
      <c r="M116" s="52">
        <v>796.28</v>
      </c>
      <c r="N116" s="52">
        <f>M116-M116*G116</f>
        <v>796.28</v>
      </c>
      <c r="O116" s="52">
        <f>N116/J116/12</f>
        <v>13.271333333333333</v>
      </c>
      <c r="P116" s="52">
        <f>+O116*12</f>
        <v>159.256</v>
      </c>
      <c r="Q116" s="52">
        <f>+IF(L116&lt;=$N$5,0,IF(K116&gt;$N$4,P116,(O116*F116)))</f>
        <v>159.256</v>
      </c>
      <c r="R116" s="52">
        <f>+IF(Q116=0,N116,IF($N$3-E116&lt;1,0,(($N$3-E116)*Q116)))</f>
        <v>0</v>
      </c>
      <c r="S116" s="52">
        <f>+IF(Q116=0,R116,R116+Q116)</f>
        <v>159.256</v>
      </c>
      <c r="T116" s="52">
        <f>+M116-S116</f>
        <v>637.024</v>
      </c>
    </row>
    <row r="117" spans="1:20" s="84" customFormat="1" ht="15">
      <c r="C117" s="93" t="s">
        <v>797</v>
      </c>
      <c r="D117" s="94">
        <v>193628</v>
      </c>
      <c r="E117" s="84">
        <v>2018</v>
      </c>
      <c r="F117" s="84">
        <v>11</v>
      </c>
      <c r="G117" s="89">
        <v>0</v>
      </c>
      <c r="I117" s="84" t="s">
        <v>78</v>
      </c>
      <c r="J117" s="84">
        <v>3</v>
      </c>
      <c r="K117" s="84">
        <f>E117+J117</f>
        <v>2021</v>
      </c>
      <c r="L117" s="90">
        <f>+K117+(F117/12)</f>
        <v>2021.9166666666667</v>
      </c>
      <c r="M117" s="91">
        <v>5500</v>
      </c>
      <c r="N117" s="92">
        <f>M117-M117*G117</f>
        <v>5500</v>
      </c>
      <c r="O117" s="92">
        <f>N117/J117/12</f>
        <v>152.77777777777777</v>
      </c>
      <c r="P117" s="92">
        <f>+O117*12</f>
        <v>1833.3333333333333</v>
      </c>
      <c r="Q117" s="92">
        <f>+IF(L117&lt;=$N$5,0,IF(K117&gt;$N$4,P117,(O117*F117)))</f>
        <v>1833.3333333333333</v>
      </c>
      <c r="R117" s="92">
        <f>+IF(Q117=0,N117,IF($N$3-E117&lt;1,0,(($N$3-E117)*Q117)))</f>
        <v>0</v>
      </c>
      <c r="S117" s="92">
        <f>+IF(Q117=0,R117,R117+Q117)</f>
        <v>1833.3333333333333</v>
      </c>
      <c r="T117" s="92">
        <f>+M117-S117</f>
        <v>3666.666666666667</v>
      </c>
    </row>
    <row r="118" spans="1:20">
      <c r="C118" t="s">
        <v>316</v>
      </c>
    </row>
    <row r="119" spans="1:20">
      <c r="C119" s="9" t="s">
        <v>2</v>
      </c>
      <c r="M119" s="24">
        <f t="shared" ref="M119:T119" si="75">SUM(M104:M118)</f>
        <v>176680.22999999998</v>
      </c>
      <c r="N119" s="24">
        <f t="shared" si="75"/>
        <v>174310.57</v>
      </c>
      <c r="O119" s="24">
        <f t="shared" si="75"/>
        <v>3345.5550679629628</v>
      </c>
      <c r="P119" s="24">
        <f t="shared" si="75"/>
        <v>40146.660815555559</v>
      </c>
      <c r="Q119" s="24">
        <f t="shared" si="75"/>
        <v>27304.815955555558</v>
      </c>
      <c r="R119" s="24">
        <f t="shared" si="75"/>
        <v>83306.515966666659</v>
      </c>
      <c r="S119" s="24">
        <f t="shared" si="75"/>
        <v>110611.33192222222</v>
      </c>
      <c r="T119" s="24">
        <f t="shared" si="75"/>
        <v>66068.898077777776</v>
      </c>
    </row>
    <row r="120" spans="1:20">
      <c r="C120" t="s">
        <v>316</v>
      </c>
    </row>
    <row r="121" spans="1:20">
      <c r="C121" t="s">
        <v>316</v>
      </c>
    </row>
    <row r="122" spans="1:20">
      <c r="C122" s="9" t="s">
        <v>409</v>
      </c>
    </row>
    <row r="123" spans="1:20">
      <c r="C123" t="s">
        <v>418</v>
      </c>
      <c r="D123">
        <v>78978</v>
      </c>
      <c r="E123">
        <v>2010</v>
      </c>
      <c r="F123">
        <v>12</v>
      </c>
      <c r="G123" s="27">
        <v>0</v>
      </c>
      <c r="I123" t="s">
        <v>78</v>
      </c>
      <c r="J123">
        <v>5</v>
      </c>
      <c r="K123">
        <f t="shared" ref="K123:K135" si="76">E123+J123</f>
        <v>2015</v>
      </c>
      <c r="L123" s="20">
        <f t="shared" ref="L123:L144" si="77">+K123+(F123/12)</f>
        <v>2016</v>
      </c>
      <c r="M123" s="1">
        <v>92323.91</v>
      </c>
      <c r="N123" s="1">
        <f t="shared" ref="N123:N144" si="78">M123-M123*G123</f>
        <v>92323.91</v>
      </c>
      <c r="O123" s="1">
        <f t="shared" ref="O123:O144" si="79">N123/J123/12</f>
        <v>1538.7318333333333</v>
      </c>
      <c r="P123" s="1">
        <f t="shared" ref="P123:P144" si="80">+O123*12</f>
        <v>18464.781999999999</v>
      </c>
      <c r="Q123" s="1">
        <f t="shared" ref="Q123:Q144" si="81">+IF(L123&lt;=$N$5,0,IF(K123&gt;$N$4,P123,(O123*F123)))</f>
        <v>0</v>
      </c>
      <c r="R123" s="1">
        <f t="shared" ref="R123:R144" si="82">+IF(Q123=0,N123,IF($N$3-E123&lt;1,0,(($N$3-E123)*Q123)))</f>
        <v>92323.91</v>
      </c>
      <c r="S123" s="1">
        <f t="shared" ref="S123:S144" si="83">+IF(Q123=0,R123,R123+Q123)</f>
        <v>92323.91</v>
      </c>
      <c r="T123" s="1">
        <f t="shared" ref="T123:T144" si="84">+M123-S123</f>
        <v>0</v>
      </c>
    </row>
    <row r="124" spans="1:20">
      <c r="B124">
        <v>26</v>
      </c>
      <c r="C124" t="s">
        <v>419</v>
      </c>
      <c r="D124">
        <v>79676</v>
      </c>
      <c r="E124">
        <v>2010</v>
      </c>
      <c r="F124">
        <v>12</v>
      </c>
      <c r="G124" s="27">
        <v>0</v>
      </c>
      <c r="I124" t="s">
        <v>78</v>
      </c>
      <c r="J124">
        <v>5</v>
      </c>
      <c r="K124">
        <f t="shared" si="76"/>
        <v>2015</v>
      </c>
      <c r="L124" s="20">
        <f t="shared" si="77"/>
        <v>2016</v>
      </c>
      <c r="M124" s="1">
        <v>6347.25</v>
      </c>
      <c r="N124" s="1">
        <f t="shared" si="78"/>
        <v>6347.25</v>
      </c>
      <c r="O124" s="1">
        <f t="shared" si="79"/>
        <v>105.78750000000001</v>
      </c>
      <c r="P124" s="1">
        <f t="shared" si="80"/>
        <v>1269.45</v>
      </c>
      <c r="Q124" s="1">
        <f t="shared" si="81"/>
        <v>0</v>
      </c>
      <c r="R124" s="1">
        <f t="shared" si="82"/>
        <v>6347.25</v>
      </c>
      <c r="S124" s="1">
        <f t="shared" si="83"/>
        <v>6347.25</v>
      </c>
      <c r="T124" s="1">
        <f t="shared" si="84"/>
        <v>0</v>
      </c>
    </row>
    <row r="125" spans="1:20">
      <c r="C125" t="s">
        <v>422</v>
      </c>
      <c r="D125">
        <v>77561</v>
      </c>
      <c r="E125">
        <v>2010</v>
      </c>
      <c r="F125">
        <v>10</v>
      </c>
      <c r="G125" s="27">
        <v>0</v>
      </c>
      <c r="I125" t="s">
        <v>78</v>
      </c>
      <c r="J125">
        <v>5</v>
      </c>
      <c r="K125">
        <f t="shared" si="76"/>
        <v>2015</v>
      </c>
      <c r="L125" s="20">
        <f t="shared" si="77"/>
        <v>2015.8333333333333</v>
      </c>
      <c r="M125" s="1">
        <v>20775</v>
      </c>
      <c r="N125" s="1">
        <f t="shared" si="78"/>
        <v>20775</v>
      </c>
      <c r="O125" s="1">
        <f t="shared" si="79"/>
        <v>346.25</v>
      </c>
      <c r="P125" s="1">
        <f t="shared" si="80"/>
        <v>4155</v>
      </c>
      <c r="Q125" s="1">
        <f t="shared" si="81"/>
        <v>0</v>
      </c>
      <c r="R125" s="1">
        <f t="shared" si="82"/>
        <v>20775</v>
      </c>
      <c r="S125" s="1">
        <f t="shared" si="83"/>
        <v>20775</v>
      </c>
      <c r="T125" s="1">
        <f t="shared" si="84"/>
        <v>0</v>
      </c>
    </row>
    <row r="126" spans="1:20">
      <c r="B126">
        <v>3</v>
      </c>
      <c r="C126" t="s">
        <v>428</v>
      </c>
      <c r="D126">
        <v>80385</v>
      </c>
      <c r="E126">
        <v>2011</v>
      </c>
      <c r="F126">
        <v>3</v>
      </c>
      <c r="G126" s="27">
        <v>0</v>
      </c>
      <c r="I126" t="s">
        <v>78</v>
      </c>
      <c r="J126">
        <v>5</v>
      </c>
      <c r="K126">
        <f t="shared" si="76"/>
        <v>2016</v>
      </c>
      <c r="L126" s="20">
        <f t="shared" si="77"/>
        <v>2016.25</v>
      </c>
      <c r="M126" s="1">
        <v>2625</v>
      </c>
      <c r="N126" s="1">
        <f t="shared" si="78"/>
        <v>2625</v>
      </c>
      <c r="O126" s="1">
        <f t="shared" si="79"/>
        <v>43.75</v>
      </c>
      <c r="P126" s="1">
        <f t="shared" si="80"/>
        <v>525</v>
      </c>
      <c r="Q126" s="1">
        <f t="shared" si="81"/>
        <v>0</v>
      </c>
      <c r="R126" s="1">
        <f t="shared" si="82"/>
        <v>2625</v>
      </c>
      <c r="S126" s="1">
        <f t="shared" si="83"/>
        <v>2625</v>
      </c>
      <c r="T126" s="1">
        <f t="shared" si="84"/>
        <v>0</v>
      </c>
    </row>
    <row r="127" spans="1:20">
      <c r="B127">
        <v>2</v>
      </c>
      <c r="C127" t="s">
        <v>428</v>
      </c>
      <c r="D127">
        <v>85655</v>
      </c>
      <c r="E127">
        <v>2011</v>
      </c>
      <c r="F127">
        <v>8</v>
      </c>
      <c r="G127" s="27">
        <v>0</v>
      </c>
      <c r="I127" t="s">
        <v>78</v>
      </c>
      <c r="J127">
        <v>5</v>
      </c>
      <c r="K127">
        <f t="shared" si="76"/>
        <v>2016</v>
      </c>
      <c r="L127" s="20">
        <f t="shared" si="77"/>
        <v>2016.6666666666667</v>
      </c>
      <c r="M127" s="1">
        <v>1750</v>
      </c>
      <c r="N127" s="1">
        <f t="shared" si="78"/>
        <v>1750</v>
      </c>
      <c r="O127" s="1">
        <f t="shared" si="79"/>
        <v>29.166666666666668</v>
      </c>
      <c r="P127" s="1">
        <f t="shared" si="80"/>
        <v>350</v>
      </c>
      <c r="Q127" s="1">
        <f t="shared" si="81"/>
        <v>0</v>
      </c>
      <c r="R127" s="1">
        <f t="shared" si="82"/>
        <v>1750</v>
      </c>
      <c r="S127" s="1">
        <f t="shared" si="83"/>
        <v>1750</v>
      </c>
      <c r="T127" s="1">
        <f t="shared" si="84"/>
        <v>0</v>
      </c>
    </row>
    <row r="128" spans="1:20">
      <c r="B128">
        <v>3</v>
      </c>
      <c r="C128" t="s">
        <v>428</v>
      </c>
      <c r="D128">
        <v>88651</v>
      </c>
      <c r="E128">
        <v>2011</v>
      </c>
      <c r="F128">
        <v>12</v>
      </c>
      <c r="G128" s="27">
        <v>0</v>
      </c>
      <c r="I128" t="s">
        <v>78</v>
      </c>
      <c r="J128">
        <v>5</v>
      </c>
      <c r="K128">
        <f>E128+J128</f>
        <v>2016</v>
      </c>
      <c r="L128" s="20">
        <f t="shared" si="77"/>
        <v>2017</v>
      </c>
      <c r="M128" s="1">
        <v>2625</v>
      </c>
      <c r="N128" s="1">
        <f t="shared" si="78"/>
        <v>2625</v>
      </c>
      <c r="O128" s="1">
        <f t="shared" si="79"/>
        <v>43.75</v>
      </c>
      <c r="P128" s="1">
        <f t="shared" si="80"/>
        <v>525</v>
      </c>
      <c r="Q128" s="1">
        <f t="shared" si="81"/>
        <v>0</v>
      </c>
      <c r="R128" s="1">
        <f t="shared" si="82"/>
        <v>2625</v>
      </c>
      <c r="S128" s="1">
        <f t="shared" si="83"/>
        <v>2625</v>
      </c>
      <c r="T128" s="1">
        <f t="shared" si="84"/>
        <v>0</v>
      </c>
    </row>
    <row r="129" spans="2:20">
      <c r="B129">
        <v>12</v>
      </c>
      <c r="C129" t="s">
        <v>435</v>
      </c>
      <c r="D129" t="s">
        <v>436</v>
      </c>
      <c r="E129">
        <v>2011</v>
      </c>
      <c r="F129">
        <v>12</v>
      </c>
      <c r="G129" s="27">
        <v>0</v>
      </c>
      <c r="I129" t="s">
        <v>78</v>
      </c>
      <c r="J129">
        <v>5</v>
      </c>
      <c r="K129">
        <f t="shared" si="76"/>
        <v>2016</v>
      </c>
      <c r="L129" s="20">
        <f t="shared" si="77"/>
        <v>2017</v>
      </c>
      <c r="M129" s="1">
        <f>(487.65*12)+61493.04</f>
        <v>67344.84</v>
      </c>
      <c r="N129" s="1">
        <f t="shared" si="78"/>
        <v>67344.84</v>
      </c>
      <c r="O129" s="1">
        <f t="shared" si="79"/>
        <v>1122.414</v>
      </c>
      <c r="P129" s="1">
        <f t="shared" si="80"/>
        <v>13468.968000000001</v>
      </c>
      <c r="Q129" s="1">
        <f t="shared" si="81"/>
        <v>0</v>
      </c>
      <c r="R129" s="1">
        <f t="shared" si="82"/>
        <v>67344.84</v>
      </c>
      <c r="S129" s="1">
        <f t="shared" si="83"/>
        <v>67344.84</v>
      </c>
      <c r="T129" s="1">
        <f t="shared" si="84"/>
        <v>0</v>
      </c>
    </row>
    <row r="130" spans="2:20">
      <c r="C130" t="s">
        <v>443</v>
      </c>
      <c r="D130">
        <v>90470</v>
      </c>
      <c r="E130">
        <v>2012</v>
      </c>
      <c r="F130">
        <v>1</v>
      </c>
      <c r="G130" s="27">
        <v>0</v>
      </c>
      <c r="I130" t="s">
        <v>78</v>
      </c>
      <c r="J130">
        <v>5</v>
      </c>
      <c r="K130">
        <f t="shared" si="76"/>
        <v>2017</v>
      </c>
      <c r="L130" s="20">
        <f t="shared" si="77"/>
        <v>2017.0833333333333</v>
      </c>
      <c r="M130" s="1">
        <v>561.34</v>
      </c>
      <c r="N130" s="1">
        <f t="shared" si="78"/>
        <v>561.34</v>
      </c>
      <c r="O130" s="1">
        <f t="shared" si="79"/>
        <v>9.3556666666666661</v>
      </c>
      <c r="P130" s="1">
        <f t="shared" si="80"/>
        <v>112.268</v>
      </c>
      <c r="Q130" s="1">
        <f t="shared" si="81"/>
        <v>0</v>
      </c>
      <c r="R130" s="1">
        <f t="shared" si="82"/>
        <v>561.34</v>
      </c>
      <c r="S130" s="1">
        <f t="shared" si="83"/>
        <v>561.34</v>
      </c>
      <c r="T130" s="1">
        <f t="shared" si="84"/>
        <v>0</v>
      </c>
    </row>
    <row r="131" spans="2:20">
      <c r="B131">
        <v>3</v>
      </c>
      <c r="C131" t="s">
        <v>472</v>
      </c>
      <c r="D131">
        <v>98282</v>
      </c>
      <c r="E131">
        <v>2012</v>
      </c>
      <c r="F131">
        <v>10</v>
      </c>
      <c r="G131" s="27">
        <v>0</v>
      </c>
      <c r="I131" t="s">
        <v>78</v>
      </c>
      <c r="J131">
        <v>3</v>
      </c>
      <c r="K131">
        <f t="shared" si="76"/>
        <v>2015</v>
      </c>
      <c r="L131" s="20">
        <f t="shared" si="77"/>
        <v>2015.8333333333333</v>
      </c>
      <c r="M131" s="1">
        <v>2625</v>
      </c>
      <c r="N131" s="1">
        <f t="shared" si="78"/>
        <v>2625</v>
      </c>
      <c r="O131" s="1">
        <f t="shared" si="79"/>
        <v>72.916666666666671</v>
      </c>
      <c r="P131" s="1">
        <f t="shared" si="80"/>
        <v>875</v>
      </c>
      <c r="Q131" s="1">
        <f t="shared" si="81"/>
        <v>0</v>
      </c>
      <c r="R131" s="1">
        <f t="shared" si="82"/>
        <v>2625</v>
      </c>
      <c r="S131" s="1">
        <f t="shared" si="83"/>
        <v>2625</v>
      </c>
      <c r="T131" s="1">
        <f t="shared" si="84"/>
        <v>0</v>
      </c>
    </row>
    <row r="132" spans="2:20">
      <c r="C132" t="s">
        <v>473</v>
      </c>
      <c r="D132">
        <v>99673</v>
      </c>
      <c r="E132">
        <v>2012</v>
      </c>
      <c r="F132">
        <v>12</v>
      </c>
      <c r="G132" s="27">
        <v>0</v>
      </c>
      <c r="I132" t="s">
        <v>78</v>
      </c>
      <c r="J132">
        <v>10</v>
      </c>
      <c r="K132">
        <f t="shared" si="76"/>
        <v>2022</v>
      </c>
      <c r="L132" s="20">
        <f t="shared" si="77"/>
        <v>2023</v>
      </c>
      <c r="M132" s="1">
        <v>9416</v>
      </c>
      <c r="N132" s="1">
        <f t="shared" si="78"/>
        <v>9416</v>
      </c>
      <c r="O132" s="1">
        <f t="shared" si="79"/>
        <v>78.466666666666669</v>
      </c>
      <c r="P132" s="1">
        <f t="shared" si="80"/>
        <v>941.6</v>
      </c>
      <c r="Q132" s="1">
        <f t="shared" si="81"/>
        <v>941.6</v>
      </c>
      <c r="R132" s="1">
        <f t="shared" si="82"/>
        <v>5649.6</v>
      </c>
      <c r="S132" s="1">
        <f t="shared" si="83"/>
        <v>6591.2000000000007</v>
      </c>
      <c r="T132" s="1">
        <f t="shared" si="84"/>
        <v>2824.7999999999993</v>
      </c>
    </row>
    <row r="133" spans="2:20">
      <c r="C133" t="s">
        <v>487</v>
      </c>
      <c r="D133">
        <v>108250</v>
      </c>
      <c r="E133">
        <v>2013</v>
      </c>
      <c r="F133">
        <v>10</v>
      </c>
      <c r="G133" s="27">
        <v>0</v>
      </c>
      <c r="I133" t="s">
        <v>78</v>
      </c>
      <c r="J133">
        <v>3</v>
      </c>
      <c r="K133">
        <f t="shared" si="76"/>
        <v>2016</v>
      </c>
      <c r="L133" s="20">
        <f t="shared" si="77"/>
        <v>2016.8333333333333</v>
      </c>
      <c r="M133" s="1">
        <v>743.47</v>
      </c>
      <c r="N133" s="1">
        <f t="shared" si="78"/>
        <v>743.47</v>
      </c>
      <c r="O133" s="1">
        <f t="shared" si="79"/>
        <v>20.651944444444446</v>
      </c>
      <c r="P133" s="1">
        <f t="shared" si="80"/>
        <v>247.82333333333335</v>
      </c>
      <c r="Q133" s="1">
        <f t="shared" si="81"/>
        <v>0</v>
      </c>
      <c r="R133" s="1">
        <f t="shared" si="82"/>
        <v>743.47</v>
      </c>
      <c r="S133" s="1">
        <f t="shared" si="83"/>
        <v>743.47</v>
      </c>
      <c r="T133" s="1">
        <f t="shared" si="84"/>
        <v>0</v>
      </c>
    </row>
    <row r="134" spans="2:20">
      <c r="B134">
        <v>3</v>
      </c>
      <c r="C134" t="s">
        <v>490</v>
      </c>
      <c r="D134">
        <v>109582</v>
      </c>
      <c r="E134">
        <v>2013</v>
      </c>
      <c r="F134">
        <v>12</v>
      </c>
      <c r="G134" s="27">
        <v>0</v>
      </c>
      <c r="I134" t="s">
        <v>78</v>
      </c>
      <c r="J134">
        <v>3</v>
      </c>
      <c r="K134">
        <f t="shared" si="76"/>
        <v>2016</v>
      </c>
      <c r="L134" s="20">
        <f t="shared" si="77"/>
        <v>2017</v>
      </c>
      <c r="M134" s="1">
        <v>134875</v>
      </c>
      <c r="N134" s="1">
        <f t="shared" si="78"/>
        <v>134875</v>
      </c>
      <c r="O134" s="1">
        <f t="shared" si="79"/>
        <v>3746.5277777777778</v>
      </c>
      <c r="P134" s="1">
        <f t="shared" si="80"/>
        <v>44958.333333333336</v>
      </c>
      <c r="Q134" s="1">
        <f t="shared" si="81"/>
        <v>0</v>
      </c>
      <c r="R134" s="1">
        <f t="shared" si="82"/>
        <v>134875</v>
      </c>
      <c r="S134" s="1">
        <f t="shared" si="83"/>
        <v>134875</v>
      </c>
      <c r="T134" s="1">
        <f t="shared" si="84"/>
        <v>0</v>
      </c>
    </row>
    <row r="135" spans="2:20">
      <c r="C135" t="s">
        <v>503</v>
      </c>
      <c r="D135">
        <v>113272</v>
      </c>
      <c r="E135">
        <v>2014</v>
      </c>
      <c r="F135">
        <v>4</v>
      </c>
      <c r="G135" s="27">
        <v>0</v>
      </c>
      <c r="I135" t="s">
        <v>78</v>
      </c>
      <c r="J135">
        <v>3</v>
      </c>
      <c r="K135">
        <f t="shared" si="76"/>
        <v>2017</v>
      </c>
      <c r="L135" s="20">
        <f t="shared" si="77"/>
        <v>2017.3333333333333</v>
      </c>
      <c r="M135" s="1">
        <v>656.58</v>
      </c>
      <c r="N135" s="1">
        <f t="shared" si="78"/>
        <v>656.58</v>
      </c>
      <c r="O135" s="1">
        <f t="shared" si="79"/>
        <v>18.238333333333333</v>
      </c>
      <c r="P135" s="1">
        <f t="shared" si="80"/>
        <v>218.86</v>
      </c>
      <c r="Q135" s="1">
        <f t="shared" si="81"/>
        <v>0</v>
      </c>
      <c r="R135" s="1">
        <f t="shared" si="82"/>
        <v>656.58</v>
      </c>
      <c r="S135" s="1">
        <f t="shared" si="83"/>
        <v>656.58</v>
      </c>
      <c r="T135" s="1">
        <f t="shared" si="84"/>
        <v>0</v>
      </c>
    </row>
    <row r="136" spans="2:20">
      <c r="C136" t="s">
        <v>573</v>
      </c>
      <c r="D136">
        <v>121103</v>
      </c>
      <c r="E136">
        <v>2015</v>
      </c>
      <c r="F136">
        <v>3</v>
      </c>
      <c r="G136" s="27">
        <v>0</v>
      </c>
      <c r="I136" t="s">
        <v>78</v>
      </c>
      <c r="J136">
        <v>3</v>
      </c>
      <c r="K136">
        <f t="shared" ref="K136:K144" si="85">E136+J136</f>
        <v>2018</v>
      </c>
      <c r="L136" s="20">
        <f t="shared" si="77"/>
        <v>2018.25</v>
      </c>
      <c r="M136" s="1">
        <v>1077.07</v>
      </c>
      <c r="N136" s="1">
        <f t="shared" si="78"/>
        <v>1077.07</v>
      </c>
      <c r="O136" s="1">
        <f t="shared" si="79"/>
        <v>29.918611111111108</v>
      </c>
      <c r="P136" s="1">
        <f t="shared" si="80"/>
        <v>359.02333333333331</v>
      </c>
      <c r="Q136" s="1">
        <f t="shared" si="81"/>
        <v>0</v>
      </c>
      <c r="R136" s="1">
        <f t="shared" si="82"/>
        <v>1077.07</v>
      </c>
      <c r="S136" s="1">
        <f t="shared" si="83"/>
        <v>1077.07</v>
      </c>
      <c r="T136" s="1">
        <f t="shared" si="84"/>
        <v>0</v>
      </c>
    </row>
    <row r="137" spans="2:20">
      <c r="C137" t="s">
        <v>574</v>
      </c>
      <c r="D137">
        <v>121057</v>
      </c>
      <c r="E137">
        <v>2015</v>
      </c>
      <c r="F137">
        <v>3</v>
      </c>
      <c r="G137" s="27">
        <v>0</v>
      </c>
      <c r="I137" t="s">
        <v>78</v>
      </c>
      <c r="J137">
        <v>3</v>
      </c>
      <c r="K137">
        <f t="shared" si="85"/>
        <v>2018</v>
      </c>
      <c r="L137" s="20">
        <f t="shared" si="77"/>
        <v>2018.25</v>
      </c>
      <c r="M137" s="1">
        <v>1088.46</v>
      </c>
      <c r="N137" s="1">
        <f t="shared" si="78"/>
        <v>1088.46</v>
      </c>
      <c r="O137" s="1">
        <f t="shared" si="79"/>
        <v>30.234999999999999</v>
      </c>
      <c r="P137" s="1">
        <f t="shared" si="80"/>
        <v>362.82</v>
      </c>
      <c r="Q137" s="1">
        <f t="shared" si="81"/>
        <v>0</v>
      </c>
      <c r="R137" s="1">
        <f t="shared" si="82"/>
        <v>1088.46</v>
      </c>
      <c r="S137" s="1">
        <f t="shared" si="83"/>
        <v>1088.46</v>
      </c>
      <c r="T137" s="1">
        <f t="shared" si="84"/>
        <v>0</v>
      </c>
    </row>
    <row r="138" spans="2:20">
      <c r="C138" t="s">
        <v>575</v>
      </c>
      <c r="D138">
        <v>121056</v>
      </c>
      <c r="E138">
        <v>2015</v>
      </c>
      <c r="F138">
        <v>3</v>
      </c>
      <c r="G138" s="27">
        <v>0</v>
      </c>
      <c r="I138" t="s">
        <v>78</v>
      </c>
      <c r="J138">
        <v>3</v>
      </c>
      <c r="K138">
        <f t="shared" si="85"/>
        <v>2018</v>
      </c>
      <c r="L138" s="20">
        <f t="shared" si="77"/>
        <v>2018.25</v>
      </c>
      <c r="M138" s="1">
        <v>2903.73</v>
      </c>
      <c r="N138" s="1">
        <f t="shared" si="78"/>
        <v>2903.73</v>
      </c>
      <c r="O138" s="1">
        <f t="shared" si="79"/>
        <v>80.659166666666664</v>
      </c>
      <c r="P138" s="1">
        <f t="shared" si="80"/>
        <v>967.91</v>
      </c>
      <c r="Q138" s="1">
        <f t="shared" si="81"/>
        <v>0</v>
      </c>
      <c r="R138" s="1">
        <f t="shared" si="82"/>
        <v>2903.73</v>
      </c>
      <c r="S138" s="1">
        <f t="shared" si="83"/>
        <v>2903.73</v>
      </c>
      <c r="T138" s="1">
        <f t="shared" si="84"/>
        <v>0</v>
      </c>
    </row>
    <row r="139" spans="2:20">
      <c r="B139">
        <v>17</v>
      </c>
      <c r="C139" t="s">
        <v>576</v>
      </c>
      <c r="D139">
        <v>121055</v>
      </c>
      <c r="E139">
        <v>2015</v>
      </c>
      <c r="F139">
        <v>3</v>
      </c>
      <c r="G139" s="27">
        <v>0</v>
      </c>
      <c r="I139" t="s">
        <v>78</v>
      </c>
      <c r="J139">
        <v>3</v>
      </c>
      <c r="K139">
        <f t="shared" si="85"/>
        <v>2018</v>
      </c>
      <c r="L139" s="20">
        <f t="shared" si="77"/>
        <v>2018.25</v>
      </c>
      <c r="M139" s="1">
        <v>6120.34</v>
      </c>
      <c r="N139" s="1">
        <f t="shared" si="78"/>
        <v>6120.34</v>
      </c>
      <c r="O139" s="1">
        <f t="shared" si="79"/>
        <v>170.00944444444445</v>
      </c>
      <c r="P139" s="1">
        <f t="shared" si="80"/>
        <v>2040.1133333333335</v>
      </c>
      <c r="Q139" s="1">
        <f t="shared" si="81"/>
        <v>0</v>
      </c>
      <c r="R139" s="1">
        <f t="shared" si="82"/>
        <v>6120.34</v>
      </c>
      <c r="S139" s="1">
        <f t="shared" si="83"/>
        <v>6120.34</v>
      </c>
      <c r="T139" s="1">
        <f t="shared" si="84"/>
        <v>0</v>
      </c>
    </row>
    <row r="140" spans="2:20">
      <c r="C140" t="s">
        <v>577</v>
      </c>
      <c r="D140">
        <v>120388</v>
      </c>
      <c r="E140">
        <v>2015</v>
      </c>
      <c r="F140">
        <v>2</v>
      </c>
      <c r="G140" s="27">
        <v>0</v>
      </c>
      <c r="I140" t="s">
        <v>78</v>
      </c>
      <c r="J140">
        <v>3</v>
      </c>
      <c r="K140">
        <f t="shared" si="85"/>
        <v>2018</v>
      </c>
      <c r="L140" s="20">
        <f t="shared" si="77"/>
        <v>2018.1666666666667</v>
      </c>
      <c r="M140" s="1">
        <v>1090.0999999999999</v>
      </c>
      <c r="N140" s="1">
        <f t="shared" si="78"/>
        <v>1090.0999999999999</v>
      </c>
      <c r="O140" s="1">
        <f t="shared" si="79"/>
        <v>30.280555555555551</v>
      </c>
      <c r="P140" s="1">
        <f t="shared" si="80"/>
        <v>363.36666666666662</v>
      </c>
      <c r="Q140" s="1">
        <f t="shared" si="81"/>
        <v>0</v>
      </c>
      <c r="R140" s="1">
        <f t="shared" si="82"/>
        <v>1090.0999999999999</v>
      </c>
      <c r="S140" s="1">
        <f t="shared" si="83"/>
        <v>1090.0999999999999</v>
      </c>
      <c r="T140" s="1">
        <f t="shared" si="84"/>
        <v>0</v>
      </c>
    </row>
    <row r="141" spans="2:20">
      <c r="C141" t="s">
        <v>586</v>
      </c>
      <c r="D141">
        <v>128910</v>
      </c>
      <c r="E141">
        <v>2015</v>
      </c>
      <c r="F141">
        <v>12</v>
      </c>
      <c r="G141" s="27">
        <v>0</v>
      </c>
      <c r="I141" t="s">
        <v>78</v>
      </c>
      <c r="J141">
        <v>3</v>
      </c>
      <c r="K141">
        <f t="shared" si="85"/>
        <v>2018</v>
      </c>
      <c r="L141" s="20">
        <f t="shared" si="77"/>
        <v>2019</v>
      </c>
      <c r="M141" s="1">
        <v>1087.92</v>
      </c>
      <c r="N141" s="1">
        <f t="shared" si="78"/>
        <v>1087.92</v>
      </c>
      <c r="O141" s="1">
        <f t="shared" si="79"/>
        <v>30.220000000000002</v>
      </c>
      <c r="P141" s="1">
        <f t="shared" si="80"/>
        <v>362.64000000000004</v>
      </c>
      <c r="Q141" s="1">
        <f t="shared" si="81"/>
        <v>0</v>
      </c>
      <c r="R141" s="1">
        <f t="shared" si="82"/>
        <v>1087.92</v>
      </c>
      <c r="S141" s="1">
        <f t="shared" si="83"/>
        <v>1087.92</v>
      </c>
      <c r="T141" s="1">
        <f t="shared" si="84"/>
        <v>0</v>
      </c>
    </row>
    <row r="142" spans="2:20">
      <c r="C142" t="s">
        <v>595</v>
      </c>
      <c r="D142">
        <v>133138</v>
      </c>
      <c r="E142">
        <v>2016</v>
      </c>
      <c r="F142">
        <v>2</v>
      </c>
      <c r="G142" s="27">
        <v>0</v>
      </c>
      <c r="I142" t="s">
        <v>78</v>
      </c>
      <c r="J142">
        <v>3</v>
      </c>
      <c r="K142">
        <f t="shared" si="85"/>
        <v>2019</v>
      </c>
      <c r="L142" s="20">
        <f t="shared" si="77"/>
        <v>2019.1666666666667</v>
      </c>
      <c r="M142" s="1">
        <v>1045.18</v>
      </c>
      <c r="N142" s="1">
        <f t="shared" si="78"/>
        <v>1045.18</v>
      </c>
      <c r="O142" s="1">
        <f t="shared" si="79"/>
        <v>29.032777777777781</v>
      </c>
      <c r="P142" s="1">
        <f t="shared" si="80"/>
        <v>348.39333333333337</v>
      </c>
      <c r="Q142" s="1">
        <f t="shared" si="81"/>
        <v>0</v>
      </c>
      <c r="R142" s="1">
        <f t="shared" si="82"/>
        <v>1045.18</v>
      </c>
      <c r="S142" s="1">
        <f t="shared" si="83"/>
        <v>1045.18</v>
      </c>
      <c r="T142" s="1">
        <f t="shared" si="84"/>
        <v>0</v>
      </c>
    </row>
    <row r="143" spans="2:20">
      <c r="B143">
        <v>1</v>
      </c>
      <c r="C143" t="s">
        <v>647</v>
      </c>
      <c r="D143">
        <v>191901</v>
      </c>
      <c r="E143">
        <v>2018</v>
      </c>
      <c r="F143">
        <v>1</v>
      </c>
      <c r="G143" s="27">
        <v>0</v>
      </c>
      <c r="I143" t="s">
        <v>78</v>
      </c>
      <c r="J143">
        <v>3</v>
      </c>
      <c r="K143">
        <f t="shared" si="85"/>
        <v>2021</v>
      </c>
      <c r="L143" s="20">
        <f t="shared" si="77"/>
        <v>2021.0833333333333</v>
      </c>
      <c r="M143" s="1">
        <v>1306.96</v>
      </c>
      <c r="N143" s="1">
        <f t="shared" si="78"/>
        <v>1306.96</v>
      </c>
      <c r="O143" s="1">
        <f t="shared" si="79"/>
        <v>36.304444444444449</v>
      </c>
      <c r="P143" s="1">
        <f t="shared" si="80"/>
        <v>435.65333333333342</v>
      </c>
      <c r="Q143" s="1">
        <f t="shared" si="81"/>
        <v>435.65333333333342</v>
      </c>
      <c r="R143" s="1">
        <f t="shared" si="82"/>
        <v>0</v>
      </c>
      <c r="S143" s="1">
        <f t="shared" si="83"/>
        <v>435.65333333333342</v>
      </c>
      <c r="T143" s="1">
        <f t="shared" si="84"/>
        <v>871.30666666666662</v>
      </c>
    </row>
    <row r="144" spans="2:20" s="53" customFormat="1">
      <c r="C144" s="59" t="s">
        <v>802</v>
      </c>
      <c r="D144" s="53">
        <v>211617</v>
      </c>
      <c r="E144" s="53">
        <v>2019</v>
      </c>
      <c r="F144" s="53">
        <v>2</v>
      </c>
      <c r="G144" s="72">
        <v>0</v>
      </c>
      <c r="I144" s="59" t="s">
        <v>78</v>
      </c>
      <c r="J144" s="59">
        <v>3</v>
      </c>
      <c r="K144" s="53">
        <f t="shared" si="85"/>
        <v>2022</v>
      </c>
      <c r="L144" s="58">
        <f t="shared" si="77"/>
        <v>2022.1666666666667</v>
      </c>
      <c r="M144" s="55">
        <v>1365.69</v>
      </c>
      <c r="N144" s="55">
        <f t="shared" si="78"/>
        <v>1365.69</v>
      </c>
      <c r="O144" s="55">
        <f t="shared" si="79"/>
        <v>37.935833333333335</v>
      </c>
      <c r="P144" s="55">
        <f t="shared" si="80"/>
        <v>455.23</v>
      </c>
      <c r="Q144" s="55">
        <f t="shared" si="81"/>
        <v>455.23</v>
      </c>
      <c r="R144" s="55">
        <f t="shared" si="82"/>
        <v>0</v>
      </c>
      <c r="S144" s="55">
        <f t="shared" si="83"/>
        <v>455.23</v>
      </c>
      <c r="T144" s="55">
        <f t="shared" si="84"/>
        <v>910.46</v>
      </c>
    </row>
    <row r="146" spans="1:20">
      <c r="C146" s="9" t="s">
        <v>410</v>
      </c>
      <c r="M146" s="24">
        <f t="shared" ref="M146:T146" si="86">SUM(M123:M145)</f>
        <v>359753.84</v>
      </c>
      <c r="N146" s="24">
        <f t="shared" si="86"/>
        <v>359753.84</v>
      </c>
      <c r="O146" s="24">
        <f t="shared" si="86"/>
        <v>7650.6028888888868</v>
      </c>
      <c r="P146" s="24">
        <f t="shared" si="86"/>
        <v>91807.234666666656</v>
      </c>
      <c r="Q146" s="24">
        <f t="shared" si="86"/>
        <v>1832.4833333333336</v>
      </c>
      <c r="R146" s="24">
        <f t="shared" si="86"/>
        <v>353314.79000000004</v>
      </c>
      <c r="S146" s="24">
        <f t="shared" si="86"/>
        <v>355147.27333333332</v>
      </c>
      <c r="T146" s="24">
        <f t="shared" si="86"/>
        <v>4606.5666666666657</v>
      </c>
    </row>
    <row r="147" spans="1:20">
      <c r="A147" s="104"/>
      <c r="B147" s="104"/>
      <c r="C147" s="9"/>
      <c r="D147" s="104"/>
      <c r="E147" s="104"/>
      <c r="F147" s="104"/>
      <c r="H147" s="104"/>
      <c r="I147" s="104"/>
      <c r="J147" s="104"/>
      <c r="K147" s="104"/>
      <c r="L147" s="104"/>
      <c r="M147" s="46"/>
      <c r="N147" s="46"/>
      <c r="O147" s="46"/>
      <c r="P147" s="46"/>
      <c r="Q147" s="46"/>
      <c r="R147" s="46"/>
      <c r="S147" s="46"/>
      <c r="T147" s="46"/>
    </row>
    <row r="148" spans="1:20">
      <c r="A148" s="104"/>
      <c r="B148" s="104"/>
      <c r="C148" s="9" t="s">
        <v>814</v>
      </c>
      <c r="D148" s="104"/>
      <c r="E148" s="104"/>
      <c r="F148" s="104"/>
      <c r="H148" s="104"/>
      <c r="I148" s="104"/>
      <c r="J148" s="104"/>
      <c r="K148" s="104"/>
      <c r="L148" s="104"/>
      <c r="M148" s="46"/>
      <c r="N148" s="46"/>
      <c r="O148" s="46"/>
      <c r="P148" s="46"/>
      <c r="Q148" s="46"/>
      <c r="R148" s="46"/>
      <c r="S148" s="46"/>
      <c r="T148" s="46"/>
    </row>
    <row r="149" spans="1:20">
      <c r="C149" t="s">
        <v>19</v>
      </c>
      <c r="E149">
        <v>2000</v>
      </c>
      <c r="F149">
        <v>7</v>
      </c>
      <c r="G149" s="27">
        <v>0</v>
      </c>
      <c r="I149" t="s">
        <v>78</v>
      </c>
      <c r="J149" t="s">
        <v>10</v>
      </c>
      <c r="K149">
        <f>E149+J149</f>
        <v>2039</v>
      </c>
      <c r="L149" s="20">
        <f>+K149+(F149/12)</f>
        <v>2039.5833333333333</v>
      </c>
      <c r="M149" s="1">
        <v>1278030.99</v>
      </c>
      <c r="N149" s="1">
        <f>M149-M149*G149</f>
        <v>1278030.99</v>
      </c>
      <c r="O149" s="1">
        <f>N149/J149/12</f>
        <v>2730.835448717949</v>
      </c>
      <c r="P149" s="1">
        <f>+O149*12</f>
        <v>32770.025384615386</v>
      </c>
      <c r="Q149" s="1">
        <f>+IF(L149&lt;=$N$5,0,IF(K149&gt;$N$4,P149,(O149*F149)))</f>
        <v>32770.025384615386</v>
      </c>
      <c r="R149" s="1">
        <f>+IF(Q149=0,N149,IF($N$3-E149&lt;1,0,(($N$3-E149)*Q149)))</f>
        <v>589860.456923077</v>
      </c>
      <c r="S149" s="1">
        <f>+IF(Q149=0,R149,R149+Q149)</f>
        <v>622630.48230769241</v>
      </c>
      <c r="T149" s="1">
        <f>+M149-S149</f>
        <v>655400.50769230758</v>
      </c>
    </row>
    <row r="150" spans="1:20">
      <c r="C150" t="s">
        <v>14</v>
      </c>
      <c r="E150">
        <v>2004</v>
      </c>
      <c r="F150">
        <v>7</v>
      </c>
      <c r="G150" s="27">
        <v>0</v>
      </c>
      <c r="I150" t="s">
        <v>78</v>
      </c>
      <c r="J150" t="s">
        <v>102</v>
      </c>
      <c r="K150">
        <f>E150+J150</f>
        <v>2019</v>
      </c>
      <c r="L150" s="20">
        <f>+K150+(F150/12)</f>
        <v>2019.5833333333333</v>
      </c>
      <c r="M150" s="1">
        <v>4936.42</v>
      </c>
      <c r="N150" s="1">
        <f>M150-M150*G150</f>
        <v>4936.42</v>
      </c>
      <c r="O150" s="1">
        <f>N150/J150/12</f>
        <v>27.424555555555557</v>
      </c>
      <c r="P150" s="1">
        <f>+O150*12</f>
        <v>329.09466666666668</v>
      </c>
      <c r="Q150" s="1">
        <f>+IF(L150&lt;=$N$5,0,IF(K150&gt;$N$4,P150,(O150*F150)))</f>
        <v>0</v>
      </c>
      <c r="R150" s="1">
        <f>+IF(Q150=0,N150,IF($N$3-E150&lt;1,0,(($N$3-E150)*Q150)))</f>
        <v>4936.42</v>
      </c>
      <c r="S150" s="1">
        <f>+IF(Q150=0,R150,R150+Q150)</f>
        <v>4936.42</v>
      </c>
      <c r="T150" s="1">
        <f>+M150-S150</f>
        <v>0</v>
      </c>
    </row>
    <row r="151" spans="1:20">
      <c r="A151" s="104"/>
      <c r="B151" s="104"/>
      <c r="C151" s="9"/>
      <c r="D151" s="104"/>
      <c r="E151" s="104"/>
      <c r="F151" s="104"/>
      <c r="H151" s="104"/>
      <c r="I151" s="104"/>
      <c r="J151" s="104"/>
      <c r="K151" s="104"/>
      <c r="L151" s="104"/>
      <c r="M151" s="46"/>
      <c r="N151" s="46"/>
      <c r="O151" s="46"/>
      <c r="P151" s="46"/>
      <c r="Q151" s="46"/>
      <c r="R151" s="46"/>
      <c r="S151" s="46"/>
      <c r="T151" s="46"/>
    </row>
    <row r="152" spans="1:20">
      <c r="C152" s="9" t="s">
        <v>815</v>
      </c>
      <c r="D152" s="104"/>
      <c r="E152" s="104"/>
      <c r="F152" s="104"/>
      <c r="H152" s="104"/>
      <c r="I152" s="104"/>
      <c r="J152" s="104"/>
      <c r="K152" s="104"/>
      <c r="L152" s="104"/>
      <c r="M152" s="24">
        <f t="shared" ref="M152:T152" si="87">+SUM(M149:M151)</f>
        <v>1282967.4099999999</v>
      </c>
      <c r="N152" s="24">
        <f t="shared" si="87"/>
        <v>1282967.4099999999</v>
      </c>
      <c r="O152" s="24">
        <f t="shared" si="87"/>
        <v>2758.2600042735044</v>
      </c>
      <c r="P152" s="24">
        <f t="shared" si="87"/>
        <v>33099.120051282051</v>
      </c>
      <c r="Q152" s="24">
        <f t="shared" si="87"/>
        <v>32770.025384615386</v>
      </c>
      <c r="R152" s="24">
        <f t="shared" si="87"/>
        <v>594796.87692307704</v>
      </c>
      <c r="S152" s="24">
        <f t="shared" si="87"/>
        <v>627566.90230769245</v>
      </c>
      <c r="T152" s="24">
        <f t="shared" si="87"/>
        <v>655400.50769230758</v>
      </c>
    </row>
    <row r="154" spans="1:20" ht="13.5" thickBot="1">
      <c r="C154" s="9" t="s">
        <v>83</v>
      </c>
      <c r="M154" s="10">
        <f t="shared" ref="M154:T154" si="88">SUM(M146,M119,M100,M46,M21,M152)</f>
        <v>7082674.8399999999</v>
      </c>
      <c r="N154" s="10">
        <f t="shared" si="88"/>
        <v>7060540.3120000008</v>
      </c>
      <c r="O154" s="10">
        <f t="shared" si="88"/>
        <v>48411.548120782223</v>
      </c>
      <c r="P154" s="10">
        <f t="shared" si="88"/>
        <v>580938.57744938694</v>
      </c>
      <c r="Q154" s="10">
        <f t="shared" si="88"/>
        <v>187527.57482478631</v>
      </c>
      <c r="R154" s="10">
        <f t="shared" si="88"/>
        <v>5367345.3557333332</v>
      </c>
      <c r="S154" s="10">
        <f t="shared" si="88"/>
        <v>5554872.930558119</v>
      </c>
      <c r="T154" s="10">
        <f t="shared" si="88"/>
        <v>1527801.9094418804</v>
      </c>
    </row>
    <row r="155" spans="1:20" ht="13.5" thickTop="1"/>
  </sheetData>
  <phoneticPr fontId="4" type="noConversion"/>
  <pageMargins left="0" right="0" top="0" bottom="0" header="0.5" footer="0.5"/>
  <pageSetup scale="63" fitToHeight="2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CB277"/>
  <sheetViews>
    <sheetView showGridLines="0" zoomScale="90" zoomScaleNormal="90" workbookViewId="0">
      <pane xSplit="3" ySplit="11" topLeftCell="D12" activePane="bottomRight" state="frozen"/>
      <selection activeCell="D461" sqref="D461"/>
      <selection pane="topRight" activeCell="D461" sqref="D461"/>
      <selection pane="bottomLeft" activeCell="D461" sqref="D461"/>
      <selection pane="bottomRight" activeCell="D12" sqref="D12"/>
    </sheetView>
  </sheetViews>
  <sheetFormatPr defaultColWidth="12.5703125" defaultRowHeight="12.75"/>
  <cols>
    <col min="1" max="2" width="8.42578125" customWidth="1"/>
    <col min="3" max="3" width="7.42578125" bestFit="1" customWidth="1"/>
    <col min="4" max="4" width="36.85546875" customWidth="1"/>
    <col min="5" max="5" width="11" bestFit="1" customWidth="1"/>
    <col min="6" max="6" width="4.28515625" bestFit="1" customWidth="1"/>
    <col min="7" max="7" width="8.140625" bestFit="1" customWidth="1"/>
    <col min="8" max="8" width="2.140625" bestFit="1" customWidth="1"/>
    <col min="9" max="9" width="8" bestFit="1" customWidth="1"/>
    <col min="10" max="10" width="6.42578125" bestFit="1" customWidth="1"/>
    <col min="11" max="11" width="6" bestFit="1" customWidth="1"/>
    <col min="12" max="12" width="6.5703125" customWidth="1"/>
    <col min="13" max="13" width="5.28515625" customWidth="1"/>
    <col min="14" max="14" width="12" bestFit="1" customWidth="1"/>
    <col min="15" max="15" width="9" customWidth="1"/>
    <col min="16" max="16" width="10.85546875" bestFit="1" customWidth="1"/>
    <col min="17" max="17" width="10.85546875" customWidth="1"/>
    <col min="18" max="18" width="9.42578125" bestFit="1" customWidth="1"/>
    <col min="19" max="19" width="9" customWidth="1"/>
    <col min="20" max="20" width="7.85546875" customWidth="1"/>
    <col min="21" max="21" width="5.5703125" customWidth="1"/>
    <col min="22" max="22" width="9.7109375" bestFit="1" customWidth="1"/>
    <col min="23" max="23" width="2.28515625" customWidth="1"/>
    <col min="24" max="25" width="12.5703125" customWidth="1"/>
    <col min="26" max="26" width="7.5703125" customWidth="1"/>
    <col min="27" max="27" width="10.5703125" bestFit="1" customWidth="1"/>
    <col min="28" max="29" width="10.85546875" bestFit="1" customWidth="1"/>
    <col min="30" max="31" width="7.85546875" bestFit="1" customWidth="1"/>
    <col min="32" max="32" width="16" bestFit="1" customWidth="1"/>
    <col min="33" max="34" width="7.85546875" bestFit="1" customWidth="1"/>
    <col min="35" max="35" width="12.5703125" customWidth="1"/>
    <col min="36" max="36" width="13.42578125" bestFit="1" customWidth="1"/>
    <col min="37" max="37" width="3.42578125" customWidth="1"/>
    <col min="38" max="38" width="17.5703125" bestFit="1" customWidth="1"/>
    <col min="39" max="39" width="3.5703125" customWidth="1"/>
    <col min="40" max="40" width="16.28515625" bestFit="1" customWidth="1"/>
    <col min="41" max="41" width="2.85546875" customWidth="1"/>
    <col min="42" max="42" width="18.28515625" bestFit="1" customWidth="1"/>
    <col min="43" max="43" width="3.5703125" customWidth="1"/>
    <col min="44" max="44" width="13.42578125" bestFit="1" customWidth="1"/>
  </cols>
  <sheetData>
    <row r="1" spans="1:80">
      <c r="D1" t="s">
        <v>342</v>
      </c>
    </row>
    <row r="2" spans="1:80">
      <c r="D2" t="s">
        <v>26</v>
      </c>
      <c r="P2">
        <v>11</v>
      </c>
      <c r="Q2" t="s">
        <v>27</v>
      </c>
      <c r="BX2" t="s">
        <v>245</v>
      </c>
    </row>
    <row r="3" spans="1:80">
      <c r="D3">
        <f>'Summary 2183'!H7</f>
        <v>43585</v>
      </c>
      <c r="P3">
        <v>1</v>
      </c>
      <c r="Q3" t="s">
        <v>28</v>
      </c>
      <c r="AE3" t="s">
        <v>29</v>
      </c>
      <c r="AF3" t="s">
        <v>30</v>
      </c>
    </row>
    <row r="4" spans="1:80">
      <c r="P4">
        <v>2017</v>
      </c>
      <c r="Q4" t="s">
        <v>31</v>
      </c>
      <c r="AE4" t="s">
        <v>32</v>
      </c>
      <c r="AF4" t="s">
        <v>33</v>
      </c>
      <c r="BW4">
        <v>1</v>
      </c>
      <c r="BX4" t="s">
        <v>246</v>
      </c>
      <c r="CA4">
        <v>12</v>
      </c>
      <c r="CB4" t="s">
        <v>247</v>
      </c>
    </row>
    <row r="5" spans="1:80">
      <c r="P5">
        <v>2018</v>
      </c>
      <c r="Q5" t="s">
        <v>34</v>
      </c>
      <c r="AE5" t="s">
        <v>35</v>
      </c>
      <c r="AF5" t="s">
        <v>36</v>
      </c>
      <c r="AJ5" s="117" t="s">
        <v>634</v>
      </c>
      <c r="AK5" s="117"/>
      <c r="AL5" s="117"/>
      <c r="AM5" s="117"/>
      <c r="AN5" s="117"/>
      <c r="AO5" s="117"/>
      <c r="AP5" s="117"/>
      <c r="AQ5" s="117"/>
      <c r="AR5" s="117"/>
      <c r="BX5">
        <v>1993</v>
      </c>
      <c r="CA5">
        <v>0</v>
      </c>
      <c r="CB5" t="s">
        <v>248</v>
      </c>
    </row>
    <row r="6" spans="1:80">
      <c r="AE6" t="s">
        <v>37</v>
      </c>
      <c r="AF6" t="s">
        <v>38</v>
      </c>
      <c r="AJ6" s="117"/>
      <c r="AK6" s="117"/>
      <c r="AL6" s="117"/>
      <c r="AM6" s="117"/>
      <c r="AN6" s="117"/>
      <c r="AO6" s="117"/>
      <c r="AP6" s="117"/>
      <c r="AQ6" s="117"/>
      <c r="AR6" s="117"/>
      <c r="CA6">
        <v>93</v>
      </c>
      <c r="CB6" t="s">
        <v>31</v>
      </c>
    </row>
    <row r="7" spans="1:80">
      <c r="AE7" t="s">
        <v>39</v>
      </c>
      <c r="AF7" t="s">
        <v>40</v>
      </c>
      <c r="CA7">
        <v>94</v>
      </c>
      <c r="CB7" t="s">
        <v>249</v>
      </c>
    </row>
    <row r="8" spans="1:80">
      <c r="S8" t="s">
        <v>41</v>
      </c>
      <c r="V8" t="s">
        <v>42</v>
      </c>
      <c r="X8" t="s">
        <v>188</v>
      </c>
      <c r="Y8" t="s">
        <v>44</v>
      </c>
      <c r="AA8" t="s">
        <v>188</v>
      </c>
      <c r="AB8" t="s">
        <v>43</v>
      </c>
      <c r="AN8" t="s">
        <v>635</v>
      </c>
      <c r="AP8" t="s">
        <v>635</v>
      </c>
    </row>
    <row r="9" spans="1:80">
      <c r="C9" t="s">
        <v>45</v>
      </c>
      <c r="E9" t="s">
        <v>46</v>
      </c>
      <c r="G9" t="s">
        <v>47</v>
      </c>
      <c r="I9" t="s">
        <v>45</v>
      </c>
      <c r="K9" t="s">
        <v>48</v>
      </c>
      <c r="L9" t="s">
        <v>45</v>
      </c>
      <c r="N9" t="s">
        <v>45</v>
      </c>
      <c r="O9" t="s">
        <v>49</v>
      </c>
      <c r="P9" t="s">
        <v>45</v>
      </c>
      <c r="R9" t="s">
        <v>50</v>
      </c>
      <c r="S9" t="s">
        <v>48</v>
      </c>
      <c r="T9" t="s">
        <v>42</v>
      </c>
      <c r="U9" t="s">
        <v>51</v>
      </c>
      <c r="V9" t="s">
        <v>44</v>
      </c>
      <c r="X9" t="s">
        <v>251</v>
      </c>
      <c r="Y9" t="s">
        <v>251</v>
      </c>
      <c r="Z9" t="s">
        <v>53</v>
      </c>
      <c r="AA9" t="s">
        <v>54</v>
      </c>
      <c r="AB9" t="s">
        <v>54</v>
      </c>
      <c r="AC9" t="s">
        <v>55</v>
      </c>
      <c r="AJ9" t="s">
        <v>636</v>
      </c>
      <c r="AL9" t="s">
        <v>637</v>
      </c>
      <c r="AN9" t="s">
        <v>638</v>
      </c>
      <c r="AP9" t="s">
        <v>638</v>
      </c>
      <c r="AR9" t="s">
        <v>639</v>
      </c>
    </row>
    <row r="10" spans="1:80">
      <c r="C10" t="s">
        <v>143</v>
      </c>
      <c r="E10" t="s">
        <v>57</v>
      </c>
      <c r="G10" t="s">
        <v>58</v>
      </c>
      <c r="I10" t="s">
        <v>100</v>
      </c>
      <c r="J10" t="s">
        <v>59</v>
      </c>
      <c r="K10" t="s">
        <v>60</v>
      </c>
      <c r="L10" t="s">
        <v>49</v>
      </c>
      <c r="M10" t="s">
        <v>61</v>
      </c>
      <c r="N10" t="s">
        <v>49</v>
      </c>
      <c r="O10" t="s">
        <v>41</v>
      </c>
      <c r="P10" t="s">
        <v>62</v>
      </c>
      <c r="Q10" t="s">
        <v>63</v>
      </c>
      <c r="R10" t="s">
        <v>48</v>
      </c>
      <c r="S10" t="s">
        <v>64</v>
      </c>
      <c r="T10" t="s">
        <v>65</v>
      </c>
      <c r="U10" t="s">
        <v>66</v>
      </c>
      <c r="V10" t="s">
        <v>67</v>
      </c>
      <c r="X10" t="s">
        <v>252</v>
      </c>
      <c r="Y10" t="s">
        <v>252</v>
      </c>
      <c r="Z10" t="s">
        <v>66</v>
      </c>
      <c r="AA10" t="s">
        <v>68</v>
      </c>
      <c r="AB10" t="s">
        <v>68</v>
      </c>
      <c r="AC10" t="s">
        <v>6</v>
      </c>
      <c r="AD10" t="s">
        <v>29</v>
      </c>
      <c r="AE10" t="s">
        <v>69</v>
      </c>
      <c r="AF10" t="s">
        <v>70</v>
      </c>
      <c r="AG10" t="s">
        <v>37</v>
      </c>
      <c r="AH10" t="s">
        <v>39</v>
      </c>
      <c r="AJ10" t="s">
        <v>640</v>
      </c>
      <c r="AL10" t="s">
        <v>641</v>
      </c>
      <c r="AN10" t="s">
        <v>642</v>
      </c>
      <c r="AP10" t="s">
        <v>643</v>
      </c>
      <c r="AR10" t="s">
        <v>6</v>
      </c>
      <c r="BW10">
        <v>2</v>
      </c>
      <c r="BX10" t="s">
        <v>253</v>
      </c>
    </row>
    <row r="11" spans="1:80">
      <c r="A11" t="s">
        <v>71</v>
      </c>
      <c r="B11" t="s">
        <v>384</v>
      </c>
      <c r="C11" t="s">
        <v>72</v>
      </c>
      <c r="D11" t="s">
        <v>254</v>
      </c>
      <c r="E11" t="s">
        <v>48</v>
      </c>
      <c r="F11" t="s">
        <v>74</v>
      </c>
      <c r="G11" t="s">
        <v>51</v>
      </c>
      <c r="H11" t="s">
        <v>99</v>
      </c>
      <c r="I11" t="s">
        <v>75</v>
      </c>
      <c r="J11" t="s">
        <v>76</v>
      </c>
      <c r="K11" t="s">
        <v>62</v>
      </c>
      <c r="L11" t="s">
        <v>173</v>
      </c>
      <c r="M11" t="s">
        <v>99</v>
      </c>
      <c r="N11" t="s">
        <v>173</v>
      </c>
      <c r="O11" t="s">
        <v>99</v>
      </c>
      <c r="P11" t="s">
        <v>173</v>
      </c>
      <c r="Q11" t="s">
        <v>62</v>
      </c>
      <c r="R11" t="s">
        <v>62</v>
      </c>
      <c r="S11" t="s">
        <v>99</v>
      </c>
      <c r="T11" t="s">
        <v>77</v>
      </c>
      <c r="U11" t="s">
        <v>99</v>
      </c>
      <c r="V11" t="s">
        <v>68</v>
      </c>
      <c r="X11">
        <f>'Summary 2183'!F7</f>
        <v>43221</v>
      </c>
      <c r="Y11">
        <f>+D3</f>
        <v>43585</v>
      </c>
      <c r="Z11" t="s">
        <v>51</v>
      </c>
      <c r="AA11">
        <f>+X11</f>
        <v>43221</v>
      </c>
      <c r="AB11">
        <f>+D3</f>
        <v>43585</v>
      </c>
      <c r="AC11">
        <f>AB11</f>
        <v>43585</v>
      </c>
    </row>
    <row r="12" spans="1:80">
      <c r="D12" t="s">
        <v>250</v>
      </c>
    </row>
    <row r="14" spans="1:80">
      <c r="A14" t="s">
        <v>288</v>
      </c>
      <c r="C14">
        <v>5001</v>
      </c>
      <c r="D14" t="s">
        <v>303</v>
      </c>
      <c r="E14">
        <v>1996</v>
      </c>
      <c r="F14">
        <v>1</v>
      </c>
      <c r="G14">
        <v>0.33</v>
      </c>
      <c r="I14" t="s">
        <v>78</v>
      </c>
      <c r="J14">
        <v>5</v>
      </c>
      <c r="K14">
        <f t="shared" ref="K14:K73" si="0">E14+J14</f>
        <v>2001</v>
      </c>
      <c r="N14">
        <v>31208</v>
      </c>
      <c r="P14">
        <f t="shared" ref="P14:P45" si="1">N14-N14*G14</f>
        <v>20909.36</v>
      </c>
      <c r="Q14">
        <f t="shared" ref="Q14:Q45" si="2">P14/J14/12</f>
        <v>348.48933333333338</v>
      </c>
      <c r="R14">
        <f t="shared" ref="R14:R70" si="3">IF(O14&gt;0,0,IF(OR(AD14&gt;AE14,AF14&lt;AG14),0,IF(AND(AF14&gt;=AG14,AF14&lt;=AE14),Q14*((AF14-AG14)*12),IF(AND(AG14&lt;=AD14,AE14&gt;=AD14),((AE14-AD14)*12)*Q14,IF(AF14&gt;AE14,12*Q14,0)))))</f>
        <v>0</v>
      </c>
      <c r="S14">
        <f t="shared" ref="S14:S70" si="4">IF(O14=0,0,IF(AND(AH14&gt;=AG14,AH14&lt;=AF14),((AH14-AG14)*12)*Q14,0))</f>
        <v>0</v>
      </c>
      <c r="T14">
        <f t="shared" ref="T14:T70" si="5">IF(S14&gt;0,S14,R14)</f>
        <v>0</v>
      </c>
      <c r="U14">
        <v>1</v>
      </c>
      <c r="V14">
        <f t="shared" ref="V14:V70" si="6">U14*SUM(R14:S14)</f>
        <v>0</v>
      </c>
      <c r="X14">
        <f t="shared" ref="X14:X70" si="7">IF(AD14&gt;AE14,0,IF(AF14&lt;AG14,P14,IF(AND(AF14&gt;=AG14,AF14&lt;=AE14),(P14-T14),IF(AND(AG14&lt;=AD14,AE14&gt;=AD14),0,IF(AF14&gt;AE14,((AG14-AD14)*12)*Q14,0)))))</f>
        <v>20909.36</v>
      </c>
      <c r="Y14">
        <f t="shared" ref="Y14:Y70" si="8">X14*U14</f>
        <v>20909.36</v>
      </c>
      <c r="Z14">
        <v>1</v>
      </c>
      <c r="AA14">
        <f t="shared" ref="AA14:AA70" si="9">Y14*Z14</f>
        <v>20909.36</v>
      </c>
      <c r="AB14">
        <f t="shared" ref="AB14:AB70" si="10">IF(O14&gt;0,0,AA14+V14*Z14)*Z14</f>
        <v>20909.36</v>
      </c>
      <c r="AC14">
        <f t="shared" ref="AC14:AC70" si="11">IF(O14&gt;0,(N14-AA14)/2,IF(AD14&gt;=AG14,(((N14*U14)*Z14)-AB14)/2,((((N14*U14)*Z14)-AA14)+(((N14*U14)*Z14)-AB14))/2))</f>
        <v>10298.64</v>
      </c>
      <c r="AD14">
        <f t="shared" ref="AD14:AD75" si="12">$E14+(($F14-1)/12)</f>
        <v>1996</v>
      </c>
      <c r="AE14">
        <f t="shared" ref="AE14:AE75" si="13">($P$5+1)-($P$2/12)</f>
        <v>2018.0833333333333</v>
      </c>
      <c r="AF14">
        <f t="shared" ref="AF14:AF75" si="14">$K14+(($F14-1)/12)</f>
        <v>2001</v>
      </c>
      <c r="AG14">
        <f t="shared" ref="AG14:AG75" si="15">$P$4+($P$3/12)</f>
        <v>2017.0833333333333</v>
      </c>
      <c r="AH14">
        <f t="shared" ref="AH14:AH45" si="16">$L14+(($M14-1)/12)</f>
        <v>-8.3333333333333329E-2</v>
      </c>
      <c r="AJ14">
        <f>+IF((AF14-AG14)&gt;3,((N14-P14)/(AF14-AG14)),(N14-P14)/3)</f>
        <v>3432.8799999999997</v>
      </c>
      <c r="AL14">
        <f>+AJ14+V14</f>
        <v>3432.8799999999997</v>
      </c>
      <c r="AN14">
        <f>+IF(AF14&lt;AG14,-AC14,0)</f>
        <v>-10298.64</v>
      </c>
      <c r="AP14">
        <f>IF(AF14&gt;AG14,IF(AJ14&gt;0,IF(O14&gt;0,(N14-AA14)/2,IF(AD14&gt;=AG14,(((N14*U14)*Z14)-(AB14+AJ14))/2,((((N14*U14)*Z14)-AA14)+(((N14*U14)*Z14)-(AB14+AJ14)))/2)),0),0)</f>
        <v>0</v>
      </c>
      <c r="AR14">
        <f>+AC14+AN14+(IF(AP14&gt;0,(AP14-AC14),0))</f>
        <v>0</v>
      </c>
    </row>
    <row r="15" spans="1:80">
      <c r="A15" t="s">
        <v>288</v>
      </c>
      <c r="C15">
        <v>5001</v>
      </c>
      <c r="D15" t="s">
        <v>313</v>
      </c>
      <c r="E15">
        <v>1996</v>
      </c>
      <c r="F15">
        <v>5</v>
      </c>
      <c r="G15">
        <v>0.2</v>
      </c>
      <c r="I15" t="s">
        <v>78</v>
      </c>
      <c r="J15">
        <v>7</v>
      </c>
      <c r="K15">
        <f t="shared" si="0"/>
        <v>2003</v>
      </c>
      <c r="N15">
        <v>1073</v>
      </c>
      <c r="P15">
        <f t="shared" si="1"/>
        <v>858.4</v>
      </c>
      <c r="Q15">
        <f t="shared" si="2"/>
        <v>10.219047619047618</v>
      </c>
      <c r="R15">
        <f t="shared" si="3"/>
        <v>0</v>
      </c>
      <c r="S15">
        <f t="shared" si="4"/>
        <v>0</v>
      </c>
      <c r="T15">
        <f t="shared" si="5"/>
        <v>0</v>
      </c>
      <c r="U15">
        <v>1</v>
      </c>
      <c r="V15">
        <f t="shared" si="6"/>
        <v>0</v>
      </c>
      <c r="X15">
        <f t="shared" si="7"/>
        <v>858.4</v>
      </c>
      <c r="Y15">
        <f t="shared" si="8"/>
        <v>858.4</v>
      </c>
      <c r="Z15">
        <v>1</v>
      </c>
      <c r="AA15">
        <f t="shared" si="9"/>
        <v>858.4</v>
      </c>
      <c r="AB15">
        <f t="shared" si="10"/>
        <v>858.4</v>
      </c>
      <c r="AC15">
        <f t="shared" si="11"/>
        <v>214.60000000000002</v>
      </c>
      <c r="AD15">
        <f t="shared" si="12"/>
        <v>1996.3333333333333</v>
      </c>
      <c r="AE15">
        <f t="shared" si="13"/>
        <v>2018.0833333333333</v>
      </c>
      <c r="AF15">
        <f t="shared" si="14"/>
        <v>2003.3333333333333</v>
      </c>
      <c r="AG15">
        <f t="shared" si="15"/>
        <v>2017.0833333333333</v>
      </c>
      <c r="AH15">
        <f t="shared" si="16"/>
        <v>-8.3333333333333329E-2</v>
      </c>
      <c r="AJ15">
        <f t="shared" ref="AJ15:AJ75" si="17">+IF((AF15-AG15)&gt;3,((N15-P15)/(AF15-AG15)),(N15-P15)/3)</f>
        <v>71.533333333333346</v>
      </c>
      <c r="AL15">
        <f t="shared" ref="AL15:AL75" si="18">+AJ15+V15</f>
        <v>71.533333333333346</v>
      </c>
      <c r="AN15">
        <f t="shared" ref="AN15:AN75" si="19">+IF(AF15&lt;AG15,-AC15,0)</f>
        <v>-214.60000000000002</v>
      </c>
      <c r="AP15">
        <f t="shared" ref="AP15:AP75" si="20">IF(AF15&gt;AG15,IF(AJ15&gt;0,IF(O15&gt;0,(N15-AA15)/2,IF(AD15&gt;=AG15,(((N15*U15)*Z15)-(AB15+AJ15))/2,((((N15*U15)*Z15)-AA15)+(((N15*U15)*Z15)-(AB15+AJ15)))/2)),0),0)</f>
        <v>0</v>
      </c>
      <c r="AR15">
        <f t="shared" ref="AR15:AR75" si="21">+AC15+AN15+(IF(AP15&gt;0,(AP15-AC15),0))</f>
        <v>0</v>
      </c>
    </row>
    <row r="16" spans="1:80">
      <c r="A16" t="s">
        <v>288</v>
      </c>
      <c r="C16">
        <v>4510</v>
      </c>
      <c r="D16" t="s">
        <v>180</v>
      </c>
      <c r="E16">
        <v>1996</v>
      </c>
      <c r="F16">
        <v>11</v>
      </c>
      <c r="G16">
        <v>0.2</v>
      </c>
      <c r="I16" t="s">
        <v>78</v>
      </c>
      <c r="J16">
        <v>7</v>
      </c>
      <c r="K16">
        <f t="shared" si="0"/>
        <v>2003</v>
      </c>
      <c r="N16">
        <v>41217</v>
      </c>
      <c r="P16">
        <f t="shared" si="1"/>
        <v>32973.599999999999</v>
      </c>
      <c r="Q16">
        <f t="shared" si="2"/>
        <v>392.54285714285714</v>
      </c>
      <c r="R16">
        <f t="shared" si="3"/>
        <v>0</v>
      </c>
      <c r="S16">
        <f t="shared" si="4"/>
        <v>0</v>
      </c>
      <c r="T16">
        <f t="shared" si="5"/>
        <v>0</v>
      </c>
      <c r="U16">
        <v>1</v>
      </c>
      <c r="V16">
        <f t="shared" si="6"/>
        <v>0</v>
      </c>
      <c r="X16">
        <f t="shared" si="7"/>
        <v>32973.599999999999</v>
      </c>
      <c r="Y16">
        <f t="shared" si="8"/>
        <v>32973.599999999999</v>
      </c>
      <c r="Z16">
        <v>1</v>
      </c>
      <c r="AA16">
        <f t="shared" si="9"/>
        <v>32973.599999999999</v>
      </c>
      <c r="AB16">
        <f t="shared" si="10"/>
        <v>32973.599999999999</v>
      </c>
      <c r="AC16">
        <f t="shared" si="11"/>
        <v>8243.4000000000015</v>
      </c>
      <c r="AD16">
        <f t="shared" si="12"/>
        <v>1996.8333333333333</v>
      </c>
      <c r="AE16">
        <f t="shared" si="13"/>
        <v>2018.0833333333333</v>
      </c>
      <c r="AF16">
        <f t="shared" si="14"/>
        <v>2003.8333333333333</v>
      </c>
      <c r="AG16">
        <f t="shared" si="15"/>
        <v>2017.0833333333333</v>
      </c>
      <c r="AH16">
        <f t="shared" si="16"/>
        <v>-8.3333333333333329E-2</v>
      </c>
      <c r="AJ16">
        <f t="shared" si="17"/>
        <v>2747.8000000000006</v>
      </c>
      <c r="AL16">
        <f t="shared" si="18"/>
        <v>2747.8000000000006</v>
      </c>
      <c r="AN16">
        <f t="shared" si="19"/>
        <v>-8243.4000000000015</v>
      </c>
      <c r="AP16">
        <f t="shared" si="20"/>
        <v>0</v>
      </c>
      <c r="AR16">
        <f t="shared" si="21"/>
        <v>0</v>
      </c>
    </row>
    <row r="17" spans="1:76">
      <c r="A17" t="s">
        <v>288</v>
      </c>
      <c r="C17">
        <v>4510</v>
      </c>
      <c r="D17" t="s">
        <v>181</v>
      </c>
      <c r="E17">
        <v>1996</v>
      </c>
      <c r="F17">
        <v>11</v>
      </c>
      <c r="G17">
        <v>0.2</v>
      </c>
      <c r="I17" t="s">
        <v>78</v>
      </c>
      <c r="J17">
        <v>7</v>
      </c>
      <c r="K17">
        <f t="shared" si="0"/>
        <v>2003</v>
      </c>
      <c r="N17">
        <v>437</v>
      </c>
      <c r="P17">
        <f t="shared" si="1"/>
        <v>349.6</v>
      </c>
      <c r="Q17">
        <f t="shared" si="2"/>
        <v>4.1619047619047622</v>
      </c>
      <c r="R17">
        <f t="shared" si="3"/>
        <v>0</v>
      </c>
      <c r="S17">
        <f t="shared" si="4"/>
        <v>0</v>
      </c>
      <c r="T17">
        <f t="shared" si="5"/>
        <v>0</v>
      </c>
      <c r="U17">
        <v>1</v>
      </c>
      <c r="V17">
        <f t="shared" si="6"/>
        <v>0</v>
      </c>
      <c r="X17">
        <f t="shared" si="7"/>
        <v>349.6</v>
      </c>
      <c r="Y17">
        <f t="shared" si="8"/>
        <v>349.6</v>
      </c>
      <c r="Z17">
        <v>1</v>
      </c>
      <c r="AA17">
        <f t="shared" si="9"/>
        <v>349.6</v>
      </c>
      <c r="AB17">
        <f t="shared" si="10"/>
        <v>349.6</v>
      </c>
      <c r="AC17">
        <f t="shared" si="11"/>
        <v>87.399999999999977</v>
      </c>
      <c r="AD17">
        <f t="shared" si="12"/>
        <v>1996.8333333333333</v>
      </c>
      <c r="AE17">
        <f t="shared" si="13"/>
        <v>2018.0833333333333</v>
      </c>
      <c r="AF17">
        <f t="shared" si="14"/>
        <v>2003.8333333333333</v>
      </c>
      <c r="AG17">
        <f t="shared" si="15"/>
        <v>2017.0833333333333</v>
      </c>
      <c r="AH17">
        <f t="shared" si="16"/>
        <v>-8.3333333333333329E-2</v>
      </c>
      <c r="AJ17">
        <f t="shared" si="17"/>
        <v>29.133333333333326</v>
      </c>
      <c r="AL17">
        <f t="shared" si="18"/>
        <v>29.133333333333326</v>
      </c>
      <c r="AN17">
        <f t="shared" si="19"/>
        <v>-87.399999999999977</v>
      </c>
      <c r="AP17">
        <f t="shared" si="20"/>
        <v>0</v>
      </c>
      <c r="AR17">
        <f t="shared" si="21"/>
        <v>0</v>
      </c>
    </row>
    <row r="18" spans="1:76">
      <c r="A18" t="s">
        <v>288</v>
      </c>
      <c r="C18">
        <v>4511</v>
      </c>
      <c r="D18" t="s">
        <v>182</v>
      </c>
      <c r="E18">
        <v>1996</v>
      </c>
      <c r="F18">
        <v>11</v>
      </c>
      <c r="G18">
        <v>0.2</v>
      </c>
      <c r="I18" t="s">
        <v>78</v>
      </c>
      <c r="J18">
        <v>7</v>
      </c>
      <c r="K18">
        <f t="shared" si="0"/>
        <v>2003</v>
      </c>
      <c r="N18">
        <v>11245</v>
      </c>
      <c r="P18">
        <f t="shared" si="1"/>
        <v>8996</v>
      </c>
      <c r="Q18">
        <f t="shared" si="2"/>
        <v>107.09523809523809</v>
      </c>
      <c r="R18">
        <f t="shared" si="3"/>
        <v>0</v>
      </c>
      <c r="S18">
        <f t="shared" si="4"/>
        <v>0</v>
      </c>
      <c r="T18">
        <f t="shared" si="5"/>
        <v>0</v>
      </c>
      <c r="U18">
        <v>1</v>
      </c>
      <c r="V18">
        <f t="shared" si="6"/>
        <v>0</v>
      </c>
      <c r="X18">
        <f t="shared" si="7"/>
        <v>8996</v>
      </c>
      <c r="Y18">
        <f t="shared" si="8"/>
        <v>8996</v>
      </c>
      <c r="Z18">
        <v>1</v>
      </c>
      <c r="AA18">
        <f t="shared" si="9"/>
        <v>8996</v>
      </c>
      <c r="AB18">
        <f t="shared" si="10"/>
        <v>8996</v>
      </c>
      <c r="AC18">
        <f t="shared" si="11"/>
        <v>2249</v>
      </c>
      <c r="AD18">
        <f t="shared" si="12"/>
        <v>1996.8333333333333</v>
      </c>
      <c r="AE18">
        <f t="shared" si="13"/>
        <v>2018.0833333333333</v>
      </c>
      <c r="AF18">
        <f t="shared" si="14"/>
        <v>2003.8333333333333</v>
      </c>
      <c r="AG18">
        <f t="shared" si="15"/>
        <v>2017.0833333333333</v>
      </c>
      <c r="AH18">
        <f t="shared" si="16"/>
        <v>-8.3333333333333329E-2</v>
      </c>
      <c r="AJ18">
        <f t="shared" si="17"/>
        <v>749.66666666666663</v>
      </c>
      <c r="AL18">
        <f t="shared" si="18"/>
        <v>749.66666666666663</v>
      </c>
      <c r="AN18">
        <f t="shared" si="19"/>
        <v>-2249</v>
      </c>
      <c r="AP18">
        <f t="shared" si="20"/>
        <v>0</v>
      </c>
      <c r="AR18">
        <f t="shared" si="21"/>
        <v>0</v>
      </c>
    </row>
    <row r="19" spans="1:76">
      <c r="A19" t="s">
        <v>155</v>
      </c>
      <c r="B19">
        <v>61074</v>
      </c>
      <c r="C19">
        <v>3561</v>
      </c>
      <c r="D19" t="s">
        <v>373</v>
      </c>
      <c r="E19">
        <v>2001</v>
      </c>
      <c r="F19">
        <v>4</v>
      </c>
      <c r="G19">
        <v>0.2</v>
      </c>
      <c r="I19" t="s">
        <v>78</v>
      </c>
      <c r="J19">
        <v>7</v>
      </c>
      <c r="K19">
        <f t="shared" si="0"/>
        <v>2008</v>
      </c>
      <c r="N19">
        <v>156107.07</v>
      </c>
      <c r="P19">
        <f t="shared" si="1"/>
        <v>124885.656</v>
      </c>
      <c r="Q19">
        <f t="shared" si="2"/>
        <v>1486.7340000000002</v>
      </c>
      <c r="R19">
        <f t="shared" si="3"/>
        <v>0</v>
      </c>
      <c r="S19">
        <f t="shared" si="4"/>
        <v>0</v>
      </c>
      <c r="T19">
        <f t="shared" si="5"/>
        <v>0</v>
      </c>
      <c r="U19">
        <v>1</v>
      </c>
      <c r="V19">
        <f t="shared" si="6"/>
        <v>0</v>
      </c>
      <c r="X19">
        <f t="shared" si="7"/>
        <v>124885.656</v>
      </c>
      <c r="Y19">
        <f t="shared" si="8"/>
        <v>124885.656</v>
      </c>
      <c r="Z19">
        <v>1</v>
      </c>
      <c r="AA19">
        <f t="shared" si="9"/>
        <v>124885.656</v>
      </c>
      <c r="AB19">
        <f t="shared" si="10"/>
        <v>124885.656</v>
      </c>
      <c r="AC19">
        <f t="shared" si="11"/>
        <v>31221.414000000004</v>
      </c>
      <c r="AD19">
        <f t="shared" si="12"/>
        <v>2001.25</v>
      </c>
      <c r="AE19">
        <f t="shared" si="13"/>
        <v>2018.0833333333333</v>
      </c>
      <c r="AF19">
        <f t="shared" si="14"/>
        <v>2008.25</v>
      </c>
      <c r="AG19">
        <f t="shared" si="15"/>
        <v>2017.0833333333333</v>
      </c>
      <c r="AH19">
        <f t="shared" si="16"/>
        <v>-8.3333333333333329E-2</v>
      </c>
      <c r="AJ19">
        <f t="shared" si="17"/>
        <v>10407.138000000001</v>
      </c>
      <c r="AL19">
        <f t="shared" si="18"/>
        <v>10407.138000000001</v>
      </c>
      <c r="AN19">
        <f t="shared" si="19"/>
        <v>-31221.414000000004</v>
      </c>
      <c r="AP19">
        <f t="shared" si="20"/>
        <v>0</v>
      </c>
      <c r="AR19">
        <f t="shared" si="21"/>
        <v>0</v>
      </c>
    </row>
    <row r="20" spans="1:76">
      <c r="A20" t="s">
        <v>151</v>
      </c>
      <c r="B20">
        <v>114280</v>
      </c>
      <c r="C20">
        <v>1035</v>
      </c>
      <c r="D20" t="s">
        <v>539</v>
      </c>
      <c r="E20">
        <v>2002</v>
      </c>
      <c r="F20">
        <v>6</v>
      </c>
      <c r="G20">
        <v>0.2</v>
      </c>
      <c r="I20" t="s">
        <v>78</v>
      </c>
      <c r="J20">
        <v>7</v>
      </c>
      <c r="K20">
        <f>E20+J20</f>
        <v>2009</v>
      </c>
      <c r="N20">
        <v>101881.5</v>
      </c>
      <c r="P20">
        <f t="shared" si="1"/>
        <v>81505.2</v>
      </c>
      <c r="Q20">
        <f t="shared" si="2"/>
        <v>970.30000000000007</v>
      </c>
      <c r="R20">
        <f>IF(O20&gt;0,0,IF(OR(AD20&gt;AE20,AF20&lt;AG20),0,IF(AND(AF20&gt;=AG20,AF20&lt;=AE20),Q20*((AF20-AG20)*12),IF(AND(AG20&lt;=AD20,AE20&gt;=AD20),((AE20-AD20)*12)*Q20,IF(AF20&gt;AE20,12*Q20,0)))))</f>
        <v>0</v>
      </c>
      <c r="S20">
        <f>IF(O20=0,0,IF(AND(AH20&gt;=AG20,AH20&lt;=AF20),((AH20-AG20)*12)*Q20,0))</f>
        <v>0</v>
      </c>
      <c r="T20">
        <f>IF(S20&gt;0,S20,R20)</f>
        <v>0</v>
      </c>
      <c r="U20">
        <v>1</v>
      </c>
      <c r="V20">
        <f>U20*SUM(R20:S20)</f>
        <v>0</v>
      </c>
      <c r="X20">
        <f>IF(AD20&gt;AE20,0,IF(AF20&lt;AG20,P20,IF(AND(AF20&gt;=AG20,AF20&lt;=AE20),(P20-T20),IF(AND(AG20&lt;=AD20,AE20&gt;=AD20),0,IF(AF20&gt;AE20,((AG20-AD20)*12)*Q20,0)))))</f>
        <v>81505.2</v>
      </c>
      <c r="Y20">
        <f>X20*U20</f>
        <v>81505.2</v>
      </c>
      <c r="Z20">
        <v>1</v>
      </c>
      <c r="AA20">
        <f>Y20*Z20</f>
        <v>81505.2</v>
      </c>
      <c r="AB20">
        <f>IF(O20&gt;0,0,AA20+V20*Z20)*Z20</f>
        <v>81505.2</v>
      </c>
      <c r="AC20">
        <f>IF(O20&gt;0,(N20-AA20)/2,IF(AD20&gt;=AG20,(((N20*U20)*Z20)-AB20)/2,((((N20*U20)*Z20)-AA20)+(((N20*U20)*Z20)-AB20))/2))</f>
        <v>20376.300000000003</v>
      </c>
      <c r="AD20">
        <f>$E20+(($F20-1)/12)</f>
        <v>2002.4166666666667</v>
      </c>
      <c r="AE20">
        <f t="shared" si="13"/>
        <v>2018.0833333333333</v>
      </c>
      <c r="AF20">
        <f>$K20+(($F20-1)/12)</f>
        <v>2009.4166666666667</v>
      </c>
      <c r="AG20">
        <f t="shared" si="15"/>
        <v>2017.0833333333333</v>
      </c>
      <c r="AH20">
        <f t="shared" si="16"/>
        <v>-8.3333333333333329E-2</v>
      </c>
      <c r="AJ20">
        <f t="shared" si="17"/>
        <v>6792.1000000000013</v>
      </c>
      <c r="AL20">
        <f t="shared" si="18"/>
        <v>6792.1000000000013</v>
      </c>
      <c r="AN20">
        <f t="shared" si="19"/>
        <v>-20376.300000000003</v>
      </c>
      <c r="AP20">
        <f t="shared" si="20"/>
        <v>0</v>
      </c>
      <c r="AR20">
        <f t="shared" si="21"/>
        <v>0</v>
      </c>
    </row>
    <row r="21" spans="1:76">
      <c r="A21" t="s">
        <v>285</v>
      </c>
      <c r="B21">
        <v>74778</v>
      </c>
      <c r="C21">
        <v>1040</v>
      </c>
      <c r="D21" t="s">
        <v>148</v>
      </c>
      <c r="E21">
        <v>2004</v>
      </c>
      <c r="F21">
        <v>9</v>
      </c>
      <c r="G21">
        <v>0.2</v>
      </c>
      <c r="I21" t="s">
        <v>78</v>
      </c>
      <c r="J21">
        <v>7</v>
      </c>
      <c r="K21">
        <f t="shared" si="0"/>
        <v>2011</v>
      </c>
      <c r="N21">
        <v>112934.39999999999</v>
      </c>
      <c r="P21">
        <f t="shared" si="1"/>
        <v>90347.51999999999</v>
      </c>
      <c r="Q21">
        <f t="shared" si="2"/>
        <v>1075.5657142857142</v>
      </c>
      <c r="R21">
        <f t="shared" si="3"/>
        <v>0</v>
      </c>
      <c r="S21">
        <f t="shared" si="4"/>
        <v>0</v>
      </c>
      <c r="T21">
        <f t="shared" si="5"/>
        <v>0</v>
      </c>
      <c r="U21">
        <v>1</v>
      </c>
      <c r="V21">
        <f t="shared" si="6"/>
        <v>0</v>
      </c>
      <c r="X21">
        <f t="shared" si="7"/>
        <v>90347.51999999999</v>
      </c>
      <c r="Y21">
        <f t="shared" si="8"/>
        <v>90347.51999999999</v>
      </c>
      <c r="Z21">
        <v>1</v>
      </c>
      <c r="AA21">
        <f t="shared" si="9"/>
        <v>90347.51999999999</v>
      </c>
      <c r="AB21">
        <f t="shared" si="10"/>
        <v>90347.51999999999</v>
      </c>
      <c r="AC21">
        <f t="shared" si="11"/>
        <v>22586.880000000005</v>
      </c>
      <c r="AD21">
        <f t="shared" si="12"/>
        <v>2004.6666666666667</v>
      </c>
      <c r="AE21">
        <f t="shared" si="13"/>
        <v>2018.0833333333333</v>
      </c>
      <c r="AF21">
        <f t="shared" si="14"/>
        <v>2011.6666666666667</v>
      </c>
      <c r="AG21">
        <f t="shared" si="15"/>
        <v>2017.0833333333333</v>
      </c>
      <c r="AH21">
        <f t="shared" si="16"/>
        <v>-8.3333333333333329E-2</v>
      </c>
      <c r="AJ21">
        <f t="shared" si="17"/>
        <v>7528.9600000000019</v>
      </c>
      <c r="AL21">
        <f t="shared" si="18"/>
        <v>7528.9600000000019</v>
      </c>
      <c r="AN21">
        <f t="shared" si="19"/>
        <v>-22586.880000000005</v>
      </c>
      <c r="AP21">
        <f t="shared" si="20"/>
        <v>0</v>
      </c>
      <c r="AR21">
        <f t="shared" si="21"/>
        <v>0</v>
      </c>
    </row>
    <row r="22" spans="1:76">
      <c r="A22" t="s">
        <v>285</v>
      </c>
      <c r="C22">
        <v>1040</v>
      </c>
      <c r="D22" t="s">
        <v>84</v>
      </c>
      <c r="E22">
        <v>2004</v>
      </c>
      <c r="F22">
        <v>9</v>
      </c>
      <c r="G22">
        <v>0.2</v>
      </c>
      <c r="I22" t="s">
        <v>78</v>
      </c>
      <c r="J22">
        <v>7</v>
      </c>
      <c r="K22">
        <f t="shared" si="0"/>
        <v>2011</v>
      </c>
      <c r="N22">
        <v>2730.88</v>
      </c>
      <c r="P22">
        <f t="shared" si="1"/>
        <v>2184.7040000000002</v>
      </c>
      <c r="Q22">
        <f t="shared" si="2"/>
        <v>26.008380952380957</v>
      </c>
      <c r="R22">
        <f t="shared" si="3"/>
        <v>0</v>
      </c>
      <c r="S22">
        <f t="shared" si="4"/>
        <v>0</v>
      </c>
      <c r="T22">
        <f t="shared" si="5"/>
        <v>0</v>
      </c>
      <c r="U22">
        <v>1</v>
      </c>
      <c r="V22">
        <f t="shared" si="6"/>
        <v>0</v>
      </c>
      <c r="X22">
        <f t="shared" si="7"/>
        <v>2184.7040000000002</v>
      </c>
      <c r="Y22">
        <f t="shared" si="8"/>
        <v>2184.7040000000002</v>
      </c>
      <c r="Z22">
        <v>1</v>
      </c>
      <c r="AA22">
        <f t="shared" si="9"/>
        <v>2184.7040000000002</v>
      </c>
      <c r="AB22">
        <f t="shared" si="10"/>
        <v>2184.7040000000002</v>
      </c>
      <c r="AC22">
        <f t="shared" si="11"/>
        <v>546.17599999999993</v>
      </c>
      <c r="AD22">
        <f t="shared" si="12"/>
        <v>2004.6666666666667</v>
      </c>
      <c r="AE22">
        <f t="shared" si="13"/>
        <v>2018.0833333333333</v>
      </c>
      <c r="AF22">
        <f t="shared" si="14"/>
        <v>2011.6666666666667</v>
      </c>
      <c r="AG22">
        <f t="shared" si="15"/>
        <v>2017.0833333333333</v>
      </c>
      <c r="AH22">
        <f t="shared" si="16"/>
        <v>-8.3333333333333329E-2</v>
      </c>
      <c r="AJ22">
        <f t="shared" si="17"/>
        <v>182.05866666666665</v>
      </c>
      <c r="AL22">
        <f t="shared" si="18"/>
        <v>182.05866666666665</v>
      </c>
      <c r="AN22">
        <f t="shared" si="19"/>
        <v>-546.17599999999993</v>
      </c>
      <c r="AP22">
        <f t="shared" si="20"/>
        <v>0</v>
      </c>
      <c r="AR22">
        <f t="shared" si="21"/>
        <v>0</v>
      </c>
    </row>
    <row r="23" spans="1:76">
      <c r="A23" t="s">
        <v>285</v>
      </c>
      <c r="B23">
        <v>61085</v>
      </c>
      <c r="C23">
        <v>1041</v>
      </c>
      <c r="D23" t="s">
        <v>148</v>
      </c>
      <c r="E23">
        <v>2004</v>
      </c>
      <c r="F23">
        <v>9</v>
      </c>
      <c r="G23">
        <v>0.2</v>
      </c>
      <c r="I23" t="s">
        <v>78</v>
      </c>
      <c r="J23">
        <v>7</v>
      </c>
      <c r="K23">
        <f t="shared" si="0"/>
        <v>2011</v>
      </c>
      <c r="N23">
        <v>112934.39999999999</v>
      </c>
      <c r="P23">
        <f t="shared" si="1"/>
        <v>90347.51999999999</v>
      </c>
      <c r="Q23">
        <f t="shared" si="2"/>
        <v>1075.5657142857142</v>
      </c>
      <c r="R23">
        <f t="shared" si="3"/>
        <v>0</v>
      </c>
      <c r="S23">
        <f t="shared" si="4"/>
        <v>0</v>
      </c>
      <c r="T23">
        <f t="shared" si="5"/>
        <v>0</v>
      </c>
      <c r="U23">
        <v>1</v>
      </c>
      <c r="V23">
        <f t="shared" si="6"/>
        <v>0</v>
      </c>
      <c r="X23">
        <f t="shared" si="7"/>
        <v>90347.51999999999</v>
      </c>
      <c r="Y23">
        <f t="shared" si="8"/>
        <v>90347.51999999999</v>
      </c>
      <c r="Z23">
        <v>1</v>
      </c>
      <c r="AA23">
        <f t="shared" si="9"/>
        <v>90347.51999999999</v>
      </c>
      <c r="AB23">
        <f t="shared" si="10"/>
        <v>90347.51999999999</v>
      </c>
      <c r="AC23">
        <f t="shared" si="11"/>
        <v>22586.880000000005</v>
      </c>
      <c r="AD23">
        <f t="shared" si="12"/>
        <v>2004.6666666666667</v>
      </c>
      <c r="AE23">
        <f t="shared" si="13"/>
        <v>2018.0833333333333</v>
      </c>
      <c r="AF23">
        <f t="shared" si="14"/>
        <v>2011.6666666666667</v>
      </c>
      <c r="AG23">
        <f t="shared" si="15"/>
        <v>2017.0833333333333</v>
      </c>
      <c r="AH23">
        <f t="shared" si="16"/>
        <v>-8.3333333333333329E-2</v>
      </c>
      <c r="AJ23">
        <f t="shared" si="17"/>
        <v>7528.9600000000019</v>
      </c>
      <c r="AL23">
        <f t="shared" si="18"/>
        <v>7528.9600000000019</v>
      </c>
      <c r="AN23">
        <f t="shared" si="19"/>
        <v>-22586.880000000005</v>
      </c>
      <c r="AP23">
        <f t="shared" si="20"/>
        <v>0</v>
      </c>
      <c r="AR23">
        <f t="shared" si="21"/>
        <v>0</v>
      </c>
    </row>
    <row r="24" spans="1:76">
      <c r="A24" t="s">
        <v>285</v>
      </c>
      <c r="C24">
        <v>1041</v>
      </c>
      <c r="D24" t="s">
        <v>87</v>
      </c>
      <c r="E24">
        <v>2004</v>
      </c>
      <c r="F24">
        <v>9</v>
      </c>
      <c r="G24">
        <v>0.2</v>
      </c>
      <c r="I24" t="s">
        <v>78</v>
      </c>
      <c r="J24">
        <v>7</v>
      </c>
      <c r="K24">
        <f t="shared" si="0"/>
        <v>2011</v>
      </c>
      <c r="N24">
        <v>2730.88</v>
      </c>
      <c r="P24">
        <f t="shared" si="1"/>
        <v>2184.7040000000002</v>
      </c>
      <c r="Q24">
        <f t="shared" si="2"/>
        <v>26.008380952380957</v>
      </c>
      <c r="R24">
        <f t="shared" si="3"/>
        <v>0</v>
      </c>
      <c r="S24">
        <f t="shared" si="4"/>
        <v>0</v>
      </c>
      <c r="T24">
        <f t="shared" si="5"/>
        <v>0</v>
      </c>
      <c r="U24">
        <v>1</v>
      </c>
      <c r="V24">
        <f t="shared" si="6"/>
        <v>0</v>
      </c>
      <c r="X24">
        <f t="shared" si="7"/>
        <v>2184.7040000000002</v>
      </c>
      <c r="Y24">
        <f t="shared" si="8"/>
        <v>2184.7040000000002</v>
      </c>
      <c r="Z24">
        <v>1</v>
      </c>
      <c r="AA24">
        <f t="shared" si="9"/>
        <v>2184.7040000000002</v>
      </c>
      <c r="AB24">
        <f t="shared" si="10"/>
        <v>2184.7040000000002</v>
      </c>
      <c r="AC24">
        <f t="shared" si="11"/>
        <v>546.17599999999993</v>
      </c>
      <c r="AD24">
        <f t="shared" si="12"/>
        <v>2004.6666666666667</v>
      </c>
      <c r="AE24">
        <f t="shared" si="13"/>
        <v>2018.0833333333333</v>
      </c>
      <c r="AF24">
        <f t="shared" si="14"/>
        <v>2011.6666666666667</v>
      </c>
      <c r="AG24">
        <f t="shared" si="15"/>
        <v>2017.0833333333333</v>
      </c>
      <c r="AH24">
        <f t="shared" si="16"/>
        <v>-8.3333333333333329E-2</v>
      </c>
      <c r="AJ24">
        <f t="shared" si="17"/>
        <v>182.05866666666665</v>
      </c>
      <c r="AL24">
        <f t="shared" si="18"/>
        <v>182.05866666666665</v>
      </c>
      <c r="AN24">
        <f t="shared" si="19"/>
        <v>-546.17599999999993</v>
      </c>
      <c r="AP24">
        <f t="shared" si="20"/>
        <v>0</v>
      </c>
      <c r="AR24">
        <f t="shared" si="21"/>
        <v>0</v>
      </c>
    </row>
    <row r="25" spans="1:76">
      <c r="A25" t="s">
        <v>284</v>
      </c>
      <c r="C25">
        <v>3575</v>
      </c>
      <c r="D25" t="s">
        <v>159</v>
      </c>
      <c r="E25">
        <v>2004</v>
      </c>
      <c r="F25">
        <v>12</v>
      </c>
      <c r="G25">
        <v>0.2</v>
      </c>
      <c r="I25" t="s">
        <v>78</v>
      </c>
      <c r="J25">
        <v>7</v>
      </c>
      <c r="K25">
        <f t="shared" si="0"/>
        <v>2011</v>
      </c>
      <c r="N25">
        <v>167550.66</v>
      </c>
      <c r="P25">
        <f t="shared" si="1"/>
        <v>134040.52799999999</v>
      </c>
      <c r="Q25">
        <f t="shared" si="2"/>
        <v>1595.7205714285712</v>
      </c>
      <c r="R25">
        <f t="shared" si="3"/>
        <v>0</v>
      </c>
      <c r="S25">
        <f t="shared" si="4"/>
        <v>0</v>
      </c>
      <c r="T25">
        <f t="shared" si="5"/>
        <v>0</v>
      </c>
      <c r="U25">
        <v>1</v>
      </c>
      <c r="V25">
        <f t="shared" si="6"/>
        <v>0</v>
      </c>
      <c r="X25">
        <f t="shared" si="7"/>
        <v>134040.52799999999</v>
      </c>
      <c r="Y25">
        <f t="shared" si="8"/>
        <v>134040.52799999999</v>
      </c>
      <c r="Z25">
        <v>1</v>
      </c>
      <c r="AA25">
        <f t="shared" si="9"/>
        <v>134040.52799999999</v>
      </c>
      <c r="AB25">
        <f t="shared" si="10"/>
        <v>134040.52799999999</v>
      </c>
      <c r="AC25">
        <f t="shared" si="11"/>
        <v>33510.132000000012</v>
      </c>
      <c r="AD25">
        <f t="shared" si="12"/>
        <v>2004.9166666666667</v>
      </c>
      <c r="AE25">
        <f t="shared" si="13"/>
        <v>2018.0833333333333</v>
      </c>
      <c r="AF25">
        <f t="shared" si="14"/>
        <v>2011.9166666666667</v>
      </c>
      <c r="AG25">
        <f t="shared" si="15"/>
        <v>2017.0833333333333</v>
      </c>
      <c r="AH25">
        <f t="shared" si="16"/>
        <v>-8.3333333333333329E-2</v>
      </c>
      <c r="AJ25">
        <f t="shared" si="17"/>
        <v>11170.044000000004</v>
      </c>
      <c r="AL25">
        <f t="shared" si="18"/>
        <v>11170.044000000004</v>
      </c>
      <c r="AN25">
        <f t="shared" si="19"/>
        <v>-33510.132000000012</v>
      </c>
      <c r="AP25">
        <f t="shared" si="20"/>
        <v>0</v>
      </c>
      <c r="AR25">
        <f t="shared" si="21"/>
        <v>0</v>
      </c>
    </row>
    <row r="26" spans="1:76">
      <c r="A26" t="s">
        <v>288</v>
      </c>
      <c r="C26">
        <v>5001</v>
      </c>
      <c r="D26" t="s">
        <v>304</v>
      </c>
      <c r="E26">
        <v>2005</v>
      </c>
      <c r="F26">
        <v>8</v>
      </c>
      <c r="G26">
        <v>0.33</v>
      </c>
      <c r="I26" t="s">
        <v>78</v>
      </c>
      <c r="J26">
        <v>5</v>
      </c>
      <c r="K26">
        <f t="shared" si="0"/>
        <v>2010</v>
      </c>
      <c r="N26">
        <v>9756</v>
      </c>
      <c r="P26">
        <f t="shared" si="1"/>
        <v>6536.52</v>
      </c>
      <c r="Q26">
        <f t="shared" si="2"/>
        <v>108.94200000000001</v>
      </c>
      <c r="R26">
        <f t="shared" si="3"/>
        <v>0</v>
      </c>
      <c r="S26">
        <f t="shared" si="4"/>
        <v>0</v>
      </c>
      <c r="T26">
        <f t="shared" si="5"/>
        <v>0</v>
      </c>
      <c r="U26">
        <v>1</v>
      </c>
      <c r="V26">
        <f t="shared" si="6"/>
        <v>0</v>
      </c>
      <c r="X26">
        <f t="shared" si="7"/>
        <v>6536.52</v>
      </c>
      <c r="Y26">
        <f t="shared" si="8"/>
        <v>6536.52</v>
      </c>
      <c r="Z26">
        <v>1</v>
      </c>
      <c r="AA26">
        <f t="shared" si="9"/>
        <v>6536.52</v>
      </c>
      <c r="AB26">
        <f t="shared" si="10"/>
        <v>6536.52</v>
      </c>
      <c r="AC26">
        <f t="shared" si="11"/>
        <v>3219.4799999999996</v>
      </c>
      <c r="AD26">
        <f t="shared" si="12"/>
        <v>2005.5833333333333</v>
      </c>
      <c r="AE26">
        <f t="shared" si="13"/>
        <v>2018.0833333333333</v>
      </c>
      <c r="AF26">
        <f t="shared" si="14"/>
        <v>2010.5833333333333</v>
      </c>
      <c r="AG26">
        <f t="shared" si="15"/>
        <v>2017.0833333333333</v>
      </c>
      <c r="AH26">
        <f t="shared" si="16"/>
        <v>-8.3333333333333329E-2</v>
      </c>
      <c r="AJ26">
        <f t="shared" si="17"/>
        <v>1073.1599999999999</v>
      </c>
      <c r="AL26">
        <f t="shared" si="18"/>
        <v>1073.1599999999999</v>
      </c>
      <c r="AN26">
        <f t="shared" si="19"/>
        <v>-3219.4799999999996</v>
      </c>
      <c r="AP26">
        <f t="shared" si="20"/>
        <v>0</v>
      </c>
      <c r="AR26">
        <f t="shared" si="21"/>
        <v>0</v>
      </c>
    </row>
    <row r="27" spans="1:76">
      <c r="A27" t="s">
        <v>285</v>
      </c>
      <c r="B27">
        <v>61093</v>
      </c>
      <c r="C27">
        <v>1042</v>
      </c>
      <c r="D27" t="s">
        <v>374</v>
      </c>
      <c r="E27">
        <v>2005</v>
      </c>
      <c r="F27">
        <v>12</v>
      </c>
      <c r="G27">
        <v>0.2</v>
      </c>
      <c r="I27" t="s">
        <v>78</v>
      </c>
      <c r="J27">
        <v>7</v>
      </c>
      <c r="K27">
        <f t="shared" si="0"/>
        <v>2012</v>
      </c>
      <c r="N27">
        <v>125862.5</v>
      </c>
      <c r="P27">
        <f t="shared" si="1"/>
        <v>100690</v>
      </c>
      <c r="Q27">
        <f t="shared" si="2"/>
        <v>1198.6904761904761</v>
      </c>
      <c r="R27">
        <f t="shared" si="3"/>
        <v>0</v>
      </c>
      <c r="S27">
        <f t="shared" si="4"/>
        <v>0</v>
      </c>
      <c r="T27">
        <f t="shared" si="5"/>
        <v>0</v>
      </c>
      <c r="U27">
        <v>1</v>
      </c>
      <c r="V27">
        <f t="shared" si="6"/>
        <v>0</v>
      </c>
      <c r="X27">
        <f t="shared" si="7"/>
        <v>100690</v>
      </c>
      <c r="Y27">
        <f t="shared" si="8"/>
        <v>100690</v>
      </c>
      <c r="Z27">
        <v>1</v>
      </c>
      <c r="AA27">
        <f t="shared" si="9"/>
        <v>100690</v>
      </c>
      <c r="AB27">
        <f t="shared" si="10"/>
        <v>100690</v>
      </c>
      <c r="AC27">
        <f t="shared" si="11"/>
        <v>25172.5</v>
      </c>
      <c r="AD27">
        <f t="shared" si="12"/>
        <v>2005.9166666666667</v>
      </c>
      <c r="AE27">
        <f t="shared" si="13"/>
        <v>2018.0833333333333</v>
      </c>
      <c r="AF27">
        <f t="shared" si="14"/>
        <v>2012.9166666666667</v>
      </c>
      <c r="AG27">
        <f t="shared" si="15"/>
        <v>2017.0833333333333</v>
      </c>
      <c r="AH27">
        <f t="shared" si="16"/>
        <v>-8.3333333333333329E-2</v>
      </c>
      <c r="AJ27">
        <f t="shared" si="17"/>
        <v>8390.8333333333339</v>
      </c>
      <c r="AL27">
        <f t="shared" si="18"/>
        <v>8390.8333333333339</v>
      </c>
      <c r="AN27">
        <f t="shared" si="19"/>
        <v>-25172.5</v>
      </c>
      <c r="AP27">
        <f t="shared" si="20"/>
        <v>0</v>
      </c>
      <c r="AR27">
        <f t="shared" si="21"/>
        <v>0</v>
      </c>
    </row>
    <row r="28" spans="1:76">
      <c r="A28" t="s">
        <v>284</v>
      </c>
      <c r="C28">
        <v>3586</v>
      </c>
      <c r="D28" t="s">
        <v>160</v>
      </c>
      <c r="E28">
        <v>2005</v>
      </c>
      <c r="F28">
        <v>12</v>
      </c>
      <c r="G28">
        <v>0.2</v>
      </c>
      <c r="I28" t="s">
        <v>78</v>
      </c>
      <c r="J28">
        <v>7</v>
      </c>
      <c r="K28">
        <f t="shared" si="0"/>
        <v>2012</v>
      </c>
      <c r="N28">
        <v>174584.51</v>
      </c>
      <c r="P28">
        <f t="shared" si="1"/>
        <v>139667.60800000001</v>
      </c>
      <c r="Q28">
        <f t="shared" si="2"/>
        <v>1662.7096190476193</v>
      </c>
      <c r="R28">
        <f t="shared" si="3"/>
        <v>0</v>
      </c>
      <c r="S28">
        <f t="shared" si="4"/>
        <v>0</v>
      </c>
      <c r="T28">
        <f t="shared" si="5"/>
        <v>0</v>
      </c>
      <c r="U28">
        <v>1</v>
      </c>
      <c r="V28">
        <f t="shared" si="6"/>
        <v>0</v>
      </c>
      <c r="X28">
        <f t="shared" si="7"/>
        <v>139667.60800000001</v>
      </c>
      <c r="Y28">
        <f t="shared" si="8"/>
        <v>139667.60800000001</v>
      </c>
      <c r="Z28">
        <v>1</v>
      </c>
      <c r="AA28">
        <f t="shared" si="9"/>
        <v>139667.60800000001</v>
      </c>
      <c r="AB28">
        <f t="shared" si="10"/>
        <v>139667.60800000001</v>
      </c>
      <c r="AC28">
        <f t="shared" si="11"/>
        <v>34916.902000000002</v>
      </c>
      <c r="AD28">
        <f t="shared" si="12"/>
        <v>2005.9166666666667</v>
      </c>
      <c r="AE28">
        <f t="shared" si="13"/>
        <v>2018.0833333333333</v>
      </c>
      <c r="AF28">
        <f t="shared" si="14"/>
        <v>2012.9166666666667</v>
      </c>
      <c r="AG28">
        <f t="shared" si="15"/>
        <v>2017.0833333333333</v>
      </c>
      <c r="AH28">
        <f t="shared" si="16"/>
        <v>-8.3333333333333329E-2</v>
      </c>
      <c r="AJ28">
        <f t="shared" si="17"/>
        <v>11638.967333333334</v>
      </c>
      <c r="AL28">
        <f t="shared" si="18"/>
        <v>11638.967333333334</v>
      </c>
      <c r="AN28">
        <f t="shared" si="19"/>
        <v>-34916.902000000002</v>
      </c>
      <c r="AP28">
        <f t="shared" si="20"/>
        <v>0</v>
      </c>
      <c r="AR28">
        <f t="shared" si="21"/>
        <v>0</v>
      </c>
    </row>
    <row r="29" spans="1:76">
      <c r="A29" t="s">
        <v>285</v>
      </c>
      <c r="B29">
        <v>61094</v>
      </c>
      <c r="C29">
        <v>1045</v>
      </c>
      <c r="D29" t="s">
        <v>375</v>
      </c>
      <c r="E29">
        <v>2006</v>
      </c>
      <c r="F29">
        <v>1</v>
      </c>
      <c r="G29">
        <v>0.2</v>
      </c>
      <c r="I29" t="s">
        <v>78</v>
      </c>
      <c r="J29">
        <v>7</v>
      </c>
      <c r="K29">
        <f t="shared" si="0"/>
        <v>2013</v>
      </c>
      <c r="N29">
        <v>126105.78</v>
      </c>
      <c r="P29">
        <f t="shared" si="1"/>
        <v>100884.624</v>
      </c>
      <c r="Q29">
        <f t="shared" si="2"/>
        <v>1201.0074285714286</v>
      </c>
      <c r="R29">
        <f t="shared" si="3"/>
        <v>0</v>
      </c>
      <c r="S29">
        <f t="shared" si="4"/>
        <v>0</v>
      </c>
      <c r="T29">
        <f t="shared" si="5"/>
        <v>0</v>
      </c>
      <c r="U29">
        <v>1</v>
      </c>
      <c r="V29">
        <f t="shared" si="6"/>
        <v>0</v>
      </c>
      <c r="X29">
        <f t="shared" si="7"/>
        <v>100884.624</v>
      </c>
      <c r="Y29">
        <f t="shared" si="8"/>
        <v>100884.624</v>
      </c>
      <c r="Z29">
        <v>1</v>
      </c>
      <c r="AA29">
        <f t="shared" si="9"/>
        <v>100884.624</v>
      </c>
      <c r="AB29">
        <f t="shared" si="10"/>
        <v>100884.624</v>
      </c>
      <c r="AC29">
        <f t="shared" si="11"/>
        <v>25221.156000000003</v>
      </c>
      <c r="AD29">
        <f t="shared" si="12"/>
        <v>2006</v>
      </c>
      <c r="AE29">
        <f t="shared" si="13"/>
        <v>2018.0833333333333</v>
      </c>
      <c r="AF29">
        <f t="shared" si="14"/>
        <v>2013</v>
      </c>
      <c r="AG29">
        <f t="shared" si="15"/>
        <v>2017.0833333333333</v>
      </c>
      <c r="AH29">
        <f t="shared" si="16"/>
        <v>-8.3333333333333329E-2</v>
      </c>
      <c r="AJ29">
        <f t="shared" si="17"/>
        <v>8407.0520000000015</v>
      </c>
      <c r="AL29">
        <f t="shared" si="18"/>
        <v>8407.0520000000015</v>
      </c>
      <c r="AN29">
        <f t="shared" si="19"/>
        <v>-25221.156000000003</v>
      </c>
      <c r="AP29">
        <f t="shared" si="20"/>
        <v>0</v>
      </c>
      <c r="AR29">
        <f t="shared" si="21"/>
        <v>0</v>
      </c>
      <c r="BX29" t="s">
        <v>256</v>
      </c>
    </row>
    <row r="30" spans="1:76">
      <c r="A30" t="s">
        <v>284</v>
      </c>
      <c r="C30">
        <v>3586</v>
      </c>
      <c r="D30" t="s">
        <v>296</v>
      </c>
      <c r="E30">
        <v>2006</v>
      </c>
      <c r="F30">
        <v>1</v>
      </c>
      <c r="G30">
        <v>0.2</v>
      </c>
      <c r="I30" t="s">
        <v>78</v>
      </c>
      <c r="J30">
        <v>7</v>
      </c>
      <c r="K30">
        <f t="shared" si="0"/>
        <v>2013</v>
      </c>
      <c r="N30">
        <v>8338.44</v>
      </c>
      <c r="P30">
        <f t="shared" si="1"/>
        <v>6670.7520000000004</v>
      </c>
      <c r="Q30">
        <f t="shared" si="2"/>
        <v>79.413714285714292</v>
      </c>
      <c r="R30">
        <f t="shared" si="3"/>
        <v>0</v>
      </c>
      <c r="S30">
        <f t="shared" si="4"/>
        <v>0</v>
      </c>
      <c r="T30">
        <f t="shared" si="5"/>
        <v>0</v>
      </c>
      <c r="U30">
        <v>1</v>
      </c>
      <c r="V30">
        <f t="shared" si="6"/>
        <v>0</v>
      </c>
      <c r="X30">
        <f t="shared" si="7"/>
        <v>6670.7520000000004</v>
      </c>
      <c r="Y30">
        <f t="shared" si="8"/>
        <v>6670.7520000000004</v>
      </c>
      <c r="Z30">
        <v>1</v>
      </c>
      <c r="AA30">
        <f t="shared" si="9"/>
        <v>6670.7520000000004</v>
      </c>
      <c r="AB30">
        <f t="shared" si="10"/>
        <v>6670.7520000000004</v>
      </c>
      <c r="AC30">
        <f t="shared" si="11"/>
        <v>1667.6880000000001</v>
      </c>
      <c r="AD30">
        <f t="shared" si="12"/>
        <v>2006</v>
      </c>
      <c r="AE30">
        <f t="shared" si="13"/>
        <v>2018.0833333333333</v>
      </c>
      <c r="AF30">
        <f t="shared" si="14"/>
        <v>2013</v>
      </c>
      <c r="AG30">
        <f t="shared" si="15"/>
        <v>2017.0833333333333</v>
      </c>
      <c r="AH30">
        <f t="shared" si="16"/>
        <v>-8.3333333333333329E-2</v>
      </c>
      <c r="AJ30">
        <f t="shared" si="17"/>
        <v>555.89600000000007</v>
      </c>
      <c r="AL30">
        <f t="shared" si="18"/>
        <v>555.89600000000007</v>
      </c>
      <c r="AN30">
        <f t="shared" si="19"/>
        <v>-1667.6880000000001</v>
      </c>
      <c r="AP30">
        <f t="shared" si="20"/>
        <v>0</v>
      </c>
      <c r="AR30">
        <f t="shared" si="21"/>
        <v>0</v>
      </c>
      <c r="BX30" t="s">
        <v>257</v>
      </c>
    </row>
    <row r="31" spans="1:76">
      <c r="A31" t="s">
        <v>285</v>
      </c>
      <c r="B31">
        <v>61095</v>
      </c>
      <c r="C31">
        <v>1046</v>
      </c>
      <c r="D31" t="s">
        <v>375</v>
      </c>
      <c r="E31">
        <v>2006</v>
      </c>
      <c r="F31">
        <v>5</v>
      </c>
      <c r="G31">
        <v>0.2</v>
      </c>
      <c r="I31" t="s">
        <v>78</v>
      </c>
      <c r="J31">
        <v>7</v>
      </c>
      <c r="K31">
        <f t="shared" si="0"/>
        <v>2013</v>
      </c>
      <c r="N31">
        <f>122285.81+3819.97</f>
        <v>126105.78</v>
      </c>
      <c r="P31">
        <f t="shared" si="1"/>
        <v>100884.624</v>
      </c>
      <c r="Q31">
        <f t="shared" si="2"/>
        <v>1201.0074285714286</v>
      </c>
      <c r="R31">
        <f t="shared" si="3"/>
        <v>0</v>
      </c>
      <c r="S31">
        <f t="shared" si="4"/>
        <v>0</v>
      </c>
      <c r="T31">
        <f t="shared" si="5"/>
        <v>0</v>
      </c>
      <c r="U31">
        <v>1</v>
      </c>
      <c r="V31">
        <f t="shared" si="6"/>
        <v>0</v>
      </c>
      <c r="X31">
        <f t="shared" si="7"/>
        <v>100884.624</v>
      </c>
      <c r="Y31">
        <f t="shared" si="8"/>
        <v>100884.624</v>
      </c>
      <c r="Z31">
        <v>1</v>
      </c>
      <c r="AA31">
        <f t="shared" si="9"/>
        <v>100884.624</v>
      </c>
      <c r="AB31">
        <f t="shared" si="10"/>
        <v>100884.624</v>
      </c>
      <c r="AC31">
        <f t="shared" si="11"/>
        <v>25221.156000000003</v>
      </c>
      <c r="AD31">
        <f t="shared" si="12"/>
        <v>2006.3333333333333</v>
      </c>
      <c r="AE31">
        <f t="shared" si="13"/>
        <v>2018.0833333333333</v>
      </c>
      <c r="AF31">
        <f t="shared" si="14"/>
        <v>2013.3333333333333</v>
      </c>
      <c r="AG31">
        <f t="shared" si="15"/>
        <v>2017.0833333333333</v>
      </c>
      <c r="AH31">
        <f t="shared" si="16"/>
        <v>-8.3333333333333329E-2</v>
      </c>
      <c r="AJ31">
        <f t="shared" si="17"/>
        <v>8407.0520000000015</v>
      </c>
      <c r="AL31">
        <f t="shared" si="18"/>
        <v>8407.0520000000015</v>
      </c>
      <c r="AN31">
        <f t="shared" si="19"/>
        <v>-25221.156000000003</v>
      </c>
      <c r="AP31">
        <f t="shared" si="20"/>
        <v>0</v>
      </c>
      <c r="AR31">
        <f t="shared" si="21"/>
        <v>0</v>
      </c>
    </row>
    <row r="32" spans="1:76">
      <c r="A32" t="s">
        <v>284</v>
      </c>
      <c r="C32">
        <v>3590</v>
      </c>
      <c r="D32" t="s">
        <v>160</v>
      </c>
      <c r="E32">
        <v>2006</v>
      </c>
      <c r="F32">
        <v>5</v>
      </c>
      <c r="G32">
        <v>0.2</v>
      </c>
      <c r="I32" t="s">
        <v>78</v>
      </c>
      <c r="J32">
        <v>7</v>
      </c>
      <c r="K32">
        <f t="shared" si="0"/>
        <v>2013</v>
      </c>
      <c r="N32">
        <v>183553.22</v>
      </c>
      <c r="P32">
        <f t="shared" si="1"/>
        <v>146842.576</v>
      </c>
      <c r="Q32">
        <f t="shared" si="2"/>
        <v>1748.1259047619048</v>
      </c>
      <c r="R32">
        <f t="shared" si="3"/>
        <v>0</v>
      </c>
      <c r="S32">
        <f t="shared" si="4"/>
        <v>0</v>
      </c>
      <c r="T32">
        <f t="shared" si="5"/>
        <v>0</v>
      </c>
      <c r="U32">
        <v>1</v>
      </c>
      <c r="V32">
        <f t="shared" si="6"/>
        <v>0</v>
      </c>
      <c r="X32">
        <f t="shared" si="7"/>
        <v>146842.576</v>
      </c>
      <c r="Y32">
        <f t="shared" si="8"/>
        <v>146842.576</v>
      </c>
      <c r="Z32">
        <v>1</v>
      </c>
      <c r="AA32">
        <f t="shared" si="9"/>
        <v>146842.576</v>
      </c>
      <c r="AB32">
        <f t="shared" si="10"/>
        <v>146842.576</v>
      </c>
      <c r="AC32">
        <f t="shared" si="11"/>
        <v>36710.644</v>
      </c>
      <c r="AD32">
        <f t="shared" si="12"/>
        <v>2006.3333333333333</v>
      </c>
      <c r="AE32">
        <f t="shared" si="13"/>
        <v>2018.0833333333333</v>
      </c>
      <c r="AF32">
        <f t="shared" si="14"/>
        <v>2013.3333333333333</v>
      </c>
      <c r="AG32">
        <f t="shared" si="15"/>
        <v>2017.0833333333333</v>
      </c>
      <c r="AH32">
        <f t="shared" si="16"/>
        <v>-8.3333333333333329E-2</v>
      </c>
      <c r="AJ32">
        <f t="shared" si="17"/>
        <v>12236.881333333333</v>
      </c>
      <c r="AL32">
        <f t="shared" si="18"/>
        <v>12236.881333333333</v>
      </c>
      <c r="AN32">
        <f t="shared" si="19"/>
        <v>-36710.644</v>
      </c>
      <c r="AP32">
        <f t="shared" si="20"/>
        <v>0</v>
      </c>
      <c r="AR32">
        <f t="shared" si="21"/>
        <v>0</v>
      </c>
      <c r="BW32">
        <v>4</v>
      </c>
      <c r="BX32" t="s">
        <v>259</v>
      </c>
    </row>
    <row r="33" spans="1:76">
      <c r="A33" t="s">
        <v>284</v>
      </c>
      <c r="C33">
        <v>3591</v>
      </c>
      <c r="D33" t="s">
        <v>376</v>
      </c>
      <c r="E33">
        <v>2006</v>
      </c>
      <c r="F33">
        <v>5</v>
      </c>
      <c r="G33">
        <v>0.2</v>
      </c>
      <c r="I33" t="s">
        <v>78</v>
      </c>
      <c r="J33">
        <v>7</v>
      </c>
      <c r="K33">
        <f t="shared" si="0"/>
        <v>2013</v>
      </c>
      <c r="N33">
        <v>183553.22</v>
      </c>
      <c r="P33">
        <f t="shared" si="1"/>
        <v>146842.576</v>
      </c>
      <c r="Q33">
        <f t="shared" si="2"/>
        <v>1748.1259047619048</v>
      </c>
      <c r="R33">
        <f t="shared" si="3"/>
        <v>0</v>
      </c>
      <c r="S33">
        <f t="shared" si="4"/>
        <v>0</v>
      </c>
      <c r="T33">
        <f t="shared" si="5"/>
        <v>0</v>
      </c>
      <c r="U33">
        <v>1</v>
      </c>
      <c r="V33">
        <f t="shared" si="6"/>
        <v>0</v>
      </c>
      <c r="X33">
        <f t="shared" si="7"/>
        <v>146842.576</v>
      </c>
      <c r="Y33">
        <f t="shared" si="8"/>
        <v>146842.576</v>
      </c>
      <c r="Z33">
        <v>1</v>
      </c>
      <c r="AA33">
        <f t="shared" si="9"/>
        <v>146842.576</v>
      </c>
      <c r="AB33">
        <f t="shared" si="10"/>
        <v>146842.576</v>
      </c>
      <c r="AC33">
        <f t="shared" si="11"/>
        <v>36710.644</v>
      </c>
      <c r="AD33">
        <f t="shared" si="12"/>
        <v>2006.3333333333333</v>
      </c>
      <c r="AE33">
        <f t="shared" si="13"/>
        <v>2018.0833333333333</v>
      </c>
      <c r="AF33">
        <f t="shared" si="14"/>
        <v>2013.3333333333333</v>
      </c>
      <c r="AG33">
        <f t="shared" si="15"/>
        <v>2017.0833333333333</v>
      </c>
      <c r="AH33">
        <f t="shared" si="16"/>
        <v>-8.3333333333333329E-2</v>
      </c>
      <c r="AJ33">
        <f t="shared" si="17"/>
        <v>12236.881333333333</v>
      </c>
      <c r="AL33">
        <f t="shared" si="18"/>
        <v>12236.881333333333</v>
      </c>
      <c r="AN33">
        <f t="shared" si="19"/>
        <v>-36710.644</v>
      </c>
      <c r="AP33">
        <f t="shared" si="20"/>
        <v>0</v>
      </c>
      <c r="AR33">
        <f t="shared" si="21"/>
        <v>0</v>
      </c>
      <c r="BX33" t="s">
        <v>280</v>
      </c>
    </row>
    <row r="34" spans="1:76">
      <c r="A34" t="s">
        <v>284</v>
      </c>
      <c r="C34">
        <v>3593</v>
      </c>
      <c r="D34" t="s">
        <v>376</v>
      </c>
      <c r="E34">
        <v>2006</v>
      </c>
      <c r="F34">
        <v>5</v>
      </c>
      <c r="G34">
        <v>0.2</v>
      </c>
      <c r="I34" t="s">
        <v>78</v>
      </c>
      <c r="J34">
        <v>7</v>
      </c>
      <c r="K34">
        <f t="shared" si="0"/>
        <v>2013</v>
      </c>
      <c r="N34">
        <v>183553.22</v>
      </c>
      <c r="P34">
        <f t="shared" si="1"/>
        <v>146842.576</v>
      </c>
      <c r="Q34">
        <f t="shared" si="2"/>
        <v>1748.1259047619048</v>
      </c>
      <c r="R34">
        <f t="shared" si="3"/>
        <v>0</v>
      </c>
      <c r="S34">
        <f t="shared" si="4"/>
        <v>0</v>
      </c>
      <c r="T34">
        <f t="shared" si="5"/>
        <v>0</v>
      </c>
      <c r="U34">
        <v>1</v>
      </c>
      <c r="V34">
        <f t="shared" si="6"/>
        <v>0</v>
      </c>
      <c r="X34">
        <f t="shared" si="7"/>
        <v>146842.576</v>
      </c>
      <c r="Y34">
        <f t="shared" si="8"/>
        <v>146842.576</v>
      </c>
      <c r="Z34">
        <v>1</v>
      </c>
      <c r="AA34">
        <f t="shared" si="9"/>
        <v>146842.576</v>
      </c>
      <c r="AB34">
        <f t="shared" si="10"/>
        <v>146842.576</v>
      </c>
      <c r="AC34">
        <f t="shared" si="11"/>
        <v>36710.644</v>
      </c>
      <c r="AD34">
        <f t="shared" si="12"/>
        <v>2006.3333333333333</v>
      </c>
      <c r="AE34">
        <f t="shared" si="13"/>
        <v>2018.0833333333333</v>
      </c>
      <c r="AF34">
        <f t="shared" si="14"/>
        <v>2013.3333333333333</v>
      </c>
      <c r="AG34">
        <f t="shared" si="15"/>
        <v>2017.0833333333333</v>
      </c>
      <c r="AH34">
        <f t="shared" si="16"/>
        <v>-8.3333333333333329E-2</v>
      </c>
      <c r="AJ34">
        <f t="shared" si="17"/>
        <v>12236.881333333333</v>
      </c>
      <c r="AL34">
        <f t="shared" si="18"/>
        <v>12236.881333333333</v>
      </c>
      <c r="AN34">
        <f t="shared" si="19"/>
        <v>-36710.644</v>
      </c>
      <c r="AP34">
        <f t="shared" si="20"/>
        <v>0</v>
      </c>
      <c r="AR34">
        <f t="shared" si="21"/>
        <v>0</v>
      </c>
    </row>
    <row r="35" spans="1:76">
      <c r="A35">
        <v>61092</v>
      </c>
      <c r="B35" t="s">
        <v>286</v>
      </c>
      <c r="C35">
        <v>2026</v>
      </c>
      <c r="D35" t="s">
        <v>152</v>
      </c>
      <c r="E35">
        <v>2006</v>
      </c>
      <c r="F35">
        <v>8</v>
      </c>
      <c r="G35">
        <v>0.2</v>
      </c>
      <c r="I35" t="s">
        <v>78</v>
      </c>
      <c r="J35">
        <v>7</v>
      </c>
      <c r="K35">
        <f>E35+J35</f>
        <v>2013</v>
      </c>
      <c r="N35">
        <v>208742.37</v>
      </c>
      <c r="P35">
        <f t="shared" si="1"/>
        <v>166993.89600000001</v>
      </c>
      <c r="Q35">
        <f t="shared" si="2"/>
        <v>1988.0225714285716</v>
      </c>
      <c r="R35">
        <f>IF(O35&gt;0,0,IF(OR(AD35&gt;AE35,AF35&lt;AG35),0,IF(AND(AF35&gt;=AG35,AF35&lt;=AE35),Q35*((AF35-AG35)*12),IF(AND(AG35&lt;=AD35,AE35&gt;=AD35),((AE35-AD35)*12)*Q35,IF(AF35&gt;AE35,12*Q35,0)))))</f>
        <v>0</v>
      </c>
      <c r="S35">
        <f>IF(O35=0,0,IF(AND(AH35&gt;=AG35,AH35&lt;=AF35),((AH35-AG35)*12)*Q35,0))</f>
        <v>0</v>
      </c>
      <c r="T35">
        <f>IF(S35&gt;0,S35,R35)</f>
        <v>0</v>
      </c>
      <c r="U35">
        <v>1</v>
      </c>
      <c r="V35">
        <f>U35*SUM(R35:S35)</f>
        <v>0</v>
      </c>
      <c r="X35">
        <f>IF(AD35&gt;AE35,0,IF(AF35&lt;AG35,P35,IF(AND(AF35&gt;=AG35,AF35&lt;=AE35),(P35-T35),IF(AND(AG35&lt;=AD35,AE35&gt;=AD35),0,IF(AF35&gt;AE35,((AG35-AD35)*12)*Q35,0)))))</f>
        <v>166993.89600000001</v>
      </c>
      <c r="Y35">
        <f>X35*U35</f>
        <v>166993.89600000001</v>
      </c>
      <c r="Z35">
        <v>1</v>
      </c>
      <c r="AA35">
        <f>Y35*Z35</f>
        <v>166993.89600000001</v>
      </c>
      <c r="AB35">
        <f>IF(O35&gt;0,0,AA35+V35*Z35)*Z35</f>
        <v>166993.89600000001</v>
      </c>
      <c r="AC35">
        <f>IF(O35&gt;0,(N35-AA35)/2,IF(AD35&gt;=AG35,(((N35*U35)*Z35)-AB35)/2,((((N35*U35)*Z35)-AA35)+(((N35*U35)*Z35)-AB35))/2))</f>
        <v>41748.473999999987</v>
      </c>
      <c r="AD35">
        <f>$E35+(($F35-1)/12)</f>
        <v>2006.5833333333333</v>
      </c>
      <c r="AE35">
        <f t="shared" si="13"/>
        <v>2018.0833333333333</v>
      </c>
      <c r="AF35">
        <f>$K35+(($F35-1)/12)</f>
        <v>2013.5833333333333</v>
      </c>
      <c r="AG35">
        <f t="shared" si="15"/>
        <v>2017.0833333333333</v>
      </c>
      <c r="AH35">
        <f t="shared" si="16"/>
        <v>-8.3333333333333329E-2</v>
      </c>
      <c r="AJ35">
        <f t="shared" si="17"/>
        <v>13916.157999999996</v>
      </c>
      <c r="AL35">
        <f t="shared" si="18"/>
        <v>13916.157999999996</v>
      </c>
      <c r="AN35">
        <f t="shared" si="19"/>
        <v>-41748.473999999987</v>
      </c>
      <c r="AP35">
        <f t="shared" si="20"/>
        <v>0</v>
      </c>
      <c r="AR35">
        <f t="shared" si="21"/>
        <v>0</v>
      </c>
    </row>
    <row r="36" spans="1:76">
      <c r="A36" t="s">
        <v>312</v>
      </c>
      <c r="C36">
        <v>11088</v>
      </c>
      <c r="D36" t="s">
        <v>326</v>
      </c>
      <c r="E36">
        <v>2006</v>
      </c>
      <c r="F36">
        <v>10</v>
      </c>
      <c r="G36">
        <v>0.33</v>
      </c>
      <c r="I36" t="s">
        <v>78</v>
      </c>
      <c r="J36">
        <v>5</v>
      </c>
      <c r="K36">
        <f t="shared" si="0"/>
        <v>2011</v>
      </c>
      <c r="N36">
        <v>152640.22</v>
      </c>
      <c r="P36">
        <f t="shared" si="1"/>
        <v>102268.9474</v>
      </c>
      <c r="Q36">
        <f t="shared" si="2"/>
        <v>1704.4824566666666</v>
      </c>
      <c r="R36">
        <f t="shared" si="3"/>
        <v>0</v>
      </c>
      <c r="S36">
        <f t="shared" si="4"/>
        <v>0</v>
      </c>
      <c r="T36">
        <f t="shared" si="5"/>
        <v>0</v>
      </c>
      <c r="U36">
        <v>1</v>
      </c>
      <c r="V36">
        <f t="shared" si="6"/>
        <v>0</v>
      </c>
      <c r="X36">
        <f t="shared" si="7"/>
        <v>102268.9474</v>
      </c>
      <c r="Y36">
        <f t="shared" si="8"/>
        <v>102268.9474</v>
      </c>
      <c r="Z36">
        <v>1</v>
      </c>
      <c r="AA36">
        <f t="shared" si="9"/>
        <v>102268.9474</v>
      </c>
      <c r="AB36">
        <f t="shared" si="10"/>
        <v>102268.9474</v>
      </c>
      <c r="AC36">
        <f t="shared" si="11"/>
        <v>50371.272599999997</v>
      </c>
      <c r="AD36">
        <f t="shared" si="12"/>
        <v>2006.75</v>
      </c>
      <c r="AE36">
        <f t="shared" si="13"/>
        <v>2018.0833333333333</v>
      </c>
      <c r="AF36">
        <f t="shared" si="14"/>
        <v>2011.75</v>
      </c>
      <c r="AG36">
        <f t="shared" si="15"/>
        <v>2017.0833333333333</v>
      </c>
      <c r="AH36">
        <f t="shared" si="16"/>
        <v>-8.3333333333333329E-2</v>
      </c>
      <c r="AJ36">
        <f t="shared" si="17"/>
        <v>16790.424199999998</v>
      </c>
      <c r="AL36">
        <f t="shared" si="18"/>
        <v>16790.424199999998</v>
      </c>
      <c r="AN36">
        <f t="shared" si="19"/>
        <v>-50371.272599999997</v>
      </c>
      <c r="AP36">
        <f t="shared" si="20"/>
        <v>0</v>
      </c>
      <c r="AR36">
        <f t="shared" si="21"/>
        <v>0</v>
      </c>
      <c r="BX36" t="s">
        <v>281</v>
      </c>
    </row>
    <row r="37" spans="1:76">
      <c r="A37" t="s">
        <v>285</v>
      </c>
      <c r="B37">
        <v>61107</v>
      </c>
      <c r="C37">
        <v>1049</v>
      </c>
      <c r="D37" t="s">
        <v>149</v>
      </c>
      <c r="E37">
        <v>2006</v>
      </c>
      <c r="F37">
        <v>11</v>
      </c>
      <c r="G37">
        <v>0.2</v>
      </c>
      <c r="I37" t="s">
        <v>78</v>
      </c>
      <c r="J37">
        <v>7</v>
      </c>
      <c r="K37">
        <f t="shared" si="0"/>
        <v>2013</v>
      </c>
      <c r="N37">
        <v>126621.44</v>
      </c>
      <c r="P37">
        <f t="shared" si="1"/>
        <v>101297.152</v>
      </c>
      <c r="Q37">
        <f t="shared" si="2"/>
        <v>1205.9184761904762</v>
      </c>
      <c r="R37">
        <f t="shared" si="3"/>
        <v>0</v>
      </c>
      <c r="S37">
        <f t="shared" si="4"/>
        <v>0</v>
      </c>
      <c r="T37">
        <f t="shared" si="5"/>
        <v>0</v>
      </c>
      <c r="U37">
        <v>1</v>
      </c>
      <c r="V37">
        <f t="shared" si="6"/>
        <v>0</v>
      </c>
      <c r="X37">
        <f t="shared" si="7"/>
        <v>101297.152</v>
      </c>
      <c r="Y37">
        <f t="shared" si="8"/>
        <v>101297.152</v>
      </c>
      <c r="Z37">
        <v>1</v>
      </c>
      <c r="AA37">
        <f t="shared" si="9"/>
        <v>101297.152</v>
      </c>
      <c r="AB37">
        <f t="shared" si="10"/>
        <v>101297.152</v>
      </c>
      <c r="AC37">
        <f t="shared" si="11"/>
        <v>25324.288</v>
      </c>
      <c r="AD37">
        <f t="shared" si="12"/>
        <v>2006.8333333333333</v>
      </c>
      <c r="AE37">
        <f t="shared" si="13"/>
        <v>2018.0833333333333</v>
      </c>
      <c r="AF37">
        <f t="shared" si="14"/>
        <v>2013.8333333333333</v>
      </c>
      <c r="AG37">
        <f t="shared" si="15"/>
        <v>2017.0833333333333</v>
      </c>
      <c r="AH37">
        <f t="shared" si="16"/>
        <v>-8.3333333333333329E-2</v>
      </c>
      <c r="AJ37">
        <f t="shared" si="17"/>
        <v>8441.4293333333335</v>
      </c>
      <c r="AL37">
        <f t="shared" si="18"/>
        <v>8441.4293333333335</v>
      </c>
      <c r="AN37">
        <f t="shared" si="19"/>
        <v>-25324.288</v>
      </c>
      <c r="AP37">
        <f t="shared" si="20"/>
        <v>0</v>
      </c>
      <c r="AR37">
        <f t="shared" si="21"/>
        <v>0</v>
      </c>
      <c r="BX37" t="s">
        <v>281</v>
      </c>
    </row>
    <row r="38" spans="1:76">
      <c r="A38" t="s">
        <v>284</v>
      </c>
      <c r="C38">
        <v>3603</v>
      </c>
      <c r="D38" t="s">
        <v>161</v>
      </c>
      <c r="E38">
        <v>2007</v>
      </c>
      <c r="F38">
        <v>3</v>
      </c>
      <c r="G38">
        <v>0.2</v>
      </c>
      <c r="I38" t="s">
        <v>78</v>
      </c>
      <c r="J38">
        <v>7</v>
      </c>
      <c r="K38">
        <f t="shared" si="0"/>
        <v>2014</v>
      </c>
      <c r="N38">
        <v>194705.04</v>
      </c>
      <c r="P38">
        <f t="shared" si="1"/>
        <v>155764.03200000001</v>
      </c>
      <c r="Q38">
        <f t="shared" si="2"/>
        <v>1854.3337142857144</v>
      </c>
      <c r="R38">
        <f t="shared" si="3"/>
        <v>0</v>
      </c>
      <c r="S38">
        <f t="shared" si="4"/>
        <v>0</v>
      </c>
      <c r="T38">
        <f t="shared" si="5"/>
        <v>0</v>
      </c>
      <c r="U38">
        <v>1</v>
      </c>
      <c r="V38">
        <f t="shared" si="6"/>
        <v>0</v>
      </c>
      <c r="X38">
        <f t="shared" si="7"/>
        <v>155764.03200000001</v>
      </c>
      <c r="Y38">
        <f t="shared" si="8"/>
        <v>155764.03200000001</v>
      </c>
      <c r="Z38">
        <v>1</v>
      </c>
      <c r="AA38">
        <f t="shared" si="9"/>
        <v>155764.03200000001</v>
      </c>
      <c r="AB38">
        <f t="shared" si="10"/>
        <v>155764.03200000001</v>
      </c>
      <c r="AC38">
        <f t="shared" si="11"/>
        <v>38941.008000000002</v>
      </c>
      <c r="AD38">
        <f t="shared" si="12"/>
        <v>2007.1666666666667</v>
      </c>
      <c r="AE38">
        <f t="shared" si="13"/>
        <v>2018.0833333333333</v>
      </c>
      <c r="AF38">
        <f t="shared" si="14"/>
        <v>2014.1666666666667</v>
      </c>
      <c r="AG38">
        <f t="shared" si="15"/>
        <v>2017.0833333333333</v>
      </c>
      <c r="AH38">
        <f t="shared" si="16"/>
        <v>-8.3333333333333329E-2</v>
      </c>
      <c r="AJ38">
        <f t="shared" si="17"/>
        <v>12980.336000000001</v>
      </c>
      <c r="AL38">
        <f t="shared" si="18"/>
        <v>12980.336000000001</v>
      </c>
      <c r="AN38">
        <f t="shared" si="19"/>
        <v>-38941.008000000002</v>
      </c>
      <c r="AP38">
        <f t="shared" si="20"/>
        <v>0</v>
      </c>
      <c r="AR38">
        <f t="shared" si="21"/>
        <v>0</v>
      </c>
      <c r="BW38">
        <v>5</v>
      </c>
      <c r="BX38" t="s">
        <v>282</v>
      </c>
    </row>
    <row r="39" spans="1:76">
      <c r="A39" t="s">
        <v>285</v>
      </c>
      <c r="B39">
        <v>61108</v>
      </c>
      <c r="C39">
        <v>1054</v>
      </c>
      <c r="D39" t="s">
        <v>150</v>
      </c>
      <c r="E39">
        <v>2007</v>
      </c>
      <c r="F39">
        <v>4</v>
      </c>
      <c r="G39">
        <v>0.2</v>
      </c>
      <c r="I39" t="s">
        <v>78</v>
      </c>
      <c r="J39">
        <v>7</v>
      </c>
      <c r="K39">
        <f t="shared" si="0"/>
        <v>2014</v>
      </c>
      <c r="N39">
        <v>126959.69</v>
      </c>
      <c r="P39">
        <f t="shared" si="1"/>
        <v>101567.75200000001</v>
      </c>
      <c r="Q39">
        <f t="shared" si="2"/>
        <v>1209.139904761905</v>
      </c>
      <c r="R39">
        <f t="shared" si="3"/>
        <v>0</v>
      </c>
      <c r="S39">
        <f t="shared" si="4"/>
        <v>0</v>
      </c>
      <c r="T39">
        <f t="shared" si="5"/>
        <v>0</v>
      </c>
      <c r="U39">
        <v>1</v>
      </c>
      <c r="V39">
        <f t="shared" si="6"/>
        <v>0</v>
      </c>
      <c r="X39">
        <f t="shared" si="7"/>
        <v>101567.75200000001</v>
      </c>
      <c r="Y39">
        <f t="shared" si="8"/>
        <v>101567.75200000001</v>
      </c>
      <c r="Z39">
        <v>1</v>
      </c>
      <c r="AA39">
        <f t="shared" si="9"/>
        <v>101567.75200000001</v>
      </c>
      <c r="AB39">
        <f t="shared" si="10"/>
        <v>101567.75200000001</v>
      </c>
      <c r="AC39">
        <f t="shared" si="11"/>
        <v>25391.937999999995</v>
      </c>
      <c r="AD39">
        <f t="shared" si="12"/>
        <v>2007.25</v>
      </c>
      <c r="AE39">
        <f t="shared" si="13"/>
        <v>2018.0833333333333</v>
      </c>
      <c r="AF39">
        <f t="shared" si="14"/>
        <v>2014.25</v>
      </c>
      <c r="AG39">
        <f t="shared" si="15"/>
        <v>2017.0833333333333</v>
      </c>
      <c r="AH39">
        <f t="shared" si="16"/>
        <v>-8.3333333333333329E-2</v>
      </c>
      <c r="AJ39">
        <f t="shared" si="17"/>
        <v>8463.9793333333309</v>
      </c>
      <c r="AL39">
        <f t="shared" si="18"/>
        <v>8463.9793333333309</v>
      </c>
      <c r="AN39">
        <f t="shared" si="19"/>
        <v>-25391.937999999995</v>
      </c>
      <c r="AP39">
        <f t="shared" si="20"/>
        <v>0</v>
      </c>
      <c r="AR39">
        <f t="shared" si="21"/>
        <v>0</v>
      </c>
    </row>
    <row r="40" spans="1:76">
      <c r="A40" t="s">
        <v>285</v>
      </c>
      <c r="B40">
        <v>61109</v>
      </c>
      <c r="C40">
        <v>1059</v>
      </c>
      <c r="D40" t="s">
        <v>150</v>
      </c>
      <c r="E40">
        <v>2007</v>
      </c>
      <c r="F40">
        <v>4</v>
      </c>
      <c r="G40">
        <v>0.2</v>
      </c>
      <c r="I40" t="s">
        <v>78</v>
      </c>
      <c r="J40">
        <v>7</v>
      </c>
      <c r="K40">
        <f t="shared" si="0"/>
        <v>2014</v>
      </c>
      <c r="N40">
        <v>127343.72</v>
      </c>
      <c r="P40">
        <f t="shared" si="1"/>
        <v>101874.976</v>
      </c>
      <c r="Q40">
        <f t="shared" si="2"/>
        <v>1212.7973333333332</v>
      </c>
      <c r="R40">
        <f t="shared" si="3"/>
        <v>0</v>
      </c>
      <c r="S40">
        <f t="shared" si="4"/>
        <v>0</v>
      </c>
      <c r="T40">
        <f t="shared" si="5"/>
        <v>0</v>
      </c>
      <c r="U40">
        <v>1</v>
      </c>
      <c r="V40">
        <f t="shared" si="6"/>
        <v>0</v>
      </c>
      <c r="X40">
        <f t="shared" si="7"/>
        <v>101874.976</v>
      </c>
      <c r="Y40">
        <f t="shared" si="8"/>
        <v>101874.976</v>
      </c>
      <c r="Z40">
        <v>1</v>
      </c>
      <c r="AA40">
        <f t="shared" si="9"/>
        <v>101874.976</v>
      </c>
      <c r="AB40">
        <f t="shared" si="10"/>
        <v>101874.976</v>
      </c>
      <c r="AC40">
        <f t="shared" si="11"/>
        <v>25468.744000000006</v>
      </c>
      <c r="AD40">
        <f t="shared" si="12"/>
        <v>2007.25</v>
      </c>
      <c r="AE40">
        <f t="shared" si="13"/>
        <v>2018.0833333333333</v>
      </c>
      <c r="AF40">
        <f t="shared" si="14"/>
        <v>2014.25</v>
      </c>
      <c r="AG40">
        <f t="shared" si="15"/>
        <v>2017.0833333333333</v>
      </c>
      <c r="AH40">
        <f t="shared" si="16"/>
        <v>-8.3333333333333329E-2</v>
      </c>
      <c r="AJ40">
        <f t="shared" si="17"/>
        <v>8489.5813333333354</v>
      </c>
      <c r="AL40">
        <f t="shared" si="18"/>
        <v>8489.5813333333354</v>
      </c>
      <c r="AN40">
        <f t="shared" si="19"/>
        <v>-25468.744000000006</v>
      </c>
      <c r="AP40">
        <f t="shared" si="20"/>
        <v>0</v>
      </c>
      <c r="AR40">
        <f t="shared" si="21"/>
        <v>0</v>
      </c>
    </row>
    <row r="41" spans="1:76">
      <c r="A41" t="s">
        <v>285</v>
      </c>
      <c r="B41">
        <v>61110</v>
      </c>
      <c r="C41">
        <v>1062</v>
      </c>
      <c r="D41" t="s">
        <v>150</v>
      </c>
      <c r="E41">
        <v>2007</v>
      </c>
      <c r="F41">
        <v>5</v>
      </c>
      <c r="G41">
        <v>0.2</v>
      </c>
      <c r="I41" t="s">
        <v>78</v>
      </c>
      <c r="J41">
        <v>7</v>
      </c>
      <c r="K41">
        <f t="shared" si="0"/>
        <v>2014</v>
      </c>
      <c r="N41">
        <v>127343.72</v>
      </c>
      <c r="P41">
        <f t="shared" si="1"/>
        <v>101874.976</v>
      </c>
      <c r="Q41">
        <f t="shared" si="2"/>
        <v>1212.7973333333332</v>
      </c>
      <c r="R41">
        <f t="shared" si="3"/>
        <v>0</v>
      </c>
      <c r="S41">
        <f t="shared" si="4"/>
        <v>0</v>
      </c>
      <c r="T41">
        <f t="shared" si="5"/>
        <v>0</v>
      </c>
      <c r="U41">
        <v>1</v>
      </c>
      <c r="V41">
        <f t="shared" si="6"/>
        <v>0</v>
      </c>
      <c r="X41">
        <f t="shared" si="7"/>
        <v>101874.976</v>
      </c>
      <c r="Y41">
        <f t="shared" si="8"/>
        <v>101874.976</v>
      </c>
      <c r="Z41">
        <v>1</v>
      </c>
      <c r="AA41">
        <f t="shared" si="9"/>
        <v>101874.976</v>
      </c>
      <c r="AB41">
        <f t="shared" si="10"/>
        <v>101874.976</v>
      </c>
      <c r="AC41">
        <f t="shared" si="11"/>
        <v>25468.744000000006</v>
      </c>
      <c r="AD41">
        <f t="shared" si="12"/>
        <v>2007.3333333333333</v>
      </c>
      <c r="AE41">
        <f t="shared" si="13"/>
        <v>2018.0833333333333</v>
      </c>
      <c r="AF41">
        <f t="shared" si="14"/>
        <v>2014.3333333333333</v>
      </c>
      <c r="AG41">
        <f t="shared" si="15"/>
        <v>2017.0833333333333</v>
      </c>
      <c r="AH41">
        <f t="shared" si="16"/>
        <v>-8.3333333333333329E-2</v>
      </c>
      <c r="AJ41">
        <f t="shared" si="17"/>
        <v>8489.5813333333354</v>
      </c>
      <c r="AL41">
        <f t="shared" si="18"/>
        <v>8489.5813333333354</v>
      </c>
      <c r="AN41">
        <f t="shared" si="19"/>
        <v>-25468.744000000006</v>
      </c>
      <c r="AP41">
        <f t="shared" si="20"/>
        <v>0</v>
      </c>
      <c r="AR41">
        <f t="shared" si="21"/>
        <v>0</v>
      </c>
    </row>
    <row r="42" spans="1:76">
      <c r="A42" t="s">
        <v>285</v>
      </c>
      <c r="B42">
        <v>61111</v>
      </c>
      <c r="C42">
        <v>1067</v>
      </c>
      <c r="D42" t="s">
        <v>150</v>
      </c>
      <c r="E42">
        <v>2007</v>
      </c>
      <c r="F42">
        <v>5</v>
      </c>
      <c r="G42">
        <v>0.2</v>
      </c>
      <c r="I42" t="s">
        <v>78</v>
      </c>
      <c r="J42">
        <v>7</v>
      </c>
      <c r="K42">
        <f t="shared" si="0"/>
        <v>2014</v>
      </c>
      <c r="N42">
        <v>127343.72</v>
      </c>
      <c r="P42">
        <f t="shared" si="1"/>
        <v>101874.976</v>
      </c>
      <c r="Q42">
        <f t="shared" si="2"/>
        <v>1212.7973333333332</v>
      </c>
      <c r="R42">
        <f t="shared" si="3"/>
        <v>0</v>
      </c>
      <c r="S42">
        <f t="shared" si="4"/>
        <v>0</v>
      </c>
      <c r="T42">
        <f t="shared" si="5"/>
        <v>0</v>
      </c>
      <c r="U42">
        <v>1</v>
      </c>
      <c r="V42">
        <f t="shared" si="6"/>
        <v>0</v>
      </c>
      <c r="X42">
        <f t="shared" si="7"/>
        <v>101874.976</v>
      </c>
      <c r="Y42">
        <f t="shared" si="8"/>
        <v>101874.976</v>
      </c>
      <c r="Z42">
        <v>1</v>
      </c>
      <c r="AA42">
        <f t="shared" si="9"/>
        <v>101874.976</v>
      </c>
      <c r="AB42">
        <f t="shared" si="10"/>
        <v>101874.976</v>
      </c>
      <c r="AC42">
        <f t="shared" si="11"/>
        <v>25468.744000000006</v>
      </c>
      <c r="AD42">
        <f t="shared" si="12"/>
        <v>2007.3333333333333</v>
      </c>
      <c r="AE42">
        <f t="shared" si="13"/>
        <v>2018.0833333333333</v>
      </c>
      <c r="AF42">
        <f t="shared" si="14"/>
        <v>2014.3333333333333</v>
      </c>
      <c r="AG42">
        <f t="shared" si="15"/>
        <v>2017.0833333333333</v>
      </c>
      <c r="AH42">
        <f t="shared" si="16"/>
        <v>-8.3333333333333329E-2</v>
      </c>
      <c r="AJ42">
        <f t="shared" si="17"/>
        <v>8489.5813333333354</v>
      </c>
      <c r="AL42">
        <f t="shared" si="18"/>
        <v>8489.5813333333354</v>
      </c>
      <c r="AN42">
        <f t="shared" si="19"/>
        <v>-25468.744000000006</v>
      </c>
      <c r="AP42">
        <f t="shared" si="20"/>
        <v>0</v>
      </c>
      <c r="AR42">
        <f t="shared" si="21"/>
        <v>0</v>
      </c>
    </row>
    <row r="43" spans="1:76">
      <c r="A43" t="s">
        <v>284</v>
      </c>
      <c r="C43">
        <v>3606</v>
      </c>
      <c r="D43" t="s">
        <v>377</v>
      </c>
      <c r="E43">
        <v>2007</v>
      </c>
      <c r="F43">
        <v>7</v>
      </c>
      <c r="G43">
        <v>0.2</v>
      </c>
      <c r="I43" t="s">
        <v>78</v>
      </c>
      <c r="J43">
        <v>7</v>
      </c>
      <c r="K43">
        <f t="shared" si="0"/>
        <v>2014</v>
      </c>
      <c r="N43">
        <v>194705.04</v>
      </c>
      <c r="P43">
        <f t="shared" si="1"/>
        <v>155764.03200000001</v>
      </c>
      <c r="Q43">
        <f t="shared" si="2"/>
        <v>1854.3337142857144</v>
      </c>
      <c r="R43">
        <f t="shared" si="3"/>
        <v>0</v>
      </c>
      <c r="S43">
        <f t="shared" si="4"/>
        <v>0</v>
      </c>
      <c r="T43">
        <f t="shared" si="5"/>
        <v>0</v>
      </c>
      <c r="U43">
        <v>1</v>
      </c>
      <c r="V43">
        <f t="shared" si="6"/>
        <v>0</v>
      </c>
      <c r="X43">
        <f t="shared" si="7"/>
        <v>155764.03200000001</v>
      </c>
      <c r="Y43">
        <f t="shared" si="8"/>
        <v>155764.03200000001</v>
      </c>
      <c r="Z43">
        <v>1</v>
      </c>
      <c r="AA43">
        <f t="shared" si="9"/>
        <v>155764.03200000001</v>
      </c>
      <c r="AB43">
        <f t="shared" si="10"/>
        <v>155764.03200000001</v>
      </c>
      <c r="AC43">
        <f t="shared" si="11"/>
        <v>38941.008000000002</v>
      </c>
      <c r="AD43">
        <f t="shared" si="12"/>
        <v>2007.5</v>
      </c>
      <c r="AE43">
        <f t="shared" si="13"/>
        <v>2018.0833333333333</v>
      </c>
      <c r="AF43">
        <f t="shared" si="14"/>
        <v>2014.5</v>
      </c>
      <c r="AG43">
        <f t="shared" si="15"/>
        <v>2017.0833333333333</v>
      </c>
      <c r="AH43">
        <f t="shared" si="16"/>
        <v>-8.3333333333333329E-2</v>
      </c>
      <c r="AJ43">
        <f t="shared" si="17"/>
        <v>12980.336000000001</v>
      </c>
      <c r="AL43">
        <f t="shared" si="18"/>
        <v>12980.336000000001</v>
      </c>
      <c r="AN43">
        <f t="shared" si="19"/>
        <v>-38941.008000000002</v>
      </c>
      <c r="AP43">
        <f t="shared" si="20"/>
        <v>0</v>
      </c>
      <c r="AR43">
        <f t="shared" si="21"/>
        <v>0</v>
      </c>
    </row>
    <row r="44" spans="1:76" ht="14.25" customHeight="1">
      <c r="A44" t="s">
        <v>284</v>
      </c>
      <c r="C44">
        <v>3622</v>
      </c>
      <c r="D44" t="s">
        <v>321</v>
      </c>
      <c r="E44">
        <v>2008</v>
      </c>
      <c r="F44">
        <v>10</v>
      </c>
      <c r="G44">
        <v>0.2</v>
      </c>
      <c r="I44" t="s">
        <v>78</v>
      </c>
      <c r="J44">
        <v>7</v>
      </c>
      <c r="K44">
        <f t="shared" si="0"/>
        <v>2015</v>
      </c>
      <c r="N44">
        <v>222213.95</v>
      </c>
      <c r="P44">
        <f t="shared" si="1"/>
        <v>177771.16</v>
      </c>
      <c r="Q44">
        <f t="shared" si="2"/>
        <v>2116.3233333333333</v>
      </c>
      <c r="R44">
        <f t="shared" si="3"/>
        <v>0</v>
      </c>
      <c r="S44">
        <f t="shared" si="4"/>
        <v>0</v>
      </c>
      <c r="T44">
        <f t="shared" si="5"/>
        <v>0</v>
      </c>
      <c r="U44">
        <v>1</v>
      </c>
      <c r="V44">
        <f t="shared" si="6"/>
        <v>0</v>
      </c>
      <c r="X44">
        <f t="shared" si="7"/>
        <v>177771.16</v>
      </c>
      <c r="Y44">
        <f t="shared" si="8"/>
        <v>177771.16</v>
      </c>
      <c r="Z44">
        <v>1</v>
      </c>
      <c r="AA44">
        <f t="shared" si="9"/>
        <v>177771.16</v>
      </c>
      <c r="AB44">
        <f t="shared" si="10"/>
        <v>177771.16</v>
      </c>
      <c r="AC44">
        <f t="shared" si="11"/>
        <v>44442.790000000008</v>
      </c>
      <c r="AD44">
        <f t="shared" si="12"/>
        <v>2008.75</v>
      </c>
      <c r="AE44">
        <f t="shared" si="13"/>
        <v>2018.0833333333333</v>
      </c>
      <c r="AF44">
        <f t="shared" si="14"/>
        <v>2015.75</v>
      </c>
      <c r="AG44">
        <f t="shared" si="15"/>
        <v>2017.0833333333333</v>
      </c>
      <c r="AH44">
        <f t="shared" si="16"/>
        <v>-8.3333333333333329E-2</v>
      </c>
      <c r="AJ44">
        <f t="shared" si="17"/>
        <v>14814.263333333336</v>
      </c>
      <c r="AL44">
        <f t="shared" si="18"/>
        <v>14814.263333333336</v>
      </c>
      <c r="AN44">
        <f t="shared" si="19"/>
        <v>-44442.790000000008</v>
      </c>
      <c r="AP44">
        <f t="shared" si="20"/>
        <v>0</v>
      </c>
      <c r="AR44">
        <f t="shared" si="21"/>
        <v>0</v>
      </c>
    </row>
    <row r="45" spans="1:76">
      <c r="A45" t="s">
        <v>288</v>
      </c>
      <c r="C45">
        <v>5012</v>
      </c>
      <c r="D45" t="s">
        <v>314</v>
      </c>
      <c r="E45">
        <v>2008</v>
      </c>
      <c r="F45">
        <v>11</v>
      </c>
      <c r="G45">
        <v>0.33</v>
      </c>
      <c r="I45" t="s">
        <v>78</v>
      </c>
      <c r="J45">
        <v>5</v>
      </c>
      <c r="K45">
        <f t="shared" si="0"/>
        <v>2013</v>
      </c>
      <c r="N45">
        <v>0</v>
      </c>
      <c r="P45">
        <f t="shared" si="1"/>
        <v>0</v>
      </c>
      <c r="Q45">
        <f t="shared" si="2"/>
        <v>0</v>
      </c>
      <c r="R45">
        <f t="shared" si="3"/>
        <v>0</v>
      </c>
      <c r="S45">
        <f t="shared" si="4"/>
        <v>0</v>
      </c>
      <c r="T45">
        <f t="shared" si="5"/>
        <v>0</v>
      </c>
      <c r="U45">
        <v>1</v>
      </c>
      <c r="V45">
        <f t="shared" si="6"/>
        <v>0</v>
      </c>
      <c r="X45">
        <f t="shared" si="7"/>
        <v>0</v>
      </c>
      <c r="Y45">
        <f t="shared" si="8"/>
        <v>0</v>
      </c>
      <c r="Z45">
        <v>1</v>
      </c>
      <c r="AA45">
        <f t="shared" si="9"/>
        <v>0</v>
      </c>
      <c r="AB45">
        <f t="shared" si="10"/>
        <v>0</v>
      </c>
      <c r="AC45">
        <f t="shared" si="11"/>
        <v>0</v>
      </c>
      <c r="AD45">
        <f t="shared" si="12"/>
        <v>2008.8333333333333</v>
      </c>
      <c r="AE45">
        <f t="shared" si="13"/>
        <v>2018.0833333333333</v>
      </c>
      <c r="AF45">
        <f t="shared" si="14"/>
        <v>2013.8333333333333</v>
      </c>
      <c r="AG45">
        <f t="shared" si="15"/>
        <v>2017.0833333333333</v>
      </c>
      <c r="AH45">
        <f t="shared" si="16"/>
        <v>-8.3333333333333329E-2</v>
      </c>
      <c r="AJ45">
        <f t="shared" si="17"/>
        <v>0</v>
      </c>
      <c r="AL45">
        <f t="shared" si="18"/>
        <v>0</v>
      </c>
      <c r="AN45">
        <f t="shared" si="19"/>
        <v>0</v>
      </c>
      <c r="AP45">
        <f t="shared" si="20"/>
        <v>0</v>
      </c>
      <c r="AR45">
        <f t="shared" si="21"/>
        <v>0</v>
      </c>
    </row>
    <row r="46" spans="1:76">
      <c r="A46" t="s">
        <v>284</v>
      </c>
      <c r="C46">
        <v>3621</v>
      </c>
      <c r="D46" t="s">
        <v>322</v>
      </c>
      <c r="E46">
        <v>2009</v>
      </c>
      <c r="F46">
        <v>1</v>
      </c>
      <c r="G46">
        <v>0.2</v>
      </c>
      <c r="I46" t="s">
        <v>78</v>
      </c>
      <c r="J46">
        <v>7</v>
      </c>
      <c r="K46">
        <f t="shared" si="0"/>
        <v>2016</v>
      </c>
      <c r="N46">
        <f>3949.44+117694.82+100569.69</f>
        <v>222213.95</v>
      </c>
      <c r="P46">
        <f t="shared" ref="P46:P75" si="22">N46-N46*G46</f>
        <v>177771.16</v>
      </c>
      <c r="Q46">
        <f t="shared" ref="Q46:Q75" si="23">P46/J46/12</f>
        <v>2116.3233333333333</v>
      </c>
      <c r="R46">
        <f t="shared" si="3"/>
        <v>0</v>
      </c>
      <c r="S46">
        <f t="shared" si="4"/>
        <v>0</v>
      </c>
      <c r="T46">
        <f t="shared" si="5"/>
        <v>0</v>
      </c>
      <c r="U46">
        <v>1</v>
      </c>
      <c r="V46">
        <f t="shared" si="6"/>
        <v>0</v>
      </c>
      <c r="X46">
        <f t="shared" si="7"/>
        <v>177771.16</v>
      </c>
      <c r="Y46">
        <f t="shared" si="8"/>
        <v>177771.16</v>
      </c>
      <c r="Z46">
        <v>1</v>
      </c>
      <c r="AA46">
        <f t="shared" si="9"/>
        <v>177771.16</v>
      </c>
      <c r="AB46">
        <f t="shared" si="10"/>
        <v>177771.16</v>
      </c>
      <c r="AC46">
        <f t="shared" si="11"/>
        <v>44442.790000000008</v>
      </c>
      <c r="AD46">
        <f t="shared" si="12"/>
        <v>2009</v>
      </c>
      <c r="AE46">
        <f t="shared" si="13"/>
        <v>2018.0833333333333</v>
      </c>
      <c r="AF46">
        <f t="shared" si="14"/>
        <v>2016</v>
      </c>
      <c r="AG46">
        <f t="shared" si="15"/>
        <v>2017.0833333333333</v>
      </c>
      <c r="AH46">
        <f t="shared" ref="AH46:AH75" si="24">$L46+(($M46-1)/12)</f>
        <v>-8.3333333333333329E-2</v>
      </c>
      <c r="AJ46">
        <f t="shared" si="17"/>
        <v>14814.263333333336</v>
      </c>
      <c r="AL46">
        <f t="shared" si="18"/>
        <v>14814.263333333336</v>
      </c>
      <c r="AN46">
        <f t="shared" si="19"/>
        <v>-44442.790000000008</v>
      </c>
      <c r="AP46">
        <f t="shared" si="20"/>
        <v>0</v>
      </c>
      <c r="AR46">
        <f t="shared" si="21"/>
        <v>0</v>
      </c>
    </row>
    <row r="47" spans="1:76">
      <c r="A47" t="s">
        <v>284</v>
      </c>
      <c r="C47">
        <v>3575</v>
      </c>
      <c r="D47" t="s">
        <v>320</v>
      </c>
      <c r="E47">
        <v>2009</v>
      </c>
      <c r="F47">
        <v>5</v>
      </c>
      <c r="G47">
        <v>0</v>
      </c>
      <c r="I47" t="s">
        <v>78</v>
      </c>
      <c r="J47">
        <v>3</v>
      </c>
      <c r="K47">
        <f t="shared" si="0"/>
        <v>2012</v>
      </c>
      <c r="N47">
        <v>2786.78</v>
      </c>
      <c r="P47">
        <f t="shared" si="22"/>
        <v>2786.78</v>
      </c>
      <c r="Q47">
        <f t="shared" si="23"/>
        <v>77.410555555555561</v>
      </c>
      <c r="R47">
        <f t="shared" si="3"/>
        <v>0</v>
      </c>
      <c r="S47">
        <f t="shared" si="4"/>
        <v>0</v>
      </c>
      <c r="T47">
        <f t="shared" si="5"/>
        <v>0</v>
      </c>
      <c r="U47">
        <v>1</v>
      </c>
      <c r="V47">
        <f t="shared" si="6"/>
        <v>0</v>
      </c>
      <c r="X47">
        <f t="shared" si="7"/>
        <v>2786.78</v>
      </c>
      <c r="Y47">
        <f t="shared" si="8"/>
        <v>2786.78</v>
      </c>
      <c r="Z47">
        <v>1</v>
      </c>
      <c r="AA47">
        <f t="shared" si="9"/>
        <v>2786.78</v>
      </c>
      <c r="AB47">
        <f t="shared" si="10"/>
        <v>2786.78</v>
      </c>
      <c r="AC47">
        <f t="shared" si="11"/>
        <v>0</v>
      </c>
      <c r="AD47">
        <f t="shared" si="12"/>
        <v>2009.3333333333333</v>
      </c>
      <c r="AE47">
        <f t="shared" si="13"/>
        <v>2018.0833333333333</v>
      </c>
      <c r="AF47">
        <f t="shared" si="14"/>
        <v>2012.3333333333333</v>
      </c>
      <c r="AG47">
        <f t="shared" si="15"/>
        <v>2017.0833333333333</v>
      </c>
      <c r="AH47">
        <f t="shared" si="24"/>
        <v>-8.3333333333333329E-2</v>
      </c>
      <c r="AJ47">
        <f t="shared" si="17"/>
        <v>0</v>
      </c>
      <c r="AL47">
        <f t="shared" si="18"/>
        <v>0</v>
      </c>
      <c r="AN47">
        <f t="shared" si="19"/>
        <v>0</v>
      </c>
      <c r="AP47">
        <f t="shared" si="20"/>
        <v>0</v>
      </c>
      <c r="AR47">
        <f t="shared" si="21"/>
        <v>0</v>
      </c>
    </row>
    <row r="48" spans="1:76">
      <c r="A48" t="s">
        <v>311</v>
      </c>
      <c r="C48">
        <v>67258</v>
      </c>
      <c r="D48" t="s">
        <v>324</v>
      </c>
      <c r="E48">
        <v>2009</v>
      </c>
      <c r="F48">
        <v>6</v>
      </c>
      <c r="G48">
        <v>0.33</v>
      </c>
      <c r="I48" t="s">
        <v>78</v>
      </c>
      <c r="J48">
        <v>5</v>
      </c>
      <c r="K48">
        <f t="shared" si="0"/>
        <v>2014</v>
      </c>
      <c r="N48">
        <v>42016.67</v>
      </c>
      <c r="P48">
        <f t="shared" si="22"/>
        <v>28151.168899999997</v>
      </c>
      <c r="Q48">
        <f t="shared" si="23"/>
        <v>469.18614833333328</v>
      </c>
      <c r="R48">
        <f t="shared" si="3"/>
        <v>0</v>
      </c>
      <c r="S48">
        <f t="shared" si="4"/>
        <v>0</v>
      </c>
      <c r="T48">
        <f t="shared" si="5"/>
        <v>0</v>
      </c>
      <c r="U48">
        <v>1</v>
      </c>
      <c r="V48">
        <f t="shared" si="6"/>
        <v>0</v>
      </c>
      <c r="X48">
        <f t="shared" si="7"/>
        <v>28151.168899999997</v>
      </c>
      <c r="Y48">
        <f t="shared" si="8"/>
        <v>28151.168899999997</v>
      </c>
      <c r="Z48">
        <v>1</v>
      </c>
      <c r="AA48">
        <f t="shared" si="9"/>
        <v>28151.168899999997</v>
      </c>
      <c r="AB48">
        <f t="shared" si="10"/>
        <v>28151.168899999997</v>
      </c>
      <c r="AC48">
        <f t="shared" si="11"/>
        <v>13865.501100000001</v>
      </c>
      <c r="AD48">
        <f t="shared" si="12"/>
        <v>2009.4166666666667</v>
      </c>
      <c r="AE48">
        <f t="shared" si="13"/>
        <v>2018.0833333333333</v>
      </c>
      <c r="AF48">
        <f t="shared" si="14"/>
        <v>2014.4166666666667</v>
      </c>
      <c r="AG48">
        <f t="shared" si="15"/>
        <v>2017.0833333333333</v>
      </c>
      <c r="AH48">
        <f t="shared" si="24"/>
        <v>-8.3333333333333329E-2</v>
      </c>
      <c r="AJ48">
        <f t="shared" si="17"/>
        <v>4621.8337000000001</v>
      </c>
      <c r="AL48">
        <f t="shared" si="18"/>
        <v>4621.8337000000001</v>
      </c>
      <c r="AN48">
        <f t="shared" si="19"/>
        <v>-13865.501100000001</v>
      </c>
      <c r="AP48">
        <f t="shared" si="20"/>
        <v>0</v>
      </c>
      <c r="AR48">
        <f t="shared" si="21"/>
        <v>0</v>
      </c>
    </row>
    <row r="49" spans="1:44">
      <c r="A49" t="s">
        <v>288</v>
      </c>
      <c r="C49">
        <v>4510</v>
      </c>
      <c r="D49" t="s">
        <v>327</v>
      </c>
      <c r="E49">
        <v>2009</v>
      </c>
      <c r="F49">
        <v>6</v>
      </c>
      <c r="G49">
        <v>0</v>
      </c>
      <c r="I49" t="s">
        <v>78</v>
      </c>
      <c r="J49">
        <v>3</v>
      </c>
      <c r="K49">
        <f t="shared" si="0"/>
        <v>2012</v>
      </c>
      <c r="N49">
        <v>4493.79</v>
      </c>
      <c r="P49">
        <f t="shared" si="22"/>
        <v>4493.79</v>
      </c>
      <c r="Q49">
        <f t="shared" si="23"/>
        <v>124.8275</v>
      </c>
      <c r="R49">
        <f t="shared" si="3"/>
        <v>0</v>
      </c>
      <c r="S49">
        <f t="shared" si="4"/>
        <v>0</v>
      </c>
      <c r="T49">
        <f t="shared" si="5"/>
        <v>0</v>
      </c>
      <c r="U49">
        <v>1</v>
      </c>
      <c r="V49">
        <f t="shared" si="6"/>
        <v>0</v>
      </c>
      <c r="X49">
        <f t="shared" si="7"/>
        <v>4493.79</v>
      </c>
      <c r="Y49">
        <f t="shared" si="8"/>
        <v>4493.79</v>
      </c>
      <c r="Z49">
        <v>1</v>
      </c>
      <c r="AA49">
        <f t="shared" si="9"/>
        <v>4493.79</v>
      </c>
      <c r="AB49">
        <f t="shared" si="10"/>
        <v>4493.79</v>
      </c>
      <c r="AC49">
        <f t="shared" si="11"/>
        <v>0</v>
      </c>
      <c r="AD49">
        <f t="shared" si="12"/>
        <v>2009.4166666666667</v>
      </c>
      <c r="AE49">
        <f t="shared" si="13"/>
        <v>2018.0833333333333</v>
      </c>
      <c r="AF49">
        <f t="shared" si="14"/>
        <v>2012.4166666666667</v>
      </c>
      <c r="AG49">
        <f t="shared" si="15"/>
        <v>2017.0833333333333</v>
      </c>
      <c r="AH49">
        <f t="shared" si="24"/>
        <v>-8.3333333333333329E-2</v>
      </c>
      <c r="AJ49">
        <f t="shared" si="17"/>
        <v>0</v>
      </c>
      <c r="AL49">
        <f t="shared" si="18"/>
        <v>0</v>
      </c>
      <c r="AN49">
        <f t="shared" si="19"/>
        <v>0</v>
      </c>
      <c r="AP49">
        <f t="shared" si="20"/>
        <v>0</v>
      </c>
      <c r="AR49">
        <f t="shared" si="21"/>
        <v>0</v>
      </c>
    </row>
    <row r="50" spans="1:44">
      <c r="A50" t="s">
        <v>288</v>
      </c>
      <c r="C50">
        <v>4511</v>
      </c>
      <c r="D50" t="s">
        <v>328</v>
      </c>
      <c r="E50">
        <v>2009</v>
      </c>
      <c r="F50">
        <v>6</v>
      </c>
      <c r="G50">
        <v>0</v>
      </c>
      <c r="I50" t="s">
        <v>78</v>
      </c>
      <c r="J50">
        <v>3</v>
      </c>
      <c r="K50">
        <f t="shared" si="0"/>
        <v>2012</v>
      </c>
      <c r="N50">
        <v>3096.41</v>
      </c>
      <c r="P50">
        <f t="shared" si="22"/>
        <v>3096.41</v>
      </c>
      <c r="Q50">
        <f t="shared" si="23"/>
        <v>86.011388888888874</v>
      </c>
      <c r="R50">
        <f t="shared" si="3"/>
        <v>0</v>
      </c>
      <c r="S50">
        <f t="shared" si="4"/>
        <v>0</v>
      </c>
      <c r="T50">
        <f t="shared" si="5"/>
        <v>0</v>
      </c>
      <c r="U50">
        <v>1</v>
      </c>
      <c r="V50">
        <f t="shared" si="6"/>
        <v>0</v>
      </c>
      <c r="X50">
        <f t="shared" si="7"/>
        <v>3096.41</v>
      </c>
      <c r="Y50">
        <f t="shared" si="8"/>
        <v>3096.41</v>
      </c>
      <c r="Z50">
        <v>1</v>
      </c>
      <c r="AA50">
        <f t="shared" si="9"/>
        <v>3096.41</v>
      </c>
      <c r="AB50">
        <f t="shared" si="10"/>
        <v>3096.41</v>
      </c>
      <c r="AC50">
        <f t="shared" si="11"/>
        <v>0</v>
      </c>
      <c r="AD50">
        <f t="shared" si="12"/>
        <v>2009.4166666666667</v>
      </c>
      <c r="AE50">
        <f t="shared" si="13"/>
        <v>2018.0833333333333</v>
      </c>
      <c r="AF50">
        <f t="shared" si="14"/>
        <v>2012.4166666666667</v>
      </c>
      <c r="AG50">
        <f t="shared" si="15"/>
        <v>2017.0833333333333</v>
      </c>
      <c r="AH50">
        <f t="shared" si="24"/>
        <v>-8.3333333333333329E-2</v>
      </c>
      <c r="AJ50">
        <f t="shared" si="17"/>
        <v>0</v>
      </c>
      <c r="AL50">
        <f t="shared" si="18"/>
        <v>0</v>
      </c>
      <c r="AN50">
        <f t="shared" si="19"/>
        <v>0</v>
      </c>
      <c r="AP50">
        <f t="shared" si="20"/>
        <v>0</v>
      </c>
      <c r="AR50">
        <f t="shared" si="21"/>
        <v>0</v>
      </c>
    </row>
    <row r="51" spans="1:44">
      <c r="A51" t="s">
        <v>311</v>
      </c>
      <c r="C51">
        <v>68611</v>
      </c>
      <c r="D51" t="s">
        <v>325</v>
      </c>
      <c r="E51">
        <v>2009</v>
      </c>
      <c r="F51">
        <v>7</v>
      </c>
      <c r="G51">
        <v>0.33</v>
      </c>
      <c r="I51" t="s">
        <v>78</v>
      </c>
      <c r="J51">
        <v>5</v>
      </c>
      <c r="K51">
        <f t="shared" si="0"/>
        <v>2014</v>
      </c>
      <c r="N51">
        <v>-1085</v>
      </c>
      <c r="P51">
        <f t="shared" si="22"/>
        <v>-726.95</v>
      </c>
      <c r="Q51">
        <f t="shared" si="23"/>
        <v>-12.115833333333335</v>
      </c>
      <c r="R51">
        <f t="shared" si="3"/>
        <v>0</v>
      </c>
      <c r="S51">
        <f t="shared" si="4"/>
        <v>0</v>
      </c>
      <c r="T51">
        <f t="shared" si="5"/>
        <v>0</v>
      </c>
      <c r="U51">
        <v>1</v>
      </c>
      <c r="V51">
        <f t="shared" si="6"/>
        <v>0</v>
      </c>
      <c r="X51">
        <f t="shared" si="7"/>
        <v>-726.95</v>
      </c>
      <c r="Y51">
        <f t="shared" si="8"/>
        <v>-726.95</v>
      </c>
      <c r="Z51">
        <v>1</v>
      </c>
      <c r="AA51">
        <f t="shared" si="9"/>
        <v>-726.95</v>
      </c>
      <c r="AB51">
        <f t="shared" si="10"/>
        <v>-726.95</v>
      </c>
      <c r="AC51">
        <f t="shared" si="11"/>
        <v>-358.04999999999995</v>
      </c>
      <c r="AD51">
        <f t="shared" si="12"/>
        <v>2009.5</v>
      </c>
      <c r="AE51">
        <f t="shared" si="13"/>
        <v>2018.0833333333333</v>
      </c>
      <c r="AF51">
        <f t="shared" si="14"/>
        <v>2014.5</v>
      </c>
      <c r="AG51">
        <f t="shared" si="15"/>
        <v>2017.0833333333333</v>
      </c>
      <c r="AH51">
        <f t="shared" si="24"/>
        <v>-8.3333333333333329E-2</v>
      </c>
      <c r="AJ51">
        <f t="shared" si="17"/>
        <v>-119.34999999999998</v>
      </c>
      <c r="AL51">
        <f t="shared" si="18"/>
        <v>-119.34999999999998</v>
      </c>
      <c r="AN51">
        <f t="shared" si="19"/>
        <v>358.04999999999995</v>
      </c>
      <c r="AP51">
        <f t="shared" si="20"/>
        <v>0</v>
      </c>
      <c r="AR51">
        <f t="shared" si="21"/>
        <v>0</v>
      </c>
    </row>
    <row r="52" spans="1:44">
      <c r="A52" t="s">
        <v>312</v>
      </c>
      <c r="B52">
        <v>75159</v>
      </c>
      <c r="D52" t="s">
        <v>388</v>
      </c>
      <c r="E52">
        <v>2010</v>
      </c>
      <c r="F52">
        <v>3</v>
      </c>
      <c r="G52">
        <v>0.33</v>
      </c>
      <c r="I52" t="s">
        <v>78</v>
      </c>
      <c r="J52">
        <v>5</v>
      </c>
      <c r="K52">
        <f t="shared" si="0"/>
        <v>2015</v>
      </c>
      <c r="N52">
        <v>11181.56</v>
      </c>
      <c r="P52">
        <f t="shared" si="22"/>
        <v>7491.645199999999</v>
      </c>
      <c r="Q52">
        <f t="shared" si="23"/>
        <v>124.86075333333332</v>
      </c>
      <c r="R52">
        <f t="shared" si="3"/>
        <v>0</v>
      </c>
      <c r="S52">
        <f t="shared" si="4"/>
        <v>0</v>
      </c>
      <c r="T52">
        <f t="shared" si="5"/>
        <v>0</v>
      </c>
      <c r="U52">
        <v>1</v>
      </c>
      <c r="V52">
        <f t="shared" si="6"/>
        <v>0</v>
      </c>
      <c r="X52">
        <f t="shared" si="7"/>
        <v>7491.645199999999</v>
      </c>
      <c r="Y52">
        <f t="shared" si="8"/>
        <v>7491.645199999999</v>
      </c>
      <c r="Z52">
        <v>1</v>
      </c>
      <c r="AA52">
        <f t="shared" si="9"/>
        <v>7491.645199999999</v>
      </c>
      <c r="AB52">
        <f t="shared" si="10"/>
        <v>7491.645199999999</v>
      </c>
      <c r="AC52">
        <f t="shared" si="11"/>
        <v>3689.9148000000005</v>
      </c>
      <c r="AD52">
        <f t="shared" si="12"/>
        <v>2010.1666666666667</v>
      </c>
      <c r="AE52">
        <f t="shared" si="13"/>
        <v>2018.0833333333333</v>
      </c>
      <c r="AF52">
        <f t="shared" si="14"/>
        <v>2015.1666666666667</v>
      </c>
      <c r="AG52">
        <f t="shared" si="15"/>
        <v>2017.0833333333333</v>
      </c>
      <c r="AH52">
        <f t="shared" si="24"/>
        <v>-8.3333333333333329E-2</v>
      </c>
      <c r="AJ52">
        <f t="shared" si="17"/>
        <v>1229.9716000000001</v>
      </c>
      <c r="AL52">
        <f t="shared" si="18"/>
        <v>1229.9716000000001</v>
      </c>
      <c r="AN52">
        <f t="shared" si="19"/>
        <v>-3689.9148000000005</v>
      </c>
      <c r="AP52">
        <f t="shared" si="20"/>
        <v>0</v>
      </c>
      <c r="AR52">
        <f t="shared" si="21"/>
        <v>0</v>
      </c>
    </row>
    <row r="53" spans="1:44">
      <c r="A53" t="s">
        <v>286</v>
      </c>
      <c r="B53">
        <v>77760</v>
      </c>
      <c r="C53">
        <v>2035</v>
      </c>
      <c r="D53" t="s">
        <v>385</v>
      </c>
      <c r="E53">
        <v>2010</v>
      </c>
      <c r="F53">
        <v>10</v>
      </c>
      <c r="G53">
        <v>0.2</v>
      </c>
      <c r="I53" t="s">
        <v>78</v>
      </c>
      <c r="J53">
        <v>7</v>
      </c>
      <c r="K53">
        <f t="shared" si="0"/>
        <v>2017</v>
      </c>
      <c r="N53">
        <v>232081.5</v>
      </c>
      <c r="P53">
        <f t="shared" si="22"/>
        <v>185665.2</v>
      </c>
      <c r="Q53">
        <f t="shared" si="23"/>
        <v>2210.3000000000002</v>
      </c>
      <c r="R53">
        <f t="shared" si="3"/>
        <v>17682.400000002013</v>
      </c>
      <c r="S53">
        <f t="shared" si="4"/>
        <v>0</v>
      </c>
      <c r="T53">
        <f t="shared" si="5"/>
        <v>17682.400000002013</v>
      </c>
      <c r="U53">
        <v>1</v>
      </c>
      <c r="V53">
        <f t="shared" si="6"/>
        <v>17682.400000002013</v>
      </c>
      <c r="X53">
        <f t="shared" si="7"/>
        <v>167982.79999999801</v>
      </c>
      <c r="Y53">
        <f t="shared" si="8"/>
        <v>167982.79999999801</v>
      </c>
      <c r="Z53">
        <v>1</v>
      </c>
      <c r="AA53">
        <f t="shared" si="9"/>
        <v>167982.79999999801</v>
      </c>
      <c r="AB53">
        <f t="shared" si="10"/>
        <v>185665.2</v>
      </c>
      <c r="AC53">
        <f t="shared" si="11"/>
        <v>55257.50000000099</v>
      </c>
      <c r="AD53">
        <f t="shared" si="12"/>
        <v>2010.75</v>
      </c>
      <c r="AE53">
        <f t="shared" si="13"/>
        <v>2018.0833333333333</v>
      </c>
      <c r="AF53">
        <f t="shared" si="14"/>
        <v>2017.75</v>
      </c>
      <c r="AG53">
        <f t="shared" si="15"/>
        <v>2017.0833333333333</v>
      </c>
      <c r="AH53">
        <f t="shared" si="24"/>
        <v>-8.3333333333333329E-2</v>
      </c>
      <c r="AJ53">
        <f t="shared" si="17"/>
        <v>15472.099999999997</v>
      </c>
      <c r="AL53">
        <f t="shared" si="18"/>
        <v>33154.500000002008</v>
      </c>
      <c r="AN53">
        <f t="shared" si="19"/>
        <v>0</v>
      </c>
      <c r="AP53">
        <f t="shared" si="20"/>
        <v>47521.450000000987</v>
      </c>
      <c r="AR53">
        <f t="shared" si="21"/>
        <v>47521.450000000987</v>
      </c>
    </row>
    <row r="54" spans="1:44">
      <c r="B54">
        <v>88721</v>
      </c>
      <c r="D54" t="s">
        <v>437</v>
      </c>
      <c r="E54">
        <v>2011</v>
      </c>
      <c r="F54">
        <v>12</v>
      </c>
      <c r="G54">
        <v>0</v>
      </c>
      <c r="I54" t="s">
        <v>78</v>
      </c>
      <c r="J54">
        <v>5</v>
      </c>
      <c r="K54">
        <f t="shared" si="0"/>
        <v>2016</v>
      </c>
      <c r="N54">
        <f>487.65*32</f>
        <v>15604.8</v>
      </c>
      <c r="P54">
        <f t="shared" si="22"/>
        <v>15604.8</v>
      </c>
      <c r="Q54">
        <f t="shared" si="23"/>
        <v>260.08</v>
      </c>
      <c r="R54">
        <f t="shared" si="3"/>
        <v>0</v>
      </c>
      <c r="S54">
        <f t="shared" si="4"/>
        <v>0</v>
      </c>
      <c r="T54">
        <f t="shared" si="5"/>
        <v>0</v>
      </c>
      <c r="U54">
        <v>1</v>
      </c>
      <c r="V54">
        <f t="shared" si="6"/>
        <v>0</v>
      </c>
      <c r="X54">
        <f t="shared" si="7"/>
        <v>15604.8</v>
      </c>
      <c r="Y54">
        <f t="shared" si="8"/>
        <v>15604.8</v>
      </c>
      <c r="Z54">
        <v>1</v>
      </c>
      <c r="AA54">
        <f t="shared" si="9"/>
        <v>15604.8</v>
      </c>
      <c r="AB54">
        <f t="shared" si="10"/>
        <v>15604.8</v>
      </c>
      <c r="AC54">
        <f t="shared" si="11"/>
        <v>0</v>
      </c>
      <c r="AD54">
        <f t="shared" si="12"/>
        <v>2011.9166666666667</v>
      </c>
      <c r="AE54">
        <f t="shared" si="13"/>
        <v>2018.0833333333333</v>
      </c>
      <c r="AF54">
        <f t="shared" si="14"/>
        <v>2016.9166666666667</v>
      </c>
      <c r="AG54">
        <f t="shared" si="15"/>
        <v>2017.0833333333333</v>
      </c>
      <c r="AH54">
        <f t="shared" si="24"/>
        <v>-8.3333333333333329E-2</v>
      </c>
      <c r="AJ54">
        <f t="shared" si="17"/>
        <v>0</v>
      </c>
      <c r="AL54">
        <f t="shared" si="18"/>
        <v>0</v>
      </c>
      <c r="AN54">
        <f t="shared" si="19"/>
        <v>0</v>
      </c>
      <c r="AP54">
        <f t="shared" si="20"/>
        <v>0</v>
      </c>
      <c r="AR54">
        <f t="shared" si="21"/>
        <v>0</v>
      </c>
    </row>
    <row r="55" spans="1:44">
      <c r="B55">
        <v>88756</v>
      </c>
      <c r="C55">
        <v>3629</v>
      </c>
      <c r="D55" t="s">
        <v>442</v>
      </c>
      <c r="E55">
        <v>2011</v>
      </c>
      <c r="F55">
        <v>11</v>
      </c>
      <c r="G55">
        <v>0.2</v>
      </c>
      <c r="I55" t="s">
        <v>78</v>
      </c>
      <c r="J55">
        <v>7</v>
      </c>
      <c r="K55">
        <f t="shared" si="0"/>
        <v>2018</v>
      </c>
      <c r="N55">
        <v>289049.83</v>
      </c>
      <c r="P55">
        <f t="shared" si="22"/>
        <v>231239.864</v>
      </c>
      <c r="Q55">
        <f t="shared" si="23"/>
        <v>2752.8555238095237</v>
      </c>
      <c r="R55">
        <f t="shared" si="3"/>
        <v>33034.266285714286</v>
      </c>
      <c r="S55">
        <f t="shared" si="4"/>
        <v>0</v>
      </c>
      <c r="T55">
        <f t="shared" si="5"/>
        <v>33034.266285714286</v>
      </c>
      <c r="U55">
        <v>1</v>
      </c>
      <c r="V55">
        <f t="shared" si="6"/>
        <v>33034.266285714286</v>
      </c>
      <c r="X55">
        <f t="shared" si="7"/>
        <v>173429.89799999999</v>
      </c>
      <c r="Y55">
        <f t="shared" si="8"/>
        <v>173429.89799999999</v>
      </c>
      <c r="Z55">
        <v>1</v>
      </c>
      <c r="AA55">
        <f t="shared" si="9"/>
        <v>173429.89799999999</v>
      </c>
      <c r="AB55">
        <f t="shared" si="10"/>
        <v>206464.16428571427</v>
      </c>
      <c r="AC55">
        <f t="shared" si="11"/>
        <v>99102.798857142887</v>
      </c>
      <c r="AD55">
        <f t="shared" si="12"/>
        <v>2011.8333333333333</v>
      </c>
      <c r="AE55">
        <f t="shared" si="13"/>
        <v>2018.0833333333333</v>
      </c>
      <c r="AF55">
        <f t="shared" si="14"/>
        <v>2018.8333333333333</v>
      </c>
      <c r="AG55">
        <f t="shared" si="15"/>
        <v>2017.0833333333333</v>
      </c>
      <c r="AH55">
        <f t="shared" si="24"/>
        <v>-8.3333333333333329E-2</v>
      </c>
      <c r="AJ55">
        <f t="shared" si="17"/>
        <v>19269.988666666672</v>
      </c>
      <c r="AL55">
        <f t="shared" si="18"/>
        <v>52304.254952380958</v>
      </c>
      <c r="AN55">
        <f t="shared" si="19"/>
        <v>0</v>
      </c>
      <c r="AP55">
        <f t="shared" si="20"/>
        <v>89467.804523809551</v>
      </c>
      <c r="AR55">
        <f t="shared" si="21"/>
        <v>89467.804523809551</v>
      </c>
    </row>
    <row r="56" spans="1:44">
      <c r="B56">
        <v>89484</v>
      </c>
      <c r="C56">
        <v>2036</v>
      </c>
      <c r="D56" t="s">
        <v>448</v>
      </c>
      <c r="E56">
        <v>2011</v>
      </c>
      <c r="F56">
        <v>12</v>
      </c>
      <c r="G56">
        <v>0.2</v>
      </c>
      <c r="I56" t="s">
        <v>78</v>
      </c>
      <c r="J56">
        <v>7</v>
      </c>
      <c r="K56">
        <f t="shared" si="0"/>
        <v>2018</v>
      </c>
      <c r="N56">
        <v>245480.55</v>
      </c>
      <c r="P56">
        <f t="shared" si="22"/>
        <v>196384.44</v>
      </c>
      <c r="Q56">
        <f t="shared" si="23"/>
        <v>2337.9100000000003</v>
      </c>
      <c r="R56">
        <f t="shared" si="3"/>
        <v>28054.920000000006</v>
      </c>
      <c r="S56">
        <f t="shared" si="4"/>
        <v>0</v>
      </c>
      <c r="T56">
        <f t="shared" si="5"/>
        <v>28054.920000000006</v>
      </c>
      <c r="U56">
        <v>1</v>
      </c>
      <c r="V56">
        <f t="shared" si="6"/>
        <v>28054.920000000006</v>
      </c>
      <c r="X56">
        <f t="shared" si="7"/>
        <v>144950.41999999576</v>
      </c>
      <c r="Y56">
        <f t="shared" si="8"/>
        <v>144950.41999999576</v>
      </c>
      <c r="Z56">
        <v>1</v>
      </c>
      <c r="AA56">
        <f t="shared" si="9"/>
        <v>144950.41999999576</v>
      </c>
      <c r="AB56">
        <f t="shared" si="10"/>
        <v>173005.33999999578</v>
      </c>
      <c r="AC56">
        <f t="shared" si="11"/>
        <v>86502.670000004218</v>
      </c>
      <c r="AD56">
        <f t="shared" si="12"/>
        <v>2011.9166666666667</v>
      </c>
      <c r="AE56">
        <f t="shared" si="13"/>
        <v>2018.0833333333333</v>
      </c>
      <c r="AF56">
        <f t="shared" si="14"/>
        <v>2018.9166666666667</v>
      </c>
      <c r="AG56">
        <f t="shared" si="15"/>
        <v>2017.0833333333333</v>
      </c>
      <c r="AH56">
        <f t="shared" si="24"/>
        <v>-8.3333333333333329E-2</v>
      </c>
      <c r="AJ56">
        <f t="shared" si="17"/>
        <v>16365.369999999995</v>
      </c>
      <c r="AL56">
        <f t="shared" si="18"/>
        <v>44420.29</v>
      </c>
      <c r="AN56">
        <f t="shared" si="19"/>
        <v>0</v>
      </c>
      <c r="AP56">
        <f t="shared" si="20"/>
        <v>78319.985000004221</v>
      </c>
      <c r="AR56">
        <f t="shared" si="21"/>
        <v>78319.985000004221</v>
      </c>
    </row>
    <row r="57" spans="1:44">
      <c r="A57" t="s">
        <v>288</v>
      </c>
      <c r="B57" t="s">
        <v>444</v>
      </c>
      <c r="C57">
        <v>4511</v>
      </c>
      <c r="D57" t="s">
        <v>445</v>
      </c>
      <c r="E57">
        <v>2012</v>
      </c>
      <c r="F57">
        <v>2</v>
      </c>
      <c r="G57">
        <v>0</v>
      </c>
      <c r="I57" t="s">
        <v>78</v>
      </c>
      <c r="J57">
        <v>3</v>
      </c>
      <c r="K57">
        <f t="shared" si="0"/>
        <v>2015</v>
      </c>
      <c r="N57">
        <f>12472.57-4700.16+4164.8</f>
        <v>11937.21</v>
      </c>
      <c r="P57">
        <f t="shared" si="22"/>
        <v>11937.21</v>
      </c>
      <c r="Q57">
        <f t="shared" si="23"/>
        <v>331.58916666666664</v>
      </c>
      <c r="R57">
        <f t="shared" si="3"/>
        <v>0</v>
      </c>
      <c r="S57">
        <f t="shared" si="4"/>
        <v>0</v>
      </c>
      <c r="T57">
        <f t="shared" si="5"/>
        <v>0</v>
      </c>
      <c r="U57">
        <v>1</v>
      </c>
      <c r="V57">
        <f t="shared" si="6"/>
        <v>0</v>
      </c>
      <c r="X57">
        <f t="shared" si="7"/>
        <v>11937.21</v>
      </c>
      <c r="Y57">
        <f t="shared" si="8"/>
        <v>11937.21</v>
      </c>
      <c r="Z57">
        <v>1</v>
      </c>
      <c r="AA57">
        <f t="shared" si="9"/>
        <v>11937.21</v>
      </c>
      <c r="AB57">
        <f t="shared" si="10"/>
        <v>11937.21</v>
      </c>
      <c r="AC57">
        <f t="shared" si="11"/>
        <v>0</v>
      </c>
      <c r="AD57">
        <f t="shared" si="12"/>
        <v>2012.0833333333333</v>
      </c>
      <c r="AE57">
        <f t="shared" si="13"/>
        <v>2018.0833333333333</v>
      </c>
      <c r="AF57">
        <f t="shared" si="14"/>
        <v>2015.0833333333333</v>
      </c>
      <c r="AG57">
        <f t="shared" si="15"/>
        <v>2017.0833333333333</v>
      </c>
      <c r="AH57">
        <f t="shared" si="24"/>
        <v>-8.3333333333333329E-2</v>
      </c>
      <c r="AJ57">
        <f t="shared" si="17"/>
        <v>0</v>
      </c>
      <c r="AL57">
        <f t="shared" si="18"/>
        <v>0</v>
      </c>
      <c r="AN57">
        <f t="shared" si="19"/>
        <v>0</v>
      </c>
      <c r="AP57">
        <f t="shared" si="20"/>
        <v>0</v>
      </c>
      <c r="AR57">
        <f t="shared" si="21"/>
        <v>0</v>
      </c>
    </row>
    <row r="58" spans="1:44">
      <c r="A58" t="s">
        <v>463</v>
      </c>
      <c r="B58" t="s">
        <v>464</v>
      </c>
      <c r="C58">
        <v>3632</v>
      </c>
      <c r="D58" t="s">
        <v>442</v>
      </c>
      <c r="E58">
        <v>2012</v>
      </c>
      <c r="F58">
        <v>8</v>
      </c>
      <c r="G58">
        <v>0.2</v>
      </c>
      <c r="I58" t="s">
        <v>78</v>
      </c>
      <c r="J58">
        <v>7</v>
      </c>
      <c r="K58">
        <f t="shared" si="0"/>
        <v>2019</v>
      </c>
      <c r="N58">
        <f>297122+8555+23411</f>
        <v>329088</v>
      </c>
      <c r="P58">
        <f t="shared" si="22"/>
        <v>263270.40000000002</v>
      </c>
      <c r="Q58">
        <f t="shared" si="23"/>
        <v>3134.1714285714293</v>
      </c>
      <c r="R58">
        <f t="shared" si="3"/>
        <v>37610.057142857149</v>
      </c>
      <c r="S58">
        <f t="shared" si="4"/>
        <v>0</v>
      </c>
      <c r="T58">
        <f t="shared" si="5"/>
        <v>37610.057142857149</v>
      </c>
      <c r="U58">
        <v>1</v>
      </c>
      <c r="V58">
        <f t="shared" si="6"/>
        <v>37610.057142857149</v>
      </c>
      <c r="X58">
        <f t="shared" si="7"/>
        <v>169245.25714285718</v>
      </c>
      <c r="Y58">
        <f t="shared" si="8"/>
        <v>169245.25714285718</v>
      </c>
      <c r="Z58">
        <v>1</v>
      </c>
      <c r="AA58">
        <f t="shared" si="9"/>
        <v>169245.25714285718</v>
      </c>
      <c r="AB58">
        <f t="shared" si="10"/>
        <v>206855.31428571432</v>
      </c>
      <c r="AC58">
        <f t="shared" si="11"/>
        <v>141037.71428571426</v>
      </c>
      <c r="AD58">
        <f t="shared" si="12"/>
        <v>2012.5833333333333</v>
      </c>
      <c r="AE58">
        <f t="shared" si="13"/>
        <v>2018.0833333333333</v>
      </c>
      <c r="AF58">
        <f t="shared" si="14"/>
        <v>2019.5833333333333</v>
      </c>
      <c r="AG58">
        <f t="shared" si="15"/>
        <v>2017.0833333333333</v>
      </c>
      <c r="AH58">
        <f t="shared" si="24"/>
        <v>-8.3333333333333329E-2</v>
      </c>
      <c r="AJ58">
        <f t="shared" si="17"/>
        <v>21939.199999999993</v>
      </c>
      <c r="AL58">
        <f t="shared" si="18"/>
        <v>59549.257142857139</v>
      </c>
      <c r="AN58">
        <f t="shared" si="19"/>
        <v>0</v>
      </c>
      <c r="AP58">
        <f t="shared" si="20"/>
        <v>130068.11428571425</v>
      </c>
      <c r="AR58">
        <f t="shared" si="21"/>
        <v>130068.11428571425</v>
      </c>
    </row>
    <row r="59" spans="1:44">
      <c r="A59" t="s">
        <v>476</v>
      </c>
      <c r="B59">
        <v>99666</v>
      </c>
      <c r="C59">
        <v>2011</v>
      </c>
      <c r="D59" t="s">
        <v>477</v>
      </c>
      <c r="E59">
        <v>2012</v>
      </c>
      <c r="F59">
        <v>12</v>
      </c>
      <c r="G59">
        <v>0.2</v>
      </c>
      <c r="I59" t="s">
        <v>78</v>
      </c>
      <c r="J59">
        <v>7</v>
      </c>
      <c r="K59">
        <f t="shared" si="0"/>
        <v>2019</v>
      </c>
      <c r="N59">
        <v>301281</v>
      </c>
      <c r="P59">
        <f t="shared" si="22"/>
        <v>241024.8</v>
      </c>
      <c r="Q59">
        <f t="shared" si="23"/>
        <v>2869.3428571428572</v>
      </c>
      <c r="R59">
        <f t="shared" si="3"/>
        <v>34432.114285714284</v>
      </c>
      <c r="S59">
        <f t="shared" si="4"/>
        <v>0</v>
      </c>
      <c r="T59">
        <f t="shared" si="5"/>
        <v>34432.114285714284</v>
      </c>
      <c r="U59">
        <v>1</v>
      </c>
      <c r="V59">
        <f t="shared" si="6"/>
        <v>34432.114285714284</v>
      </c>
      <c r="X59">
        <f t="shared" si="7"/>
        <v>143467.14285713763</v>
      </c>
      <c r="Y59">
        <f t="shared" si="8"/>
        <v>143467.14285713763</v>
      </c>
      <c r="Z59">
        <v>1</v>
      </c>
      <c r="AA59">
        <f t="shared" si="9"/>
        <v>143467.14285713763</v>
      </c>
      <c r="AB59">
        <f t="shared" si="10"/>
        <v>177899.25714285191</v>
      </c>
      <c r="AC59">
        <f t="shared" si="11"/>
        <v>140597.80000000523</v>
      </c>
      <c r="AD59">
        <f t="shared" si="12"/>
        <v>2012.9166666666667</v>
      </c>
      <c r="AE59">
        <f t="shared" si="13"/>
        <v>2018.0833333333333</v>
      </c>
      <c r="AF59">
        <f t="shared" si="14"/>
        <v>2019.9166666666667</v>
      </c>
      <c r="AG59">
        <f t="shared" si="15"/>
        <v>2017.0833333333333</v>
      </c>
      <c r="AH59">
        <f t="shared" si="24"/>
        <v>-8.3333333333333329E-2</v>
      </c>
      <c r="AJ59">
        <f t="shared" si="17"/>
        <v>20085.400000000005</v>
      </c>
      <c r="AL59">
        <f t="shared" si="18"/>
        <v>54517.514285714293</v>
      </c>
      <c r="AN59">
        <f t="shared" si="19"/>
        <v>0</v>
      </c>
      <c r="AP59">
        <f t="shared" si="20"/>
        <v>130555.10000000523</v>
      </c>
      <c r="AR59">
        <f t="shared" si="21"/>
        <v>130555.10000000523</v>
      </c>
    </row>
    <row r="60" spans="1:44">
      <c r="B60">
        <v>103479</v>
      </c>
      <c r="C60">
        <v>1042</v>
      </c>
      <c r="D60" t="s">
        <v>478</v>
      </c>
      <c r="E60">
        <v>2013</v>
      </c>
      <c r="F60">
        <v>3</v>
      </c>
      <c r="G60">
        <v>0</v>
      </c>
      <c r="I60" t="s">
        <v>78</v>
      </c>
      <c r="J60">
        <v>3</v>
      </c>
      <c r="K60">
        <f t="shared" si="0"/>
        <v>2016</v>
      </c>
      <c r="N60">
        <v>13741.65</v>
      </c>
      <c r="P60">
        <f t="shared" si="22"/>
        <v>13741.65</v>
      </c>
      <c r="Q60">
        <f t="shared" si="23"/>
        <v>381.71250000000003</v>
      </c>
      <c r="R60">
        <f t="shared" si="3"/>
        <v>0</v>
      </c>
      <c r="S60">
        <f t="shared" si="4"/>
        <v>0</v>
      </c>
      <c r="T60">
        <f t="shared" si="5"/>
        <v>0</v>
      </c>
      <c r="U60">
        <v>1</v>
      </c>
      <c r="V60">
        <f t="shared" si="6"/>
        <v>0</v>
      </c>
      <c r="X60">
        <f t="shared" si="7"/>
        <v>13741.65</v>
      </c>
      <c r="Y60">
        <f t="shared" si="8"/>
        <v>13741.65</v>
      </c>
      <c r="Z60">
        <v>1</v>
      </c>
      <c r="AA60">
        <f t="shared" si="9"/>
        <v>13741.65</v>
      </c>
      <c r="AB60">
        <f t="shared" si="10"/>
        <v>13741.65</v>
      </c>
      <c r="AC60">
        <f t="shared" si="11"/>
        <v>0</v>
      </c>
      <c r="AD60">
        <f t="shared" si="12"/>
        <v>2013.1666666666667</v>
      </c>
      <c r="AE60">
        <f t="shared" si="13"/>
        <v>2018.0833333333333</v>
      </c>
      <c r="AF60">
        <f t="shared" si="14"/>
        <v>2016.1666666666667</v>
      </c>
      <c r="AG60">
        <f t="shared" si="15"/>
        <v>2017.0833333333333</v>
      </c>
      <c r="AH60">
        <f t="shared" si="24"/>
        <v>-8.3333333333333329E-2</v>
      </c>
      <c r="AJ60">
        <f t="shared" si="17"/>
        <v>0</v>
      </c>
      <c r="AL60">
        <f t="shared" si="18"/>
        <v>0</v>
      </c>
      <c r="AN60">
        <f t="shared" si="19"/>
        <v>0</v>
      </c>
      <c r="AP60">
        <f t="shared" si="20"/>
        <v>0</v>
      </c>
      <c r="AR60">
        <f t="shared" si="21"/>
        <v>0</v>
      </c>
    </row>
    <row r="61" spans="1:44">
      <c r="B61">
        <v>109992</v>
      </c>
      <c r="C61">
        <v>3603</v>
      </c>
      <c r="D61" t="s">
        <v>491</v>
      </c>
      <c r="E61">
        <v>2013</v>
      </c>
      <c r="F61">
        <v>12</v>
      </c>
      <c r="G61">
        <v>0</v>
      </c>
      <c r="I61" t="s">
        <v>78</v>
      </c>
      <c r="J61">
        <v>3</v>
      </c>
      <c r="K61">
        <f t="shared" si="0"/>
        <v>2016</v>
      </c>
      <c r="N61">
        <v>24943.74</v>
      </c>
      <c r="P61">
        <f t="shared" si="22"/>
        <v>24943.74</v>
      </c>
      <c r="Q61">
        <f t="shared" si="23"/>
        <v>692.88166666666666</v>
      </c>
      <c r="R61">
        <f t="shared" si="3"/>
        <v>0</v>
      </c>
      <c r="S61">
        <f t="shared" si="4"/>
        <v>0</v>
      </c>
      <c r="T61">
        <f t="shared" si="5"/>
        <v>0</v>
      </c>
      <c r="U61">
        <v>1</v>
      </c>
      <c r="V61">
        <f t="shared" si="6"/>
        <v>0</v>
      </c>
      <c r="X61">
        <f t="shared" si="7"/>
        <v>24943.74</v>
      </c>
      <c r="Y61">
        <f t="shared" si="8"/>
        <v>24943.74</v>
      </c>
      <c r="Z61">
        <v>1</v>
      </c>
      <c r="AA61">
        <f t="shared" si="9"/>
        <v>24943.74</v>
      </c>
      <c r="AB61">
        <f t="shared" si="10"/>
        <v>24943.74</v>
      </c>
      <c r="AC61">
        <f t="shared" si="11"/>
        <v>0</v>
      </c>
      <c r="AD61">
        <f t="shared" si="12"/>
        <v>2013.9166666666667</v>
      </c>
      <c r="AE61">
        <f t="shared" si="13"/>
        <v>2018.0833333333333</v>
      </c>
      <c r="AF61">
        <f t="shared" si="14"/>
        <v>2016.9166666666667</v>
      </c>
      <c r="AG61">
        <f t="shared" si="15"/>
        <v>2017.0833333333333</v>
      </c>
      <c r="AH61">
        <f t="shared" si="24"/>
        <v>-8.3333333333333329E-2</v>
      </c>
      <c r="AJ61">
        <f t="shared" si="17"/>
        <v>0</v>
      </c>
      <c r="AL61">
        <f t="shared" si="18"/>
        <v>0</v>
      </c>
      <c r="AN61">
        <f t="shared" si="19"/>
        <v>0</v>
      </c>
      <c r="AP61">
        <f t="shared" si="20"/>
        <v>0</v>
      </c>
      <c r="AR61">
        <f t="shared" si="21"/>
        <v>0</v>
      </c>
    </row>
    <row r="62" spans="1:44">
      <c r="A62" t="s">
        <v>463</v>
      </c>
      <c r="B62">
        <v>109517</v>
      </c>
      <c r="C62">
        <v>3539</v>
      </c>
      <c r="D62" t="s">
        <v>493</v>
      </c>
      <c r="E62">
        <v>2013</v>
      </c>
      <c r="F62">
        <v>12</v>
      </c>
      <c r="G62">
        <v>0.2</v>
      </c>
      <c r="I62" t="s">
        <v>78</v>
      </c>
      <c r="J62">
        <v>7</v>
      </c>
      <c r="K62">
        <f t="shared" si="0"/>
        <v>2020</v>
      </c>
      <c r="N62">
        <v>331758.37</v>
      </c>
      <c r="P62">
        <f t="shared" si="22"/>
        <v>265406.696</v>
      </c>
      <c r="Q62">
        <f t="shared" si="23"/>
        <v>3159.6035238095242</v>
      </c>
      <c r="R62">
        <f t="shared" si="3"/>
        <v>37915.242285714288</v>
      </c>
      <c r="S62">
        <f t="shared" si="4"/>
        <v>0</v>
      </c>
      <c r="T62">
        <f t="shared" si="5"/>
        <v>37915.242285714288</v>
      </c>
      <c r="U62">
        <v>1</v>
      </c>
      <c r="V62">
        <f t="shared" si="6"/>
        <v>37915.242285714288</v>
      </c>
      <c r="X62">
        <f t="shared" si="7"/>
        <v>120064.93390475617</v>
      </c>
      <c r="Y62">
        <f t="shared" si="8"/>
        <v>120064.93390475617</v>
      </c>
      <c r="Z62">
        <v>1</v>
      </c>
      <c r="AA62">
        <f t="shared" si="9"/>
        <v>120064.93390475617</v>
      </c>
      <c r="AB62">
        <f t="shared" si="10"/>
        <v>157980.17619047046</v>
      </c>
      <c r="AC62">
        <f t="shared" si="11"/>
        <v>192735.81495238669</v>
      </c>
      <c r="AD62">
        <f t="shared" si="12"/>
        <v>2013.9166666666667</v>
      </c>
      <c r="AE62">
        <f t="shared" si="13"/>
        <v>2018.0833333333333</v>
      </c>
      <c r="AF62">
        <f t="shared" si="14"/>
        <v>2020.9166666666667</v>
      </c>
      <c r="AG62">
        <f t="shared" si="15"/>
        <v>2017.0833333333333</v>
      </c>
      <c r="AH62">
        <f t="shared" si="24"/>
        <v>-8.3333333333333329E-2</v>
      </c>
      <c r="AJ62">
        <f t="shared" si="17"/>
        <v>17309.132347825402</v>
      </c>
      <c r="AL62">
        <f t="shared" si="18"/>
        <v>55224.374633539686</v>
      </c>
      <c r="AN62">
        <f t="shared" si="19"/>
        <v>0</v>
      </c>
      <c r="AP62">
        <f t="shared" si="20"/>
        <v>184081.24877847399</v>
      </c>
      <c r="AR62">
        <f t="shared" si="21"/>
        <v>184081.24877847399</v>
      </c>
    </row>
    <row r="63" spans="1:44">
      <c r="A63" t="s">
        <v>463</v>
      </c>
      <c r="B63">
        <v>109518</v>
      </c>
      <c r="C63">
        <v>3540</v>
      </c>
      <c r="D63" t="s">
        <v>493</v>
      </c>
      <c r="E63">
        <v>2013</v>
      </c>
      <c r="F63">
        <v>12</v>
      </c>
      <c r="G63">
        <v>0.2</v>
      </c>
      <c r="I63" t="s">
        <v>78</v>
      </c>
      <c r="J63">
        <v>7</v>
      </c>
      <c r="K63">
        <f t="shared" si="0"/>
        <v>2020</v>
      </c>
      <c r="N63">
        <v>334095.67</v>
      </c>
      <c r="P63">
        <f t="shared" si="22"/>
        <v>267276.53599999996</v>
      </c>
      <c r="Q63">
        <f t="shared" si="23"/>
        <v>3181.8635238095235</v>
      </c>
      <c r="R63">
        <f t="shared" si="3"/>
        <v>38182.362285714284</v>
      </c>
      <c r="S63">
        <f t="shared" si="4"/>
        <v>0</v>
      </c>
      <c r="T63">
        <f t="shared" si="5"/>
        <v>38182.362285714284</v>
      </c>
      <c r="U63">
        <v>1</v>
      </c>
      <c r="V63">
        <f t="shared" si="6"/>
        <v>38182.362285714284</v>
      </c>
      <c r="X63">
        <f t="shared" si="7"/>
        <v>120910.8139047561</v>
      </c>
      <c r="Y63">
        <f t="shared" si="8"/>
        <v>120910.8139047561</v>
      </c>
      <c r="Z63">
        <v>1</v>
      </c>
      <c r="AA63">
        <f t="shared" si="9"/>
        <v>120910.8139047561</v>
      </c>
      <c r="AB63">
        <f t="shared" si="10"/>
        <v>159093.17619047037</v>
      </c>
      <c r="AC63">
        <f t="shared" si="11"/>
        <v>194093.67495238676</v>
      </c>
      <c r="AD63">
        <f t="shared" si="12"/>
        <v>2013.9166666666667</v>
      </c>
      <c r="AE63">
        <f t="shared" si="13"/>
        <v>2018.0833333333333</v>
      </c>
      <c r="AF63">
        <f t="shared" si="14"/>
        <v>2020.9166666666667</v>
      </c>
      <c r="AG63">
        <f t="shared" si="15"/>
        <v>2017.0833333333333</v>
      </c>
      <c r="AH63">
        <f t="shared" si="24"/>
        <v>-8.3333333333333329E-2</v>
      </c>
      <c r="AJ63">
        <f t="shared" si="17"/>
        <v>17431.078434781924</v>
      </c>
      <c r="AL63">
        <f t="shared" si="18"/>
        <v>55613.440720496204</v>
      </c>
      <c r="AN63">
        <f t="shared" si="19"/>
        <v>0</v>
      </c>
      <c r="AP63">
        <f t="shared" si="20"/>
        <v>185378.13573499577</v>
      </c>
      <c r="AR63">
        <f t="shared" si="21"/>
        <v>185378.13573499577</v>
      </c>
    </row>
    <row r="64" spans="1:44">
      <c r="A64" t="s">
        <v>463</v>
      </c>
      <c r="B64">
        <v>109519</v>
      </c>
      <c r="C64">
        <v>3541</v>
      </c>
      <c r="D64" t="s">
        <v>492</v>
      </c>
      <c r="E64">
        <v>2013</v>
      </c>
      <c r="F64">
        <v>12</v>
      </c>
      <c r="G64">
        <v>0.2</v>
      </c>
      <c r="I64" t="s">
        <v>78</v>
      </c>
      <c r="J64">
        <v>7</v>
      </c>
      <c r="K64">
        <f t="shared" si="0"/>
        <v>2020</v>
      </c>
      <c r="N64">
        <v>332641.82</v>
      </c>
      <c r="P64">
        <f t="shared" si="22"/>
        <v>266113.45600000001</v>
      </c>
      <c r="Q64">
        <f t="shared" si="23"/>
        <v>3168.0173333333332</v>
      </c>
      <c r="R64">
        <f t="shared" si="3"/>
        <v>38016.207999999999</v>
      </c>
      <c r="S64">
        <f t="shared" si="4"/>
        <v>0</v>
      </c>
      <c r="T64">
        <f t="shared" si="5"/>
        <v>38016.207999999999</v>
      </c>
      <c r="U64">
        <v>1</v>
      </c>
      <c r="V64">
        <f t="shared" si="6"/>
        <v>38016.207999999999</v>
      </c>
      <c r="X64">
        <f t="shared" si="7"/>
        <v>120384.65866666089</v>
      </c>
      <c r="Y64">
        <f t="shared" si="8"/>
        <v>120384.65866666089</v>
      </c>
      <c r="Z64">
        <v>1</v>
      </c>
      <c r="AA64">
        <f t="shared" si="9"/>
        <v>120384.65866666089</v>
      </c>
      <c r="AB64">
        <f t="shared" si="10"/>
        <v>158400.86666666088</v>
      </c>
      <c r="AC64">
        <f t="shared" si="11"/>
        <v>193249.05733333912</v>
      </c>
      <c r="AD64">
        <f t="shared" si="12"/>
        <v>2013.9166666666667</v>
      </c>
      <c r="AE64">
        <f t="shared" si="13"/>
        <v>2018.0833333333333</v>
      </c>
      <c r="AF64">
        <f t="shared" si="14"/>
        <v>2020.9166666666667</v>
      </c>
      <c r="AG64">
        <f t="shared" si="15"/>
        <v>2017.0833333333333</v>
      </c>
      <c r="AH64">
        <f t="shared" si="24"/>
        <v>-8.3333333333333329E-2</v>
      </c>
      <c r="AJ64">
        <f t="shared" si="17"/>
        <v>17355.225391303662</v>
      </c>
      <c r="AL64">
        <f t="shared" si="18"/>
        <v>55371.433391303661</v>
      </c>
      <c r="AN64">
        <f t="shared" si="19"/>
        <v>0</v>
      </c>
      <c r="AP64">
        <f t="shared" si="20"/>
        <v>184571.44463768729</v>
      </c>
      <c r="AR64">
        <f t="shared" si="21"/>
        <v>184571.44463768729</v>
      </c>
    </row>
    <row r="65" spans="1:44">
      <c r="A65" t="s">
        <v>463</v>
      </c>
      <c r="B65" t="s">
        <v>500</v>
      </c>
      <c r="C65">
        <v>3542</v>
      </c>
      <c r="D65" t="s">
        <v>492</v>
      </c>
      <c r="E65">
        <v>2013</v>
      </c>
      <c r="F65">
        <v>12</v>
      </c>
      <c r="G65">
        <v>0.2</v>
      </c>
      <c r="I65" t="s">
        <v>78</v>
      </c>
      <c r="J65">
        <v>7</v>
      </c>
      <c r="K65">
        <f t="shared" si="0"/>
        <v>2020</v>
      </c>
      <c r="N65">
        <f>323070.82+904.93</f>
        <v>323975.75</v>
      </c>
      <c r="P65">
        <f t="shared" si="22"/>
        <v>259180.6</v>
      </c>
      <c r="Q65">
        <f t="shared" si="23"/>
        <v>3085.4833333333336</v>
      </c>
      <c r="R65">
        <f t="shared" si="3"/>
        <v>37025.800000000003</v>
      </c>
      <c r="S65">
        <f t="shared" si="4"/>
        <v>0</v>
      </c>
      <c r="T65">
        <f t="shared" si="5"/>
        <v>37025.800000000003</v>
      </c>
      <c r="U65">
        <v>1</v>
      </c>
      <c r="V65">
        <f t="shared" si="6"/>
        <v>37025.800000000003</v>
      </c>
      <c r="X65">
        <f t="shared" si="7"/>
        <v>117248.36666666107</v>
      </c>
      <c r="Y65">
        <f t="shared" si="8"/>
        <v>117248.36666666107</v>
      </c>
      <c r="Z65">
        <v>1</v>
      </c>
      <c r="AA65">
        <f t="shared" si="9"/>
        <v>117248.36666666107</v>
      </c>
      <c r="AB65">
        <f t="shared" si="10"/>
        <v>154274.16666666107</v>
      </c>
      <c r="AC65">
        <f t="shared" si="11"/>
        <v>188214.48333333893</v>
      </c>
      <c r="AD65">
        <f t="shared" si="12"/>
        <v>2013.9166666666667</v>
      </c>
      <c r="AE65">
        <f t="shared" si="13"/>
        <v>2018.0833333333333</v>
      </c>
      <c r="AF65">
        <f t="shared" si="14"/>
        <v>2020.9166666666667</v>
      </c>
      <c r="AG65">
        <f t="shared" si="15"/>
        <v>2017.0833333333333</v>
      </c>
      <c r="AH65">
        <f t="shared" si="24"/>
        <v>-8.3333333333333329E-2</v>
      </c>
      <c r="AJ65">
        <f t="shared" si="17"/>
        <v>16903.082608694982</v>
      </c>
      <c r="AL65">
        <f t="shared" si="18"/>
        <v>53928.882608694985</v>
      </c>
      <c r="AN65">
        <f t="shared" si="19"/>
        <v>0</v>
      </c>
      <c r="AP65">
        <f t="shared" si="20"/>
        <v>179762.94202899144</v>
      </c>
      <c r="AR65">
        <f t="shared" si="21"/>
        <v>179762.94202899144</v>
      </c>
    </row>
    <row r="66" spans="1:44">
      <c r="A66" t="s">
        <v>463</v>
      </c>
      <c r="B66">
        <v>117321</v>
      </c>
      <c r="C66">
        <v>3639</v>
      </c>
      <c r="D66" t="s">
        <v>527</v>
      </c>
      <c r="E66">
        <v>2014</v>
      </c>
      <c r="F66">
        <v>11</v>
      </c>
      <c r="G66">
        <v>0.2</v>
      </c>
      <c r="I66" t="s">
        <v>78</v>
      </c>
      <c r="J66">
        <v>7</v>
      </c>
      <c r="K66">
        <f t="shared" si="0"/>
        <v>2021</v>
      </c>
      <c r="N66">
        <v>330416.48</v>
      </c>
      <c r="P66">
        <f t="shared" si="22"/>
        <v>264333.18400000001</v>
      </c>
      <c r="Q66">
        <f t="shared" si="23"/>
        <v>3146.8236190476196</v>
      </c>
      <c r="R66">
        <f t="shared" si="3"/>
        <v>37761.883428571433</v>
      </c>
      <c r="S66">
        <f t="shared" si="4"/>
        <v>0</v>
      </c>
      <c r="T66">
        <f t="shared" si="5"/>
        <v>37761.883428571433</v>
      </c>
      <c r="U66">
        <v>1</v>
      </c>
      <c r="V66">
        <f t="shared" si="6"/>
        <v>37761.883428571433</v>
      </c>
      <c r="X66">
        <f t="shared" si="7"/>
        <v>84964.237714285729</v>
      </c>
      <c r="Y66">
        <f t="shared" si="8"/>
        <v>84964.237714285729</v>
      </c>
      <c r="Z66">
        <v>1</v>
      </c>
      <c r="AA66">
        <f t="shared" si="9"/>
        <v>84964.237714285729</v>
      </c>
      <c r="AB66">
        <f t="shared" si="10"/>
        <v>122726.12114285716</v>
      </c>
      <c r="AC66">
        <f t="shared" si="11"/>
        <v>226571.30057142855</v>
      </c>
      <c r="AD66">
        <f t="shared" si="12"/>
        <v>2014.8333333333333</v>
      </c>
      <c r="AE66">
        <f t="shared" si="13"/>
        <v>2018.0833333333333</v>
      </c>
      <c r="AF66">
        <f t="shared" si="14"/>
        <v>2021.8333333333333</v>
      </c>
      <c r="AG66">
        <f t="shared" si="15"/>
        <v>2017.0833333333333</v>
      </c>
      <c r="AH66">
        <f t="shared" si="24"/>
        <v>-8.3333333333333329E-2</v>
      </c>
      <c r="AJ66">
        <f t="shared" si="17"/>
        <v>13912.272842105258</v>
      </c>
      <c r="AL66">
        <f t="shared" si="18"/>
        <v>51674.156270676693</v>
      </c>
      <c r="AN66">
        <f t="shared" si="19"/>
        <v>0</v>
      </c>
      <c r="AP66">
        <f t="shared" si="20"/>
        <v>219615.16415037593</v>
      </c>
      <c r="AR66">
        <f t="shared" si="21"/>
        <v>219615.16415037593</v>
      </c>
    </row>
    <row r="67" spans="1:44">
      <c r="A67" t="s">
        <v>463</v>
      </c>
      <c r="B67">
        <v>117322</v>
      </c>
      <c r="C67">
        <v>3640</v>
      </c>
      <c r="D67" t="s">
        <v>527</v>
      </c>
      <c r="E67">
        <v>2014</v>
      </c>
      <c r="F67">
        <v>11</v>
      </c>
      <c r="G67">
        <v>0.2</v>
      </c>
      <c r="I67" t="s">
        <v>78</v>
      </c>
      <c r="J67">
        <v>7</v>
      </c>
      <c r="K67">
        <f t="shared" si="0"/>
        <v>2021</v>
      </c>
      <c r="N67">
        <v>330302.59000000003</v>
      </c>
      <c r="P67">
        <f t="shared" si="22"/>
        <v>264242.07200000004</v>
      </c>
      <c r="Q67">
        <f t="shared" si="23"/>
        <v>3145.7389523809529</v>
      </c>
      <c r="R67">
        <f t="shared" si="3"/>
        <v>37748.867428571437</v>
      </c>
      <c r="S67">
        <f t="shared" si="4"/>
        <v>0</v>
      </c>
      <c r="T67">
        <f t="shared" si="5"/>
        <v>37748.867428571437</v>
      </c>
      <c r="U67">
        <v>1</v>
      </c>
      <c r="V67">
        <f t="shared" si="6"/>
        <v>37748.867428571437</v>
      </c>
      <c r="X67">
        <f t="shared" si="7"/>
        <v>84934.951714285722</v>
      </c>
      <c r="Y67">
        <f t="shared" si="8"/>
        <v>84934.951714285722</v>
      </c>
      <c r="Z67">
        <v>1</v>
      </c>
      <c r="AA67">
        <f t="shared" si="9"/>
        <v>84934.951714285722</v>
      </c>
      <c r="AB67">
        <f t="shared" si="10"/>
        <v>122683.81914285716</v>
      </c>
      <c r="AC67">
        <f t="shared" si="11"/>
        <v>226493.20457142859</v>
      </c>
      <c r="AD67">
        <f t="shared" si="12"/>
        <v>2014.8333333333333</v>
      </c>
      <c r="AE67">
        <f t="shared" si="13"/>
        <v>2018.0833333333333</v>
      </c>
      <c r="AF67">
        <f t="shared" si="14"/>
        <v>2021.8333333333333</v>
      </c>
      <c r="AG67">
        <f t="shared" si="15"/>
        <v>2017.0833333333333</v>
      </c>
      <c r="AH67">
        <f t="shared" si="24"/>
        <v>-8.3333333333333329E-2</v>
      </c>
      <c r="AJ67">
        <f t="shared" si="17"/>
        <v>13907.477473684206</v>
      </c>
      <c r="AL67">
        <f t="shared" si="18"/>
        <v>51656.344902255645</v>
      </c>
      <c r="AN67">
        <f t="shared" si="19"/>
        <v>0</v>
      </c>
      <c r="AP67">
        <f t="shared" si="20"/>
        <v>219539.46583458647</v>
      </c>
      <c r="AR67">
        <f t="shared" si="21"/>
        <v>219539.46583458647</v>
      </c>
    </row>
    <row r="68" spans="1:44">
      <c r="A68" t="s">
        <v>528</v>
      </c>
      <c r="B68">
        <v>117320</v>
      </c>
      <c r="C68">
        <v>1071</v>
      </c>
      <c r="D68" t="s">
        <v>529</v>
      </c>
      <c r="E68">
        <v>2014</v>
      </c>
      <c r="F68">
        <v>11</v>
      </c>
      <c r="G68">
        <v>0.2</v>
      </c>
      <c r="I68" t="s">
        <v>78</v>
      </c>
      <c r="J68">
        <v>7</v>
      </c>
      <c r="K68">
        <f t="shared" si="0"/>
        <v>2021</v>
      </c>
      <c r="N68">
        <v>289667.86</v>
      </c>
      <c r="P68">
        <f t="shared" si="22"/>
        <v>231734.288</v>
      </c>
      <c r="Q68">
        <f t="shared" si="23"/>
        <v>2758.7415238095236</v>
      </c>
      <c r="R68">
        <f t="shared" si="3"/>
        <v>33104.898285714284</v>
      </c>
      <c r="S68">
        <f t="shared" si="4"/>
        <v>0</v>
      </c>
      <c r="T68">
        <f t="shared" si="5"/>
        <v>33104.898285714284</v>
      </c>
      <c r="U68">
        <v>1</v>
      </c>
      <c r="V68">
        <f t="shared" si="6"/>
        <v>33104.898285714284</v>
      </c>
      <c r="X68">
        <f t="shared" si="7"/>
        <v>74486.021142857135</v>
      </c>
      <c r="Y68">
        <f t="shared" si="8"/>
        <v>74486.021142857135</v>
      </c>
      <c r="Z68">
        <v>1</v>
      </c>
      <c r="AA68">
        <f t="shared" si="9"/>
        <v>74486.021142857135</v>
      </c>
      <c r="AB68">
        <f t="shared" si="10"/>
        <v>107590.91942857142</v>
      </c>
      <c r="AC68">
        <f t="shared" si="11"/>
        <v>198629.3897142857</v>
      </c>
      <c r="AD68">
        <f t="shared" si="12"/>
        <v>2014.8333333333333</v>
      </c>
      <c r="AE68">
        <f t="shared" si="13"/>
        <v>2018.0833333333333</v>
      </c>
      <c r="AF68">
        <f t="shared" si="14"/>
        <v>2021.8333333333333</v>
      </c>
      <c r="AG68">
        <f t="shared" si="15"/>
        <v>2017.0833333333333</v>
      </c>
      <c r="AH68">
        <f t="shared" si="24"/>
        <v>-8.3333333333333329E-2</v>
      </c>
      <c r="AJ68">
        <f t="shared" si="17"/>
        <v>12196.541473684207</v>
      </c>
      <c r="AL68">
        <f t="shared" si="18"/>
        <v>45301.43975939849</v>
      </c>
      <c r="AN68">
        <f t="shared" si="19"/>
        <v>0</v>
      </c>
      <c r="AP68">
        <f t="shared" si="20"/>
        <v>192531.11897744361</v>
      </c>
      <c r="AR68">
        <f t="shared" si="21"/>
        <v>192531.11897744361</v>
      </c>
    </row>
    <row r="69" spans="1:44">
      <c r="A69" t="s">
        <v>288</v>
      </c>
      <c r="B69" t="s">
        <v>569</v>
      </c>
      <c r="C69">
        <v>8924</v>
      </c>
      <c r="D69" t="s">
        <v>570</v>
      </c>
      <c r="E69">
        <v>2015</v>
      </c>
      <c r="F69">
        <v>5</v>
      </c>
      <c r="G69">
        <v>0.33</v>
      </c>
      <c r="I69" t="s">
        <v>78</v>
      </c>
      <c r="J69">
        <v>5</v>
      </c>
      <c r="K69">
        <f t="shared" si="0"/>
        <v>2020</v>
      </c>
      <c r="N69">
        <f>29396+30486</f>
        <v>59882</v>
      </c>
      <c r="P69">
        <f t="shared" si="22"/>
        <v>40120.94</v>
      </c>
      <c r="Q69">
        <f t="shared" si="23"/>
        <v>668.6823333333333</v>
      </c>
      <c r="R69">
        <f t="shared" si="3"/>
        <v>8024.1880000000001</v>
      </c>
      <c r="S69">
        <f t="shared" si="4"/>
        <v>0</v>
      </c>
      <c r="T69">
        <f t="shared" si="5"/>
        <v>8024.1880000000001</v>
      </c>
      <c r="U69">
        <v>1</v>
      </c>
      <c r="V69">
        <f t="shared" si="6"/>
        <v>8024.1880000000001</v>
      </c>
      <c r="X69">
        <f t="shared" si="7"/>
        <v>14042.329</v>
      </c>
      <c r="Y69">
        <f t="shared" si="8"/>
        <v>14042.329</v>
      </c>
      <c r="Z69">
        <v>1</v>
      </c>
      <c r="AA69">
        <f t="shared" si="9"/>
        <v>14042.329</v>
      </c>
      <c r="AB69">
        <f t="shared" si="10"/>
        <v>22066.517</v>
      </c>
      <c r="AC69">
        <f t="shared" si="11"/>
        <v>41827.577000000005</v>
      </c>
      <c r="AD69">
        <f t="shared" si="12"/>
        <v>2015.3333333333333</v>
      </c>
      <c r="AE69">
        <f t="shared" si="13"/>
        <v>2018.0833333333333</v>
      </c>
      <c r="AF69">
        <f t="shared" si="14"/>
        <v>2020.3333333333333</v>
      </c>
      <c r="AG69">
        <f t="shared" si="15"/>
        <v>2017.0833333333333</v>
      </c>
      <c r="AH69">
        <f t="shared" si="24"/>
        <v>-8.3333333333333329E-2</v>
      </c>
      <c r="AJ69">
        <f t="shared" si="17"/>
        <v>6080.3261538461529</v>
      </c>
      <c r="AL69">
        <f t="shared" si="18"/>
        <v>14104.514153846154</v>
      </c>
      <c r="AN69">
        <f t="shared" si="19"/>
        <v>0</v>
      </c>
      <c r="AP69">
        <f t="shared" si="20"/>
        <v>38787.413923076921</v>
      </c>
      <c r="AR69">
        <f t="shared" si="21"/>
        <v>38787.413923076921</v>
      </c>
    </row>
    <row r="70" spans="1:44">
      <c r="B70">
        <v>124606</v>
      </c>
      <c r="C70">
        <v>3603</v>
      </c>
      <c r="D70" t="s">
        <v>571</v>
      </c>
      <c r="E70">
        <v>2015</v>
      </c>
      <c r="F70">
        <v>6</v>
      </c>
      <c r="G70">
        <v>0</v>
      </c>
      <c r="I70" t="s">
        <v>78</v>
      </c>
      <c r="J70">
        <v>3</v>
      </c>
      <c r="K70">
        <f t="shared" si="0"/>
        <v>2018</v>
      </c>
      <c r="N70">
        <v>10023.450000000001</v>
      </c>
      <c r="P70">
        <f t="shared" si="22"/>
        <v>10023.450000000001</v>
      </c>
      <c r="Q70">
        <f t="shared" si="23"/>
        <v>278.42916666666667</v>
      </c>
      <c r="R70">
        <f t="shared" si="3"/>
        <v>3341.15</v>
      </c>
      <c r="S70">
        <f t="shared" si="4"/>
        <v>0</v>
      </c>
      <c r="T70">
        <f t="shared" si="5"/>
        <v>3341.15</v>
      </c>
      <c r="U70">
        <v>1</v>
      </c>
      <c r="V70">
        <f t="shared" si="6"/>
        <v>3341.15</v>
      </c>
      <c r="X70">
        <f t="shared" si="7"/>
        <v>5568.5833333328274</v>
      </c>
      <c r="Y70">
        <f t="shared" si="8"/>
        <v>5568.5833333328274</v>
      </c>
      <c r="Z70">
        <v>1</v>
      </c>
      <c r="AA70">
        <f t="shared" si="9"/>
        <v>5568.5833333328274</v>
      </c>
      <c r="AB70">
        <f t="shared" si="10"/>
        <v>8909.7333333328279</v>
      </c>
      <c r="AC70">
        <f t="shared" si="11"/>
        <v>2784.2916666671731</v>
      </c>
      <c r="AD70">
        <f t="shared" si="12"/>
        <v>2015.4166666666667</v>
      </c>
      <c r="AE70">
        <f t="shared" si="13"/>
        <v>2018.0833333333333</v>
      </c>
      <c r="AF70">
        <f t="shared" si="14"/>
        <v>2018.4166666666667</v>
      </c>
      <c r="AG70">
        <f t="shared" si="15"/>
        <v>2017.0833333333333</v>
      </c>
      <c r="AH70">
        <f t="shared" si="24"/>
        <v>-8.3333333333333329E-2</v>
      </c>
      <c r="AJ70">
        <f t="shared" si="17"/>
        <v>0</v>
      </c>
      <c r="AL70">
        <f t="shared" si="18"/>
        <v>3341.15</v>
      </c>
      <c r="AN70">
        <f t="shared" si="19"/>
        <v>0</v>
      </c>
      <c r="AP70">
        <f t="shared" si="20"/>
        <v>0</v>
      </c>
      <c r="AR70">
        <f t="shared" si="21"/>
        <v>2784.2916666671731</v>
      </c>
    </row>
    <row r="71" spans="1:44">
      <c r="B71">
        <v>128673</v>
      </c>
      <c r="C71">
        <v>2521</v>
      </c>
      <c r="D71" t="s">
        <v>584</v>
      </c>
      <c r="E71">
        <v>2015</v>
      </c>
      <c r="F71">
        <v>12</v>
      </c>
      <c r="G71">
        <v>0.2</v>
      </c>
      <c r="I71" t="s">
        <v>78</v>
      </c>
      <c r="J71">
        <v>7</v>
      </c>
      <c r="K71">
        <f t="shared" si="0"/>
        <v>2022</v>
      </c>
      <c r="N71">
        <v>291925.26</v>
      </c>
      <c r="P71">
        <f t="shared" si="22"/>
        <v>233540.20800000001</v>
      </c>
      <c r="Q71">
        <f t="shared" si="23"/>
        <v>2780.2405714285719</v>
      </c>
      <c r="R71">
        <f>IF(O71&gt;0,0,IF(OR(AD71&gt;AE71,AF71&lt;AG71),0,IF(AND(AF71&gt;=AG71,AF71&lt;=AE71),Q71*((AF71-AG71)*12),IF(AND(AG71&lt;=AD71,AE71&gt;=AD71),((AE71-AD71)*12)*Q71,IF(AF71&gt;AE71,12*Q71,0)))))</f>
        <v>33362.886857142861</v>
      </c>
      <c r="S71">
        <f>IF(O71=0,0,IF(AND(AH71&gt;=AG71,AH71&lt;=AF71),((AH71-AG71)*12)*Q71,0))</f>
        <v>0</v>
      </c>
      <c r="T71">
        <f>IF(S71&gt;0,S71,R71)</f>
        <v>33362.886857142861</v>
      </c>
      <c r="U71">
        <v>1</v>
      </c>
      <c r="V71">
        <f>U71*SUM(R71:S71)</f>
        <v>33362.886857142861</v>
      </c>
      <c r="X71">
        <f>IF(AD71&gt;AE71,0,IF(AF71&lt;AG71,P71,IF(AND(AF71&gt;=AG71,AF71&lt;=AE71),(P71-T71),IF(AND(AG71&lt;=AD71,AE71&gt;=AD71),0,IF(AF71&gt;AE71,((AG71-AD71)*12)*Q71,0)))))</f>
        <v>38923.367999994953</v>
      </c>
      <c r="Y71">
        <f>X71*U71</f>
        <v>38923.367999994953</v>
      </c>
      <c r="Z71">
        <v>1</v>
      </c>
      <c r="AA71">
        <f>Y71*Z71</f>
        <v>38923.367999994953</v>
      </c>
      <c r="AB71">
        <f>IF(O71&gt;0,0,AA71+V71*Z71)*Z71</f>
        <v>72286.254857137814</v>
      </c>
      <c r="AC71">
        <f>IF(O71&gt;0,(N71-AA71)/2,IF(AD71&gt;=AG71,(((N71*U71)*Z71)-AB71)/2,((((N71*U71)*Z71)-AA71)+(((N71*U71)*Z71)-AB71))/2))</f>
        <v>236320.44857143363</v>
      </c>
      <c r="AD71">
        <f t="shared" si="12"/>
        <v>2015.9166666666667</v>
      </c>
      <c r="AE71">
        <f t="shared" si="13"/>
        <v>2018.0833333333333</v>
      </c>
      <c r="AF71">
        <f t="shared" si="14"/>
        <v>2022.9166666666667</v>
      </c>
      <c r="AG71">
        <f t="shared" si="15"/>
        <v>2017.0833333333333</v>
      </c>
      <c r="AH71">
        <f t="shared" si="24"/>
        <v>-8.3333333333333329E-2</v>
      </c>
      <c r="AJ71">
        <f t="shared" si="17"/>
        <v>10008.866057142597</v>
      </c>
      <c r="AL71">
        <f t="shared" si="18"/>
        <v>43371.752914285462</v>
      </c>
      <c r="AN71">
        <f t="shared" si="19"/>
        <v>0</v>
      </c>
      <c r="AP71">
        <f t="shared" si="20"/>
        <v>231316.01554286233</v>
      </c>
      <c r="AR71">
        <f t="shared" si="21"/>
        <v>231316.01554286233</v>
      </c>
    </row>
    <row r="72" spans="1:44">
      <c r="B72">
        <v>128674</v>
      </c>
      <c r="C72">
        <v>2517</v>
      </c>
      <c r="D72" t="s">
        <v>585</v>
      </c>
      <c r="E72">
        <v>2015</v>
      </c>
      <c r="F72">
        <v>12</v>
      </c>
      <c r="G72">
        <v>0.2</v>
      </c>
      <c r="I72" t="s">
        <v>78</v>
      </c>
      <c r="J72">
        <v>7</v>
      </c>
      <c r="K72">
        <f t="shared" si="0"/>
        <v>2022</v>
      </c>
      <c r="N72">
        <v>340829.73</v>
      </c>
      <c r="P72">
        <f t="shared" si="22"/>
        <v>272663.78399999999</v>
      </c>
      <c r="Q72">
        <f t="shared" si="23"/>
        <v>3245.9974285714284</v>
      </c>
      <c r="R72">
        <f>IF(O72&gt;0,0,IF(OR(AD72&gt;AE72,AF72&lt;AG72),0,IF(AND(AF72&gt;=AG72,AF72&lt;=AE72),Q72*((AF72-AG72)*12),IF(AND(AG72&lt;=AD72,AE72&gt;=AD72),((AE72-AD72)*12)*Q72,IF(AF72&gt;AE72,12*Q72,0)))))</f>
        <v>38951.969142857139</v>
      </c>
      <c r="S72">
        <f>IF(O72=0,0,IF(AND(AH72&gt;=AG72,AH72&lt;=AF72),((AH72-AG72)*12)*Q72,0))</f>
        <v>0</v>
      </c>
      <c r="T72">
        <f>IF(S72&gt;0,S72,R72)</f>
        <v>38951.969142857139</v>
      </c>
      <c r="U72">
        <v>1</v>
      </c>
      <c r="V72">
        <f>U72*SUM(R72:S72)</f>
        <v>38951.969142857139</v>
      </c>
      <c r="X72">
        <f>IF(AD72&gt;AE72,0,IF(AF72&lt;AG72,P72,IF(AND(AF72&gt;=AG72,AF72&lt;=AE72),(P72-T72),IF(AND(AG72&lt;=AD72,AE72&gt;=AD72),0,IF(AF72&gt;AE72,((AG72-AD72)*12)*Q72,0)))))</f>
        <v>45443.963999994092</v>
      </c>
      <c r="Y72">
        <f>X72*U72</f>
        <v>45443.963999994092</v>
      </c>
      <c r="Z72">
        <v>1</v>
      </c>
      <c r="AA72">
        <f>Y72*Z72</f>
        <v>45443.963999994092</v>
      </c>
      <c r="AB72">
        <f>IF(O72&gt;0,0,AA72+V72*Z72)*Z72</f>
        <v>84395.933142851223</v>
      </c>
      <c r="AC72">
        <f>IF(O72&gt;0,(N72-AA72)/2,IF(AD72&gt;=AG72,(((N72*U72)*Z72)-AB72)/2,((((N72*U72)*Z72)-AA72)+(((N72*U72)*Z72)-AB72))/2))</f>
        <v>275909.78142857732</v>
      </c>
      <c r="AD72">
        <f t="shared" si="12"/>
        <v>2015.9166666666667</v>
      </c>
      <c r="AE72">
        <f t="shared" si="13"/>
        <v>2018.0833333333333</v>
      </c>
      <c r="AF72">
        <f t="shared" si="14"/>
        <v>2022.9166666666667</v>
      </c>
      <c r="AG72">
        <f t="shared" si="15"/>
        <v>2017.0833333333333</v>
      </c>
      <c r="AH72">
        <f t="shared" si="24"/>
        <v>-8.3333333333333329E-2</v>
      </c>
      <c r="AJ72">
        <f t="shared" si="17"/>
        <v>11685.590742856839</v>
      </c>
      <c r="AL72">
        <f t="shared" si="18"/>
        <v>50637.559885713978</v>
      </c>
      <c r="AN72">
        <f t="shared" si="19"/>
        <v>0</v>
      </c>
      <c r="AP72">
        <f t="shared" si="20"/>
        <v>270066.9860571489</v>
      </c>
      <c r="AR72">
        <f t="shared" si="21"/>
        <v>270066.9860571489</v>
      </c>
    </row>
    <row r="73" spans="1:44">
      <c r="B73" t="s">
        <v>594</v>
      </c>
      <c r="D73" t="s">
        <v>589</v>
      </c>
      <c r="E73">
        <v>2016</v>
      </c>
      <c r="F73">
        <v>4</v>
      </c>
      <c r="G73">
        <v>0</v>
      </c>
      <c r="I73" t="s">
        <v>78</v>
      </c>
      <c r="J73">
        <v>1</v>
      </c>
      <c r="K73">
        <f t="shared" si="0"/>
        <v>2017</v>
      </c>
      <c r="N73">
        <f>((14612.94+16641.82+675)/75)*46</f>
        <v>19583.586133333334</v>
      </c>
      <c r="P73">
        <f t="shared" si="22"/>
        <v>19583.586133333334</v>
      </c>
      <c r="Q73">
        <f t="shared" si="23"/>
        <v>1631.9655111111113</v>
      </c>
      <c r="R73">
        <f>IF(O73&gt;0,0,IF(OR(AD73&gt;AE73,AF73&lt;AG73),0,IF(AND(AF73&gt;=AG73,AF73&lt;=AE73),Q73*((AF73-AG73)*12),IF(AND(AG73&lt;=AD73,AE73&gt;=AD73),((AE73-AD73)*12)*Q73,IF(AF73&gt;AE73,12*Q73,0)))))</f>
        <v>3263.9310222237068</v>
      </c>
      <c r="S73">
        <f>IF(O73=0,0,IF(AND(AH73&gt;=AG73,AH73&lt;=AF73),((AH73-AG73)*12)*Q73,0))</f>
        <v>0</v>
      </c>
      <c r="T73">
        <f>IF(S73&gt;0,S73,R73)</f>
        <v>3263.9310222237068</v>
      </c>
      <c r="U73">
        <v>1</v>
      </c>
      <c r="V73">
        <f>U73*SUM(R73:S73)</f>
        <v>3263.9310222237068</v>
      </c>
      <c r="X73">
        <f>IF(AD73&gt;AE73,0,IF(AF73&lt;AG73,P73,IF(AND(AF73&gt;=AG73,AF73&lt;=AE73),(P73-T73),IF(AND(AG73&lt;=AD73,AE73&gt;=AD73),0,IF(AF73&gt;AE73,((AG73-AD73)*12)*Q73,0)))))</f>
        <v>16319.655111109627</v>
      </c>
      <c r="Y73">
        <f>X73*U73</f>
        <v>16319.655111109627</v>
      </c>
      <c r="Z73">
        <v>1</v>
      </c>
      <c r="AA73">
        <f>Y73*Z73</f>
        <v>16319.655111109627</v>
      </c>
      <c r="AB73">
        <f>IF(O73&gt;0,0,AA73+V73*Z73)*Z73</f>
        <v>19583.586133333334</v>
      </c>
      <c r="AC73">
        <f>IF(O73&gt;0,(N73-AA73)/2,IF(AD73&gt;=AG73,(((N73*U73)*Z73)-AB73)/2,((((N73*U73)*Z73)-AA73)+(((N73*U73)*Z73)-AB73))/2))</f>
        <v>1631.9655111118536</v>
      </c>
      <c r="AD73">
        <f t="shared" si="12"/>
        <v>2016.25</v>
      </c>
      <c r="AE73">
        <f t="shared" si="13"/>
        <v>2018.0833333333333</v>
      </c>
      <c r="AF73">
        <f t="shared" si="14"/>
        <v>2017.25</v>
      </c>
      <c r="AG73">
        <f t="shared" si="15"/>
        <v>2017.0833333333333</v>
      </c>
      <c r="AH73">
        <f t="shared" si="24"/>
        <v>-8.3333333333333329E-2</v>
      </c>
      <c r="AJ73">
        <f t="shared" si="17"/>
        <v>0</v>
      </c>
      <c r="AL73">
        <f t="shared" si="18"/>
        <v>3263.9310222237068</v>
      </c>
      <c r="AN73">
        <f t="shared" si="19"/>
        <v>0</v>
      </c>
      <c r="AP73">
        <f t="shared" si="20"/>
        <v>0</v>
      </c>
      <c r="AR73">
        <f t="shared" si="21"/>
        <v>1631.9655111118536</v>
      </c>
    </row>
    <row r="74" spans="1:44">
      <c r="B74">
        <v>171241</v>
      </c>
      <c r="C74">
        <v>2046</v>
      </c>
      <c r="D74" t="s">
        <v>603</v>
      </c>
      <c r="E74">
        <v>2016</v>
      </c>
      <c r="F74">
        <v>11</v>
      </c>
      <c r="G74">
        <v>0</v>
      </c>
      <c r="I74" t="s">
        <v>78</v>
      </c>
      <c r="J74">
        <v>10</v>
      </c>
      <c r="K74">
        <f>E74+J74</f>
        <v>2026</v>
      </c>
      <c r="N74">
        <v>318387.46000000002</v>
      </c>
      <c r="P74">
        <f t="shared" si="22"/>
        <v>318387.46000000002</v>
      </c>
      <c r="Q74">
        <f t="shared" si="23"/>
        <v>2653.2288333333336</v>
      </c>
      <c r="R74">
        <f>IF(O74&gt;0,0,IF(OR(AD74&gt;AE74,AF74&lt;AG74),0,IF(AND(AF74&gt;=AG74,AF74&lt;=AE74),Q74*((AF74-AG74)*12),IF(AND(AG74&lt;=AD74,AE74&gt;=AD74),((AE74-AD74)*12)*Q74,IF(AF74&gt;AE74,12*Q74,0)))))</f>
        <v>31838.746000000003</v>
      </c>
      <c r="S74">
        <f>IF(O74=0,0,IF(AND(AH74&gt;=AG74,AH74&lt;=AF74),((AH74-AG74)*12)*Q74,0))</f>
        <v>0</v>
      </c>
      <c r="T74">
        <f>IF(S74&gt;0,S74,R74)</f>
        <v>31838.746000000003</v>
      </c>
      <c r="U74">
        <v>1</v>
      </c>
      <c r="V74">
        <f>U74*SUM(R74:S74)</f>
        <v>31838.746000000003</v>
      </c>
      <c r="X74">
        <f>IF(AD74&gt;AE74,0,IF(AF74&lt;AG74,P74,IF(AND(AF74&gt;=AG74,AF74&lt;=AE74),(P74-T74),IF(AND(AG74&lt;=AD74,AE74&gt;=AD74),0,IF(AF74&gt;AE74,((AG74-AD74)*12)*Q74,0)))))</f>
        <v>7959.6865000000007</v>
      </c>
      <c r="Y74">
        <f>X74*U74</f>
        <v>7959.6865000000007</v>
      </c>
      <c r="Z74">
        <v>1</v>
      </c>
      <c r="AA74">
        <f>Y74*Z74</f>
        <v>7959.6865000000007</v>
      </c>
      <c r="AB74">
        <f>IF(O74&gt;0,0,AA74+V74*Z74)*Z74</f>
        <v>39798.432500000003</v>
      </c>
      <c r="AC74">
        <f>IF(O74&gt;0,(N74-AA74)/2,IF(AD74&gt;=AG74,(((N74*U74)*Z74)-AB74)/2,((((N74*U74)*Z74)-AA74)+(((N74*U74)*Z74)-AB74))/2))</f>
        <v>294508.40049999999</v>
      </c>
      <c r="AD74">
        <f t="shared" si="12"/>
        <v>2016.8333333333333</v>
      </c>
      <c r="AE74">
        <f t="shared" si="13"/>
        <v>2018.0833333333333</v>
      </c>
      <c r="AF74">
        <f t="shared" si="14"/>
        <v>2026.8333333333333</v>
      </c>
      <c r="AG74">
        <f t="shared" si="15"/>
        <v>2017.0833333333333</v>
      </c>
      <c r="AH74">
        <f t="shared" si="24"/>
        <v>-8.3333333333333329E-2</v>
      </c>
      <c r="AJ74">
        <f t="shared" si="17"/>
        <v>0</v>
      </c>
      <c r="AL74">
        <f t="shared" si="18"/>
        <v>31838.746000000003</v>
      </c>
      <c r="AN74">
        <f t="shared" si="19"/>
        <v>0</v>
      </c>
      <c r="AP74">
        <f t="shared" si="20"/>
        <v>0</v>
      </c>
      <c r="AR74">
        <f t="shared" si="21"/>
        <v>294508.40049999999</v>
      </c>
    </row>
    <row r="75" spans="1:44">
      <c r="B75">
        <v>18550</v>
      </c>
      <c r="D75" t="s">
        <v>633</v>
      </c>
      <c r="E75">
        <v>2017</v>
      </c>
      <c r="F75">
        <v>8</v>
      </c>
      <c r="G75">
        <v>0</v>
      </c>
      <c r="I75" t="s">
        <v>78</v>
      </c>
      <c r="J75">
        <v>1</v>
      </c>
      <c r="K75">
        <f>E75+J75</f>
        <v>2018</v>
      </c>
      <c r="N75">
        <v>1244.8</v>
      </c>
      <c r="P75">
        <f t="shared" si="22"/>
        <v>1244.8</v>
      </c>
      <c r="Q75">
        <f t="shared" si="23"/>
        <v>103.73333333333333</v>
      </c>
      <c r="R75">
        <f>IF(O75&gt;0,0,IF(OR(AD75&gt;AE75,AF75&lt;AG75),0,IF(AND(AF75&gt;=AG75,AF75&lt;=AE75),Q75*((AF75-AG75)*12),IF(AND(AG75&lt;=AD75,AE75&gt;=AD75),((AE75-AD75)*12)*Q75,IF(AF75&gt;AE75,12*Q75,0)))))</f>
        <v>622.4</v>
      </c>
      <c r="S75">
        <f>IF(O75=0,0,IF(AND(AH75&gt;=AG75,AH75&lt;=AF75),((AH75-AG75)*12)*Q75,0))</f>
        <v>0</v>
      </c>
      <c r="T75">
        <f>IF(S75&gt;0,S75,R75)</f>
        <v>622.4</v>
      </c>
      <c r="U75">
        <v>1</v>
      </c>
      <c r="V75">
        <f>U75*SUM(R75:S75)</f>
        <v>622.4</v>
      </c>
      <c r="X75">
        <f>IF(AD75&gt;AE75,0,IF(AF75&lt;AG75,P75,IF(AND(AF75&gt;=AG75,AF75&lt;=AE75),(P75-T75),IF(AND(AG75&lt;=AD75,AE75&gt;=AD75),0,IF(AF75&gt;AE75,((AG75-AD75)*12)*Q75,0)))))</f>
        <v>0</v>
      </c>
      <c r="Y75">
        <f>X75*U75</f>
        <v>0</v>
      </c>
      <c r="Z75">
        <v>1</v>
      </c>
      <c r="AA75">
        <f>Y75*Z75</f>
        <v>0</v>
      </c>
      <c r="AB75">
        <f>IF(O75&gt;0,0,AA75+V75*Z75)*Z75</f>
        <v>622.4</v>
      </c>
      <c r="AC75">
        <f>IF(O75&gt;0,(N75-AA75)/2,IF(AD75&gt;=AG75,(((N75*U75)*Z75)-AB75)/2,((((N75*U75)*Z75)-AA75)+(((N75*U75)*Z75)-AB75))/2))</f>
        <v>311.2</v>
      </c>
      <c r="AD75">
        <f t="shared" si="12"/>
        <v>2017.5833333333333</v>
      </c>
      <c r="AE75">
        <f t="shared" si="13"/>
        <v>2018.0833333333333</v>
      </c>
      <c r="AF75">
        <f t="shared" si="14"/>
        <v>2018.5833333333333</v>
      </c>
      <c r="AG75">
        <f t="shared" si="15"/>
        <v>2017.0833333333333</v>
      </c>
      <c r="AH75">
        <f t="shared" si="24"/>
        <v>-8.3333333333333329E-2</v>
      </c>
      <c r="AJ75">
        <f t="shared" si="17"/>
        <v>0</v>
      </c>
      <c r="AL75">
        <f t="shared" si="18"/>
        <v>622.4</v>
      </c>
      <c r="AN75">
        <f t="shared" si="19"/>
        <v>0</v>
      </c>
      <c r="AP75">
        <f t="shared" si="20"/>
        <v>0</v>
      </c>
      <c r="AR75">
        <f t="shared" si="21"/>
        <v>311.2</v>
      </c>
    </row>
    <row r="77" spans="1:44">
      <c r="C77">
        <v>32</v>
      </c>
      <c r="D77" t="s">
        <v>294</v>
      </c>
      <c r="N77">
        <f>SUM(N14:N76)</f>
        <v>8534728.6361333374</v>
      </c>
      <c r="P77">
        <f>SUM(P14:P76)</f>
        <v>6873223.7156333318</v>
      </c>
      <c r="Q77">
        <f>SUM(Q14:Q76)</f>
        <v>84351.401671031737</v>
      </c>
      <c r="R77">
        <f>SUM(R14:R76)</f>
        <v>529974.29045079718</v>
      </c>
      <c r="V77">
        <f>SUM(V14:V76)</f>
        <v>529974.29045079718</v>
      </c>
      <c r="AA77">
        <f>SUM(AA14:AA76)</f>
        <v>4692115.0391586823</v>
      </c>
      <c r="AB77">
        <f>SUM(AB14:AB76)</f>
        <v>5222089.3296094788</v>
      </c>
      <c r="AC77">
        <f>SUM(AC14:AC76)</f>
        <v>3577004.0517492522</v>
      </c>
      <c r="AJ77">
        <f t="shared" ref="AJ77:AR77" si="25">SUM(AJ14:AJ76)</f>
        <v>490329.97835925856</v>
      </c>
      <c r="AL77">
        <f t="shared" si="25"/>
        <v>1020304.2688100557</v>
      </c>
      <c r="AN77">
        <f t="shared" si="25"/>
        <v>-781224.97849999997</v>
      </c>
      <c r="AP77">
        <f t="shared" si="25"/>
        <v>2381582.3894751766</v>
      </c>
      <c r="AR77">
        <f t="shared" si="25"/>
        <v>2680818.2471529562</v>
      </c>
    </row>
    <row r="80" spans="1:44">
      <c r="D80" t="s">
        <v>145</v>
      </c>
    </row>
    <row r="82" spans="1:44">
      <c r="A82" t="s">
        <v>283</v>
      </c>
      <c r="C82">
        <v>4025</v>
      </c>
      <c r="D82" t="s">
        <v>378</v>
      </c>
      <c r="E82">
        <v>2000</v>
      </c>
      <c r="F82">
        <v>4</v>
      </c>
      <c r="G82">
        <v>0.2</v>
      </c>
      <c r="I82" t="s">
        <v>78</v>
      </c>
      <c r="J82">
        <v>7</v>
      </c>
      <c r="K82">
        <f t="shared" ref="K82:K109" si="26">E82+J82</f>
        <v>2007</v>
      </c>
      <c r="N82">
        <v>121506.42</v>
      </c>
      <c r="P82">
        <f t="shared" ref="P82:P112" si="27">N82-N82*G82</f>
        <v>97205.135999999999</v>
      </c>
      <c r="Q82">
        <f t="shared" ref="Q82:Q112" si="28">P82/J82/12</f>
        <v>1157.204</v>
      </c>
      <c r="R82">
        <f>IF(O82&gt;0,0,IF(OR(AD82&gt;AE82,AF82&lt;AG82),0,IF(AND(AF82&gt;=AG82,AF82&lt;=AE82),Q82*((AF82-AG82)*12),IF(AND(AG82&lt;=AD82,AE82&gt;=AD82),((AE82-AD82)*12)*Q82,IF(AF82&gt;AE82,12*Q82,0)))))</f>
        <v>0</v>
      </c>
      <c r="S82">
        <f>IF(O82=0,0,IF(AND(AH82&gt;=AG82,AH82&lt;=AF82),((AH82-AG82)*12)*Q82,0))</f>
        <v>0</v>
      </c>
      <c r="T82">
        <f>IF(S82&gt;0,S82,R82)</f>
        <v>0</v>
      </c>
      <c r="U82">
        <v>1</v>
      </c>
      <c r="V82">
        <f>U82*SUM(R82:S82)</f>
        <v>0</v>
      </c>
      <c r="X82">
        <f>IF(AD82&gt;AE82,0,IF(AF82&lt;AG82,P82,IF(AND(AF82&gt;=AG82,AF82&lt;=AE82),(P82-T82),IF(AND(AG82&lt;=AD82,AE82&gt;=AD82),0,IF(AF82&gt;AE82,((AG82-AD82)*12)*Q82,0)))))</f>
        <v>97205.135999999999</v>
      </c>
      <c r="Y82">
        <f>X82*U82</f>
        <v>97205.135999999999</v>
      </c>
      <c r="Z82">
        <v>1</v>
      </c>
      <c r="AA82">
        <f>Y82*Z82</f>
        <v>97205.135999999999</v>
      </c>
      <c r="AB82">
        <f>IF(O82&gt;0,0,AA82+V82*Z82)*Z82</f>
        <v>97205.135999999999</v>
      </c>
      <c r="AC82">
        <f>IF(O82&gt;0,(N82-AA82)/2,IF(AD82&gt;=AG82,(((N82*U82)*Z82)-AB82)/2,((((N82*U82)*Z82)-AA82)+(((N82*U82)*Z82)-AB82))/2))</f>
        <v>24301.284</v>
      </c>
      <c r="AD82">
        <f t="shared" ref="AD82:AD112" si="29">$E82+(($F82-1)/12)</f>
        <v>2000.25</v>
      </c>
      <c r="AE82">
        <f t="shared" ref="AE82:AE112" si="30">($P$5+1)-($P$2/12)</f>
        <v>2018.0833333333333</v>
      </c>
      <c r="AF82">
        <f t="shared" ref="AF82:AF112" si="31">$K82+(($F82-1)/12)</f>
        <v>2007.25</v>
      </c>
      <c r="AG82">
        <f t="shared" ref="AG82:AG112" si="32">$P$4+($P$3/12)</f>
        <v>2017.0833333333333</v>
      </c>
      <c r="AH82">
        <f t="shared" ref="AH82:AH112" si="33">$L82+(($M82-1)/12)</f>
        <v>-8.3333333333333329E-2</v>
      </c>
      <c r="AJ82">
        <f>+IF((AF82-AG82)&gt;3,((N82-P82)/(AF82-AG82)),(N82-P82)/3)</f>
        <v>8100.4279999999999</v>
      </c>
      <c r="AL82">
        <f>+AJ82+V82</f>
        <v>8100.4279999999999</v>
      </c>
      <c r="AN82">
        <f>+IF(AF82&lt;AG82,-AC82,0)</f>
        <v>-24301.284</v>
      </c>
      <c r="AP82">
        <f>IF(AF82&gt;AG82,IF(AJ82&gt;0,IF(O82&gt;0,(N82-AA82)/2,IF(AD82&gt;=AG82,(((N82*U82)*Z82)-(AB82+AJ82))/2,((((N82*U82)*Z82)-AA82)+(((N82*U82)*Z82)-(AB82+AJ82)))/2)),0),0)</f>
        <v>0</v>
      </c>
      <c r="AR82">
        <f>+AC82+AN82+(IF(AP82&gt;0,(AP82-AC82),0))</f>
        <v>0</v>
      </c>
    </row>
    <row r="83" spans="1:44">
      <c r="A83" t="s">
        <v>283</v>
      </c>
      <c r="C83">
        <v>4030</v>
      </c>
      <c r="D83" t="s">
        <v>163</v>
      </c>
      <c r="E83">
        <v>2002</v>
      </c>
      <c r="F83">
        <v>6</v>
      </c>
      <c r="G83">
        <v>0.2</v>
      </c>
      <c r="I83" t="s">
        <v>78</v>
      </c>
      <c r="J83">
        <v>7</v>
      </c>
      <c r="K83">
        <f t="shared" si="26"/>
        <v>2009</v>
      </c>
      <c r="N83">
        <v>90620.97</v>
      </c>
      <c r="P83">
        <f t="shared" si="27"/>
        <v>72496.775999999998</v>
      </c>
      <c r="Q83">
        <f t="shared" si="28"/>
        <v>863.0568571428571</v>
      </c>
      <c r="R83">
        <f t="shared" ref="R83:R107" si="34">IF(O83&gt;0,0,IF(OR(AD83&gt;AE83,AF83&lt;AG83),0,IF(AND(AF83&gt;=AG83,AF83&lt;=AE83),Q83*((AF83-AG83)*12),IF(AND(AG83&lt;=AD83,AE83&gt;=AD83),((AE83-AD83)*12)*Q83,IF(AF83&gt;AE83,12*Q83,0)))))</f>
        <v>0</v>
      </c>
      <c r="S83">
        <f t="shared" ref="S83:S107" si="35">IF(O83=0,0,IF(AND(AH83&gt;=AG83,AH83&lt;=AF83),((AH83-AG83)*12)*Q83,0))</f>
        <v>0</v>
      </c>
      <c r="T83">
        <f t="shared" ref="T83:T107" si="36">IF(S83&gt;0,S83,R83)</f>
        <v>0</v>
      </c>
      <c r="U83">
        <v>1</v>
      </c>
      <c r="V83">
        <f t="shared" ref="V83:V107" si="37">U83*SUM(R83:S83)</f>
        <v>0</v>
      </c>
      <c r="X83">
        <f t="shared" ref="X83:X107" si="38">IF(AD83&gt;AE83,0,IF(AF83&lt;AG83,P83,IF(AND(AF83&gt;=AG83,AF83&lt;=AE83),(P83-T83),IF(AND(AG83&lt;=AD83,AE83&gt;=AD83),0,IF(AF83&gt;AE83,((AG83-AD83)*12)*Q83,0)))))</f>
        <v>72496.775999999998</v>
      </c>
      <c r="Y83">
        <f t="shared" ref="Y83:Y107" si="39">X83*U83</f>
        <v>72496.775999999998</v>
      </c>
      <c r="Z83">
        <v>1</v>
      </c>
      <c r="AA83">
        <f t="shared" ref="AA83:AA107" si="40">Y83*Z83</f>
        <v>72496.775999999998</v>
      </c>
      <c r="AB83">
        <f t="shared" ref="AB83:AB107" si="41">IF(O83&gt;0,0,AA83+V83*Z83)*Z83</f>
        <v>72496.775999999998</v>
      </c>
      <c r="AC83">
        <f t="shared" ref="AC83:AC107" si="42">IF(O83&gt;0,(N83-AA83)/2,IF(AD83&gt;=AG83,(((N83*U83)*Z83)-AB83)/2,((((N83*U83)*Z83)-AA83)+(((N83*U83)*Z83)-AB83))/2))</f>
        <v>18124.194000000003</v>
      </c>
      <c r="AD83">
        <f t="shared" si="29"/>
        <v>2002.4166666666667</v>
      </c>
      <c r="AE83">
        <f t="shared" si="30"/>
        <v>2018.0833333333333</v>
      </c>
      <c r="AF83">
        <f t="shared" si="31"/>
        <v>2009.4166666666667</v>
      </c>
      <c r="AG83">
        <f t="shared" si="32"/>
        <v>2017.0833333333333</v>
      </c>
      <c r="AH83">
        <f t="shared" si="33"/>
        <v>-8.3333333333333329E-2</v>
      </c>
      <c r="AJ83">
        <f t="shared" ref="AJ83:AJ112" si="43">+IF((AF83-AG83)&gt;3,((N83-P83)/(AF83-AG83)),(N83-P83)/3)</f>
        <v>6041.398000000001</v>
      </c>
      <c r="AL83">
        <f t="shared" ref="AL83:AL112" si="44">+AJ83+V83</f>
        <v>6041.398000000001</v>
      </c>
      <c r="AN83">
        <f t="shared" ref="AN83:AN112" si="45">+IF(AF83&lt;AG83,-AC83,0)</f>
        <v>-18124.194000000003</v>
      </c>
      <c r="AP83">
        <f t="shared" ref="AP83:AP112" si="46">IF(AF83&gt;AG83,IF(AJ83&gt;0,IF(O83&gt;0,(N83-AA83)/2,IF(AD83&gt;=AG83,(((N83*U83)*Z83)-(AB83+AJ83))/2,((((N83*U83)*Z83)-AA83)+(((N83*U83)*Z83)-(AB83+AJ83)))/2)),0),0)</f>
        <v>0</v>
      </c>
      <c r="AR83">
        <f t="shared" ref="AR83:AR112" si="47">+AC83+AN83+(IF(AP83&gt;0,(AP83-AC83),0))</f>
        <v>0</v>
      </c>
    </row>
    <row r="84" spans="1:44">
      <c r="A84" t="s">
        <v>530</v>
      </c>
      <c r="C84">
        <v>4033</v>
      </c>
      <c r="D84" t="s">
        <v>174</v>
      </c>
      <c r="E84">
        <v>2002</v>
      </c>
      <c r="F84">
        <v>9</v>
      </c>
      <c r="G84">
        <v>0.2</v>
      </c>
      <c r="I84" t="s">
        <v>78</v>
      </c>
      <c r="J84">
        <v>7</v>
      </c>
      <c r="K84">
        <f>E84+J84</f>
        <v>2009</v>
      </c>
      <c r="N84">
        <v>100482.95</v>
      </c>
      <c r="P84">
        <f t="shared" si="27"/>
        <v>80386.36</v>
      </c>
      <c r="Q84">
        <f t="shared" si="28"/>
        <v>956.98047619047622</v>
      </c>
      <c r="R84">
        <f t="shared" si="34"/>
        <v>0</v>
      </c>
      <c r="S84">
        <f t="shared" si="35"/>
        <v>0</v>
      </c>
      <c r="T84">
        <f t="shared" si="36"/>
        <v>0</v>
      </c>
      <c r="U84">
        <v>1</v>
      </c>
      <c r="V84">
        <f t="shared" si="37"/>
        <v>0</v>
      </c>
      <c r="X84">
        <f t="shared" si="38"/>
        <v>80386.36</v>
      </c>
      <c r="Y84">
        <f t="shared" si="39"/>
        <v>80386.36</v>
      </c>
      <c r="Z84">
        <v>1</v>
      </c>
      <c r="AA84">
        <f t="shared" si="40"/>
        <v>80386.36</v>
      </c>
      <c r="AB84">
        <f t="shared" si="41"/>
        <v>80386.36</v>
      </c>
      <c r="AC84">
        <f t="shared" si="42"/>
        <v>20096.589999999997</v>
      </c>
      <c r="AD84">
        <f t="shared" si="29"/>
        <v>2002.6666666666667</v>
      </c>
      <c r="AE84">
        <f t="shared" si="30"/>
        <v>2018.0833333333333</v>
      </c>
      <c r="AF84">
        <f t="shared" si="31"/>
        <v>2009.6666666666667</v>
      </c>
      <c r="AG84">
        <f t="shared" si="32"/>
        <v>2017.0833333333333</v>
      </c>
      <c r="AH84">
        <f t="shared" si="33"/>
        <v>-8.3333333333333329E-2</v>
      </c>
      <c r="AJ84">
        <f t="shared" si="43"/>
        <v>6698.8633333333319</v>
      </c>
      <c r="AL84">
        <f t="shared" si="44"/>
        <v>6698.8633333333319</v>
      </c>
      <c r="AN84">
        <f t="shared" si="45"/>
        <v>-20096.589999999997</v>
      </c>
      <c r="AP84">
        <f t="shared" si="46"/>
        <v>0</v>
      </c>
      <c r="AR84">
        <f t="shared" si="47"/>
        <v>0</v>
      </c>
    </row>
    <row r="85" spans="1:44">
      <c r="A85" t="s">
        <v>283</v>
      </c>
      <c r="C85">
        <v>4046</v>
      </c>
      <c r="D85" t="s">
        <v>165</v>
      </c>
      <c r="E85">
        <v>2005</v>
      </c>
      <c r="F85">
        <v>10</v>
      </c>
      <c r="G85">
        <v>0.2</v>
      </c>
      <c r="I85" t="s">
        <v>78</v>
      </c>
      <c r="J85">
        <v>7</v>
      </c>
      <c r="K85">
        <f t="shared" si="26"/>
        <v>2012</v>
      </c>
      <c r="N85">
        <v>149379.65</v>
      </c>
      <c r="P85">
        <f t="shared" si="27"/>
        <v>119503.72</v>
      </c>
      <c r="Q85">
        <f t="shared" si="28"/>
        <v>1422.6633333333332</v>
      </c>
      <c r="R85">
        <f t="shared" si="34"/>
        <v>0</v>
      </c>
      <c r="S85">
        <f t="shared" si="35"/>
        <v>0</v>
      </c>
      <c r="T85">
        <f t="shared" si="36"/>
        <v>0</v>
      </c>
      <c r="U85">
        <v>1</v>
      </c>
      <c r="V85">
        <f t="shared" si="37"/>
        <v>0</v>
      </c>
      <c r="X85">
        <f t="shared" si="38"/>
        <v>119503.72</v>
      </c>
      <c r="Y85">
        <f t="shared" si="39"/>
        <v>119503.72</v>
      </c>
      <c r="Z85">
        <v>1</v>
      </c>
      <c r="AA85">
        <f t="shared" si="40"/>
        <v>119503.72</v>
      </c>
      <c r="AB85">
        <f t="shared" si="41"/>
        <v>119503.72</v>
      </c>
      <c r="AC85">
        <f t="shared" si="42"/>
        <v>29875.929999999993</v>
      </c>
      <c r="AD85">
        <f t="shared" si="29"/>
        <v>2005.75</v>
      </c>
      <c r="AE85">
        <f t="shared" si="30"/>
        <v>2018.0833333333333</v>
      </c>
      <c r="AF85">
        <f t="shared" si="31"/>
        <v>2012.75</v>
      </c>
      <c r="AG85">
        <f t="shared" si="32"/>
        <v>2017.0833333333333</v>
      </c>
      <c r="AH85">
        <f t="shared" si="33"/>
        <v>-8.3333333333333329E-2</v>
      </c>
      <c r="AJ85">
        <f t="shared" si="43"/>
        <v>9958.6433333333316</v>
      </c>
      <c r="AL85">
        <f t="shared" si="44"/>
        <v>9958.6433333333316</v>
      </c>
      <c r="AN85">
        <f t="shared" si="45"/>
        <v>-29875.929999999993</v>
      </c>
      <c r="AP85">
        <f t="shared" si="46"/>
        <v>0</v>
      </c>
      <c r="AR85">
        <f t="shared" si="47"/>
        <v>0</v>
      </c>
    </row>
    <row r="86" spans="1:44">
      <c r="A86" t="s">
        <v>283</v>
      </c>
      <c r="C86">
        <v>4047</v>
      </c>
      <c r="D86" t="s">
        <v>166</v>
      </c>
      <c r="E86">
        <v>2005</v>
      </c>
      <c r="F86">
        <v>11</v>
      </c>
      <c r="G86">
        <v>0.2</v>
      </c>
      <c r="I86" t="s">
        <v>78</v>
      </c>
      <c r="J86">
        <v>7</v>
      </c>
      <c r="K86">
        <f t="shared" si="26"/>
        <v>2012</v>
      </c>
      <c r="N86">
        <v>146156.71</v>
      </c>
      <c r="P86">
        <f t="shared" si="27"/>
        <v>116925.36799999999</v>
      </c>
      <c r="Q86">
        <f t="shared" si="28"/>
        <v>1391.9686666666666</v>
      </c>
      <c r="R86">
        <f t="shared" si="34"/>
        <v>0</v>
      </c>
      <c r="S86">
        <f t="shared" si="35"/>
        <v>0</v>
      </c>
      <c r="T86">
        <f t="shared" si="36"/>
        <v>0</v>
      </c>
      <c r="U86">
        <v>1</v>
      </c>
      <c r="V86">
        <f t="shared" si="37"/>
        <v>0</v>
      </c>
      <c r="X86">
        <f t="shared" si="38"/>
        <v>116925.36799999999</v>
      </c>
      <c r="Y86">
        <f t="shared" si="39"/>
        <v>116925.36799999999</v>
      </c>
      <c r="Z86">
        <v>1</v>
      </c>
      <c r="AA86">
        <f t="shared" si="40"/>
        <v>116925.36799999999</v>
      </c>
      <c r="AB86">
        <f t="shared" si="41"/>
        <v>116925.36799999999</v>
      </c>
      <c r="AC86">
        <f t="shared" si="42"/>
        <v>29231.342000000004</v>
      </c>
      <c r="AD86">
        <f t="shared" si="29"/>
        <v>2005.8333333333333</v>
      </c>
      <c r="AE86">
        <f t="shared" si="30"/>
        <v>2018.0833333333333</v>
      </c>
      <c r="AF86">
        <f t="shared" si="31"/>
        <v>2012.8333333333333</v>
      </c>
      <c r="AG86">
        <f t="shared" si="32"/>
        <v>2017.0833333333333</v>
      </c>
      <c r="AH86">
        <f t="shared" si="33"/>
        <v>-8.3333333333333329E-2</v>
      </c>
      <c r="AJ86">
        <f t="shared" si="43"/>
        <v>9743.7806666666675</v>
      </c>
      <c r="AL86">
        <f t="shared" si="44"/>
        <v>9743.7806666666675</v>
      </c>
      <c r="AN86">
        <f t="shared" si="45"/>
        <v>-29231.342000000004</v>
      </c>
      <c r="AP86">
        <f t="shared" si="46"/>
        <v>0</v>
      </c>
      <c r="AR86">
        <f t="shared" si="47"/>
        <v>0</v>
      </c>
    </row>
    <row r="87" spans="1:44">
      <c r="A87" t="s">
        <v>283</v>
      </c>
      <c r="B87">
        <v>114283</v>
      </c>
      <c r="C87">
        <v>4049</v>
      </c>
      <c r="D87" t="s">
        <v>551</v>
      </c>
      <c r="E87">
        <v>2006</v>
      </c>
      <c r="F87">
        <v>4</v>
      </c>
      <c r="G87">
        <v>0.2</v>
      </c>
      <c r="I87" t="s">
        <v>78</v>
      </c>
      <c r="J87">
        <v>7</v>
      </c>
      <c r="K87">
        <f>E87+J87</f>
        <v>2013</v>
      </c>
      <c r="N87">
        <v>145020.18</v>
      </c>
      <c r="P87">
        <f t="shared" si="27"/>
        <v>116016.144</v>
      </c>
      <c r="Q87">
        <f t="shared" si="28"/>
        <v>1381.1445714285712</v>
      </c>
      <c r="R87">
        <f t="shared" si="34"/>
        <v>0</v>
      </c>
      <c r="S87">
        <f t="shared" si="35"/>
        <v>0</v>
      </c>
      <c r="T87">
        <f t="shared" si="36"/>
        <v>0</v>
      </c>
      <c r="U87">
        <v>1</v>
      </c>
      <c r="V87">
        <f t="shared" si="37"/>
        <v>0</v>
      </c>
      <c r="X87">
        <f t="shared" si="38"/>
        <v>116016.144</v>
      </c>
      <c r="Y87">
        <f t="shared" si="39"/>
        <v>116016.144</v>
      </c>
      <c r="Z87">
        <v>1</v>
      </c>
      <c r="AA87">
        <f t="shared" si="40"/>
        <v>116016.144</v>
      </c>
      <c r="AB87">
        <f t="shared" si="41"/>
        <v>116016.144</v>
      </c>
      <c r="AC87">
        <f t="shared" si="42"/>
        <v>29004.035999999993</v>
      </c>
      <c r="AD87">
        <f t="shared" si="29"/>
        <v>2006.25</v>
      </c>
      <c r="AE87">
        <f t="shared" si="30"/>
        <v>2018.0833333333333</v>
      </c>
      <c r="AF87">
        <f t="shared" si="31"/>
        <v>2013.25</v>
      </c>
      <c r="AG87">
        <f t="shared" si="32"/>
        <v>2017.0833333333333</v>
      </c>
      <c r="AH87">
        <f t="shared" si="33"/>
        <v>-8.3333333333333329E-2</v>
      </c>
      <c r="AJ87">
        <f t="shared" si="43"/>
        <v>9668.011999999997</v>
      </c>
      <c r="AL87">
        <f t="shared" si="44"/>
        <v>9668.011999999997</v>
      </c>
      <c r="AN87">
        <f t="shared" si="45"/>
        <v>-29004.035999999993</v>
      </c>
      <c r="AP87">
        <f t="shared" si="46"/>
        <v>0</v>
      </c>
      <c r="AR87">
        <f t="shared" si="47"/>
        <v>0</v>
      </c>
    </row>
    <row r="88" spans="1:44">
      <c r="A88" t="s">
        <v>283</v>
      </c>
      <c r="C88">
        <v>4049</v>
      </c>
      <c r="D88" t="s">
        <v>550</v>
      </c>
      <c r="E88">
        <v>2006</v>
      </c>
      <c r="F88">
        <v>4</v>
      </c>
      <c r="G88">
        <v>0.2</v>
      </c>
      <c r="I88" t="s">
        <v>78</v>
      </c>
      <c r="J88">
        <v>7</v>
      </c>
      <c r="K88">
        <f>E88+J88</f>
        <v>2013</v>
      </c>
      <c r="N88">
        <v>3916.63</v>
      </c>
      <c r="P88">
        <f t="shared" si="27"/>
        <v>3133.3040000000001</v>
      </c>
      <c r="Q88">
        <f t="shared" si="28"/>
        <v>37.301238095238098</v>
      </c>
      <c r="R88">
        <f t="shared" si="34"/>
        <v>0</v>
      </c>
      <c r="S88">
        <f t="shared" si="35"/>
        <v>0</v>
      </c>
      <c r="T88">
        <f t="shared" si="36"/>
        <v>0</v>
      </c>
      <c r="U88">
        <v>1</v>
      </c>
      <c r="V88">
        <f t="shared" si="37"/>
        <v>0</v>
      </c>
      <c r="X88">
        <f t="shared" si="38"/>
        <v>3133.3040000000001</v>
      </c>
      <c r="Y88">
        <f t="shared" si="39"/>
        <v>3133.3040000000001</v>
      </c>
      <c r="Z88">
        <v>1</v>
      </c>
      <c r="AA88">
        <f t="shared" si="40"/>
        <v>3133.3040000000001</v>
      </c>
      <c r="AB88">
        <f t="shared" si="41"/>
        <v>3133.3040000000001</v>
      </c>
      <c r="AC88">
        <f t="shared" si="42"/>
        <v>783.32600000000002</v>
      </c>
      <c r="AD88">
        <f t="shared" si="29"/>
        <v>2006.25</v>
      </c>
      <c r="AE88">
        <f t="shared" si="30"/>
        <v>2018.0833333333333</v>
      </c>
      <c r="AF88">
        <f t="shared" si="31"/>
        <v>2013.25</v>
      </c>
      <c r="AG88">
        <f t="shared" si="32"/>
        <v>2017.0833333333333</v>
      </c>
      <c r="AH88">
        <f t="shared" si="33"/>
        <v>-8.3333333333333329E-2</v>
      </c>
      <c r="AJ88">
        <f t="shared" si="43"/>
        <v>261.10866666666669</v>
      </c>
      <c r="AL88">
        <f t="shared" si="44"/>
        <v>261.10866666666669</v>
      </c>
      <c r="AN88">
        <f t="shared" si="45"/>
        <v>-783.32600000000002</v>
      </c>
      <c r="AP88">
        <f t="shared" si="46"/>
        <v>0</v>
      </c>
      <c r="AR88">
        <f t="shared" si="47"/>
        <v>0</v>
      </c>
    </row>
    <row r="89" spans="1:44">
      <c r="A89" t="s">
        <v>283</v>
      </c>
      <c r="C89">
        <v>4054</v>
      </c>
      <c r="D89" t="s">
        <v>167</v>
      </c>
      <c r="E89">
        <v>2006</v>
      </c>
      <c r="F89">
        <v>12</v>
      </c>
      <c r="G89">
        <v>0.2</v>
      </c>
      <c r="I89" t="s">
        <v>78</v>
      </c>
      <c r="J89">
        <v>7</v>
      </c>
      <c r="K89">
        <f t="shared" si="26"/>
        <v>2013</v>
      </c>
      <c r="N89">
        <v>151535.41</v>
      </c>
      <c r="P89">
        <f t="shared" si="27"/>
        <v>121228.32800000001</v>
      </c>
      <c r="Q89">
        <f t="shared" si="28"/>
        <v>1443.1943809523809</v>
      </c>
      <c r="R89">
        <f t="shared" si="34"/>
        <v>0</v>
      </c>
      <c r="S89">
        <f t="shared" si="35"/>
        <v>0</v>
      </c>
      <c r="T89">
        <f t="shared" si="36"/>
        <v>0</v>
      </c>
      <c r="U89">
        <v>1</v>
      </c>
      <c r="V89">
        <f t="shared" si="37"/>
        <v>0</v>
      </c>
      <c r="X89">
        <f t="shared" si="38"/>
        <v>121228.32800000001</v>
      </c>
      <c r="Y89">
        <f t="shared" si="39"/>
        <v>121228.32800000001</v>
      </c>
      <c r="Z89">
        <v>1</v>
      </c>
      <c r="AA89">
        <f t="shared" si="40"/>
        <v>121228.32800000001</v>
      </c>
      <c r="AB89">
        <f t="shared" si="41"/>
        <v>121228.32800000001</v>
      </c>
      <c r="AC89">
        <f t="shared" si="42"/>
        <v>30307.081999999995</v>
      </c>
      <c r="AD89">
        <f t="shared" si="29"/>
        <v>2006.9166666666667</v>
      </c>
      <c r="AE89">
        <f t="shared" si="30"/>
        <v>2018.0833333333333</v>
      </c>
      <c r="AF89">
        <f t="shared" si="31"/>
        <v>2013.9166666666667</v>
      </c>
      <c r="AG89">
        <f t="shared" si="32"/>
        <v>2017.0833333333333</v>
      </c>
      <c r="AH89">
        <f t="shared" si="33"/>
        <v>-8.3333333333333329E-2</v>
      </c>
      <c r="AJ89">
        <f t="shared" si="43"/>
        <v>10102.360666666666</v>
      </c>
      <c r="AL89">
        <f t="shared" si="44"/>
        <v>10102.360666666666</v>
      </c>
      <c r="AN89">
        <f t="shared" si="45"/>
        <v>-30307.081999999995</v>
      </c>
      <c r="AP89">
        <f t="shared" si="46"/>
        <v>0</v>
      </c>
      <c r="AR89">
        <f t="shared" si="47"/>
        <v>0</v>
      </c>
    </row>
    <row r="90" spans="1:44">
      <c r="A90" t="s">
        <v>283</v>
      </c>
      <c r="C90">
        <v>4054</v>
      </c>
      <c r="D90" t="s">
        <v>289</v>
      </c>
      <c r="E90">
        <v>2007</v>
      </c>
      <c r="F90">
        <v>1</v>
      </c>
      <c r="G90">
        <v>0.2</v>
      </c>
      <c r="I90" t="s">
        <v>78</v>
      </c>
      <c r="J90">
        <v>7</v>
      </c>
      <c r="K90">
        <f t="shared" si="26"/>
        <v>2014</v>
      </c>
      <c r="N90">
        <v>3916.63</v>
      </c>
      <c r="P90">
        <f t="shared" si="27"/>
        <v>3133.3040000000001</v>
      </c>
      <c r="Q90">
        <f t="shared" si="28"/>
        <v>37.301238095238098</v>
      </c>
      <c r="R90">
        <f t="shared" si="34"/>
        <v>0</v>
      </c>
      <c r="S90">
        <f t="shared" si="35"/>
        <v>0</v>
      </c>
      <c r="T90">
        <f t="shared" si="36"/>
        <v>0</v>
      </c>
      <c r="U90">
        <v>1</v>
      </c>
      <c r="V90">
        <f t="shared" si="37"/>
        <v>0</v>
      </c>
      <c r="X90">
        <f t="shared" si="38"/>
        <v>3133.3040000000001</v>
      </c>
      <c r="Y90">
        <f t="shared" si="39"/>
        <v>3133.3040000000001</v>
      </c>
      <c r="Z90">
        <v>1</v>
      </c>
      <c r="AA90">
        <f t="shared" si="40"/>
        <v>3133.3040000000001</v>
      </c>
      <c r="AB90">
        <f t="shared" si="41"/>
        <v>3133.3040000000001</v>
      </c>
      <c r="AC90">
        <f t="shared" si="42"/>
        <v>783.32600000000002</v>
      </c>
      <c r="AD90">
        <f t="shared" si="29"/>
        <v>2007</v>
      </c>
      <c r="AE90">
        <f t="shared" si="30"/>
        <v>2018.0833333333333</v>
      </c>
      <c r="AF90">
        <f t="shared" si="31"/>
        <v>2014</v>
      </c>
      <c r="AG90">
        <f t="shared" si="32"/>
        <v>2017.0833333333333</v>
      </c>
      <c r="AH90">
        <f t="shared" si="33"/>
        <v>-8.3333333333333329E-2</v>
      </c>
      <c r="AJ90">
        <f t="shared" si="43"/>
        <v>261.10866666666669</v>
      </c>
      <c r="AL90">
        <f t="shared" si="44"/>
        <v>261.10866666666669</v>
      </c>
      <c r="AN90">
        <f t="shared" si="45"/>
        <v>-783.32600000000002</v>
      </c>
      <c r="AP90">
        <f t="shared" si="46"/>
        <v>0</v>
      </c>
      <c r="AR90">
        <f t="shared" si="47"/>
        <v>0</v>
      </c>
    </row>
    <row r="91" spans="1:44">
      <c r="A91" t="s">
        <v>283</v>
      </c>
      <c r="C91">
        <v>4061</v>
      </c>
      <c r="D91" t="s">
        <v>332</v>
      </c>
      <c r="E91">
        <v>2007</v>
      </c>
      <c r="F91">
        <v>9</v>
      </c>
      <c r="G91">
        <v>0.2</v>
      </c>
      <c r="I91" t="s">
        <v>78</v>
      </c>
      <c r="J91">
        <v>7</v>
      </c>
      <c r="K91">
        <f t="shared" si="26"/>
        <v>2014</v>
      </c>
      <c r="N91">
        <v>157161.14000000001</v>
      </c>
      <c r="P91">
        <f t="shared" si="27"/>
        <v>125728.91200000001</v>
      </c>
      <c r="Q91">
        <f t="shared" si="28"/>
        <v>1496.7727619047621</v>
      </c>
      <c r="R91">
        <f t="shared" si="34"/>
        <v>0</v>
      </c>
      <c r="S91">
        <f t="shared" si="35"/>
        <v>0</v>
      </c>
      <c r="T91">
        <f t="shared" si="36"/>
        <v>0</v>
      </c>
      <c r="U91">
        <v>1</v>
      </c>
      <c r="V91">
        <f t="shared" si="37"/>
        <v>0</v>
      </c>
      <c r="X91">
        <f t="shared" si="38"/>
        <v>125728.91200000001</v>
      </c>
      <c r="Y91">
        <f t="shared" si="39"/>
        <v>125728.91200000001</v>
      </c>
      <c r="Z91">
        <v>1</v>
      </c>
      <c r="AA91">
        <f t="shared" si="40"/>
        <v>125728.91200000001</v>
      </c>
      <c r="AB91">
        <f t="shared" si="41"/>
        <v>125728.91200000001</v>
      </c>
      <c r="AC91">
        <f t="shared" si="42"/>
        <v>31432.228000000003</v>
      </c>
      <c r="AD91">
        <f t="shared" si="29"/>
        <v>2007.6666666666667</v>
      </c>
      <c r="AE91">
        <f t="shared" si="30"/>
        <v>2018.0833333333333</v>
      </c>
      <c r="AF91">
        <f t="shared" si="31"/>
        <v>2014.6666666666667</v>
      </c>
      <c r="AG91">
        <f t="shared" si="32"/>
        <v>2017.0833333333333</v>
      </c>
      <c r="AH91">
        <f t="shared" si="33"/>
        <v>-8.3333333333333329E-2</v>
      </c>
      <c r="AJ91">
        <f t="shared" si="43"/>
        <v>10477.409333333335</v>
      </c>
      <c r="AL91">
        <f t="shared" si="44"/>
        <v>10477.409333333335</v>
      </c>
      <c r="AN91">
        <f t="shared" si="45"/>
        <v>-31432.228000000003</v>
      </c>
      <c r="AP91">
        <f t="shared" si="46"/>
        <v>0</v>
      </c>
      <c r="AR91">
        <f t="shared" si="47"/>
        <v>0</v>
      </c>
    </row>
    <row r="92" spans="1:44">
      <c r="A92" t="s">
        <v>283</v>
      </c>
      <c r="B92">
        <v>114285</v>
      </c>
      <c r="C92">
        <v>4062</v>
      </c>
      <c r="D92" t="s">
        <v>552</v>
      </c>
      <c r="E92">
        <v>2007</v>
      </c>
      <c r="F92">
        <v>11</v>
      </c>
      <c r="G92">
        <v>0.2</v>
      </c>
      <c r="I92" t="s">
        <v>78</v>
      </c>
      <c r="J92">
        <v>7</v>
      </c>
      <c r="K92">
        <f>E92+J92</f>
        <v>2014</v>
      </c>
      <c r="N92">
        <v>163233.62</v>
      </c>
      <c r="P92">
        <f t="shared" si="27"/>
        <v>130586.89599999999</v>
      </c>
      <c r="Q92">
        <f t="shared" si="28"/>
        <v>1554.6059047619046</v>
      </c>
      <c r="R92">
        <f t="shared" si="34"/>
        <v>0</v>
      </c>
      <c r="S92">
        <f t="shared" si="35"/>
        <v>0</v>
      </c>
      <c r="T92">
        <f t="shared" si="36"/>
        <v>0</v>
      </c>
      <c r="U92">
        <v>1</v>
      </c>
      <c r="V92">
        <f t="shared" si="37"/>
        <v>0</v>
      </c>
      <c r="X92">
        <f t="shared" si="38"/>
        <v>130586.89599999999</v>
      </c>
      <c r="Y92">
        <f t="shared" si="39"/>
        <v>130586.89599999999</v>
      </c>
      <c r="Z92">
        <v>1</v>
      </c>
      <c r="AA92">
        <f t="shared" si="40"/>
        <v>130586.89599999999</v>
      </c>
      <c r="AB92">
        <f t="shared" si="41"/>
        <v>130586.89599999999</v>
      </c>
      <c r="AC92">
        <f t="shared" si="42"/>
        <v>32646.724000000002</v>
      </c>
      <c r="AD92">
        <f t="shared" si="29"/>
        <v>2007.8333333333333</v>
      </c>
      <c r="AE92">
        <f t="shared" si="30"/>
        <v>2018.0833333333333</v>
      </c>
      <c r="AF92">
        <f t="shared" si="31"/>
        <v>2014.8333333333333</v>
      </c>
      <c r="AG92">
        <f t="shared" si="32"/>
        <v>2017.0833333333333</v>
      </c>
      <c r="AH92">
        <f t="shared" si="33"/>
        <v>-8.3333333333333329E-2</v>
      </c>
      <c r="AJ92">
        <f t="shared" si="43"/>
        <v>10882.241333333333</v>
      </c>
      <c r="AL92">
        <f t="shared" si="44"/>
        <v>10882.241333333333</v>
      </c>
      <c r="AN92">
        <f t="shared" si="45"/>
        <v>-32646.724000000002</v>
      </c>
      <c r="AP92">
        <f t="shared" si="46"/>
        <v>0</v>
      </c>
      <c r="AR92">
        <f t="shared" si="47"/>
        <v>0</v>
      </c>
    </row>
    <row r="93" spans="1:44">
      <c r="A93" t="s">
        <v>283</v>
      </c>
      <c r="C93">
        <v>4068</v>
      </c>
      <c r="D93" t="s">
        <v>426</v>
      </c>
      <c r="E93">
        <v>2008</v>
      </c>
      <c r="F93">
        <v>10</v>
      </c>
      <c r="G93">
        <v>0.2</v>
      </c>
      <c r="I93" t="s">
        <v>78</v>
      </c>
      <c r="J93">
        <v>7</v>
      </c>
      <c r="K93">
        <f t="shared" si="26"/>
        <v>2015</v>
      </c>
      <c r="N93">
        <v>165485.70000000001</v>
      </c>
      <c r="P93">
        <f t="shared" si="27"/>
        <v>132388.56</v>
      </c>
      <c r="Q93">
        <f t="shared" si="28"/>
        <v>1576.0542857142857</v>
      </c>
      <c r="R93">
        <f t="shared" si="34"/>
        <v>0</v>
      </c>
      <c r="S93">
        <f t="shared" si="35"/>
        <v>0</v>
      </c>
      <c r="T93">
        <f t="shared" si="36"/>
        <v>0</v>
      </c>
      <c r="U93">
        <v>1</v>
      </c>
      <c r="V93">
        <f t="shared" si="37"/>
        <v>0</v>
      </c>
      <c r="X93">
        <f t="shared" si="38"/>
        <v>132388.56</v>
      </c>
      <c r="Y93">
        <f t="shared" si="39"/>
        <v>132388.56</v>
      </c>
      <c r="Z93">
        <v>1</v>
      </c>
      <c r="AA93">
        <f t="shared" si="40"/>
        <v>132388.56</v>
      </c>
      <c r="AB93">
        <f t="shared" si="41"/>
        <v>132388.56</v>
      </c>
      <c r="AC93">
        <f t="shared" si="42"/>
        <v>33097.140000000014</v>
      </c>
      <c r="AD93">
        <f t="shared" si="29"/>
        <v>2008.75</v>
      </c>
      <c r="AE93">
        <f t="shared" si="30"/>
        <v>2018.0833333333333</v>
      </c>
      <c r="AF93">
        <f t="shared" si="31"/>
        <v>2015.75</v>
      </c>
      <c r="AG93">
        <f t="shared" si="32"/>
        <v>2017.0833333333333</v>
      </c>
      <c r="AH93">
        <f t="shared" si="33"/>
        <v>-8.3333333333333329E-2</v>
      </c>
      <c r="AJ93">
        <f t="shared" si="43"/>
        <v>11032.380000000005</v>
      </c>
      <c r="AL93">
        <f t="shared" si="44"/>
        <v>11032.380000000005</v>
      </c>
      <c r="AN93">
        <f t="shared" si="45"/>
        <v>-33097.140000000014</v>
      </c>
      <c r="AP93">
        <f t="shared" si="46"/>
        <v>0</v>
      </c>
      <c r="AR93">
        <f t="shared" si="47"/>
        <v>0</v>
      </c>
    </row>
    <row r="94" spans="1:44">
      <c r="A94" t="s">
        <v>283</v>
      </c>
      <c r="C94">
        <v>4033</v>
      </c>
      <c r="D94" t="s">
        <v>82</v>
      </c>
      <c r="E94">
        <v>2009</v>
      </c>
      <c r="F94">
        <v>5</v>
      </c>
      <c r="G94">
        <v>0</v>
      </c>
      <c r="I94" t="s">
        <v>78</v>
      </c>
      <c r="J94">
        <v>3</v>
      </c>
      <c r="K94">
        <f>E94+J94</f>
        <v>2012</v>
      </c>
      <c r="N94">
        <v>3577.2</v>
      </c>
      <c r="P94">
        <f t="shared" si="27"/>
        <v>3577.2</v>
      </c>
      <c r="Q94">
        <f t="shared" si="28"/>
        <v>99.36666666666666</v>
      </c>
      <c r="R94">
        <f t="shared" si="34"/>
        <v>0</v>
      </c>
      <c r="S94">
        <f t="shared" si="35"/>
        <v>0</v>
      </c>
      <c r="T94">
        <f t="shared" si="36"/>
        <v>0</v>
      </c>
      <c r="U94">
        <v>1</v>
      </c>
      <c r="V94">
        <f t="shared" si="37"/>
        <v>0</v>
      </c>
      <c r="X94">
        <f t="shared" si="38"/>
        <v>3577.2</v>
      </c>
      <c r="Y94">
        <f t="shared" si="39"/>
        <v>3577.2</v>
      </c>
      <c r="Z94">
        <v>1</v>
      </c>
      <c r="AA94">
        <f t="shared" si="40"/>
        <v>3577.2</v>
      </c>
      <c r="AB94">
        <f t="shared" si="41"/>
        <v>3577.2</v>
      </c>
      <c r="AC94">
        <f t="shared" si="42"/>
        <v>0</v>
      </c>
      <c r="AD94">
        <f t="shared" si="29"/>
        <v>2009.3333333333333</v>
      </c>
      <c r="AE94">
        <f t="shared" si="30"/>
        <v>2018.0833333333333</v>
      </c>
      <c r="AF94">
        <f t="shared" si="31"/>
        <v>2012.3333333333333</v>
      </c>
      <c r="AG94">
        <f t="shared" si="32"/>
        <v>2017.0833333333333</v>
      </c>
      <c r="AH94">
        <f t="shared" si="33"/>
        <v>-8.3333333333333329E-2</v>
      </c>
      <c r="AJ94">
        <f t="shared" si="43"/>
        <v>0</v>
      </c>
      <c r="AL94">
        <f t="shared" si="44"/>
        <v>0</v>
      </c>
      <c r="AN94">
        <f t="shared" si="45"/>
        <v>0</v>
      </c>
      <c r="AP94">
        <f t="shared" si="46"/>
        <v>0</v>
      </c>
      <c r="AR94">
        <f t="shared" si="47"/>
        <v>0</v>
      </c>
    </row>
    <row r="95" spans="1:44">
      <c r="A95" t="s">
        <v>283</v>
      </c>
      <c r="C95">
        <v>4033</v>
      </c>
      <c r="D95" t="s">
        <v>331</v>
      </c>
      <c r="E95">
        <v>2009</v>
      </c>
      <c r="F95">
        <v>5</v>
      </c>
      <c r="G95">
        <v>0</v>
      </c>
      <c r="I95" t="s">
        <v>78</v>
      </c>
      <c r="J95">
        <v>3</v>
      </c>
      <c r="K95">
        <f>E95+J95</f>
        <v>2012</v>
      </c>
      <c r="N95">
        <v>5775.33</v>
      </c>
      <c r="P95">
        <f t="shared" si="27"/>
        <v>5775.33</v>
      </c>
      <c r="Q95">
        <f t="shared" si="28"/>
        <v>160.42583333333332</v>
      </c>
      <c r="R95">
        <f t="shared" si="34"/>
        <v>0</v>
      </c>
      <c r="S95">
        <f t="shared" si="35"/>
        <v>0</v>
      </c>
      <c r="T95">
        <f t="shared" si="36"/>
        <v>0</v>
      </c>
      <c r="U95">
        <v>1</v>
      </c>
      <c r="V95">
        <f t="shared" si="37"/>
        <v>0</v>
      </c>
      <c r="X95">
        <f t="shared" si="38"/>
        <v>5775.33</v>
      </c>
      <c r="Y95">
        <f t="shared" si="39"/>
        <v>5775.33</v>
      </c>
      <c r="Z95">
        <v>1</v>
      </c>
      <c r="AA95">
        <f t="shared" si="40"/>
        <v>5775.33</v>
      </c>
      <c r="AB95">
        <f t="shared" si="41"/>
        <v>5775.33</v>
      </c>
      <c r="AC95">
        <f t="shared" si="42"/>
        <v>0</v>
      </c>
      <c r="AD95">
        <f t="shared" si="29"/>
        <v>2009.3333333333333</v>
      </c>
      <c r="AE95">
        <f t="shared" si="30"/>
        <v>2018.0833333333333</v>
      </c>
      <c r="AF95">
        <f t="shared" si="31"/>
        <v>2012.3333333333333</v>
      </c>
      <c r="AG95">
        <f t="shared" si="32"/>
        <v>2017.0833333333333</v>
      </c>
      <c r="AH95">
        <f t="shared" si="33"/>
        <v>-8.3333333333333329E-2</v>
      </c>
      <c r="AJ95">
        <f t="shared" si="43"/>
        <v>0</v>
      </c>
      <c r="AL95">
        <f t="shared" si="44"/>
        <v>0</v>
      </c>
      <c r="AN95">
        <f t="shared" si="45"/>
        <v>0</v>
      </c>
      <c r="AP95">
        <f t="shared" si="46"/>
        <v>0</v>
      </c>
      <c r="AR95">
        <f t="shared" si="47"/>
        <v>0</v>
      </c>
    </row>
    <row r="96" spans="1:44">
      <c r="A96" t="s">
        <v>283</v>
      </c>
      <c r="C96">
        <v>4025</v>
      </c>
      <c r="D96" t="s">
        <v>329</v>
      </c>
      <c r="E96">
        <v>2009</v>
      </c>
      <c r="F96">
        <v>6</v>
      </c>
      <c r="G96">
        <v>0</v>
      </c>
      <c r="I96" t="s">
        <v>78</v>
      </c>
      <c r="J96">
        <v>3</v>
      </c>
      <c r="K96">
        <f t="shared" si="26"/>
        <v>2012</v>
      </c>
      <c r="N96">
        <v>4615.03</v>
      </c>
      <c r="P96">
        <f t="shared" si="27"/>
        <v>4615.03</v>
      </c>
      <c r="Q96">
        <f t="shared" si="28"/>
        <v>128.19527777777776</v>
      </c>
      <c r="R96">
        <f t="shared" si="34"/>
        <v>0</v>
      </c>
      <c r="S96">
        <f t="shared" si="35"/>
        <v>0</v>
      </c>
      <c r="T96">
        <f t="shared" si="36"/>
        <v>0</v>
      </c>
      <c r="U96">
        <v>1</v>
      </c>
      <c r="V96">
        <f t="shared" si="37"/>
        <v>0</v>
      </c>
      <c r="X96">
        <f t="shared" si="38"/>
        <v>4615.03</v>
      </c>
      <c r="Y96">
        <f t="shared" si="39"/>
        <v>4615.03</v>
      </c>
      <c r="Z96">
        <v>1</v>
      </c>
      <c r="AA96">
        <f t="shared" si="40"/>
        <v>4615.03</v>
      </c>
      <c r="AB96">
        <f t="shared" si="41"/>
        <v>4615.03</v>
      </c>
      <c r="AC96">
        <f t="shared" si="42"/>
        <v>0</v>
      </c>
      <c r="AD96">
        <f t="shared" si="29"/>
        <v>2009.4166666666667</v>
      </c>
      <c r="AE96">
        <f t="shared" si="30"/>
        <v>2018.0833333333333</v>
      </c>
      <c r="AF96">
        <f t="shared" si="31"/>
        <v>2012.4166666666667</v>
      </c>
      <c r="AG96">
        <f t="shared" si="32"/>
        <v>2017.0833333333333</v>
      </c>
      <c r="AH96">
        <f t="shared" si="33"/>
        <v>-8.3333333333333329E-2</v>
      </c>
      <c r="AJ96">
        <f t="shared" si="43"/>
        <v>0</v>
      </c>
      <c r="AL96">
        <f t="shared" si="44"/>
        <v>0</v>
      </c>
      <c r="AN96">
        <f t="shared" si="45"/>
        <v>0</v>
      </c>
      <c r="AP96">
        <f t="shared" si="46"/>
        <v>0</v>
      </c>
      <c r="AR96">
        <f t="shared" si="47"/>
        <v>0</v>
      </c>
    </row>
    <row r="97" spans="1:44">
      <c r="A97" t="s">
        <v>283</v>
      </c>
      <c r="C97">
        <v>4030</v>
      </c>
      <c r="D97" t="s">
        <v>330</v>
      </c>
      <c r="E97">
        <v>2009</v>
      </c>
      <c r="F97">
        <v>6</v>
      </c>
      <c r="G97">
        <v>0</v>
      </c>
      <c r="I97" t="s">
        <v>78</v>
      </c>
      <c r="J97">
        <v>3</v>
      </c>
      <c r="K97">
        <f t="shared" si="26"/>
        <v>2012</v>
      </c>
      <c r="N97">
        <v>2556.91</v>
      </c>
      <c r="P97">
        <f t="shared" si="27"/>
        <v>2556.91</v>
      </c>
      <c r="Q97">
        <f t="shared" si="28"/>
        <v>71.025277777777774</v>
      </c>
      <c r="R97">
        <f t="shared" si="34"/>
        <v>0</v>
      </c>
      <c r="S97">
        <f t="shared" si="35"/>
        <v>0</v>
      </c>
      <c r="T97">
        <f t="shared" si="36"/>
        <v>0</v>
      </c>
      <c r="U97">
        <v>1</v>
      </c>
      <c r="V97">
        <f t="shared" si="37"/>
        <v>0</v>
      </c>
      <c r="X97">
        <f t="shared" si="38"/>
        <v>2556.91</v>
      </c>
      <c r="Y97">
        <f t="shared" si="39"/>
        <v>2556.91</v>
      </c>
      <c r="Z97">
        <v>1</v>
      </c>
      <c r="AA97">
        <f t="shared" si="40"/>
        <v>2556.91</v>
      </c>
      <c r="AB97">
        <f t="shared" si="41"/>
        <v>2556.91</v>
      </c>
      <c r="AC97">
        <f t="shared" si="42"/>
        <v>0</v>
      </c>
      <c r="AD97">
        <f t="shared" si="29"/>
        <v>2009.4166666666667</v>
      </c>
      <c r="AE97">
        <f t="shared" si="30"/>
        <v>2018.0833333333333</v>
      </c>
      <c r="AF97">
        <f t="shared" si="31"/>
        <v>2012.4166666666667</v>
      </c>
      <c r="AG97">
        <f t="shared" si="32"/>
        <v>2017.0833333333333</v>
      </c>
      <c r="AH97">
        <f t="shared" si="33"/>
        <v>-8.3333333333333329E-2</v>
      </c>
      <c r="AJ97">
        <f t="shared" si="43"/>
        <v>0</v>
      </c>
      <c r="AL97">
        <f t="shared" si="44"/>
        <v>0</v>
      </c>
      <c r="AN97">
        <f t="shared" si="45"/>
        <v>0</v>
      </c>
      <c r="AP97">
        <f t="shared" si="46"/>
        <v>0</v>
      </c>
      <c r="AR97">
        <f t="shared" si="47"/>
        <v>0</v>
      </c>
    </row>
    <row r="98" spans="1:44">
      <c r="B98">
        <v>88721</v>
      </c>
      <c r="D98" t="s">
        <v>438</v>
      </c>
      <c r="E98">
        <v>2011</v>
      </c>
      <c r="F98">
        <v>12</v>
      </c>
      <c r="G98">
        <v>0</v>
      </c>
      <c r="I98" t="s">
        <v>78</v>
      </c>
      <c r="J98">
        <v>5</v>
      </c>
      <c r="K98">
        <f t="shared" si="26"/>
        <v>2016</v>
      </c>
      <c r="N98">
        <f>487.65*11</f>
        <v>5364.15</v>
      </c>
      <c r="P98">
        <f t="shared" si="27"/>
        <v>5364.15</v>
      </c>
      <c r="Q98">
        <f t="shared" si="28"/>
        <v>89.402499999999989</v>
      </c>
      <c r="R98">
        <f t="shared" si="34"/>
        <v>0</v>
      </c>
      <c r="S98">
        <f t="shared" si="35"/>
        <v>0</v>
      </c>
      <c r="T98">
        <f t="shared" si="36"/>
        <v>0</v>
      </c>
      <c r="U98">
        <v>1</v>
      </c>
      <c r="V98">
        <f t="shared" si="37"/>
        <v>0</v>
      </c>
      <c r="X98">
        <f t="shared" si="38"/>
        <v>5364.15</v>
      </c>
      <c r="Y98">
        <f t="shared" si="39"/>
        <v>5364.15</v>
      </c>
      <c r="Z98">
        <v>1</v>
      </c>
      <c r="AA98">
        <f t="shared" si="40"/>
        <v>5364.15</v>
      </c>
      <c r="AB98">
        <f t="shared" si="41"/>
        <v>5364.15</v>
      </c>
      <c r="AC98">
        <f t="shared" si="42"/>
        <v>0</v>
      </c>
      <c r="AD98">
        <f t="shared" si="29"/>
        <v>2011.9166666666667</v>
      </c>
      <c r="AE98">
        <f t="shared" si="30"/>
        <v>2018.0833333333333</v>
      </c>
      <c r="AF98">
        <f t="shared" si="31"/>
        <v>2016.9166666666667</v>
      </c>
      <c r="AG98">
        <f t="shared" si="32"/>
        <v>2017.0833333333333</v>
      </c>
      <c r="AH98">
        <f t="shared" si="33"/>
        <v>-8.3333333333333329E-2</v>
      </c>
      <c r="AJ98">
        <f t="shared" si="43"/>
        <v>0</v>
      </c>
      <c r="AL98">
        <f t="shared" si="44"/>
        <v>0</v>
      </c>
      <c r="AN98">
        <f t="shared" si="45"/>
        <v>0</v>
      </c>
      <c r="AP98">
        <f t="shared" si="46"/>
        <v>0</v>
      </c>
      <c r="AR98">
        <f t="shared" si="47"/>
        <v>0</v>
      </c>
    </row>
    <row r="99" spans="1:44">
      <c r="B99">
        <v>95840</v>
      </c>
      <c r="C99">
        <v>4030</v>
      </c>
      <c r="D99" t="s">
        <v>468</v>
      </c>
      <c r="E99">
        <v>2012</v>
      </c>
      <c r="F99">
        <v>7</v>
      </c>
      <c r="G99">
        <v>0</v>
      </c>
      <c r="I99" t="s">
        <v>78</v>
      </c>
      <c r="J99">
        <v>7</v>
      </c>
      <c r="K99">
        <f t="shared" si="26"/>
        <v>2019</v>
      </c>
      <c r="N99">
        <v>45311</v>
      </c>
      <c r="P99">
        <f t="shared" si="27"/>
        <v>45311</v>
      </c>
      <c r="Q99">
        <f t="shared" si="28"/>
        <v>539.41666666666663</v>
      </c>
      <c r="R99">
        <f t="shared" si="34"/>
        <v>6473</v>
      </c>
      <c r="S99">
        <f t="shared" si="35"/>
        <v>0</v>
      </c>
      <c r="T99">
        <f t="shared" si="36"/>
        <v>6473</v>
      </c>
      <c r="U99">
        <v>1</v>
      </c>
      <c r="V99">
        <f t="shared" si="37"/>
        <v>6473</v>
      </c>
      <c r="X99">
        <f t="shared" si="38"/>
        <v>29667.916666666173</v>
      </c>
      <c r="Y99">
        <f t="shared" si="39"/>
        <v>29667.916666666173</v>
      </c>
      <c r="Z99">
        <v>1</v>
      </c>
      <c r="AA99">
        <f t="shared" si="40"/>
        <v>29667.916666666173</v>
      </c>
      <c r="AB99">
        <f t="shared" si="41"/>
        <v>36140.916666666177</v>
      </c>
      <c r="AC99">
        <f t="shared" si="42"/>
        <v>12406.583333333825</v>
      </c>
      <c r="AD99">
        <f t="shared" si="29"/>
        <v>2012.5</v>
      </c>
      <c r="AE99">
        <f t="shared" si="30"/>
        <v>2018.0833333333333</v>
      </c>
      <c r="AF99">
        <f t="shared" si="31"/>
        <v>2019.5</v>
      </c>
      <c r="AG99">
        <f t="shared" si="32"/>
        <v>2017.0833333333333</v>
      </c>
      <c r="AH99">
        <f t="shared" si="33"/>
        <v>-8.3333333333333329E-2</v>
      </c>
      <c r="AJ99">
        <f t="shared" si="43"/>
        <v>0</v>
      </c>
      <c r="AL99">
        <f t="shared" si="44"/>
        <v>6473</v>
      </c>
      <c r="AN99">
        <f t="shared" si="45"/>
        <v>0</v>
      </c>
      <c r="AP99">
        <f t="shared" si="46"/>
        <v>0</v>
      </c>
      <c r="AR99">
        <f t="shared" si="47"/>
        <v>12406.583333333825</v>
      </c>
    </row>
    <row r="100" spans="1:44">
      <c r="B100">
        <v>114284</v>
      </c>
      <c r="C100">
        <v>4049</v>
      </c>
      <c r="D100" t="s">
        <v>554</v>
      </c>
      <c r="E100">
        <v>2013</v>
      </c>
      <c r="F100">
        <v>10</v>
      </c>
      <c r="G100">
        <v>0.2</v>
      </c>
      <c r="I100" t="s">
        <v>78</v>
      </c>
      <c r="J100">
        <v>7</v>
      </c>
      <c r="K100">
        <f>E100+J100</f>
        <v>2020</v>
      </c>
      <c r="N100">
        <v>8837.86</v>
      </c>
      <c r="P100">
        <f t="shared" si="27"/>
        <v>7070.2880000000005</v>
      </c>
      <c r="Q100">
        <f t="shared" si="28"/>
        <v>84.170095238095243</v>
      </c>
      <c r="R100">
        <f t="shared" si="34"/>
        <v>1010.0411428571429</v>
      </c>
      <c r="S100">
        <f t="shared" si="35"/>
        <v>0</v>
      </c>
      <c r="T100">
        <f t="shared" si="36"/>
        <v>1010.0411428571429</v>
      </c>
      <c r="U100">
        <v>1</v>
      </c>
      <c r="V100">
        <f t="shared" si="37"/>
        <v>1010.0411428571429</v>
      </c>
      <c r="X100">
        <f t="shared" si="38"/>
        <v>3366.803809523733</v>
      </c>
      <c r="Y100">
        <f t="shared" si="39"/>
        <v>3366.803809523733</v>
      </c>
      <c r="Z100">
        <v>1</v>
      </c>
      <c r="AA100">
        <f t="shared" si="40"/>
        <v>3366.803809523733</v>
      </c>
      <c r="AB100">
        <f t="shared" si="41"/>
        <v>4376.8449523808758</v>
      </c>
      <c r="AC100">
        <f t="shared" si="42"/>
        <v>4966.0356190476959</v>
      </c>
      <c r="AD100">
        <f t="shared" si="29"/>
        <v>2013.75</v>
      </c>
      <c r="AE100">
        <f t="shared" si="30"/>
        <v>2018.0833333333333</v>
      </c>
      <c r="AF100">
        <f t="shared" si="31"/>
        <v>2020.75</v>
      </c>
      <c r="AG100">
        <f t="shared" si="32"/>
        <v>2017.0833333333333</v>
      </c>
      <c r="AH100">
        <f t="shared" si="33"/>
        <v>-8.3333333333333329E-2</v>
      </c>
      <c r="AJ100">
        <f t="shared" si="43"/>
        <v>482.06509090908099</v>
      </c>
      <c r="AL100">
        <f t="shared" si="44"/>
        <v>1492.1062337662238</v>
      </c>
      <c r="AN100">
        <f t="shared" si="45"/>
        <v>0</v>
      </c>
      <c r="AP100">
        <f t="shared" si="46"/>
        <v>4725.0030735931559</v>
      </c>
      <c r="AR100">
        <f t="shared" si="47"/>
        <v>4725.0030735931559</v>
      </c>
    </row>
    <row r="101" spans="1:44">
      <c r="B101">
        <v>114286</v>
      </c>
      <c r="C101">
        <v>4062</v>
      </c>
      <c r="D101" t="s">
        <v>553</v>
      </c>
      <c r="E101">
        <v>2013</v>
      </c>
      <c r="F101">
        <v>11</v>
      </c>
      <c r="G101">
        <v>0.2</v>
      </c>
      <c r="I101" t="s">
        <v>78</v>
      </c>
      <c r="J101">
        <v>7</v>
      </c>
      <c r="K101">
        <f>E101+J101</f>
        <v>2020</v>
      </c>
      <c r="N101">
        <v>8837.86</v>
      </c>
      <c r="P101">
        <f t="shared" si="27"/>
        <v>7070.2880000000005</v>
      </c>
      <c r="Q101">
        <f t="shared" si="28"/>
        <v>84.170095238095243</v>
      </c>
      <c r="R101">
        <f t="shared" si="34"/>
        <v>1010.0411428571429</v>
      </c>
      <c r="S101">
        <f t="shared" si="35"/>
        <v>0</v>
      </c>
      <c r="T101">
        <f t="shared" si="36"/>
        <v>1010.0411428571429</v>
      </c>
      <c r="U101">
        <v>1</v>
      </c>
      <c r="V101">
        <f t="shared" si="37"/>
        <v>1010.0411428571429</v>
      </c>
      <c r="X101">
        <f t="shared" si="38"/>
        <v>3282.6337142857146</v>
      </c>
      <c r="Y101">
        <f t="shared" si="39"/>
        <v>3282.6337142857146</v>
      </c>
      <c r="Z101">
        <v>1</v>
      </c>
      <c r="AA101">
        <f t="shared" si="40"/>
        <v>3282.6337142857146</v>
      </c>
      <c r="AB101">
        <f t="shared" si="41"/>
        <v>4292.6748571428579</v>
      </c>
      <c r="AC101">
        <f t="shared" si="42"/>
        <v>5050.2057142857138</v>
      </c>
      <c r="AD101">
        <f t="shared" si="29"/>
        <v>2013.8333333333333</v>
      </c>
      <c r="AE101">
        <f t="shared" si="30"/>
        <v>2018.0833333333333</v>
      </c>
      <c r="AF101">
        <f t="shared" si="31"/>
        <v>2020.8333333333333</v>
      </c>
      <c r="AG101">
        <f t="shared" si="32"/>
        <v>2017.0833333333333</v>
      </c>
      <c r="AH101">
        <f t="shared" si="33"/>
        <v>-8.3333333333333329E-2</v>
      </c>
      <c r="AJ101">
        <f t="shared" si="43"/>
        <v>471.35253333333338</v>
      </c>
      <c r="AL101">
        <f t="shared" si="44"/>
        <v>1481.3936761904763</v>
      </c>
      <c r="AN101">
        <f t="shared" si="45"/>
        <v>0</v>
      </c>
      <c r="AP101">
        <f t="shared" si="46"/>
        <v>4814.5294476190475</v>
      </c>
      <c r="AR101">
        <f t="shared" si="47"/>
        <v>4814.5294476190475</v>
      </c>
    </row>
    <row r="102" spans="1:44">
      <c r="B102">
        <v>109182</v>
      </c>
      <c r="C102">
        <v>4046</v>
      </c>
      <c r="D102" t="s">
        <v>495</v>
      </c>
      <c r="E102">
        <v>2013</v>
      </c>
      <c r="F102">
        <v>10</v>
      </c>
      <c r="G102">
        <v>0.2</v>
      </c>
      <c r="I102" t="s">
        <v>78</v>
      </c>
      <c r="J102">
        <v>7</v>
      </c>
      <c r="K102">
        <f t="shared" si="26"/>
        <v>2020</v>
      </c>
      <c r="N102">
        <v>8837.86</v>
      </c>
      <c r="P102">
        <f t="shared" si="27"/>
        <v>7070.2880000000005</v>
      </c>
      <c r="Q102">
        <f t="shared" si="28"/>
        <v>84.170095238095243</v>
      </c>
      <c r="R102">
        <f t="shared" si="34"/>
        <v>1010.0411428571429</v>
      </c>
      <c r="S102">
        <f t="shared" si="35"/>
        <v>0</v>
      </c>
      <c r="T102">
        <f t="shared" si="36"/>
        <v>1010.0411428571429</v>
      </c>
      <c r="U102">
        <v>1</v>
      </c>
      <c r="V102">
        <f t="shared" si="37"/>
        <v>1010.0411428571429</v>
      </c>
      <c r="X102">
        <f t="shared" si="38"/>
        <v>3366.803809523733</v>
      </c>
      <c r="Y102">
        <f t="shared" si="39"/>
        <v>3366.803809523733</v>
      </c>
      <c r="Z102">
        <v>1</v>
      </c>
      <c r="AA102">
        <f t="shared" si="40"/>
        <v>3366.803809523733</v>
      </c>
      <c r="AB102">
        <f t="shared" si="41"/>
        <v>4376.8449523808758</v>
      </c>
      <c r="AC102">
        <f t="shared" si="42"/>
        <v>4966.0356190476959</v>
      </c>
      <c r="AD102">
        <f t="shared" si="29"/>
        <v>2013.75</v>
      </c>
      <c r="AE102">
        <f t="shared" si="30"/>
        <v>2018.0833333333333</v>
      </c>
      <c r="AF102">
        <f t="shared" si="31"/>
        <v>2020.75</v>
      </c>
      <c r="AG102">
        <f t="shared" si="32"/>
        <v>2017.0833333333333</v>
      </c>
      <c r="AH102">
        <f t="shared" si="33"/>
        <v>-8.3333333333333329E-2</v>
      </c>
      <c r="AJ102">
        <f t="shared" si="43"/>
        <v>482.06509090908099</v>
      </c>
      <c r="AL102">
        <f t="shared" si="44"/>
        <v>1492.1062337662238</v>
      </c>
      <c r="AN102">
        <f t="shared" si="45"/>
        <v>0</v>
      </c>
      <c r="AP102">
        <f t="shared" si="46"/>
        <v>4725.0030735931559</v>
      </c>
      <c r="AR102">
        <f t="shared" si="47"/>
        <v>4725.0030735931559</v>
      </c>
    </row>
    <row r="103" spans="1:44">
      <c r="B103">
        <v>109180</v>
      </c>
      <c r="C103">
        <v>4047</v>
      </c>
      <c r="D103" t="s">
        <v>496</v>
      </c>
      <c r="E103">
        <v>2013</v>
      </c>
      <c r="F103">
        <v>10</v>
      </c>
      <c r="G103">
        <v>0.2</v>
      </c>
      <c r="I103" t="s">
        <v>78</v>
      </c>
      <c r="J103">
        <v>7</v>
      </c>
      <c r="K103">
        <f t="shared" si="26"/>
        <v>2020</v>
      </c>
      <c r="N103">
        <v>8837.86</v>
      </c>
      <c r="P103">
        <f t="shared" si="27"/>
        <v>7070.2880000000005</v>
      </c>
      <c r="Q103">
        <f t="shared" si="28"/>
        <v>84.170095238095243</v>
      </c>
      <c r="R103">
        <f t="shared" si="34"/>
        <v>1010.0411428571429</v>
      </c>
      <c r="S103">
        <f t="shared" si="35"/>
        <v>0</v>
      </c>
      <c r="T103">
        <f t="shared" si="36"/>
        <v>1010.0411428571429</v>
      </c>
      <c r="U103">
        <v>1</v>
      </c>
      <c r="V103">
        <f t="shared" si="37"/>
        <v>1010.0411428571429</v>
      </c>
      <c r="X103">
        <f t="shared" si="38"/>
        <v>3366.803809523733</v>
      </c>
      <c r="Y103">
        <f t="shared" si="39"/>
        <v>3366.803809523733</v>
      </c>
      <c r="Z103">
        <v>1</v>
      </c>
      <c r="AA103">
        <f t="shared" si="40"/>
        <v>3366.803809523733</v>
      </c>
      <c r="AB103">
        <f t="shared" si="41"/>
        <v>4376.8449523808758</v>
      </c>
      <c r="AC103">
        <f t="shared" si="42"/>
        <v>4966.0356190476959</v>
      </c>
      <c r="AD103">
        <f t="shared" si="29"/>
        <v>2013.75</v>
      </c>
      <c r="AE103">
        <f t="shared" si="30"/>
        <v>2018.0833333333333</v>
      </c>
      <c r="AF103">
        <f t="shared" si="31"/>
        <v>2020.75</v>
      </c>
      <c r="AG103">
        <f t="shared" si="32"/>
        <v>2017.0833333333333</v>
      </c>
      <c r="AH103">
        <f t="shared" si="33"/>
        <v>-8.3333333333333329E-2</v>
      </c>
      <c r="AJ103">
        <f t="shared" si="43"/>
        <v>482.06509090908099</v>
      </c>
      <c r="AL103">
        <f t="shared" si="44"/>
        <v>1492.1062337662238</v>
      </c>
      <c r="AN103">
        <f t="shared" si="45"/>
        <v>0</v>
      </c>
      <c r="AP103">
        <f t="shared" si="46"/>
        <v>4725.0030735931559</v>
      </c>
      <c r="AR103">
        <f t="shared" si="47"/>
        <v>4725.0030735931559</v>
      </c>
    </row>
    <row r="104" spans="1:44">
      <c r="B104">
        <v>109181</v>
      </c>
      <c r="C104">
        <v>4061</v>
      </c>
      <c r="D104" t="s">
        <v>497</v>
      </c>
      <c r="E104">
        <v>2013</v>
      </c>
      <c r="F104">
        <v>10</v>
      </c>
      <c r="G104">
        <v>0.2</v>
      </c>
      <c r="I104" t="s">
        <v>78</v>
      </c>
      <c r="J104">
        <v>7</v>
      </c>
      <c r="K104">
        <f t="shared" si="26"/>
        <v>2020</v>
      </c>
      <c r="N104">
        <v>8837.86</v>
      </c>
      <c r="P104">
        <f t="shared" si="27"/>
        <v>7070.2880000000005</v>
      </c>
      <c r="Q104">
        <f t="shared" si="28"/>
        <v>84.170095238095243</v>
      </c>
      <c r="R104">
        <f t="shared" si="34"/>
        <v>1010.0411428571429</v>
      </c>
      <c r="S104">
        <f t="shared" si="35"/>
        <v>0</v>
      </c>
      <c r="T104">
        <f t="shared" si="36"/>
        <v>1010.0411428571429</v>
      </c>
      <c r="U104">
        <v>1</v>
      </c>
      <c r="V104">
        <f t="shared" si="37"/>
        <v>1010.0411428571429</v>
      </c>
      <c r="X104">
        <f t="shared" si="38"/>
        <v>3366.803809523733</v>
      </c>
      <c r="Y104">
        <f t="shared" si="39"/>
        <v>3366.803809523733</v>
      </c>
      <c r="Z104">
        <v>1</v>
      </c>
      <c r="AA104">
        <f t="shared" si="40"/>
        <v>3366.803809523733</v>
      </c>
      <c r="AB104">
        <f t="shared" si="41"/>
        <v>4376.8449523808758</v>
      </c>
      <c r="AC104">
        <f t="shared" si="42"/>
        <v>4966.0356190476959</v>
      </c>
      <c r="AD104">
        <f t="shared" si="29"/>
        <v>2013.75</v>
      </c>
      <c r="AE104">
        <f t="shared" si="30"/>
        <v>2018.0833333333333</v>
      </c>
      <c r="AF104">
        <f t="shared" si="31"/>
        <v>2020.75</v>
      </c>
      <c r="AG104">
        <f t="shared" si="32"/>
        <v>2017.0833333333333</v>
      </c>
      <c r="AH104">
        <f t="shared" si="33"/>
        <v>-8.3333333333333329E-2</v>
      </c>
      <c r="AJ104">
        <f t="shared" si="43"/>
        <v>482.06509090908099</v>
      </c>
      <c r="AL104">
        <f t="shared" si="44"/>
        <v>1492.1062337662238</v>
      </c>
      <c r="AN104">
        <f t="shared" si="45"/>
        <v>0</v>
      </c>
      <c r="AP104">
        <f t="shared" si="46"/>
        <v>4725.0030735931559</v>
      </c>
      <c r="AR104">
        <f t="shared" si="47"/>
        <v>4725.0030735931559</v>
      </c>
    </row>
    <row r="105" spans="1:44">
      <c r="B105">
        <v>108675</v>
      </c>
      <c r="C105">
        <v>4054</v>
      </c>
      <c r="D105" t="s">
        <v>499</v>
      </c>
      <c r="E105">
        <v>2013</v>
      </c>
      <c r="F105">
        <v>11</v>
      </c>
      <c r="G105">
        <v>0.2</v>
      </c>
      <c r="I105" t="s">
        <v>78</v>
      </c>
      <c r="J105">
        <v>7</v>
      </c>
      <c r="K105">
        <f t="shared" si="26"/>
        <v>2020</v>
      </c>
      <c r="N105">
        <v>8837.86</v>
      </c>
      <c r="P105">
        <f t="shared" si="27"/>
        <v>7070.2880000000005</v>
      </c>
      <c r="Q105">
        <f t="shared" si="28"/>
        <v>84.170095238095243</v>
      </c>
      <c r="R105">
        <f t="shared" si="34"/>
        <v>1010.0411428571429</v>
      </c>
      <c r="S105">
        <f t="shared" si="35"/>
        <v>0</v>
      </c>
      <c r="T105">
        <f t="shared" si="36"/>
        <v>1010.0411428571429</v>
      </c>
      <c r="U105">
        <v>1</v>
      </c>
      <c r="V105">
        <f t="shared" si="37"/>
        <v>1010.0411428571429</v>
      </c>
      <c r="X105">
        <f t="shared" si="38"/>
        <v>3282.6337142857146</v>
      </c>
      <c r="Y105">
        <f t="shared" si="39"/>
        <v>3282.6337142857146</v>
      </c>
      <c r="Z105">
        <v>1</v>
      </c>
      <c r="AA105">
        <f t="shared" si="40"/>
        <v>3282.6337142857146</v>
      </c>
      <c r="AB105">
        <f t="shared" si="41"/>
        <v>4292.6748571428579</v>
      </c>
      <c r="AC105">
        <f t="shared" si="42"/>
        <v>5050.2057142857138</v>
      </c>
      <c r="AD105">
        <f t="shared" si="29"/>
        <v>2013.8333333333333</v>
      </c>
      <c r="AE105">
        <f t="shared" si="30"/>
        <v>2018.0833333333333</v>
      </c>
      <c r="AF105">
        <f t="shared" si="31"/>
        <v>2020.8333333333333</v>
      </c>
      <c r="AG105">
        <f t="shared" si="32"/>
        <v>2017.0833333333333</v>
      </c>
      <c r="AH105">
        <f t="shared" si="33"/>
        <v>-8.3333333333333329E-2</v>
      </c>
      <c r="AJ105">
        <f t="shared" si="43"/>
        <v>471.35253333333338</v>
      </c>
      <c r="AL105">
        <f t="shared" si="44"/>
        <v>1481.3936761904763</v>
      </c>
      <c r="AN105">
        <f t="shared" si="45"/>
        <v>0</v>
      </c>
      <c r="AP105">
        <f t="shared" si="46"/>
        <v>4814.5294476190475</v>
      </c>
      <c r="AR105">
        <f t="shared" si="47"/>
        <v>4814.5294476190475</v>
      </c>
    </row>
    <row r="106" spans="1:44">
      <c r="B106">
        <v>108676</v>
      </c>
      <c r="C106">
        <v>4068</v>
      </c>
      <c r="D106" t="s">
        <v>498</v>
      </c>
      <c r="E106">
        <v>2013</v>
      </c>
      <c r="F106">
        <v>11</v>
      </c>
      <c r="G106">
        <v>0.2</v>
      </c>
      <c r="I106" t="s">
        <v>78</v>
      </c>
      <c r="J106">
        <v>7</v>
      </c>
      <c r="K106">
        <f t="shared" si="26"/>
        <v>2020</v>
      </c>
      <c r="N106">
        <v>8837.86</v>
      </c>
      <c r="P106">
        <f t="shared" si="27"/>
        <v>7070.2880000000005</v>
      </c>
      <c r="Q106">
        <f t="shared" si="28"/>
        <v>84.170095238095243</v>
      </c>
      <c r="R106">
        <f t="shared" si="34"/>
        <v>1010.0411428571429</v>
      </c>
      <c r="S106">
        <f t="shared" si="35"/>
        <v>0</v>
      </c>
      <c r="T106">
        <f t="shared" si="36"/>
        <v>1010.0411428571429</v>
      </c>
      <c r="U106">
        <v>1</v>
      </c>
      <c r="V106">
        <f t="shared" si="37"/>
        <v>1010.0411428571429</v>
      </c>
      <c r="X106">
        <f t="shared" si="38"/>
        <v>3282.6337142857146</v>
      </c>
      <c r="Y106">
        <f t="shared" si="39"/>
        <v>3282.6337142857146</v>
      </c>
      <c r="Z106">
        <v>1</v>
      </c>
      <c r="AA106">
        <f t="shared" si="40"/>
        <v>3282.6337142857146</v>
      </c>
      <c r="AB106">
        <f t="shared" si="41"/>
        <v>4292.6748571428579</v>
      </c>
      <c r="AC106">
        <f t="shared" si="42"/>
        <v>5050.2057142857138</v>
      </c>
      <c r="AD106">
        <f t="shared" si="29"/>
        <v>2013.8333333333333</v>
      </c>
      <c r="AE106">
        <f t="shared" si="30"/>
        <v>2018.0833333333333</v>
      </c>
      <c r="AF106">
        <f t="shared" si="31"/>
        <v>2020.8333333333333</v>
      </c>
      <c r="AG106">
        <f t="shared" si="32"/>
        <v>2017.0833333333333</v>
      </c>
      <c r="AH106">
        <f t="shared" si="33"/>
        <v>-8.3333333333333329E-2</v>
      </c>
      <c r="AJ106">
        <f t="shared" si="43"/>
        <v>471.35253333333338</v>
      </c>
      <c r="AL106">
        <f t="shared" si="44"/>
        <v>1481.3936761904763</v>
      </c>
      <c r="AN106">
        <f t="shared" si="45"/>
        <v>0</v>
      </c>
      <c r="AP106">
        <f t="shared" si="46"/>
        <v>4814.5294476190475</v>
      </c>
      <c r="AR106">
        <f t="shared" si="47"/>
        <v>4814.5294476190475</v>
      </c>
    </row>
    <row r="107" spans="1:44">
      <c r="B107">
        <v>117825</v>
      </c>
      <c r="C107">
        <v>4033</v>
      </c>
      <c r="D107" t="s">
        <v>531</v>
      </c>
      <c r="E107">
        <v>2014</v>
      </c>
      <c r="F107">
        <v>11</v>
      </c>
      <c r="G107">
        <v>0</v>
      </c>
      <c r="I107" t="s">
        <v>78</v>
      </c>
      <c r="J107">
        <v>3</v>
      </c>
      <c r="K107">
        <f t="shared" si="26"/>
        <v>2017</v>
      </c>
      <c r="N107">
        <v>7331.82</v>
      </c>
      <c r="P107">
        <f t="shared" si="27"/>
        <v>7331.82</v>
      </c>
      <c r="Q107">
        <f t="shared" si="28"/>
        <v>203.66166666666666</v>
      </c>
      <c r="R107">
        <f t="shared" si="34"/>
        <v>1832.9549999999999</v>
      </c>
      <c r="S107">
        <f t="shared" si="35"/>
        <v>0</v>
      </c>
      <c r="T107">
        <f t="shared" si="36"/>
        <v>1832.9549999999999</v>
      </c>
      <c r="U107">
        <v>1</v>
      </c>
      <c r="V107">
        <f t="shared" si="37"/>
        <v>1832.9549999999999</v>
      </c>
      <c r="X107">
        <f t="shared" si="38"/>
        <v>5498.8649999999998</v>
      </c>
      <c r="Y107">
        <f t="shared" si="39"/>
        <v>5498.8649999999998</v>
      </c>
      <c r="Z107">
        <v>1</v>
      </c>
      <c r="AA107">
        <f t="shared" si="40"/>
        <v>5498.8649999999998</v>
      </c>
      <c r="AB107">
        <f t="shared" si="41"/>
        <v>7331.82</v>
      </c>
      <c r="AC107">
        <f t="shared" si="42"/>
        <v>916.47749999999996</v>
      </c>
      <c r="AD107">
        <f t="shared" si="29"/>
        <v>2014.8333333333333</v>
      </c>
      <c r="AE107">
        <f t="shared" si="30"/>
        <v>2018.0833333333333</v>
      </c>
      <c r="AF107">
        <f t="shared" si="31"/>
        <v>2017.8333333333333</v>
      </c>
      <c r="AG107">
        <f t="shared" si="32"/>
        <v>2017.0833333333333</v>
      </c>
      <c r="AH107">
        <f t="shared" si="33"/>
        <v>-8.3333333333333329E-2</v>
      </c>
      <c r="AJ107">
        <f t="shared" si="43"/>
        <v>0</v>
      </c>
      <c r="AL107">
        <f t="shared" si="44"/>
        <v>1832.9549999999999</v>
      </c>
      <c r="AN107">
        <f t="shared" si="45"/>
        <v>0</v>
      </c>
      <c r="AP107">
        <f t="shared" si="46"/>
        <v>0</v>
      </c>
      <c r="AR107">
        <f t="shared" si="47"/>
        <v>916.47749999999996</v>
      </c>
    </row>
    <row r="108" spans="1:44">
      <c r="B108">
        <v>122012</v>
      </c>
      <c r="C108">
        <v>4061</v>
      </c>
      <c r="D108" t="s">
        <v>572</v>
      </c>
      <c r="E108">
        <v>2015</v>
      </c>
      <c r="F108">
        <v>2</v>
      </c>
      <c r="G108">
        <v>0</v>
      </c>
      <c r="I108" t="s">
        <v>78</v>
      </c>
      <c r="J108">
        <v>3</v>
      </c>
      <c r="K108">
        <f t="shared" si="26"/>
        <v>2018</v>
      </c>
      <c r="N108">
        <v>5574.98</v>
      </c>
      <c r="P108">
        <f t="shared" si="27"/>
        <v>5574.98</v>
      </c>
      <c r="Q108">
        <f t="shared" si="28"/>
        <v>154.86055555555555</v>
      </c>
      <c r="R108">
        <f>IF(O108&gt;0,0,IF(OR(AD108&gt;AE108,AF108&lt;AG108),0,IF(AND(AF108&gt;=AG108,AF108&lt;=AE108),Q108*((AF108-AG108)*12),IF(AND(AG108&lt;=AD108,AE108&gt;=AD108),((AE108-AD108)*12)*Q108,IF(AF108&gt;AE108,12*Q108,0)))))</f>
        <v>1858.3266666666666</v>
      </c>
      <c r="S108">
        <f>IF(O108=0,0,IF(AND(AH108&gt;=AG108,AH108&lt;=AF108),((AH108-AG108)*12)*Q108,0))</f>
        <v>0</v>
      </c>
      <c r="T108">
        <f>IF(S108&gt;0,S108,R108)</f>
        <v>1858.3266666666666</v>
      </c>
      <c r="U108">
        <v>1</v>
      </c>
      <c r="V108">
        <f>U108*SUM(R108:S108)</f>
        <v>1858.3266666666666</v>
      </c>
      <c r="X108">
        <f>IF(AD108&gt;AE108,0,IF(AF108&lt;AG108,P108,IF(AND(AF108&gt;=AG108,AF108&lt;=AE108),(P108-T108),IF(AND(AG108&lt;=AD108,AE108&gt;=AD108),0,IF(AF108&gt;AE108,((AG108-AD108)*12)*Q108,0)))))</f>
        <v>3716.6533333333327</v>
      </c>
      <c r="Y108">
        <f>X108*U108</f>
        <v>3716.6533333333327</v>
      </c>
      <c r="Z108">
        <v>1</v>
      </c>
      <c r="AA108">
        <f>Y108*Z108</f>
        <v>3716.6533333333327</v>
      </c>
      <c r="AB108">
        <f>IF(O108&gt;0,0,AA108+V108*Z108)*Z108</f>
        <v>5574.98</v>
      </c>
      <c r="AC108">
        <f>IF(O108&gt;0,(N108-AA108)/2,IF(AD108&gt;=AG108,(((N108*U108)*Z108)-AB108)/2,((((N108*U108)*Z108)-AA108)+(((N108*U108)*Z108)-AB108))/2))</f>
        <v>929.16333333333341</v>
      </c>
      <c r="AD108">
        <f t="shared" si="29"/>
        <v>2015.0833333333333</v>
      </c>
      <c r="AE108">
        <f t="shared" si="30"/>
        <v>2018.0833333333333</v>
      </c>
      <c r="AF108">
        <f t="shared" si="31"/>
        <v>2018.0833333333333</v>
      </c>
      <c r="AG108">
        <f t="shared" si="32"/>
        <v>2017.0833333333333</v>
      </c>
      <c r="AH108">
        <f t="shared" si="33"/>
        <v>-8.3333333333333329E-2</v>
      </c>
      <c r="AJ108">
        <f t="shared" si="43"/>
        <v>0</v>
      </c>
      <c r="AL108">
        <f t="shared" si="44"/>
        <v>1858.3266666666666</v>
      </c>
      <c r="AN108">
        <f t="shared" si="45"/>
        <v>0</v>
      </c>
      <c r="AP108">
        <f t="shared" si="46"/>
        <v>0</v>
      </c>
      <c r="AR108">
        <f t="shared" si="47"/>
        <v>929.16333333333341</v>
      </c>
    </row>
    <row r="109" spans="1:44">
      <c r="B109" t="s">
        <v>594</v>
      </c>
      <c r="D109" t="s">
        <v>593</v>
      </c>
      <c r="E109">
        <v>2016</v>
      </c>
      <c r="F109">
        <v>4</v>
      </c>
      <c r="G109">
        <v>0</v>
      </c>
      <c r="I109" t="s">
        <v>78</v>
      </c>
      <c r="J109">
        <v>1</v>
      </c>
      <c r="K109">
        <f t="shared" si="26"/>
        <v>2017</v>
      </c>
      <c r="N109">
        <f>((14612.94+16641.82+675)/75)*2</f>
        <v>851.46026666666671</v>
      </c>
      <c r="P109">
        <f t="shared" si="27"/>
        <v>851.46026666666671</v>
      </c>
      <c r="Q109">
        <f t="shared" si="28"/>
        <v>70.955022222222226</v>
      </c>
      <c r="R109">
        <f>IF(O109&gt;0,0,IF(OR(AD109&gt;AE109,AF109&lt;AG109),0,IF(AND(AF109&gt;=AG109,AF109&lt;=AE109),Q109*((AF109-AG109)*12),IF(AND(AG109&lt;=AD109,AE109&gt;=AD109),((AE109-AD109)*12)*Q109,IF(AF109&gt;AE109,12*Q109,0)))))</f>
        <v>141.910044444509</v>
      </c>
      <c r="S109">
        <f>IF(O109=0,0,IF(AND(AH109&gt;=AG109,AH109&lt;=AF109),((AH109-AG109)*12)*Q109,0))</f>
        <v>0</v>
      </c>
      <c r="T109">
        <f>IF(S109&gt;0,S109,R109)</f>
        <v>141.910044444509</v>
      </c>
      <c r="U109">
        <v>1</v>
      </c>
      <c r="V109">
        <f>U109*SUM(R109:S109)</f>
        <v>141.910044444509</v>
      </c>
      <c r="X109">
        <f>IF(AD109&gt;AE109,0,IF(AF109&lt;AG109,P109,IF(AND(AF109&gt;=AG109,AF109&lt;=AE109),(P109-T109),IF(AND(AG109&lt;=AD109,AE109&gt;=AD109),0,IF(AF109&gt;AE109,((AG109-AD109)*12)*Q109,0)))))</f>
        <v>709.55022222215769</v>
      </c>
      <c r="Y109">
        <f>X109*U109</f>
        <v>709.55022222215769</v>
      </c>
      <c r="Z109">
        <v>1</v>
      </c>
      <c r="AA109">
        <f>Y109*Z109</f>
        <v>709.55022222215769</v>
      </c>
      <c r="AB109">
        <f>IF(O109&gt;0,0,AA109+V109*Z109)*Z109</f>
        <v>851.46026666666671</v>
      </c>
      <c r="AC109">
        <f>IF(O109&gt;0,(N109-AA109)/2,IF(AD109&gt;=AG109,(((N109*U109)*Z109)-AB109)/2,((((N109*U109)*Z109)-AA109)+(((N109*U109)*Z109)-AB109))/2))</f>
        <v>70.955022222254513</v>
      </c>
      <c r="AD109">
        <f t="shared" si="29"/>
        <v>2016.25</v>
      </c>
      <c r="AE109">
        <f t="shared" si="30"/>
        <v>2018.0833333333333</v>
      </c>
      <c r="AF109">
        <f t="shared" si="31"/>
        <v>2017.25</v>
      </c>
      <c r="AG109">
        <f t="shared" si="32"/>
        <v>2017.0833333333333</v>
      </c>
      <c r="AH109">
        <f t="shared" si="33"/>
        <v>-8.3333333333333329E-2</v>
      </c>
      <c r="AJ109">
        <f t="shared" si="43"/>
        <v>0</v>
      </c>
      <c r="AL109">
        <f t="shared" si="44"/>
        <v>141.910044444509</v>
      </c>
      <c r="AN109">
        <f t="shared" si="45"/>
        <v>0</v>
      </c>
      <c r="AP109">
        <f t="shared" si="46"/>
        <v>0</v>
      </c>
      <c r="AR109">
        <f t="shared" si="47"/>
        <v>70.955022222254513</v>
      </c>
    </row>
    <row r="110" spans="1:44">
      <c r="B110">
        <v>169041</v>
      </c>
      <c r="C110">
        <v>4076</v>
      </c>
      <c r="D110" t="s">
        <v>598</v>
      </c>
      <c r="E110">
        <v>2016</v>
      </c>
      <c r="F110">
        <v>10</v>
      </c>
      <c r="G110">
        <v>0</v>
      </c>
      <c r="I110" t="s">
        <v>78</v>
      </c>
      <c r="J110">
        <v>10</v>
      </c>
      <c r="K110">
        <f>E110+J110</f>
        <v>2026</v>
      </c>
      <c r="N110">
        <v>231607.35</v>
      </c>
      <c r="P110">
        <f t="shared" si="27"/>
        <v>231607.35</v>
      </c>
      <c r="Q110">
        <f t="shared" si="28"/>
        <v>1930.06125</v>
      </c>
      <c r="R110">
        <f>IF(O110&gt;0,0,IF(OR(AD110&gt;AE110,AF110&lt;AG110),0,IF(AND(AF110&gt;=AG110,AF110&lt;=AE110),Q110*((AF110-AG110)*12),IF(AND(AG110&lt;=AD110,AE110&gt;=AD110),((AE110-AD110)*12)*Q110,IF(AF110&gt;AE110,12*Q110,0)))))</f>
        <v>23160.735000000001</v>
      </c>
      <c r="S110">
        <f>IF(O110=0,0,IF(AND(AH110&gt;=AG110,AH110&lt;=AF110),((AH110-AG110)*12)*Q110,0))</f>
        <v>0</v>
      </c>
      <c r="T110">
        <f>IF(S110&gt;0,S110,R110)</f>
        <v>23160.735000000001</v>
      </c>
      <c r="U110">
        <v>1</v>
      </c>
      <c r="V110">
        <f>U110*SUM(R110:S110)</f>
        <v>23160.735000000001</v>
      </c>
      <c r="X110">
        <f>IF(AD110&gt;AE110,0,IF(AF110&lt;AG110,P110,IF(AND(AF110&gt;=AG110,AF110&lt;=AE110),(P110-T110),IF(AND(AG110&lt;=AD110,AE110&gt;=AD110),0,IF(AF110&gt;AE110,((AG110-AD110)*12)*Q110,0)))))</f>
        <v>7720.2449999982446</v>
      </c>
      <c r="Y110">
        <f>X110*U110</f>
        <v>7720.2449999982446</v>
      </c>
      <c r="Z110">
        <v>1</v>
      </c>
      <c r="AA110">
        <f>Y110*Z110</f>
        <v>7720.2449999982446</v>
      </c>
      <c r="AB110">
        <f>IF(O110&gt;0,0,AA110+V110*Z110)*Z110</f>
        <v>30880.979999998246</v>
      </c>
      <c r="AC110">
        <f>IF(O110&gt;0,(N110-AA110)/2,IF(AD110&gt;=AG110,(((N110*U110)*Z110)-AB110)/2,((((N110*U110)*Z110)-AA110)+(((N110*U110)*Z110)-AB110))/2))</f>
        <v>212306.73750000176</v>
      </c>
      <c r="AD110">
        <f t="shared" si="29"/>
        <v>2016.75</v>
      </c>
      <c r="AE110">
        <f t="shared" si="30"/>
        <v>2018.0833333333333</v>
      </c>
      <c r="AF110">
        <f t="shared" si="31"/>
        <v>2026.75</v>
      </c>
      <c r="AG110">
        <f t="shared" si="32"/>
        <v>2017.0833333333333</v>
      </c>
      <c r="AH110">
        <f t="shared" si="33"/>
        <v>-8.3333333333333329E-2</v>
      </c>
      <c r="AJ110">
        <f t="shared" si="43"/>
        <v>0</v>
      </c>
      <c r="AL110">
        <f t="shared" si="44"/>
        <v>23160.735000000001</v>
      </c>
      <c r="AN110">
        <f t="shared" si="45"/>
        <v>0</v>
      </c>
      <c r="AP110">
        <f t="shared" si="46"/>
        <v>0</v>
      </c>
      <c r="AR110">
        <f t="shared" si="47"/>
        <v>212306.73750000176</v>
      </c>
    </row>
    <row r="111" spans="1:44">
      <c r="B111" t="s">
        <v>630</v>
      </c>
      <c r="D111" t="s">
        <v>632</v>
      </c>
      <c r="E111">
        <v>2017</v>
      </c>
      <c r="F111">
        <v>9</v>
      </c>
      <c r="G111">
        <v>0</v>
      </c>
      <c r="I111" t="s">
        <v>78</v>
      </c>
      <c r="J111">
        <v>3</v>
      </c>
      <c r="K111">
        <f>E111+J111</f>
        <v>2020</v>
      </c>
      <c r="N111">
        <v>59424.88</v>
      </c>
      <c r="P111">
        <f t="shared" si="27"/>
        <v>59424.88</v>
      </c>
      <c r="Q111">
        <f t="shared" si="28"/>
        <v>1650.691111111111</v>
      </c>
      <c r="R111">
        <f>IF(O111&gt;0,0,IF(OR(AD111&gt;AE111,AF111&lt;AG111),0,IF(AND(AF111&gt;=AG111,AF111&lt;=AE111),Q111*((AF111-AG111)*12),IF(AND(AG111&lt;=AD111,AE111&gt;=AD111),((AE111-AD111)*12)*Q111,IF(AF111&gt;AE111,12*Q111,0)))))</f>
        <v>8253.4555555525531</v>
      </c>
      <c r="S111">
        <f>IF(O111=0,0,IF(AND(AH111&gt;=AG111,AH111&lt;=AF111),((AH111-AG111)*12)*Q111,0))</f>
        <v>0</v>
      </c>
      <c r="T111">
        <f>IF(S111&gt;0,S111,R111)</f>
        <v>8253.4555555525531</v>
      </c>
      <c r="U111">
        <v>1</v>
      </c>
      <c r="V111">
        <f>U111*SUM(R111:S111)</f>
        <v>8253.4555555525531</v>
      </c>
      <c r="X111">
        <f>IF(AD111&gt;AE111,0,IF(AF111&lt;AG111,P111,IF(AND(AF111&gt;=AG111,AF111&lt;=AE111),(P111-T111),IF(AND(AG111&lt;=AD111,AE111&gt;=AD111),0,IF(AF111&gt;AE111,((AG111-AD111)*12)*Q111,0)))))</f>
        <v>0</v>
      </c>
      <c r="Y111">
        <f>X111*U111</f>
        <v>0</v>
      </c>
      <c r="Z111">
        <v>1</v>
      </c>
      <c r="AA111">
        <f>Y111*Z111</f>
        <v>0</v>
      </c>
      <c r="AB111">
        <f>IF(O111&gt;0,0,AA111+V111*Z111)*Z111</f>
        <v>8253.4555555525531</v>
      </c>
      <c r="AC111">
        <f>IF(O111&gt;0,(N111-AA111)/2,IF(AD111&gt;=AG111,(((N111*U111)*Z111)-AB111)/2,((((N111*U111)*Z111)-AA111)+(((N111*U111)*Z111)-AB111))/2))</f>
        <v>25585.712222223723</v>
      </c>
      <c r="AD111">
        <f t="shared" si="29"/>
        <v>2017.6666666666667</v>
      </c>
      <c r="AE111">
        <f t="shared" si="30"/>
        <v>2018.0833333333333</v>
      </c>
      <c r="AF111">
        <f t="shared" si="31"/>
        <v>2020.6666666666667</v>
      </c>
      <c r="AG111">
        <f t="shared" si="32"/>
        <v>2017.0833333333333</v>
      </c>
      <c r="AH111">
        <f t="shared" si="33"/>
        <v>-8.3333333333333329E-2</v>
      </c>
      <c r="AJ111">
        <f t="shared" si="43"/>
        <v>0</v>
      </c>
      <c r="AL111">
        <f t="shared" si="44"/>
        <v>8253.4555555525531</v>
      </c>
      <c r="AN111">
        <f t="shared" si="45"/>
        <v>0</v>
      </c>
      <c r="AP111">
        <f t="shared" si="46"/>
        <v>0</v>
      </c>
      <c r="AR111">
        <f t="shared" si="47"/>
        <v>25585.712222223723</v>
      </c>
    </row>
    <row r="112" spans="1:44">
      <c r="B112" t="s">
        <v>631</v>
      </c>
      <c r="D112" t="s">
        <v>632</v>
      </c>
      <c r="E112">
        <v>2017</v>
      </c>
      <c r="F112">
        <v>9</v>
      </c>
      <c r="G112">
        <v>0</v>
      </c>
      <c r="I112" t="s">
        <v>78</v>
      </c>
      <c r="J112">
        <v>3</v>
      </c>
      <c r="K112">
        <f>E112+J112</f>
        <v>2020</v>
      </c>
      <c r="N112">
        <v>59424.88</v>
      </c>
      <c r="P112">
        <f t="shared" si="27"/>
        <v>59424.88</v>
      </c>
      <c r="Q112">
        <f t="shared" si="28"/>
        <v>1650.691111111111</v>
      </c>
      <c r="R112">
        <f>IF(O112&gt;0,0,IF(OR(AD112&gt;AE112,AF112&lt;AG112),0,IF(AND(AF112&gt;=AG112,AF112&lt;=AE112),Q112*((AF112-AG112)*12),IF(AND(AG112&lt;=AD112,AE112&gt;=AD112),((AE112-AD112)*12)*Q112,IF(AF112&gt;AE112,12*Q112,0)))))</f>
        <v>8253.4555555525531</v>
      </c>
      <c r="S112">
        <f>IF(O112=0,0,IF(AND(AH112&gt;=AG112,AH112&lt;=AF112),((AH112-AG112)*12)*Q112,0))</f>
        <v>0</v>
      </c>
      <c r="T112">
        <f>IF(S112&gt;0,S112,R112)</f>
        <v>8253.4555555525531</v>
      </c>
      <c r="U112">
        <v>1</v>
      </c>
      <c r="V112">
        <f>U112*SUM(R112:S112)</f>
        <v>8253.4555555525531</v>
      </c>
      <c r="X112">
        <f>IF(AD112&gt;AE112,0,IF(AF112&lt;AG112,P112,IF(AND(AF112&gt;=AG112,AF112&lt;=AE112),(P112-T112),IF(AND(AG112&lt;=AD112,AE112&gt;=AD112),0,IF(AF112&gt;AE112,((AG112-AD112)*12)*Q112,0)))))</f>
        <v>0</v>
      </c>
      <c r="Y112">
        <f>X112*U112</f>
        <v>0</v>
      </c>
      <c r="Z112">
        <v>1</v>
      </c>
      <c r="AA112">
        <f>Y112*Z112</f>
        <v>0</v>
      </c>
      <c r="AB112">
        <f>IF(O112&gt;0,0,AA112+V112*Z112)*Z112</f>
        <v>8253.4555555525531</v>
      </c>
      <c r="AC112">
        <f>IF(O112&gt;0,(N112-AA112)/2,IF(AD112&gt;=AG112,(((N112*U112)*Z112)-AB112)/2,((((N112*U112)*Z112)-AA112)+(((N112*U112)*Z112)-AB112))/2))</f>
        <v>25585.712222223723</v>
      </c>
      <c r="AD112">
        <f t="shared" si="29"/>
        <v>2017.6666666666667</v>
      </c>
      <c r="AE112">
        <f t="shared" si="30"/>
        <v>2018.0833333333333</v>
      </c>
      <c r="AF112">
        <f t="shared" si="31"/>
        <v>2020.6666666666667</v>
      </c>
      <c r="AG112">
        <f t="shared" si="32"/>
        <v>2017.0833333333333</v>
      </c>
      <c r="AH112">
        <f t="shared" si="33"/>
        <v>-8.3333333333333329E-2</v>
      </c>
      <c r="AJ112">
        <f t="shared" si="43"/>
        <v>0</v>
      </c>
      <c r="AL112">
        <f t="shared" si="44"/>
        <v>8253.4555555525531</v>
      </c>
      <c r="AN112">
        <f t="shared" si="45"/>
        <v>0</v>
      </c>
      <c r="AP112">
        <f t="shared" si="46"/>
        <v>0</v>
      </c>
      <c r="AR112">
        <f t="shared" si="47"/>
        <v>25585.712222223723</v>
      </c>
    </row>
    <row r="114" spans="1:44">
      <c r="C114">
        <v>11</v>
      </c>
      <c r="D114" t="s">
        <v>146</v>
      </c>
      <c r="N114">
        <f>SUM(N82:N113)</f>
        <v>1891696.0202666672</v>
      </c>
      <c r="P114">
        <f>SUM(P82:P113)</f>
        <v>1599639.8142666661</v>
      </c>
      <c r="Q114">
        <f>SUM(Q82:Q113)</f>
        <v>20656.191319841273</v>
      </c>
      <c r="R114">
        <f>SUM(R82:R113)</f>
        <v>57044.125822216272</v>
      </c>
      <c r="V114">
        <f>SUM(V82:V113)</f>
        <v>57044.125822216272</v>
      </c>
      <c r="AA114">
        <f>SUM(AA82:AA113)</f>
        <v>1211249.7746031722</v>
      </c>
      <c r="AB114">
        <f>SUM(AB82:AB113)</f>
        <v>1268293.9004253889</v>
      </c>
      <c r="AC114">
        <f>SUM(AC82:AC113)</f>
        <v>592499.30275238666</v>
      </c>
      <c r="AJ114">
        <f t="shared" ref="AJ114:AR114" si="48">SUM(AJ82:AJ113)</f>
        <v>96570.051963636317</v>
      </c>
      <c r="AL114">
        <f t="shared" si="48"/>
        <v>153614.17778585263</v>
      </c>
      <c r="AN114">
        <f t="shared" si="48"/>
        <v>-279683.20199999999</v>
      </c>
      <c r="AP114">
        <f t="shared" si="48"/>
        <v>33343.600637229763</v>
      </c>
      <c r="AR114">
        <f t="shared" si="48"/>
        <v>311144.94177056837</v>
      </c>
    </row>
    <row r="117" spans="1:44">
      <c r="D117" t="s">
        <v>386</v>
      </c>
    </row>
    <row r="119" spans="1:44">
      <c r="A119" t="s">
        <v>290</v>
      </c>
      <c r="C119">
        <v>5036</v>
      </c>
      <c r="D119" t="s">
        <v>451</v>
      </c>
      <c r="E119">
        <v>1998</v>
      </c>
      <c r="F119">
        <v>1</v>
      </c>
      <c r="G119">
        <v>0.2</v>
      </c>
      <c r="I119" t="s">
        <v>78</v>
      </c>
      <c r="J119">
        <v>7</v>
      </c>
      <c r="K119">
        <f t="shared" ref="K119:K143" si="49">E119+J119</f>
        <v>2005</v>
      </c>
      <c r="N119">
        <v>43902</v>
      </c>
      <c r="P119">
        <f t="shared" ref="P119:P143" si="50">N119-N119*G119</f>
        <v>35121.599999999999</v>
      </c>
      <c r="Q119">
        <f t="shared" ref="Q119:Q143" si="51">P119/J119/12</f>
        <v>418.1142857142857</v>
      </c>
      <c r="R119">
        <f t="shared" ref="R119:R143" si="52">IF(O119&gt;0,0,IF(OR(AD119&gt;AE119,AF119&lt;AG119),0,IF(AND(AF119&gt;=AG119,AF119&lt;=AE119),Q119*((AF119-AG119)*12),IF(AND(AG119&lt;=AD119,AE119&gt;=AD119),((AE119-AD119)*12)*Q119,IF(AF119&gt;AE119,12*Q119,0)))))</f>
        <v>0</v>
      </c>
      <c r="S119">
        <f t="shared" ref="S119:S143" si="53">IF(O119=0,0,IF(AND(AH119&gt;=AG119,AH119&lt;=AF119),((AH119-AG119)*12)*Q119,0))</f>
        <v>0</v>
      </c>
      <c r="T119">
        <f t="shared" ref="T119:T143" si="54">IF(S119&gt;0,S119,R119)</f>
        <v>0</v>
      </c>
      <c r="U119">
        <v>1</v>
      </c>
      <c r="V119">
        <f t="shared" ref="V119:V143" si="55">U119*SUM(R119:S119)</f>
        <v>0</v>
      </c>
      <c r="X119">
        <f t="shared" ref="X119:X143" si="56">IF(AD119&gt;AE119,0,IF(AF119&lt;AG119,P119,IF(AND(AF119&gt;=AG119,AF119&lt;=AE119),(P119-T119),IF(AND(AG119&lt;=AD119,AE119&gt;=AD119),0,IF(AF119&gt;AE119,((AG119-AD119)*12)*Q119,0)))))</f>
        <v>35121.599999999999</v>
      </c>
      <c r="Y119">
        <f t="shared" ref="Y119:Y143" si="57">X119*U119</f>
        <v>35121.599999999999</v>
      </c>
      <c r="Z119">
        <v>1</v>
      </c>
      <c r="AA119">
        <f t="shared" ref="AA119:AA143" si="58">Y119*Z119</f>
        <v>35121.599999999999</v>
      </c>
      <c r="AB119">
        <f t="shared" ref="AB119:AB143" si="59">IF(O119&gt;0,0,AA119+V119*Z119)*Z119</f>
        <v>35121.599999999999</v>
      </c>
      <c r="AC119">
        <f t="shared" ref="AC119:AC143" si="60">IF(O119&gt;0,(N119-AA119)/2,IF(AD119&gt;=AG119,(((N119*U119)*Z119)-AB119)/2,((((N119*U119)*Z119)-AA119)+(((N119*U119)*Z119)-AB119))/2))</f>
        <v>8780.4000000000015</v>
      </c>
      <c r="AD119">
        <f t="shared" ref="AD119:AD143" si="61">$E119+(($F119-1)/12)</f>
        <v>1998</v>
      </c>
      <c r="AE119">
        <f t="shared" ref="AE119:AE143" si="62">($P$5+1)-($P$2/12)</f>
        <v>2018.0833333333333</v>
      </c>
      <c r="AF119">
        <f t="shared" ref="AF119:AF143" si="63">$K119+(($F119-1)/12)</f>
        <v>2005</v>
      </c>
      <c r="AG119">
        <f t="shared" ref="AG119:AG143" si="64">$P$4+($P$3/12)</f>
        <v>2017.0833333333333</v>
      </c>
      <c r="AH119">
        <f t="shared" ref="AH119:AH143" si="65">$L119+(($M119-1)/12)</f>
        <v>-8.3333333333333329E-2</v>
      </c>
      <c r="AJ119">
        <f>+IF((AF119-AG119)&gt;3,((N119-P119)/(AF119-AG119)),(N119-P119)/3)</f>
        <v>2926.8000000000006</v>
      </c>
      <c r="AL119">
        <f>+AJ119+V119</f>
        <v>2926.8000000000006</v>
      </c>
      <c r="AN119">
        <f>+IF(AF119&lt;AG119,-AC119,0)</f>
        <v>-8780.4000000000015</v>
      </c>
      <c r="AP119">
        <f>IF(AF119&gt;AG119,IF(AJ119&gt;0,IF(O119&gt;0,(N119-AA119)/2,IF(AD119&gt;=AG119,(((N119*U119)*Z119)-(AB119+AJ119))/2,((((N119*U119)*Z119)-AA119)+(((N119*U119)*Z119)-(AB119+AJ119)))/2)),0),0)</f>
        <v>0</v>
      </c>
      <c r="AR119">
        <f>+AC119+AN119+(IF(AP119&gt;0,(AP119-AC119),0))</f>
        <v>0</v>
      </c>
    </row>
    <row r="120" spans="1:44">
      <c r="A120" t="s">
        <v>290</v>
      </c>
      <c r="C120">
        <v>5035</v>
      </c>
      <c r="D120" t="s">
        <v>458</v>
      </c>
      <c r="E120">
        <v>1998</v>
      </c>
      <c r="F120">
        <v>12</v>
      </c>
      <c r="G120">
        <v>0.2</v>
      </c>
      <c r="I120" t="s">
        <v>78</v>
      </c>
      <c r="J120">
        <v>7</v>
      </c>
      <c r="K120">
        <f t="shared" si="49"/>
        <v>2005</v>
      </c>
      <c r="N120">
        <v>43902</v>
      </c>
      <c r="P120">
        <f t="shared" si="50"/>
        <v>35121.599999999999</v>
      </c>
      <c r="Q120">
        <f t="shared" si="51"/>
        <v>418.1142857142857</v>
      </c>
      <c r="R120">
        <f t="shared" si="52"/>
        <v>0</v>
      </c>
      <c r="S120">
        <f t="shared" si="53"/>
        <v>0</v>
      </c>
      <c r="T120">
        <f t="shared" si="54"/>
        <v>0</v>
      </c>
      <c r="U120">
        <v>1</v>
      </c>
      <c r="V120">
        <f t="shared" si="55"/>
        <v>0</v>
      </c>
      <c r="X120">
        <f t="shared" si="56"/>
        <v>35121.599999999999</v>
      </c>
      <c r="Y120">
        <f t="shared" si="57"/>
        <v>35121.599999999999</v>
      </c>
      <c r="Z120">
        <v>1</v>
      </c>
      <c r="AA120">
        <f t="shared" si="58"/>
        <v>35121.599999999999</v>
      </c>
      <c r="AB120">
        <f t="shared" si="59"/>
        <v>35121.599999999999</v>
      </c>
      <c r="AC120">
        <f t="shared" si="60"/>
        <v>8780.4000000000015</v>
      </c>
      <c r="AD120">
        <f t="shared" si="61"/>
        <v>1998.9166666666667</v>
      </c>
      <c r="AE120">
        <f t="shared" si="62"/>
        <v>2018.0833333333333</v>
      </c>
      <c r="AF120">
        <f t="shared" si="63"/>
        <v>2005.9166666666667</v>
      </c>
      <c r="AG120">
        <f t="shared" si="64"/>
        <v>2017.0833333333333</v>
      </c>
      <c r="AH120">
        <f t="shared" si="65"/>
        <v>-8.3333333333333329E-2</v>
      </c>
      <c r="AJ120">
        <f t="shared" ref="AJ120:AJ143" si="66">+IF((AF120-AG120)&gt;3,((N120-P120)/(AF120-AG120)),(N120-P120)/3)</f>
        <v>2926.8000000000006</v>
      </c>
      <c r="AL120">
        <f t="shared" ref="AL120:AL143" si="67">+AJ120+V120</f>
        <v>2926.8000000000006</v>
      </c>
      <c r="AN120">
        <f t="shared" ref="AN120:AN143" si="68">+IF(AF120&lt;AG120,-AC120,0)</f>
        <v>-8780.4000000000015</v>
      </c>
      <c r="AP120">
        <f t="shared" ref="AP120:AP143" si="69">IF(AF120&gt;AG120,IF(AJ120&gt;0,IF(O120&gt;0,(N120-AA120)/2,IF(AD120&gt;=AG120,(((N120*U120)*Z120)-(AB120+AJ120))/2,((((N120*U120)*Z120)-AA120)+(((N120*U120)*Z120)-(AB120+AJ120)))/2)),0),0)</f>
        <v>0</v>
      </c>
      <c r="AR120">
        <f t="shared" ref="AR120:AR143" si="70">+AC120+AN120+(IF(AP120&gt;0,(AP120-AC120),0))</f>
        <v>0</v>
      </c>
    </row>
    <row r="121" spans="1:44">
      <c r="A121" t="s">
        <v>290</v>
      </c>
      <c r="C121">
        <v>5035</v>
      </c>
      <c r="D121" t="s">
        <v>305</v>
      </c>
      <c r="E121">
        <v>1999</v>
      </c>
      <c r="F121">
        <v>8</v>
      </c>
      <c r="G121">
        <v>0.2</v>
      </c>
      <c r="I121" t="s">
        <v>78</v>
      </c>
      <c r="J121">
        <v>7</v>
      </c>
      <c r="K121">
        <f t="shared" si="49"/>
        <v>2006</v>
      </c>
      <c r="N121">
        <v>21720</v>
      </c>
      <c r="P121">
        <f t="shared" si="50"/>
        <v>17376</v>
      </c>
      <c r="Q121">
        <f t="shared" si="51"/>
        <v>206.85714285714286</v>
      </c>
      <c r="R121">
        <f t="shared" si="52"/>
        <v>0</v>
      </c>
      <c r="S121">
        <f t="shared" si="53"/>
        <v>0</v>
      </c>
      <c r="T121">
        <f t="shared" si="54"/>
        <v>0</v>
      </c>
      <c r="U121">
        <v>1</v>
      </c>
      <c r="V121">
        <f t="shared" si="55"/>
        <v>0</v>
      </c>
      <c r="X121">
        <f t="shared" si="56"/>
        <v>17376</v>
      </c>
      <c r="Y121">
        <f t="shared" si="57"/>
        <v>17376</v>
      </c>
      <c r="Z121">
        <v>1</v>
      </c>
      <c r="AA121">
        <f t="shared" si="58"/>
        <v>17376</v>
      </c>
      <c r="AB121">
        <f t="shared" si="59"/>
        <v>17376</v>
      </c>
      <c r="AC121">
        <f t="shared" si="60"/>
        <v>4344</v>
      </c>
      <c r="AD121">
        <f t="shared" si="61"/>
        <v>1999.5833333333333</v>
      </c>
      <c r="AE121">
        <f t="shared" si="62"/>
        <v>2018.0833333333333</v>
      </c>
      <c r="AF121">
        <f t="shared" si="63"/>
        <v>2006.5833333333333</v>
      </c>
      <c r="AG121">
        <f t="shared" si="64"/>
        <v>2017.0833333333333</v>
      </c>
      <c r="AH121">
        <f t="shared" si="65"/>
        <v>-8.3333333333333329E-2</v>
      </c>
      <c r="AJ121">
        <f t="shared" si="66"/>
        <v>1448</v>
      </c>
      <c r="AL121">
        <f t="shared" si="67"/>
        <v>1448</v>
      </c>
      <c r="AN121">
        <f t="shared" si="68"/>
        <v>-4344</v>
      </c>
      <c r="AP121">
        <f t="shared" si="69"/>
        <v>0</v>
      </c>
      <c r="AR121">
        <f t="shared" si="70"/>
        <v>0</v>
      </c>
    </row>
    <row r="122" spans="1:44">
      <c r="A122" t="s">
        <v>290</v>
      </c>
      <c r="C122">
        <v>5036</v>
      </c>
      <c r="D122" t="s">
        <v>452</v>
      </c>
      <c r="E122">
        <v>1999</v>
      </c>
      <c r="F122">
        <v>10</v>
      </c>
      <c r="G122">
        <v>0.2</v>
      </c>
      <c r="I122" t="s">
        <v>78</v>
      </c>
      <c r="J122">
        <v>7</v>
      </c>
      <c r="K122">
        <f t="shared" si="49"/>
        <v>2006</v>
      </c>
      <c r="N122">
        <v>21680</v>
      </c>
      <c r="P122">
        <f t="shared" si="50"/>
        <v>17344</v>
      </c>
      <c r="Q122">
        <f t="shared" si="51"/>
        <v>206.47619047619048</v>
      </c>
      <c r="R122">
        <f t="shared" si="52"/>
        <v>0</v>
      </c>
      <c r="S122">
        <f t="shared" si="53"/>
        <v>0</v>
      </c>
      <c r="T122">
        <f t="shared" si="54"/>
        <v>0</v>
      </c>
      <c r="U122">
        <v>1</v>
      </c>
      <c r="V122">
        <f t="shared" si="55"/>
        <v>0</v>
      </c>
      <c r="X122">
        <f t="shared" si="56"/>
        <v>17344</v>
      </c>
      <c r="Y122">
        <f t="shared" si="57"/>
        <v>17344</v>
      </c>
      <c r="Z122">
        <v>1</v>
      </c>
      <c r="AA122">
        <f t="shared" si="58"/>
        <v>17344</v>
      </c>
      <c r="AB122">
        <f t="shared" si="59"/>
        <v>17344</v>
      </c>
      <c r="AC122">
        <f t="shared" si="60"/>
        <v>4336</v>
      </c>
      <c r="AD122">
        <f t="shared" si="61"/>
        <v>1999.75</v>
      </c>
      <c r="AE122">
        <f t="shared" si="62"/>
        <v>2018.0833333333333</v>
      </c>
      <c r="AF122">
        <f t="shared" si="63"/>
        <v>2006.75</v>
      </c>
      <c r="AG122">
        <f t="shared" si="64"/>
        <v>2017.0833333333333</v>
      </c>
      <c r="AH122">
        <f t="shared" si="65"/>
        <v>-8.3333333333333329E-2</v>
      </c>
      <c r="AJ122">
        <f t="shared" si="66"/>
        <v>1445.3333333333333</v>
      </c>
      <c r="AL122">
        <f t="shared" si="67"/>
        <v>1445.3333333333333</v>
      </c>
      <c r="AN122">
        <f t="shared" si="68"/>
        <v>-4336</v>
      </c>
      <c r="AP122">
        <f t="shared" si="69"/>
        <v>0</v>
      </c>
      <c r="AR122">
        <f t="shared" si="70"/>
        <v>0</v>
      </c>
    </row>
    <row r="123" spans="1:44">
      <c r="A123" t="s">
        <v>288</v>
      </c>
      <c r="C123">
        <v>5041</v>
      </c>
      <c r="D123" t="s">
        <v>333</v>
      </c>
      <c r="E123">
        <v>2001</v>
      </c>
      <c r="F123">
        <v>11</v>
      </c>
      <c r="G123">
        <v>0.2</v>
      </c>
      <c r="I123" t="s">
        <v>78</v>
      </c>
      <c r="J123">
        <v>7</v>
      </c>
      <c r="K123">
        <f t="shared" si="49"/>
        <v>2008</v>
      </c>
      <c r="N123">
        <v>63164.77</v>
      </c>
      <c r="P123">
        <f t="shared" si="50"/>
        <v>50531.815999999999</v>
      </c>
      <c r="Q123">
        <f t="shared" si="51"/>
        <v>601.56923809523812</v>
      </c>
      <c r="R123">
        <f t="shared" si="52"/>
        <v>0</v>
      </c>
      <c r="S123">
        <f t="shared" si="53"/>
        <v>0</v>
      </c>
      <c r="T123">
        <f t="shared" si="54"/>
        <v>0</v>
      </c>
      <c r="U123">
        <v>1</v>
      </c>
      <c r="V123">
        <f t="shared" si="55"/>
        <v>0</v>
      </c>
      <c r="X123">
        <f t="shared" si="56"/>
        <v>50531.815999999999</v>
      </c>
      <c r="Y123">
        <f t="shared" si="57"/>
        <v>50531.815999999999</v>
      </c>
      <c r="Z123">
        <v>1</v>
      </c>
      <c r="AA123">
        <f t="shared" si="58"/>
        <v>50531.815999999999</v>
      </c>
      <c r="AB123">
        <f t="shared" si="59"/>
        <v>50531.815999999999</v>
      </c>
      <c r="AC123">
        <f t="shared" si="60"/>
        <v>12632.953999999998</v>
      </c>
      <c r="AD123">
        <f t="shared" si="61"/>
        <v>2001.8333333333333</v>
      </c>
      <c r="AE123">
        <f t="shared" si="62"/>
        <v>2018.0833333333333</v>
      </c>
      <c r="AF123">
        <f t="shared" si="63"/>
        <v>2008.8333333333333</v>
      </c>
      <c r="AG123">
        <f t="shared" si="64"/>
        <v>2017.0833333333333</v>
      </c>
      <c r="AH123">
        <f t="shared" si="65"/>
        <v>-8.3333333333333329E-2</v>
      </c>
      <c r="AJ123">
        <f t="shared" si="66"/>
        <v>4210.9846666666663</v>
      </c>
      <c r="AL123">
        <f t="shared" si="67"/>
        <v>4210.9846666666663</v>
      </c>
      <c r="AN123">
        <f t="shared" si="68"/>
        <v>-12632.953999999998</v>
      </c>
      <c r="AP123">
        <f t="shared" si="69"/>
        <v>0</v>
      </c>
      <c r="AR123">
        <f t="shared" si="70"/>
        <v>0</v>
      </c>
    </row>
    <row r="124" spans="1:44">
      <c r="A124" t="s">
        <v>292</v>
      </c>
      <c r="C124">
        <v>5042</v>
      </c>
      <c r="D124" t="s">
        <v>453</v>
      </c>
      <c r="E124">
        <v>2002</v>
      </c>
      <c r="F124">
        <v>6</v>
      </c>
      <c r="G124">
        <v>0.2</v>
      </c>
      <c r="I124" t="s">
        <v>78</v>
      </c>
      <c r="J124">
        <v>7</v>
      </c>
      <c r="K124">
        <f t="shared" si="49"/>
        <v>2009</v>
      </c>
      <c r="N124">
        <v>75792.84</v>
      </c>
      <c r="P124">
        <f t="shared" si="50"/>
        <v>60634.271999999997</v>
      </c>
      <c r="Q124">
        <f t="shared" si="51"/>
        <v>721.83657142857146</v>
      </c>
      <c r="R124">
        <f t="shared" si="52"/>
        <v>0</v>
      </c>
      <c r="S124">
        <f t="shared" si="53"/>
        <v>0</v>
      </c>
      <c r="T124">
        <f t="shared" si="54"/>
        <v>0</v>
      </c>
      <c r="U124">
        <v>1</v>
      </c>
      <c r="V124">
        <f t="shared" si="55"/>
        <v>0</v>
      </c>
      <c r="X124">
        <f t="shared" si="56"/>
        <v>60634.271999999997</v>
      </c>
      <c r="Y124">
        <f t="shared" si="57"/>
        <v>60634.271999999997</v>
      </c>
      <c r="Z124">
        <v>1</v>
      </c>
      <c r="AA124">
        <f t="shared" si="58"/>
        <v>60634.271999999997</v>
      </c>
      <c r="AB124">
        <f t="shared" si="59"/>
        <v>60634.271999999997</v>
      </c>
      <c r="AC124">
        <f t="shared" si="60"/>
        <v>15158.567999999999</v>
      </c>
      <c r="AD124">
        <f t="shared" si="61"/>
        <v>2002.4166666666667</v>
      </c>
      <c r="AE124">
        <f t="shared" si="62"/>
        <v>2018.0833333333333</v>
      </c>
      <c r="AF124">
        <f t="shared" si="63"/>
        <v>2009.4166666666667</v>
      </c>
      <c r="AG124">
        <f t="shared" si="64"/>
        <v>2017.0833333333333</v>
      </c>
      <c r="AH124">
        <f t="shared" si="65"/>
        <v>-8.3333333333333329E-2</v>
      </c>
      <c r="AJ124">
        <f t="shared" si="66"/>
        <v>5052.8559999999998</v>
      </c>
      <c r="AL124">
        <f t="shared" si="67"/>
        <v>5052.8559999999998</v>
      </c>
      <c r="AN124">
        <f t="shared" si="68"/>
        <v>-15158.567999999999</v>
      </c>
      <c r="AP124">
        <f t="shared" si="69"/>
        <v>0</v>
      </c>
      <c r="AR124">
        <f t="shared" si="70"/>
        <v>0</v>
      </c>
    </row>
    <row r="125" spans="1:44">
      <c r="A125" t="s">
        <v>292</v>
      </c>
      <c r="C125">
        <v>5043</v>
      </c>
      <c r="D125" t="s">
        <v>453</v>
      </c>
      <c r="E125">
        <v>2002</v>
      </c>
      <c r="F125">
        <v>6</v>
      </c>
      <c r="G125">
        <v>0.2</v>
      </c>
      <c r="I125" t="s">
        <v>78</v>
      </c>
      <c r="J125">
        <v>7</v>
      </c>
      <c r="K125">
        <f t="shared" si="49"/>
        <v>2009</v>
      </c>
      <c r="N125">
        <v>74182.33</v>
      </c>
      <c r="P125">
        <f t="shared" si="50"/>
        <v>59345.864000000001</v>
      </c>
      <c r="Q125">
        <f t="shared" si="51"/>
        <v>706.49838095238101</v>
      </c>
      <c r="R125">
        <f t="shared" si="52"/>
        <v>0</v>
      </c>
      <c r="S125">
        <f t="shared" si="53"/>
        <v>0</v>
      </c>
      <c r="T125">
        <f t="shared" si="54"/>
        <v>0</v>
      </c>
      <c r="U125">
        <v>1</v>
      </c>
      <c r="V125">
        <f t="shared" si="55"/>
        <v>0</v>
      </c>
      <c r="X125">
        <f t="shared" si="56"/>
        <v>59345.864000000001</v>
      </c>
      <c r="Y125">
        <f t="shared" si="57"/>
        <v>59345.864000000001</v>
      </c>
      <c r="Z125">
        <v>1</v>
      </c>
      <c r="AA125">
        <f t="shared" si="58"/>
        <v>59345.864000000001</v>
      </c>
      <c r="AB125">
        <f t="shared" si="59"/>
        <v>59345.864000000001</v>
      </c>
      <c r="AC125">
        <f t="shared" si="60"/>
        <v>14836.466</v>
      </c>
      <c r="AD125">
        <f t="shared" si="61"/>
        <v>2002.4166666666667</v>
      </c>
      <c r="AE125">
        <f t="shared" si="62"/>
        <v>2018.0833333333333</v>
      </c>
      <c r="AF125">
        <f t="shared" si="63"/>
        <v>2009.4166666666667</v>
      </c>
      <c r="AG125">
        <f t="shared" si="64"/>
        <v>2017.0833333333333</v>
      </c>
      <c r="AH125">
        <f t="shared" si="65"/>
        <v>-8.3333333333333329E-2</v>
      </c>
      <c r="AJ125">
        <f t="shared" si="66"/>
        <v>4945.4886666666671</v>
      </c>
      <c r="AL125">
        <f t="shared" si="67"/>
        <v>4945.4886666666671</v>
      </c>
      <c r="AN125">
        <f t="shared" si="68"/>
        <v>-14836.466</v>
      </c>
      <c r="AP125">
        <f t="shared" si="69"/>
        <v>0</v>
      </c>
      <c r="AR125">
        <f t="shared" si="70"/>
        <v>0</v>
      </c>
    </row>
    <row r="126" spans="1:44">
      <c r="A126" t="s">
        <v>292</v>
      </c>
      <c r="C126">
        <v>5045</v>
      </c>
      <c r="D126" t="s">
        <v>453</v>
      </c>
      <c r="E126">
        <v>2002</v>
      </c>
      <c r="F126">
        <v>6</v>
      </c>
      <c r="G126">
        <v>0.2</v>
      </c>
      <c r="I126" t="s">
        <v>78</v>
      </c>
      <c r="J126">
        <v>7</v>
      </c>
      <c r="K126">
        <f t="shared" si="49"/>
        <v>2009</v>
      </c>
      <c r="N126">
        <v>75139.73</v>
      </c>
      <c r="P126">
        <f t="shared" si="50"/>
        <v>60111.784</v>
      </c>
      <c r="Q126">
        <f t="shared" si="51"/>
        <v>715.61647619047619</v>
      </c>
      <c r="R126">
        <f t="shared" si="52"/>
        <v>0</v>
      </c>
      <c r="S126">
        <f t="shared" si="53"/>
        <v>0</v>
      </c>
      <c r="T126">
        <f t="shared" si="54"/>
        <v>0</v>
      </c>
      <c r="U126">
        <v>1</v>
      </c>
      <c r="V126">
        <f t="shared" si="55"/>
        <v>0</v>
      </c>
      <c r="X126">
        <f t="shared" si="56"/>
        <v>60111.784</v>
      </c>
      <c r="Y126">
        <f t="shared" si="57"/>
        <v>60111.784</v>
      </c>
      <c r="Z126">
        <v>1</v>
      </c>
      <c r="AA126">
        <f t="shared" si="58"/>
        <v>60111.784</v>
      </c>
      <c r="AB126">
        <f t="shared" si="59"/>
        <v>60111.784</v>
      </c>
      <c r="AC126">
        <f t="shared" si="60"/>
        <v>15027.945999999996</v>
      </c>
      <c r="AD126">
        <f t="shared" si="61"/>
        <v>2002.4166666666667</v>
      </c>
      <c r="AE126">
        <f t="shared" si="62"/>
        <v>2018.0833333333333</v>
      </c>
      <c r="AF126">
        <f t="shared" si="63"/>
        <v>2009.4166666666667</v>
      </c>
      <c r="AG126">
        <f t="shared" si="64"/>
        <v>2017.0833333333333</v>
      </c>
      <c r="AH126">
        <f t="shared" si="65"/>
        <v>-8.3333333333333329E-2</v>
      </c>
      <c r="AJ126">
        <f t="shared" si="66"/>
        <v>5009.3153333333321</v>
      </c>
      <c r="AL126">
        <f t="shared" si="67"/>
        <v>5009.3153333333321</v>
      </c>
      <c r="AN126">
        <f t="shared" si="68"/>
        <v>-15027.945999999996</v>
      </c>
      <c r="AP126">
        <f t="shared" si="69"/>
        <v>0</v>
      </c>
      <c r="AR126">
        <f t="shared" si="70"/>
        <v>0</v>
      </c>
    </row>
    <row r="127" spans="1:44">
      <c r="A127" t="s">
        <v>284</v>
      </c>
      <c r="C127">
        <v>3598</v>
      </c>
      <c r="D127" t="s">
        <v>161</v>
      </c>
      <c r="E127">
        <v>2007</v>
      </c>
      <c r="F127">
        <v>3</v>
      </c>
      <c r="G127">
        <v>0.2</v>
      </c>
      <c r="I127" t="s">
        <v>78</v>
      </c>
      <c r="J127">
        <v>7</v>
      </c>
      <c r="K127">
        <f t="shared" si="49"/>
        <v>2014</v>
      </c>
      <c r="N127">
        <v>194705.04</v>
      </c>
      <c r="P127">
        <f t="shared" si="50"/>
        <v>155764.03200000001</v>
      </c>
      <c r="Q127">
        <f t="shared" si="51"/>
        <v>1854.3337142857144</v>
      </c>
      <c r="R127">
        <f t="shared" si="52"/>
        <v>0</v>
      </c>
      <c r="S127">
        <f t="shared" si="53"/>
        <v>0</v>
      </c>
      <c r="T127">
        <f t="shared" si="54"/>
        <v>0</v>
      </c>
      <c r="U127">
        <v>1</v>
      </c>
      <c r="V127">
        <f t="shared" si="55"/>
        <v>0</v>
      </c>
      <c r="X127">
        <f t="shared" si="56"/>
        <v>155764.03200000001</v>
      </c>
      <c r="Y127">
        <f t="shared" si="57"/>
        <v>155764.03200000001</v>
      </c>
      <c r="Z127">
        <v>1</v>
      </c>
      <c r="AA127">
        <f t="shared" si="58"/>
        <v>155764.03200000001</v>
      </c>
      <c r="AB127">
        <f t="shared" si="59"/>
        <v>155764.03200000001</v>
      </c>
      <c r="AC127">
        <f t="shared" si="60"/>
        <v>38941.008000000002</v>
      </c>
      <c r="AD127">
        <f t="shared" si="61"/>
        <v>2007.1666666666667</v>
      </c>
      <c r="AE127">
        <f t="shared" si="62"/>
        <v>2018.0833333333333</v>
      </c>
      <c r="AF127">
        <f t="shared" si="63"/>
        <v>2014.1666666666667</v>
      </c>
      <c r="AG127">
        <f t="shared" si="64"/>
        <v>2017.0833333333333</v>
      </c>
      <c r="AH127">
        <f t="shared" si="65"/>
        <v>-8.3333333333333329E-2</v>
      </c>
      <c r="AJ127">
        <f t="shared" si="66"/>
        <v>12980.336000000001</v>
      </c>
      <c r="AL127">
        <f t="shared" si="67"/>
        <v>12980.336000000001</v>
      </c>
      <c r="AN127">
        <f t="shared" si="68"/>
        <v>-38941.008000000002</v>
      </c>
      <c r="AP127">
        <f t="shared" si="69"/>
        <v>0</v>
      </c>
      <c r="AR127">
        <f t="shared" si="70"/>
        <v>0</v>
      </c>
    </row>
    <row r="128" spans="1:44">
      <c r="A128" t="s">
        <v>284</v>
      </c>
      <c r="C128">
        <v>3599</v>
      </c>
      <c r="D128" t="s">
        <v>161</v>
      </c>
      <c r="E128">
        <v>2007</v>
      </c>
      <c r="F128">
        <v>3</v>
      </c>
      <c r="G128">
        <v>0.2</v>
      </c>
      <c r="I128" t="s">
        <v>78</v>
      </c>
      <c r="J128">
        <v>7</v>
      </c>
      <c r="K128">
        <f t="shared" si="49"/>
        <v>2014</v>
      </c>
      <c r="N128">
        <v>195238.16</v>
      </c>
      <c r="P128">
        <f t="shared" si="50"/>
        <v>156190.52799999999</v>
      </c>
      <c r="Q128">
        <f t="shared" si="51"/>
        <v>1859.4110476190474</v>
      </c>
      <c r="R128">
        <f t="shared" si="52"/>
        <v>0</v>
      </c>
      <c r="S128">
        <f t="shared" si="53"/>
        <v>0</v>
      </c>
      <c r="T128">
        <f t="shared" si="54"/>
        <v>0</v>
      </c>
      <c r="U128">
        <v>1</v>
      </c>
      <c r="V128">
        <f t="shared" si="55"/>
        <v>0</v>
      </c>
      <c r="X128">
        <f t="shared" si="56"/>
        <v>156190.52799999999</v>
      </c>
      <c r="Y128">
        <f t="shared" si="57"/>
        <v>156190.52799999999</v>
      </c>
      <c r="Z128">
        <v>1</v>
      </c>
      <c r="AA128">
        <f t="shared" si="58"/>
        <v>156190.52799999999</v>
      </c>
      <c r="AB128">
        <f t="shared" si="59"/>
        <v>156190.52799999999</v>
      </c>
      <c r="AC128">
        <f t="shared" si="60"/>
        <v>39047.632000000012</v>
      </c>
      <c r="AD128">
        <f t="shared" si="61"/>
        <v>2007.1666666666667</v>
      </c>
      <c r="AE128">
        <f t="shared" si="62"/>
        <v>2018.0833333333333</v>
      </c>
      <c r="AF128">
        <f t="shared" si="63"/>
        <v>2014.1666666666667</v>
      </c>
      <c r="AG128">
        <f t="shared" si="64"/>
        <v>2017.0833333333333</v>
      </c>
      <c r="AH128">
        <f t="shared" si="65"/>
        <v>-8.3333333333333329E-2</v>
      </c>
      <c r="AJ128">
        <f t="shared" si="66"/>
        <v>13015.877333333337</v>
      </c>
      <c r="AL128">
        <f t="shared" si="67"/>
        <v>13015.877333333337</v>
      </c>
      <c r="AN128">
        <f t="shared" si="68"/>
        <v>-39047.632000000012</v>
      </c>
      <c r="AP128">
        <f t="shared" si="69"/>
        <v>0</v>
      </c>
      <c r="AR128">
        <f t="shared" si="70"/>
        <v>0</v>
      </c>
    </row>
    <row r="129" spans="1:44">
      <c r="A129" t="s">
        <v>284</v>
      </c>
      <c r="C129">
        <v>3600</v>
      </c>
      <c r="D129" t="s">
        <v>161</v>
      </c>
      <c r="E129">
        <v>2007</v>
      </c>
      <c r="F129">
        <v>3</v>
      </c>
      <c r="G129">
        <v>0.2</v>
      </c>
      <c r="I129" t="s">
        <v>78</v>
      </c>
      <c r="J129">
        <v>7</v>
      </c>
      <c r="K129">
        <f t="shared" si="49"/>
        <v>2014</v>
      </c>
      <c r="N129">
        <v>194705.04</v>
      </c>
      <c r="P129">
        <f t="shared" si="50"/>
        <v>155764.03200000001</v>
      </c>
      <c r="Q129">
        <f t="shared" si="51"/>
        <v>1854.3337142857144</v>
      </c>
      <c r="R129">
        <f t="shared" si="52"/>
        <v>0</v>
      </c>
      <c r="S129">
        <f t="shared" si="53"/>
        <v>0</v>
      </c>
      <c r="T129">
        <f t="shared" si="54"/>
        <v>0</v>
      </c>
      <c r="U129">
        <v>1</v>
      </c>
      <c r="V129">
        <f t="shared" si="55"/>
        <v>0</v>
      </c>
      <c r="X129">
        <f t="shared" si="56"/>
        <v>155764.03200000001</v>
      </c>
      <c r="Y129">
        <f t="shared" si="57"/>
        <v>155764.03200000001</v>
      </c>
      <c r="Z129">
        <v>1</v>
      </c>
      <c r="AA129">
        <f t="shared" si="58"/>
        <v>155764.03200000001</v>
      </c>
      <c r="AB129">
        <f t="shared" si="59"/>
        <v>155764.03200000001</v>
      </c>
      <c r="AC129">
        <f t="shared" si="60"/>
        <v>38941.008000000002</v>
      </c>
      <c r="AD129">
        <f t="shared" si="61"/>
        <v>2007.1666666666667</v>
      </c>
      <c r="AE129">
        <f t="shared" si="62"/>
        <v>2018.0833333333333</v>
      </c>
      <c r="AF129">
        <f t="shared" si="63"/>
        <v>2014.1666666666667</v>
      </c>
      <c r="AG129">
        <f t="shared" si="64"/>
        <v>2017.0833333333333</v>
      </c>
      <c r="AH129">
        <f t="shared" si="65"/>
        <v>-8.3333333333333329E-2</v>
      </c>
      <c r="AJ129">
        <f t="shared" si="66"/>
        <v>12980.336000000001</v>
      </c>
      <c r="AL129">
        <f t="shared" si="67"/>
        <v>12980.336000000001</v>
      </c>
      <c r="AN129">
        <f t="shared" si="68"/>
        <v>-38941.008000000002</v>
      </c>
      <c r="AP129">
        <f t="shared" si="69"/>
        <v>0</v>
      </c>
      <c r="AR129">
        <f t="shared" si="70"/>
        <v>0</v>
      </c>
    </row>
    <row r="130" spans="1:44">
      <c r="A130" t="s">
        <v>284</v>
      </c>
      <c r="C130">
        <v>3601</v>
      </c>
      <c r="D130" t="s">
        <v>161</v>
      </c>
      <c r="E130">
        <v>2007</v>
      </c>
      <c r="F130">
        <v>3</v>
      </c>
      <c r="G130">
        <v>0.2</v>
      </c>
      <c r="I130" t="s">
        <v>78</v>
      </c>
      <c r="J130">
        <v>7</v>
      </c>
      <c r="K130">
        <f t="shared" si="49"/>
        <v>2014</v>
      </c>
      <c r="N130">
        <v>194705.04</v>
      </c>
      <c r="P130">
        <f t="shared" si="50"/>
        <v>155764.03200000001</v>
      </c>
      <c r="Q130">
        <f t="shared" si="51"/>
        <v>1854.3337142857144</v>
      </c>
      <c r="R130">
        <f t="shared" si="52"/>
        <v>0</v>
      </c>
      <c r="S130">
        <f t="shared" si="53"/>
        <v>0</v>
      </c>
      <c r="T130">
        <f t="shared" si="54"/>
        <v>0</v>
      </c>
      <c r="U130">
        <v>1</v>
      </c>
      <c r="V130">
        <f t="shared" si="55"/>
        <v>0</v>
      </c>
      <c r="X130">
        <f t="shared" si="56"/>
        <v>155764.03200000001</v>
      </c>
      <c r="Y130">
        <f t="shared" si="57"/>
        <v>155764.03200000001</v>
      </c>
      <c r="Z130">
        <v>1</v>
      </c>
      <c r="AA130">
        <f t="shared" si="58"/>
        <v>155764.03200000001</v>
      </c>
      <c r="AB130">
        <f t="shared" si="59"/>
        <v>155764.03200000001</v>
      </c>
      <c r="AC130">
        <f t="shared" si="60"/>
        <v>38941.008000000002</v>
      </c>
      <c r="AD130">
        <f t="shared" si="61"/>
        <v>2007.1666666666667</v>
      </c>
      <c r="AE130">
        <f t="shared" si="62"/>
        <v>2018.0833333333333</v>
      </c>
      <c r="AF130">
        <f t="shared" si="63"/>
        <v>2014.1666666666667</v>
      </c>
      <c r="AG130">
        <f t="shared" si="64"/>
        <v>2017.0833333333333</v>
      </c>
      <c r="AH130">
        <f t="shared" si="65"/>
        <v>-8.3333333333333329E-2</v>
      </c>
      <c r="AJ130">
        <f t="shared" si="66"/>
        <v>12980.336000000001</v>
      </c>
      <c r="AL130">
        <f t="shared" si="67"/>
        <v>12980.336000000001</v>
      </c>
      <c r="AN130">
        <f t="shared" si="68"/>
        <v>-38941.008000000002</v>
      </c>
      <c r="AP130">
        <f t="shared" si="69"/>
        <v>0</v>
      </c>
      <c r="AR130">
        <f t="shared" si="70"/>
        <v>0</v>
      </c>
    </row>
    <row r="131" spans="1:44">
      <c r="A131" t="s">
        <v>284</v>
      </c>
      <c r="C131">
        <v>3602</v>
      </c>
      <c r="D131" t="s">
        <v>161</v>
      </c>
      <c r="E131">
        <v>2007</v>
      </c>
      <c r="F131">
        <v>3</v>
      </c>
      <c r="G131">
        <v>0.2</v>
      </c>
      <c r="I131" t="s">
        <v>78</v>
      </c>
      <c r="J131">
        <v>7</v>
      </c>
      <c r="K131">
        <f t="shared" si="49"/>
        <v>2014</v>
      </c>
      <c r="N131">
        <v>194705.04</v>
      </c>
      <c r="P131">
        <f t="shared" si="50"/>
        <v>155764.03200000001</v>
      </c>
      <c r="Q131">
        <f t="shared" si="51"/>
        <v>1854.3337142857144</v>
      </c>
      <c r="R131">
        <f t="shared" si="52"/>
        <v>0</v>
      </c>
      <c r="S131">
        <f t="shared" si="53"/>
        <v>0</v>
      </c>
      <c r="T131">
        <f t="shared" si="54"/>
        <v>0</v>
      </c>
      <c r="U131">
        <v>1</v>
      </c>
      <c r="V131">
        <f t="shared" si="55"/>
        <v>0</v>
      </c>
      <c r="X131">
        <f t="shared" si="56"/>
        <v>155764.03200000001</v>
      </c>
      <c r="Y131">
        <f t="shared" si="57"/>
        <v>155764.03200000001</v>
      </c>
      <c r="Z131">
        <v>1</v>
      </c>
      <c r="AA131">
        <f t="shared" si="58"/>
        <v>155764.03200000001</v>
      </c>
      <c r="AB131">
        <f t="shared" si="59"/>
        <v>155764.03200000001</v>
      </c>
      <c r="AC131">
        <f t="shared" si="60"/>
        <v>38941.008000000002</v>
      </c>
      <c r="AD131">
        <f t="shared" si="61"/>
        <v>2007.1666666666667</v>
      </c>
      <c r="AE131">
        <f t="shared" si="62"/>
        <v>2018.0833333333333</v>
      </c>
      <c r="AF131">
        <f t="shared" si="63"/>
        <v>2014.1666666666667</v>
      </c>
      <c r="AG131">
        <f t="shared" si="64"/>
        <v>2017.0833333333333</v>
      </c>
      <c r="AH131">
        <f t="shared" si="65"/>
        <v>-8.3333333333333329E-2</v>
      </c>
      <c r="AJ131">
        <f t="shared" si="66"/>
        <v>12980.336000000001</v>
      </c>
      <c r="AL131">
        <f t="shared" si="67"/>
        <v>12980.336000000001</v>
      </c>
      <c r="AN131">
        <f t="shared" si="68"/>
        <v>-38941.008000000002</v>
      </c>
      <c r="AP131">
        <f t="shared" si="69"/>
        <v>0</v>
      </c>
      <c r="AR131">
        <f t="shared" si="70"/>
        <v>0</v>
      </c>
    </row>
    <row r="132" spans="1:44">
      <c r="A132" t="s">
        <v>284</v>
      </c>
      <c r="C132">
        <v>3604</v>
      </c>
      <c r="D132" t="s">
        <v>162</v>
      </c>
      <c r="E132">
        <v>2007</v>
      </c>
      <c r="F132">
        <v>4</v>
      </c>
      <c r="G132">
        <v>0.2</v>
      </c>
      <c r="I132" t="s">
        <v>78</v>
      </c>
      <c r="J132">
        <v>7</v>
      </c>
      <c r="K132">
        <f t="shared" si="49"/>
        <v>2014</v>
      </c>
      <c r="N132">
        <v>194705.04</v>
      </c>
      <c r="P132">
        <f t="shared" si="50"/>
        <v>155764.03200000001</v>
      </c>
      <c r="Q132">
        <f t="shared" si="51"/>
        <v>1854.3337142857144</v>
      </c>
      <c r="R132">
        <f t="shared" si="52"/>
        <v>0</v>
      </c>
      <c r="S132">
        <f t="shared" si="53"/>
        <v>0</v>
      </c>
      <c r="T132">
        <f t="shared" si="54"/>
        <v>0</v>
      </c>
      <c r="U132">
        <v>1</v>
      </c>
      <c r="V132">
        <f t="shared" si="55"/>
        <v>0</v>
      </c>
      <c r="X132">
        <f t="shared" si="56"/>
        <v>155764.03200000001</v>
      </c>
      <c r="Y132">
        <f t="shared" si="57"/>
        <v>155764.03200000001</v>
      </c>
      <c r="Z132">
        <v>1</v>
      </c>
      <c r="AA132">
        <f t="shared" si="58"/>
        <v>155764.03200000001</v>
      </c>
      <c r="AB132">
        <f t="shared" si="59"/>
        <v>155764.03200000001</v>
      </c>
      <c r="AC132">
        <f t="shared" si="60"/>
        <v>38941.008000000002</v>
      </c>
      <c r="AD132">
        <f t="shared" si="61"/>
        <v>2007.25</v>
      </c>
      <c r="AE132">
        <f t="shared" si="62"/>
        <v>2018.0833333333333</v>
      </c>
      <c r="AF132">
        <f t="shared" si="63"/>
        <v>2014.25</v>
      </c>
      <c r="AG132">
        <f t="shared" si="64"/>
        <v>2017.0833333333333</v>
      </c>
      <c r="AH132">
        <f t="shared" si="65"/>
        <v>-8.3333333333333329E-2</v>
      </c>
      <c r="AJ132">
        <f t="shared" si="66"/>
        <v>12980.336000000001</v>
      </c>
      <c r="AL132">
        <f t="shared" si="67"/>
        <v>12980.336000000001</v>
      </c>
      <c r="AN132">
        <f t="shared" si="68"/>
        <v>-38941.008000000002</v>
      </c>
      <c r="AP132">
        <f t="shared" si="69"/>
        <v>0</v>
      </c>
      <c r="AR132">
        <f t="shared" si="70"/>
        <v>0</v>
      </c>
    </row>
    <row r="133" spans="1:44">
      <c r="A133" t="s">
        <v>288</v>
      </c>
      <c r="C133">
        <v>5041</v>
      </c>
      <c r="D133" t="s">
        <v>323</v>
      </c>
      <c r="E133">
        <v>2007</v>
      </c>
      <c r="F133">
        <v>7</v>
      </c>
      <c r="G133">
        <v>0.33</v>
      </c>
      <c r="I133" t="s">
        <v>78</v>
      </c>
      <c r="J133">
        <v>5</v>
      </c>
      <c r="K133">
        <f>E133+J133</f>
        <v>2012</v>
      </c>
      <c r="N133">
        <v>11924</v>
      </c>
      <c r="P133">
        <f t="shared" si="50"/>
        <v>7989.08</v>
      </c>
      <c r="Q133">
        <f t="shared" si="51"/>
        <v>133.15133333333333</v>
      </c>
      <c r="R133">
        <f>IF(O133&gt;0,0,IF(OR(AD133&gt;AE133,AF133&lt;AG133),0,IF(AND(AF133&gt;=AG133,AF133&lt;=AE133),Q133*((AF133-AG133)*12),IF(AND(AG133&lt;=AD133,AE133&gt;=AD133),((AE133-AD133)*12)*Q133,IF(AF133&gt;AE133,12*Q133,0)))))</f>
        <v>0</v>
      </c>
      <c r="S133">
        <f>IF(O133=0,0,IF(AND(AH133&gt;=AG133,AH133&lt;=AF133),((AH133-AG133)*12)*Q133,0))</f>
        <v>0</v>
      </c>
      <c r="T133">
        <f>IF(S133&gt;0,S133,R133)</f>
        <v>0</v>
      </c>
      <c r="U133">
        <v>1</v>
      </c>
      <c r="V133">
        <f>U133*SUM(R133:S133)</f>
        <v>0</v>
      </c>
      <c r="X133">
        <f>IF(AD133&gt;AE133,0,IF(AF133&lt;AG133,P133,IF(AND(AF133&gt;=AG133,AF133&lt;=AE133),(P133-T133),IF(AND(AG133&lt;=AD133,AE133&gt;=AD133),0,IF(AF133&gt;AE133,((AG133-AD133)*12)*Q133,0)))))</f>
        <v>7989.08</v>
      </c>
      <c r="Y133">
        <f>X133*U133</f>
        <v>7989.08</v>
      </c>
      <c r="Z133">
        <v>1</v>
      </c>
      <c r="AA133">
        <f>Y133*Z133</f>
        <v>7989.08</v>
      </c>
      <c r="AB133">
        <f>IF(O133&gt;0,0,AA133+V133*Z133)*Z133</f>
        <v>7989.08</v>
      </c>
      <c r="AC133">
        <f>IF(O133&gt;0,(N133-AA133)/2,IF(AD133&gt;=AG133,(((N133*U133)*Z133)-AB133)/2,((((N133*U133)*Z133)-AA133)+(((N133*U133)*Z133)-AB133))/2))</f>
        <v>3934.92</v>
      </c>
      <c r="AD133">
        <f>$E133+(($F133-1)/12)</f>
        <v>2007.5</v>
      </c>
      <c r="AE133">
        <f t="shared" si="62"/>
        <v>2018.0833333333333</v>
      </c>
      <c r="AF133">
        <f>$K133+(($F133-1)/12)</f>
        <v>2012.5</v>
      </c>
      <c r="AG133">
        <f t="shared" si="64"/>
        <v>2017.0833333333333</v>
      </c>
      <c r="AH133">
        <f t="shared" si="65"/>
        <v>-8.3333333333333329E-2</v>
      </c>
      <c r="AJ133">
        <f t="shared" si="66"/>
        <v>1311.64</v>
      </c>
      <c r="AL133">
        <f t="shared" si="67"/>
        <v>1311.64</v>
      </c>
      <c r="AN133">
        <f t="shared" si="68"/>
        <v>-3934.92</v>
      </c>
      <c r="AP133">
        <f t="shared" si="69"/>
        <v>0</v>
      </c>
      <c r="AR133">
        <f t="shared" si="70"/>
        <v>0</v>
      </c>
    </row>
    <row r="134" spans="1:44">
      <c r="A134" t="s">
        <v>284</v>
      </c>
      <c r="C134">
        <v>3615</v>
      </c>
      <c r="D134" t="s">
        <v>162</v>
      </c>
      <c r="E134">
        <v>2007</v>
      </c>
      <c r="F134">
        <v>8</v>
      </c>
      <c r="G134">
        <v>0.2</v>
      </c>
      <c r="I134" t="s">
        <v>78</v>
      </c>
      <c r="J134">
        <v>7</v>
      </c>
      <c r="K134">
        <f t="shared" si="49"/>
        <v>2014</v>
      </c>
      <c r="N134">
        <v>194705.04</v>
      </c>
      <c r="P134">
        <f t="shared" si="50"/>
        <v>155764.03200000001</v>
      </c>
      <c r="Q134">
        <f t="shared" si="51"/>
        <v>1854.3337142857144</v>
      </c>
      <c r="R134">
        <f t="shared" si="52"/>
        <v>0</v>
      </c>
      <c r="S134">
        <f t="shared" si="53"/>
        <v>0</v>
      </c>
      <c r="T134">
        <f t="shared" si="54"/>
        <v>0</v>
      </c>
      <c r="U134">
        <v>1</v>
      </c>
      <c r="V134">
        <f t="shared" si="55"/>
        <v>0</v>
      </c>
      <c r="X134">
        <f t="shared" si="56"/>
        <v>155764.03200000001</v>
      </c>
      <c r="Y134">
        <f t="shared" si="57"/>
        <v>155764.03200000001</v>
      </c>
      <c r="Z134">
        <v>1</v>
      </c>
      <c r="AA134">
        <f t="shared" si="58"/>
        <v>155764.03200000001</v>
      </c>
      <c r="AB134">
        <f t="shared" si="59"/>
        <v>155764.03200000001</v>
      </c>
      <c r="AC134">
        <f t="shared" si="60"/>
        <v>38941.008000000002</v>
      </c>
      <c r="AD134">
        <f t="shared" si="61"/>
        <v>2007.5833333333333</v>
      </c>
      <c r="AE134">
        <f t="shared" si="62"/>
        <v>2018.0833333333333</v>
      </c>
      <c r="AF134">
        <f t="shared" si="63"/>
        <v>2014.5833333333333</v>
      </c>
      <c r="AG134">
        <f t="shared" si="64"/>
        <v>2017.0833333333333</v>
      </c>
      <c r="AH134">
        <f t="shared" si="65"/>
        <v>-8.3333333333333329E-2</v>
      </c>
      <c r="AJ134">
        <f t="shared" si="66"/>
        <v>12980.336000000001</v>
      </c>
      <c r="AL134">
        <f t="shared" si="67"/>
        <v>12980.336000000001</v>
      </c>
      <c r="AN134">
        <f t="shared" si="68"/>
        <v>-38941.008000000002</v>
      </c>
      <c r="AP134">
        <f t="shared" si="69"/>
        <v>0</v>
      </c>
      <c r="AR134">
        <f t="shared" si="70"/>
        <v>0</v>
      </c>
    </row>
    <row r="135" spans="1:44">
      <c r="A135" t="s">
        <v>292</v>
      </c>
      <c r="C135">
        <v>5042</v>
      </c>
      <c r="D135" t="s">
        <v>334</v>
      </c>
      <c r="E135">
        <v>2009</v>
      </c>
      <c r="F135">
        <v>5</v>
      </c>
      <c r="G135">
        <v>0</v>
      </c>
      <c r="I135" t="s">
        <v>78</v>
      </c>
      <c r="J135">
        <v>3</v>
      </c>
      <c r="K135">
        <f t="shared" si="49"/>
        <v>2012</v>
      </c>
      <c r="N135">
        <v>7094.74</v>
      </c>
      <c r="P135">
        <f t="shared" si="50"/>
        <v>7094.74</v>
      </c>
      <c r="Q135">
        <f t="shared" si="51"/>
        <v>197.07611111111112</v>
      </c>
      <c r="R135">
        <f t="shared" si="52"/>
        <v>0</v>
      </c>
      <c r="S135">
        <f t="shared" si="53"/>
        <v>0</v>
      </c>
      <c r="T135">
        <f t="shared" si="54"/>
        <v>0</v>
      </c>
      <c r="U135">
        <v>1</v>
      </c>
      <c r="V135">
        <f t="shared" si="55"/>
        <v>0</v>
      </c>
      <c r="X135">
        <f t="shared" si="56"/>
        <v>7094.74</v>
      </c>
      <c r="Y135">
        <f t="shared" si="57"/>
        <v>7094.74</v>
      </c>
      <c r="Z135">
        <v>1</v>
      </c>
      <c r="AA135">
        <f t="shared" si="58"/>
        <v>7094.74</v>
      </c>
      <c r="AB135">
        <f t="shared" si="59"/>
        <v>7094.74</v>
      </c>
      <c r="AC135">
        <f>IF(O135&gt;0,(N135-AA135)/2,IF(AD135&gt;=AG135,(((N135*U135)*Z135)-AB135)/2,((((N135*U135)*Z135)-AA135)+(((N135*U135)*Z135)-AB135))/2))</f>
        <v>0</v>
      </c>
      <c r="AD135">
        <f t="shared" si="61"/>
        <v>2009.3333333333333</v>
      </c>
      <c r="AE135">
        <f t="shared" si="62"/>
        <v>2018.0833333333333</v>
      </c>
      <c r="AF135">
        <f t="shared" si="63"/>
        <v>2012.3333333333333</v>
      </c>
      <c r="AG135">
        <f t="shared" si="64"/>
        <v>2017.0833333333333</v>
      </c>
      <c r="AH135">
        <f t="shared" si="65"/>
        <v>-8.3333333333333329E-2</v>
      </c>
      <c r="AJ135">
        <f t="shared" si="66"/>
        <v>0</v>
      </c>
      <c r="AL135">
        <f t="shared" si="67"/>
        <v>0</v>
      </c>
      <c r="AN135">
        <f t="shared" si="68"/>
        <v>0</v>
      </c>
      <c r="AP135">
        <f t="shared" si="69"/>
        <v>0</v>
      </c>
      <c r="AR135">
        <f t="shared" si="70"/>
        <v>0</v>
      </c>
    </row>
    <row r="136" spans="1:44">
      <c r="A136" t="s">
        <v>292</v>
      </c>
      <c r="C136">
        <v>5043</v>
      </c>
      <c r="D136" t="s">
        <v>335</v>
      </c>
      <c r="E136">
        <v>2009</v>
      </c>
      <c r="F136">
        <v>5</v>
      </c>
      <c r="G136">
        <v>0</v>
      </c>
      <c r="I136" t="s">
        <v>78</v>
      </c>
      <c r="J136">
        <v>3</v>
      </c>
      <c r="K136">
        <f t="shared" si="49"/>
        <v>2012</v>
      </c>
      <c r="N136">
        <v>2801.33</v>
      </c>
      <c r="P136">
        <f t="shared" si="50"/>
        <v>2801.33</v>
      </c>
      <c r="Q136">
        <f t="shared" si="51"/>
        <v>77.814722222222215</v>
      </c>
      <c r="R136">
        <f t="shared" si="52"/>
        <v>0</v>
      </c>
      <c r="S136">
        <f t="shared" si="53"/>
        <v>0</v>
      </c>
      <c r="T136">
        <f t="shared" si="54"/>
        <v>0</v>
      </c>
      <c r="U136">
        <v>1</v>
      </c>
      <c r="V136">
        <f t="shared" si="55"/>
        <v>0</v>
      </c>
      <c r="X136">
        <f t="shared" si="56"/>
        <v>2801.33</v>
      </c>
      <c r="Y136">
        <f t="shared" si="57"/>
        <v>2801.33</v>
      </c>
      <c r="Z136">
        <v>1</v>
      </c>
      <c r="AA136">
        <f t="shared" si="58"/>
        <v>2801.33</v>
      </c>
      <c r="AB136">
        <f t="shared" si="59"/>
        <v>2801.33</v>
      </c>
      <c r="AC136">
        <f t="shared" si="60"/>
        <v>0</v>
      </c>
      <c r="AD136">
        <f t="shared" si="61"/>
        <v>2009.3333333333333</v>
      </c>
      <c r="AE136">
        <f t="shared" si="62"/>
        <v>2018.0833333333333</v>
      </c>
      <c r="AF136">
        <f t="shared" si="63"/>
        <v>2012.3333333333333</v>
      </c>
      <c r="AG136">
        <f t="shared" si="64"/>
        <v>2017.0833333333333</v>
      </c>
      <c r="AH136">
        <f t="shared" si="65"/>
        <v>-8.3333333333333329E-2</v>
      </c>
      <c r="AJ136">
        <f t="shared" si="66"/>
        <v>0</v>
      </c>
      <c r="AL136">
        <f t="shared" si="67"/>
        <v>0</v>
      </c>
      <c r="AN136">
        <f t="shared" si="68"/>
        <v>0</v>
      </c>
      <c r="AP136">
        <f t="shared" si="69"/>
        <v>0</v>
      </c>
      <c r="AR136">
        <f t="shared" si="70"/>
        <v>0</v>
      </c>
    </row>
    <row r="137" spans="1:44">
      <c r="A137" t="s">
        <v>311</v>
      </c>
      <c r="C137">
        <v>68612</v>
      </c>
      <c r="D137" t="s">
        <v>325</v>
      </c>
      <c r="E137">
        <v>2009</v>
      </c>
      <c r="F137">
        <v>7</v>
      </c>
      <c r="G137">
        <v>0.33</v>
      </c>
      <c r="I137" t="s">
        <v>78</v>
      </c>
      <c r="J137">
        <v>5</v>
      </c>
      <c r="K137">
        <f t="shared" si="49"/>
        <v>2014</v>
      </c>
      <c r="N137">
        <v>14393.06</v>
      </c>
      <c r="P137">
        <f t="shared" si="50"/>
        <v>9643.3502000000008</v>
      </c>
      <c r="Q137">
        <f t="shared" si="51"/>
        <v>160.72250333333335</v>
      </c>
      <c r="R137">
        <f t="shared" si="52"/>
        <v>0</v>
      </c>
      <c r="S137">
        <f t="shared" si="53"/>
        <v>0</v>
      </c>
      <c r="T137">
        <f t="shared" si="54"/>
        <v>0</v>
      </c>
      <c r="U137">
        <v>1</v>
      </c>
      <c r="V137">
        <f t="shared" si="55"/>
        <v>0</v>
      </c>
      <c r="X137">
        <f t="shared" si="56"/>
        <v>9643.3502000000008</v>
      </c>
      <c r="Y137">
        <f t="shared" si="57"/>
        <v>9643.3502000000008</v>
      </c>
      <c r="Z137">
        <v>1</v>
      </c>
      <c r="AA137">
        <f t="shared" si="58"/>
        <v>9643.3502000000008</v>
      </c>
      <c r="AB137">
        <f t="shared" si="59"/>
        <v>9643.3502000000008</v>
      </c>
      <c r="AC137">
        <f t="shared" si="60"/>
        <v>4749.7097999999987</v>
      </c>
      <c r="AD137">
        <f t="shared" si="61"/>
        <v>2009.5</v>
      </c>
      <c r="AE137">
        <f t="shared" si="62"/>
        <v>2018.0833333333333</v>
      </c>
      <c r="AF137">
        <f t="shared" si="63"/>
        <v>2014.5</v>
      </c>
      <c r="AG137">
        <f t="shared" si="64"/>
        <v>2017.0833333333333</v>
      </c>
      <c r="AH137">
        <f t="shared" si="65"/>
        <v>-8.3333333333333329E-2</v>
      </c>
      <c r="AJ137">
        <f t="shared" si="66"/>
        <v>1583.2365999999995</v>
      </c>
      <c r="AL137">
        <f t="shared" si="67"/>
        <v>1583.2365999999995</v>
      </c>
      <c r="AN137">
        <f t="shared" si="68"/>
        <v>-4749.7097999999987</v>
      </c>
      <c r="AP137">
        <f t="shared" si="69"/>
        <v>0</v>
      </c>
      <c r="AR137">
        <f t="shared" si="70"/>
        <v>0</v>
      </c>
    </row>
    <row r="138" spans="1:44">
      <c r="B138">
        <v>88721</v>
      </c>
      <c r="D138" t="s">
        <v>439</v>
      </c>
      <c r="E138">
        <v>2011</v>
      </c>
      <c r="F138">
        <v>12</v>
      </c>
      <c r="G138">
        <v>0</v>
      </c>
      <c r="I138" t="s">
        <v>78</v>
      </c>
      <c r="J138">
        <v>5</v>
      </c>
      <c r="K138">
        <f t="shared" si="49"/>
        <v>2016</v>
      </c>
      <c r="N138">
        <f>487.65*18</f>
        <v>8777.6999999999989</v>
      </c>
      <c r="P138">
        <f t="shared" si="50"/>
        <v>8777.6999999999989</v>
      </c>
      <c r="Q138">
        <f t="shared" si="51"/>
        <v>146.29499999999999</v>
      </c>
      <c r="R138">
        <f t="shared" si="52"/>
        <v>0</v>
      </c>
      <c r="S138">
        <f t="shared" si="53"/>
        <v>0</v>
      </c>
      <c r="T138">
        <f t="shared" si="54"/>
        <v>0</v>
      </c>
      <c r="U138">
        <v>1</v>
      </c>
      <c r="V138">
        <f t="shared" si="55"/>
        <v>0</v>
      </c>
      <c r="X138">
        <f t="shared" si="56"/>
        <v>8777.6999999999989</v>
      </c>
      <c r="Y138">
        <f t="shared" si="57"/>
        <v>8777.6999999999989</v>
      </c>
      <c r="Z138">
        <v>1</v>
      </c>
      <c r="AA138">
        <f t="shared" si="58"/>
        <v>8777.6999999999989</v>
      </c>
      <c r="AB138">
        <f t="shared" si="59"/>
        <v>8777.6999999999989</v>
      </c>
      <c r="AC138">
        <f t="shared" si="60"/>
        <v>0</v>
      </c>
      <c r="AD138">
        <f t="shared" si="61"/>
        <v>2011.9166666666667</v>
      </c>
      <c r="AE138">
        <f t="shared" si="62"/>
        <v>2018.0833333333333</v>
      </c>
      <c r="AF138">
        <f t="shared" si="63"/>
        <v>2016.9166666666667</v>
      </c>
      <c r="AG138">
        <f t="shared" si="64"/>
        <v>2017.0833333333333</v>
      </c>
      <c r="AH138">
        <f t="shared" si="65"/>
        <v>-8.3333333333333329E-2</v>
      </c>
      <c r="AJ138">
        <f t="shared" si="66"/>
        <v>0</v>
      </c>
      <c r="AL138">
        <f t="shared" si="67"/>
        <v>0</v>
      </c>
      <c r="AN138">
        <f t="shared" si="68"/>
        <v>0</v>
      </c>
      <c r="AP138">
        <f t="shared" si="69"/>
        <v>0</v>
      </c>
      <c r="AR138">
        <f t="shared" si="70"/>
        <v>0</v>
      </c>
    </row>
    <row r="139" spans="1:44">
      <c r="B139">
        <v>108086</v>
      </c>
      <c r="C139">
        <v>3604</v>
      </c>
      <c r="D139" t="s">
        <v>488</v>
      </c>
      <c r="E139">
        <v>2013</v>
      </c>
      <c r="F139">
        <v>10</v>
      </c>
      <c r="G139">
        <v>0</v>
      </c>
      <c r="I139" t="s">
        <v>78</v>
      </c>
      <c r="J139">
        <v>3</v>
      </c>
      <c r="K139">
        <f t="shared" si="49"/>
        <v>2016</v>
      </c>
      <c r="N139">
        <v>23561.96</v>
      </c>
      <c r="P139">
        <f t="shared" si="50"/>
        <v>23561.96</v>
      </c>
      <c r="Q139">
        <f t="shared" si="51"/>
        <v>654.49888888888893</v>
      </c>
      <c r="R139">
        <f t="shared" si="52"/>
        <v>0</v>
      </c>
      <c r="S139">
        <f t="shared" si="53"/>
        <v>0</v>
      </c>
      <c r="T139">
        <f t="shared" si="54"/>
        <v>0</v>
      </c>
      <c r="U139">
        <v>1</v>
      </c>
      <c r="V139">
        <f t="shared" si="55"/>
        <v>0</v>
      </c>
      <c r="X139">
        <f t="shared" si="56"/>
        <v>23561.96</v>
      </c>
      <c r="Y139">
        <f t="shared" si="57"/>
        <v>23561.96</v>
      </c>
      <c r="Z139">
        <v>1</v>
      </c>
      <c r="AA139">
        <f t="shared" si="58"/>
        <v>23561.96</v>
      </c>
      <c r="AB139">
        <f t="shared" si="59"/>
        <v>23561.96</v>
      </c>
      <c r="AC139">
        <f t="shared" si="60"/>
        <v>0</v>
      </c>
      <c r="AD139">
        <f t="shared" si="61"/>
        <v>2013.75</v>
      </c>
      <c r="AE139">
        <f t="shared" si="62"/>
        <v>2018.0833333333333</v>
      </c>
      <c r="AF139">
        <f t="shared" si="63"/>
        <v>2016.75</v>
      </c>
      <c r="AG139">
        <f t="shared" si="64"/>
        <v>2017.0833333333333</v>
      </c>
      <c r="AH139">
        <f t="shared" si="65"/>
        <v>-8.3333333333333329E-2</v>
      </c>
      <c r="AJ139">
        <f t="shared" si="66"/>
        <v>0</v>
      </c>
      <c r="AL139">
        <f t="shared" si="67"/>
        <v>0</v>
      </c>
      <c r="AN139">
        <f t="shared" si="68"/>
        <v>0</v>
      </c>
      <c r="AP139">
        <f t="shared" si="69"/>
        <v>0</v>
      </c>
      <c r="AR139">
        <f t="shared" si="70"/>
        <v>0</v>
      </c>
    </row>
    <row r="140" spans="1:44">
      <c r="B140" t="s">
        <v>594</v>
      </c>
      <c r="D140" t="s">
        <v>590</v>
      </c>
      <c r="E140">
        <v>2016</v>
      </c>
      <c r="F140">
        <v>4</v>
      </c>
      <c r="G140">
        <v>0</v>
      </c>
      <c r="I140" t="s">
        <v>78</v>
      </c>
      <c r="J140">
        <v>1</v>
      </c>
      <c r="K140">
        <f t="shared" si="49"/>
        <v>2017</v>
      </c>
      <c r="N140">
        <f>((14612.94+16641.82+675)/75)*14</f>
        <v>5960.2218666666668</v>
      </c>
      <c r="P140">
        <f t="shared" si="50"/>
        <v>5960.2218666666668</v>
      </c>
      <c r="Q140">
        <f t="shared" si="51"/>
        <v>496.68515555555558</v>
      </c>
      <c r="R140">
        <f t="shared" si="52"/>
        <v>993.37031111156284</v>
      </c>
      <c r="S140">
        <f t="shared" si="53"/>
        <v>0</v>
      </c>
      <c r="T140">
        <f t="shared" si="54"/>
        <v>993.37031111156284</v>
      </c>
      <c r="U140">
        <v>1</v>
      </c>
      <c r="V140">
        <f t="shared" si="55"/>
        <v>993.37031111156284</v>
      </c>
      <c r="X140">
        <f t="shared" si="56"/>
        <v>4966.8515555551039</v>
      </c>
      <c r="Y140">
        <f t="shared" si="57"/>
        <v>4966.8515555551039</v>
      </c>
      <c r="Z140">
        <v>1</v>
      </c>
      <c r="AA140">
        <f t="shared" si="58"/>
        <v>4966.8515555551039</v>
      </c>
      <c r="AB140">
        <f t="shared" si="59"/>
        <v>5960.2218666666668</v>
      </c>
      <c r="AC140">
        <f t="shared" si="60"/>
        <v>496.68515555578142</v>
      </c>
      <c r="AD140">
        <f t="shared" si="61"/>
        <v>2016.25</v>
      </c>
      <c r="AE140">
        <f t="shared" si="62"/>
        <v>2018.0833333333333</v>
      </c>
      <c r="AF140">
        <f t="shared" si="63"/>
        <v>2017.25</v>
      </c>
      <c r="AG140">
        <f t="shared" si="64"/>
        <v>2017.0833333333333</v>
      </c>
      <c r="AH140">
        <f t="shared" si="65"/>
        <v>-8.3333333333333329E-2</v>
      </c>
      <c r="AJ140">
        <f t="shared" si="66"/>
        <v>0</v>
      </c>
      <c r="AL140">
        <f t="shared" si="67"/>
        <v>993.37031111156284</v>
      </c>
      <c r="AN140">
        <f t="shared" si="68"/>
        <v>0</v>
      </c>
      <c r="AP140">
        <f t="shared" si="69"/>
        <v>0</v>
      </c>
      <c r="AR140">
        <f t="shared" si="70"/>
        <v>496.68515555578142</v>
      </c>
    </row>
    <row r="141" spans="1:44">
      <c r="B141" t="s">
        <v>600</v>
      </c>
      <c r="C141">
        <v>5049</v>
      </c>
      <c r="D141" t="s">
        <v>601</v>
      </c>
      <c r="E141">
        <v>2016</v>
      </c>
      <c r="F141">
        <v>11</v>
      </c>
      <c r="G141">
        <v>0</v>
      </c>
      <c r="I141" t="s">
        <v>78</v>
      </c>
      <c r="J141">
        <v>10</v>
      </c>
      <c r="K141">
        <f t="shared" si="49"/>
        <v>2026</v>
      </c>
      <c r="N141">
        <f>230356.84+152.33</f>
        <v>230509.16999999998</v>
      </c>
      <c r="P141">
        <f t="shared" si="50"/>
        <v>230509.16999999998</v>
      </c>
      <c r="Q141">
        <f t="shared" si="51"/>
        <v>1920.9097499999998</v>
      </c>
      <c r="R141">
        <f t="shared" si="52"/>
        <v>23050.916999999998</v>
      </c>
      <c r="S141">
        <f t="shared" si="53"/>
        <v>0</v>
      </c>
      <c r="T141">
        <f t="shared" si="54"/>
        <v>23050.916999999998</v>
      </c>
      <c r="U141">
        <v>1</v>
      </c>
      <c r="V141">
        <f t="shared" si="55"/>
        <v>23050.916999999998</v>
      </c>
      <c r="X141">
        <f t="shared" si="56"/>
        <v>5762.7292499999994</v>
      </c>
      <c r="Y141">
        <f t="shared" si="57"/>
        <v>5762.7292499999994</v>
      </c>
      <c r="Z141">
        <v>1</v>
      </c>
      <c r="AA141">
        <f t="shared" si="58"/>
        <v>5762.7292499999994</v>
      </c>
      <c r="AB141">
        <f t="shared" si="59"/>
        <v>28813.646249999998</v>
      </c>
      <c r="AC141">
        <f t="shared" si="60"/>
        <v>213220.98225</v>
      </c>
      <c r="AD141">
        <f t="shared" si="61"/>
        <v>2016.8333333333333</v>
      </c>
      <c r="AE141">
        <f t="shared" si="62"/>
        <v>2018.0833333333333</v>
      </c>
      <c r="AF141">
        <f t="shared" si="63"/>
        <v>2026.8333333333333</v>
      </c>
      <c r="AG141">
        <f t="shared" si="64"/>
        <v>2017.0833333333333</v>
      </c>
      <c r="AH141">
        <f t="shared" si="65"/>
        <v>-8.3333333333333329E-2</v>
      </c>
      <c r="AJ141">
        <f t="shared" si="66"/>
        <v>0</v>
      </c>
      <c r="AL141">
        <f t="shared" si="67"/>
        <v>23050.916999999998</v>
      </c>
      <c r="AN141">
        <f t="shared" si="68"/>
        <v>0</v>
      </c>
      <c r="AP141">
        <f t="shared" si="69"/>
        <v>0</v>
      </c>
      <c r="AR141">
        <f t="shared" si="70"/>
        <v>213220.98225</v>
      </c>
    </row>
    <row r="142" spans="1:44">
      <c r="B142">
        <v>170000</v>
      </c>
      <c r="C142">
        <v>5048</v>
      </c>
      <c r="D142" t="s">
        <v>599</v>
      </c>
      <c r="E142">
        <v>2016</v>
      </c>
      <c r="F142">
        <v>11</v>
      </c>
      <c r="G142">
        <v>0</v>
      </c>
      <c r="I142" t="s">
        <v>78</v>
      </c>
      <c r="J142">
        <v>10</v>
      </c>
      <c r="K142">
        <f t="shared" si="49"/>
        <v>2026</v>
      </c>
      <c r="N142">
        <v>230356.84</v>
      </c>
      <c r="P142">
        <f t="shared" si="50"/>
        <v>230356.84</v>
      </c>
      <c r="Q142">
        <f t="shared" si="51"/>
        <v>1919.6403333333335</v>
      </c>
      <c r="R142">
        <f t="shared" si="52"/>
        <v>23035.684000000001</v>
      </c>
      <c r="S142">
        <f t="shared" si="53"/>
        <v>0</v>
      </c>
      <c r="T142">
        <f t="shared" si="54"/>
        <v>23035.684000000001</v>
      </c>
      <c r="U142">
        <v>1</v>
      </c>
      <c r="V142">
        <f t="shared" si="55"/>
        <v>23035.684000000001</v>
      </c>
      <c r="X142">
        <f t="shared" si="56"/>
        <v>5758.9210000000003</v>
      </c>
      <c r="Y142">
        <f t="shared" si="57"/>
        <v>5758.9210000000003</v>
      </c>
      <c r="Z142">
        <v>1</v>
      </c>
      <c r="AA142">
        <f t="shared" si="58"/>
        <v>5758.9210000000003</v>
      </c>
      <c r="AB142">
        <f t="shared" si="59"/>
        <v>28794.605000000003</v>
      </c>
      <c r="AC142">
        <f t="shared" si="60"/>
        <v>213080.07699999999</v>
      </c>
      <c r="AD142">
        <f t="shared" si="61"/>
        <v>2016.8333333333333</v>
      </c>
      <c r="AE142">
        <f t="shared" si="62"/>
        <v>2018.0833333333333</v>
      </c>
      <c r="AF142">
        <f t="shared" si="63"/>
        <v>2026.8333333333333</v>
      </c>
      <c r="AG142">
        <f t="shared" si="64"/>
        <v>2017.0833333333333</v>
      </c>
      <c r="AH142">
        <f t="shared" si="65"/>
        <v>-8.3333333333333329E-2</v>
      </c>
      <c r="AJ142">
        <f t="shared" si="66"/>
        <v>0</v>
      </c>
      <c r="AL142">
        <f t="shared" si="67"/>
        <v>23035.684000000001</v>
      </c>
      <c r="AN142">
        <f t="shared" si="68"/>
        <v>0</v>
      </c>
      <c r="AP142">
        <f t="shared" si="69"/>
        <v>0</v>
      </c>
      <c r="AR142">
        <f t="shared" si="70"/>
        <v>213080.07699999999</v>
      </c>
    </row>
    <row r="143" spans="1:44">
      <c r="B143" t="s">
        <v>602</v>
      </c>
      <c r="C143">
        <v>5047</v>
      </c>
      <c r="D143" t="s">
        <v>601</v>
      </c>
      <c r="E143">
        <v>2016</v>
      </c>
      <c r="F143">
        <v>11</v>
      </c>
      <c r="G143">
        <v>0</v>
      </c>
      <c r="I143" t="s">
        <v>78</v>
      </c>
      <c r="J143">
        <v>10</v>
      </c>
      <c r="K143">
        <f t="shared" si="49"/>
        <v>2026</v>
      </c>
      <c r="N143">
        <f>230356.84+152.33</f>
        <v>230509.16999999998</v>
      </c>
      <c r="P143">
        <f t="shared" si="50"/>
        <v>230509.16999999998</v>
      </c>
      <c r="Q143">
        <f t="shared" si="51"/>
        <v>1920.9097499999998</v>
      </c>
      <c r="R143">
        <f t="shared" si="52"/>
        <v>23050.916999999998</v>
      </c>
      <c r="S143">
        <f t="shared" si="53"/>
        <v>0</v>
      </c>
      <c r="T143">
        <f t="shared" si="54"/>
        <v>23050.916999999998</v>
      </c>
      <c r="U143">
        <v>1</v>
      </c>
      <c r="V143">
        <f t="shared" si="55"/>
        <v>23050.916999999998</v>
      </c>
      <c r="X143">
        <f t="shared" si="56"/>
        <v>5762.7292499999994</v>
      </c>
      <c r="Y143">
        <f t="shared" si="57"/>
        <v>5762.7292499999994</v>
      </c>
      <c r="Z143">
        <v>1</v>
      </c>
      <c r="AA143">
        <f t="shared" si="58"/>
        <v>5762.7292499999994</v>
      </c>
      <c r="AB143">
        <f t="shared" si="59"/>
        <v>28813.646249999998</v>
      </c>
      <c r="AC143">
        <f t="shared" si="60"/>
        <v>213220.98225</v>
      </c>
      <c r="AD143">
        <f t="shared" si="61"/>
        <v>2016.8333333333333</v>
      </c>
      <c r="AE143">
        <f t="shared" si="62"/>
        <v>2018.0833333333333</v>
      </c>
      <c r="AF143">
        <f t="shared" si="63"/>
        <v>2026.8333333333333</v>
      </c>
      <c r="AG143">
        <f t="shared" si="64"/>
        <v>2017.0833333333333</v>
      </c>
      <c r="AH143">
        <f t="shared" si="65"/>
        <v>-8.3333333333333329E-2</v>
      </c>
      <c r="AJ143">
        <f t="shared" si="66"/>
        <v>0</v>
      </c>
      <c r="AL143">
        <f t="shared" si="67"/>
        <v>23050.916999999998</v>
      </c>
      <c r="AN143">
        <f t="shared" si="68"/>
        <v>0</v>
      </c>
      <c r="AP143">
        <f t="shared" si="69"/>
        <v>0</v>
      </c>
      <c r="AR143">
        <f t="shared" si="70"/>
        <v>213220.98225</v>
      </c>
    </row>
    <row r="145" spans="1:44">
      <c r="C145">
        <v>18</v>
      </c>
      <c r="D145" t="s">
        <v>405</v>
      </c>
      <c r="N145">
        <f>SUM(N119:N144)</f>
        <v>2548840.2618666664</v>
      </c>
      <c r="P145">
        <f>SUM(P119:P144)</f>
        <v>2183565.2180666672</v>
      </c>
      <c r="Q145">
        <f>SUM(Q119:Q144)</f>
        <v>24608.199452539677</v>
      </c>
      <c r="R145">
        <f>SUM(R119:R144)</f>
        <v>70130.888311111557</v>
      </c>
      <c r="V145">
        <f>SUM(V119:V144)</f>
        <v>70130.888311111557</v>
      </c>
      <c r="AA145">
        <f>SUM(AA119:AA144)</f>
        <v>1508481.0472555559</v>
      </c>
      <c r="AB145">
        <f>SUM(AB119:AB144)</f>
        <v>1578611.935566667</v>
      </c>
      <c r="AC145">
        <f>SUM(AC119:AC144)</f>
        <v>1005293.7704555559</v>
      </c>
      <c r="AJ145">
        <f t="shared" ref="AJ145:AR145" si="71">SUM(AJ119:AJ144)</f>
        <v>121758.34793333332</v>
      </c>
      <c r="AL145">
        <f t="shared" si="71"/>
        <v>191889.23624444488</v>
      </c>
      <c r="AN145">
        <f t="shared" si="71"/>
        <v>-365275.04380000004</v>
      </c>
      <c r="AP145">
        <f t="shared" si="71"/>
        <v>0</v>
      </c>
      <c r="AR145">
        <f t="shared" si="71"/>
        <v>640018.72665555577</v>
      </c>
    </row>
    <row r="148" spans="1:44">
      <c r="D148" t="s">
        <v>387</v>
      </c>
    </row>
    <row r="151" spans="1:44">
      <c r="C151">
        <v>2</v>
      </c>
      <c r="D151" t="s">
        <v>406</v>
      </c>
      <c r="N151">
        <f>SUM(N150:N150)</f>
        <v>0</v>
      </c>
      <c r="P151">
        <f>SUM(P150:P150)</f>
        <v>0</v>
      </c>
      <c r="Q151">
        <f>SUM(Q150:Q150)</f>
        <v>0</v>
      </c>
      <c r="R151">
        <f>SUM(R150:R150)</f>
        <v>0</v>
      </c>
      <c r="V151">
        <f>SUM(V150:V150)</f>
        <v>0</v>
      </c>
      <c r="AA151">
        <f>SUM(AA150:AA150)</f>
        <v>0</v>
      </c>
      <c r="AB151">
        <f>SUM(AB150:AB150)</f>
        <v>0</v>
      </c>
      <c r="AC151">
        <f>SUM(AC150:AC150)</f>
        <v>0</v>
      </c>
    </row>
    <row r="154" spans="1:44">
      <c r="D154" t="s">
        <v>295</v>
      </c>
    </row>
    <row r="156" spans="1:44">
      <c r="A156" t="s">
        <v>284</v>
      </c>
      <c r="C156">
        <v>3558</v>
      </c>
      <c r="D156" t="s">
        <v>379</v>
      </c>
      <c r="E156">
        <v>2000</v>
      </c>
      <c r="F156">
        <v>5</v>
      </c>
      <c r="G156">
        <v>0.2</v>
      </c>
      <c r="I156" t="s">
        <v>78</v>
      </c>
      <c r="J156">
        <v>7</v>
      </c>
      <c r="K156">
        <f t="shared" ref="K156:K162" si="72">E156+J156</f>
        <v>2007</v>
      </c>
      <c r="N156">
        <v>150337.32</v>
      </c>
      <c r="P156">
        <f t="shared" ref="P156:P162" si="73">N156-N156*G156</f>
        <v>120269.856</v>
      </c>
      <c r="Q156">
        <f t="shared" ref="Q156:Q162" si="74">P156/J156/12</f>
        <v>1431.7839999999999</v>
      </c>
      <c r="R156">
        <f t="shared" ref="R156:R161" si="75">IF(O156&gt;0,0,IF(OR(AD156&gt;AE156,AF156&lt;AG156),0,IF(AND(AF156&gt;=AG156,AF156&lt;=AE156),Q156*((AF156-AG156)*12),IF(AND(AG156&lt;=AD156,AE156&gt;=AD156),((AE156-AD156)*12)*Q156,IF(AF156&gt;AE156,12*Q156,0)))))</f>
        <v>0</v>
      </c>
      <c r="S156">
        <f t="shared" ref="S156:S161" si="76">IF(O156=0,0,IF(AND(AH156&gt;=AG156,AH156&lt;=AF156),((AH156-AG156)*12)*Q156,0))</f>
        <v>0</v>
      </c>
      <c r="T156">
        <f t="shared" ref="T156:T161" si="77">IF(S156&gt;0,S156,R156)</f>
        <v>0</v>
      </c>
      <c r="U156">
        <v>1</v>
      </c>
      <c r="V156">
        <f t="shared" ref="V156:V161" si="78">U156*SUM(R156:S156)</f>
        <v>0</v>
      </c>
      <c r="X156">
        <f t="shared" ref="X156:X161" si="79">IF(AD156&gt;AE156,0,IF(AF156&lt;AG156,P156,IF(AND(AF156&gt;=AG156,AF156&lt;=AE156),(P156-T156),IF(AND(AG156&lt;=AD156,AE156&gt;=AD156),0,IF(AF156&gt;AE156,((AG156-AD156)*12)*Q156,0)))))</f>
        <v>120269.856</v>
      </c>
      <c r="Y156">
        <f t="shared" ref="Y156:Y161" si="80">X156*U156</f>
        <v>120269.856</v>
      </c>
      <c r="Z156">
        <v>1</v>
      </c>
      <c r="AA156">
        <f t="shared" ref="AA156:AA161" si="81">Y156*Z156</f>
        <v>120269.856</v>
      </c>
      <c r="AB156">
        <f t="shared" ref="AB156:AB161" si="82">IF(O156&gt;0,0,AA156+V156*Z156)*Z156</f>
        <v>120269.856</v>
      </c>
      <c r="AC156">
        <f t="shared" ref="AC156:AC161" si="83">IF(O156&gt;0,(N156-AA156)/2,IF(AD156&gt;=AG156,(((N156*U156)*Z156)-AB156)/2,((((N156*U156)*Z156)-AA156)+(((N156*U156)*Z156)-AB156))/2))</f>
        <v>30067.464000000007</v>
      </c>
      <c r="AD156">
        <f t="shared" ref="AD156:AD162" si="84">$E156+(($F156-1)/12)</f>
        <v>2000.3333333333333</v>
      </c>
      <c r="AE156">
        <f t="shared" ref="AE156:AE162" si="85">($P$5+1)-($P$2/12)</f>
        <v>2018.0833333333333</v>
      </c>
      <c r="AF156">
        <f t="shared" ref="AF156:AF162" si="86">$K156+(($F156-1)/12)</f>
        <v>2007.3333333333333</v>
      </c>
      <c r="AG156">
        <f t="shared" ref="AG156:AG162" si="87">$P$4+($P$3/12)</f>
        <v>2017.0833333333333</v>
      </c>
      <c r="AH156">
        <f t="shared" ref="AH156:AH162" si="88">$L156+(($M156-1)/12)</f>
        <v>-8.3333333333333329E-2</v>
      </c>
      <c r="AJ156">
        <f>+IF((AF156-AG156)&gt;3,((N156-P156)/(AF156-AG156)),(N156-P156)/3)</f>
        <v>10022.488000000003</v>
      </c>
      <c r="AL156">
        <f>+AJ156+V156</f>
        <v>10022.488000000003</v>
      </c>
      <c r="AN156">
        <f>+IF(AF156&lt;AG156,-AC156,0)</f>
        <v>-30067.464000000007</v>
      </c>
      <c r="AP156">
        <f>IF(AF156&gt;AG156,IF(AJ156&gt;0,IF(O156&gt;0,(N156-AA156)/2,IF(AD156&gt;=AG156,(((N156*U156)*Z156)-(AB156+AJ156))/2,((((N156*U156)*Z156)-AA156)+(((N156*U156)*Z156)-(AB156+AJ156)))/2)),0),0)</f>
        <v>0</v>
      </c>
      <c r="AR156">
        <f>+AC156+AN156+(IF(AP156&gt;0,(AP156-AC156),0))</f>
        <v>0</v>
      </c>
    </row>
    <row r="157" spans="1:44">
      <c r="A157" t="s">
        <v>284</v>
      </c>
      <c r="C157">
        <v>3572</v>
      </c>
      <c r="D157" t="s">
        <v>380</v>
      </c>
      <c r="E157">
        <v>2003</v>
      </c>
      <c r="F157">
        <v>1</v>
      </c>
      <c r="G157">
        <v>0.2</v>
      </c>
      <c r="I157" t="s">
        <v>78</v>
      </c>
      <c r="J157">
        <v>7</v>
      </c>
      <c r="K157">
        <f t="shared" si="72"/>
        <v>2010</v>
      </c>
      <c r="N157">
        <v>160624.26</v>
      </c>
      <c r="P157">
        <f t="shared" si="73"/>
        <v>128499.40800000001</v>
      </c>
      <c r="Q157">
        <f t="shared" si="74"/>
        <v>1529.7548571428572</v>
      </c>
      <c r="R157">
        <f t="shared" si="75"/>
        <v>0</v>
      </c>
      <c r="S157">
        <f t="shared" si="76"/>
        <v>0</v>
      </c>
      <c r="T157">
        <f t="shared" si="77"/>
        <v>0</v>
      </c>
      <c r="U157">
        <v>1</v>
      </c>
      <c r="V157">
        <f t="shared" si="78"/>
        <v>0</v>
      </c>
      <c r="X157">
        <f t="shared" si="79"/>
        <v>128499.40800000001</v>
      </c>
      <c r="Y157">
        <f t="shared" si="80"/>
        <v>128499.40800000001</v>
      </c>
      <c r="Z157">
        <v>1</v>
      </c>
      <c r="AA157">
        <f t="shared" si="81"/>
        <v>128499.40800000001</v>
      </c>
      <c r="AB157">
        <f t="shared" si="82"/>
        <v>128499.40800000001</v>
      </c>
      <c r="AC157">
        <f t="shared" si="83"/>
        <v>32124.851999999999</v>
      </c>
      <c r="AD157">
        <f t="shared" si="84"/>
        <v>2003</v>
      </c>
      <c r="AE157">
        <f t="shared" si="85"/>
        <v>2018.0833333333333</v>
      </c>
      <c r="AF157">
        <f t="shared" si="86"/>
        <v>2010</v>
      </c>
      <c r="AG157">
        <f t="shared" si="87"/>
        <v>2017.0833333333333</v>
      </c>
      <c r="AH157">
        <f t="shared" si="88"/>
        <v>-8.3333333333333329E-2</v>
      </c>
      <c r="AJ157">
        <f t="shared" ref="AJ157:AJ162" si="89">+IF((AF157-AG157)&gt;3,((N157-P157)/(AF157-AG157)),(N157-P157)/3)</f>
        <v>10708.284</v>
      </c>
      <c r="AL157">
        <f t="shared" ref="AL157:AL162" si="90">+AJ157+V157</f>
        <v>10708.284</v>
      </c>
      <c r="AN157">
        <f t="shared" ref="AN157:AN162" si="91">+IF(AF157&lt;AG157,-AC157,0)</f>
        <v>-32124.851999999999</v>
      </c>
      <c r="AP157">
        <f t="shared" ref="AP157:AP162" si="92">IF(AF157&gt;AG157,IF(AJ157&gt;0,IF(O157&gt;0,(N157-AA157)/2,IF(AD157&gt;=AG157,(((N157*U157)*Z157)-(AB157+AJ157))/2,((((N157*U157)*Z157)-AA157)+(((N157*U157)*Z157)-(AB157+AJ157)))/2)),0),0)</f>
        <v>0</v>
      </c>
      <c r="AR157">
        <f t="shared" ref="AR157:AR162" si="93">+AC157+AN157+(IF(AP157&gt;0,(AP157-AC157),0))</f>
        <v>0</v>
      </c>
    </row>
    <row r="158" spans="1:44">
      <c r="A158" t="s">
        <v>284</v>
      </c>
      <c r="C158">
        <v>3605</v>
      </c>
      <c r="D158" t="s">
        <v>381</v>
      </c>
      <c r="E158">
        <v>2007</v>
      </c>
      <c r="F158">
        <v>7</v>
      </c>
      <c r="G158">
        <v>0.2</v>
      </c>
      <c r="I158" t="s">
        <v>78</v>
      </c>
      <c r="J158">
        <v>7</v>
      </c>
      <c r="K158">
        <f t="shared" si="72"/>
        <v>2014</v>
      </c>
      <c r="N158">
        <v>194705.04</v>
      </c>
      <c r="P158">
        <f t="shared" si="73"/>
        <v>155764.03200000001</v>
      </c>
      <c r="Q158">
        <f t="shared" si="74"/>
        <v>1854.3337142857144</v>
      </c>
      <c r="R158">
        <f t="shared" si="75"/>
        <v>0</v>
      </c>
      <c r="S158">
        <f t="shared" si="76"/>
        <v>0</v>
      </c>
      <c r="T158">
        <f t="shared" si="77"/>
        <v>0</v>
      </c>
      <c r="U158">
        <v>1</v>
      </c>
      <c r="V158">
        <f t="shared" si="78"/>
        <v>0</v>
      </c>
      <c r="X158">
        <f t="shared" si="79"/>
        <v>155764.03200000001</v>
      </c>
      <c r="Y158">
        <f t="shared" si="80"/>
        <v>155764.03200000001</v>
      </c>
      <c r="Z158">
        <v>1</v>
      </c>
      <c r="AA158">
        <f t="shared" si="81"/>
        <v>155764.03200000001</v>
      </c>
      <c r="AB158">
        <f t="shared" si="82"/>
        <v>155764.03200000001</v>
      </c>
      <c r="AC158">
        <f t="shared" si="83"/>
        <v>38941.008000000002</v>
      </c>
      <c r="AD158">
        <f t="shared" si="84"/>
        <v>2007.5</v>
      </c>
      <c r="AE158">
        <f t="shared" si="85"/>
        <v>2018.0833333333333</v>
      </c>
      <c r="AF158">
        <f t="shared" si="86"/>
        <v>2014.5</v>
      </c>
      <c r="AG158">
        <f t="shared" si="87"/>
        <v>2017.0833333333333</v>
      </c>
      <c r="AH158">
        <f t="shared" si="88"/>
        <v>-8.3333333333333329E-2</v>
      </c>
      <c r="AJ158">
        <f t="shared" si="89"/>
        <v>12980.336000000001</v>
      </c>
      <c r="AL158">
        <f t="shared" si="90"/>
        <v>12980.336000000001</v>
      </c>
      <c r="AN158">
        <f t="shared" si="91"/>
        <v>-38941.008000000002</v>
      </c>
      <c r="AP158">
        <f t="shared" si="92"/>
        <v>0</v>
      </c>
      <c r="AR158">
        <f t="shared" si="93"/>
        <v>0</v>
      </c>
    </row>
    <row r="159" spans="1:44">
      <c r="A159" t="s">
        <v>284</v>
      </c>
      <c r="C159">
        <v>3558</v>
      </c>
      <c r="D159" t="s">
        <v>339</v>
      </c>
      <c r="E159">
        <v>2009</v>
      </c>
      <c r="F159">
        <v>5</v>
      </c>
      <c r="G159">
        <v>0</v>
      </c>
      <c r="I159" t="s">
        <v>78</v>
      </c>
      <c r="J159">
        <v>3</v>
      </c>
      <c r="K159">
        <f t="shared" si="72"/>
        <v>2012</v>
      </c>
      <c r="N159">
        <v>2685.06</v>
      </c>
      <c r="P159">
        <f t="shared" si="73"/>
        <v>2685.06</v>
      </c>
      <c r="Q159">
        <f t="shared" si="74"/>
        <v>74.584999999999994</v>
      </c>
      <c r="R159">
        <f t="shared" si="75"/>
        <v>0</v>
      </c>
      <c r="S159">
        <f t="shared" si="76"/>
        <v>0</v>
      </c>
      <c r="T159">
        <f t="shared" si="77"/>
        <v>0</v>
      </c>
      <c r="U159">
        <v>1</v>
      </c>
      <c r="V159">
        <f t="shared" si="78"/>
        <v>0</v>
      </c>
      <c r="X159">
        <f t="shared" si="79"/>
        <v>2685.06</v>
      </c>
      <c r="Y159">
        <f t="shared" si="80"/>
        <v>2685.06</v>
      </c>
      <c r="Z159">
        <v>1</v>
      </c>
      <c r="AA159">
        <f t="shared" si="81"/>
        <v>2685.06</v>
      </c>
      <c r="AB159">
        <f t="shared" si="82"/>
        <v>2685.06</v>
      </c>
      <c r="AC159">
        <f t="shared" si="83"/>
        <v>0</v>
      </c>
      <c r="AD159">
        <f t="shared" si="84"/>
        <v>2009.3333333333333</v>
      </c>
      <c r="AE159">
        <f t="shared" si="85"/>
        <v>2018.0833333333333</v>
      </c>
      <c r="AF159">
        <f t="shared" si="86"/>
        <v>2012.3333333333333</v>
      </c>
      <c r="AG159">
        <f t="shared" si="87"/>
        <v>2017.0833333333333</v>
      </c>
      <c r="AH159">
        <f t="shared" si="88"/>
        <v>-8.3333333333333329E-2</v>
      </c>
      <c r="AJ159">
        <f t="shared" si="89"/>
        <v>0</v>
      </c>
      <c r="AL159">
        <f t="shared" si="90"/>
        <v>0</v>
      </c>
      <c r="AN159">
        <f t="shared" si="91"/>
        <v>0</v>
      </c>
      <c r="AP159">
        <f t="shared" si="92"/>
        <v>0</v>
      </c>
      <c r="AR159">
        <f t="shared" si="93"/>
        <v>0</v>
      </c>
    </row>
    <row r="160" spans="1:44">
      <c r="A160" t="s">
        <v>284</v>
      </c>
      <c r="C160">
        <v>3572</v>
      </c>
      <c r="D160" t="s">
        <v>340</v>
      </c>
      <c r="E160">
        <v>2009</v>
      </c>
      <c r="F160">
        <v>5</v>
      </c>
      <c r="G160">
        <v>0</v>
      </c>
      <c r="I160" t="s">
        <v>78</v>
      </c>
      <c r="J160">
        <v>3</v>
      </c>
      <c r="K160">
        <f t="shared" si="72"/>
        <v>2012</v>
      </c>
      <c r="N160">
        <v>3162.58</v>
      </c>
      <c r="P160">
        <f t="shared" si="73"/>
        <v>3162.58</v>
      </c>
      <c r="Q160">
        <f t="shared" si="74"/>
        <v>87.849444444444444</v>
      </c>
      <c r="R160">
        <f t="shared" si="75"/>
        <v>0</v>
      </c>
      <c r="S160">
        <f t="shared" si="76"/>
        <v>0</v>
      </c>
      <c r="T160">
        <f t="shared" si="77"/>
        <v>0</v>
      </c>
      <c r="U160">
        <v>1</v>
      </c>
      <c r="V160">
        <f t="shared" si="78"/>
        <v>0</v>
      </c>
      <c r="X160">
        <f t="shared" si="79"/>
        <v>3162.58</v>
      </c>
      <c r="Y160">
        <f t="shared" si="80"/>
        <v>3162.58</v>
      </c>
      <c r="Z160">
        <v>1</v>
      </c>
      <c r="AA160">
        <f t="shared" si="81"/>
        <v>3162.58</v>
      </c>
      <c r="AB160">
        <f t="shared" si="82"/>
        <v>3162.58</v>
      </c>
      <c r="AC160">
        <f t="shared" si="83"/>
        <v>0</v>
      </c>
      <c r="AD160">
        <f t="shared" si="84"/>
        <v>2009.3333333333333</v>
      </c>
      <c r="AE160">
        <f t="shared" si="85"/>
        <v>2018.0833333333333</v>
      </c>
      <c r="AF160">
        <f t="shared" si="86"/>
        <v>2012.3333333333333</v>
      </c>
      <c r="AG160">
        <f t="shared" si="87"/>
        <v>2017.0833333333333</v>
      </c>
      <c r="AH160">
        <f t="shared" si="88"/>
        <v>-8.3333333333333329E-2</v>
      </c>
      <c r="AJ160">
        <f t="shared" si="89"/>
        <v>0</v>
      </c>
      <c r="AL160">
        <f t="shared" si="90"/>
        <v>0</v>
      </c>
      <c r="AN160">
        <f t="shared" si="91"/>
        <v>0</v>
      </c>
      <c r="AP160">
        <f t="shared" si="92"/>
        <v>0</v>
      </c>
      <c r="AR160">
        <f t="shared" si="93"/>
        <v>0</v>
      </c>
    </row>
    <row r="161" spans="1:44">
      <c r="B161">
        <v>88721</v>
      </c>
      <c r="D161" t="s">
        <v>441</v>
      </c>
      <c r="E161">
        <v>2011</v>
      </c>
      <c r="F161">
        <v>12</v>
      </c>
      <c r="G161">
        <v>0</v>
      </c>
      <c r="I161" t="s">
        <v>78</v>
      </c>
      <c r="J161">
        <v>5</v>
      </c>
      <c r="K161">
        <f t="shared" si="72"/>
        <v>2016</v>
      </c>
      <c r="N161">
        <f>487.65*3</f>
        <v>1462.9499999999998</v>
      </c>
      <c r="P161">
        <f t="shared" si="73"/>
        <v>1462.9499999999998</v>
      </c>
      <c r="Q161">
        <f t="shared" si="74"/>
        <v>24.382499999999997</v>
      </c>
      <c r="R161">
        <f t="shared" si="75"/>
        <v>0</v>
      </c>
      <c r="S161">
        <f t="shared" si="76"/>
        <v>0</v>
      </c>
      <c r="T161">
        <f t="shared" si="77"/>
        <v>0</v>
      </c>
      <c r="U161">
        <v>1</v>
      </c>
      <c r="V161">
        <f t="shared" si="78"/>
        <v>0</v>
      </c>
      <c r="X161">
        <f t="shared" si="79"/>
        <v>1462.9499999999998</v>
      </c>
      <c r="Y161">
        <f t="shared" si="80"/>
        <v>1462.9499999999998</v>
      </c>
      <c r="Z161">
        <v>1</v>
      </c>
      <c r="AA161">
        <f t="shared" si="81"/>
        <v>1462.9499999999998</v>
      </c>
      <c r="AB161">
        <f t="shared" si="82"/>
        <v>1462.9499999999998</v>
      </c>
      <c r="AC161">
        <f t="shared" si="83"/>
        <v>0</v>
      </c>
      <c r="AD161">
        <f t="shared" si="84"/>
        <v>2011.9166666666667</v>
      </c>
      <c r="AE161">
        <f t="shared" si="85"/>
        <v>2018.0833333333333</v>
      </c>
      <c r="AF161">
        <f t="shared" si="86"/>
        <v>2016.9166666666667</v>
      </c>
      <c r="AG161">
        <f t="shared" si="87"/>
        <v>2017.0833333333333</v>
      </c>
      <c r="AH161">
        <f t="shared" si="88"/>
        <v>-8.3333333333333329E-2</v>
      </c>
      <c r="AJ161">
        <f t="shared" si="89"/>
        <v>0</v>
      </c>
      <c r="AL161">
        <f t="shared" si="90"/>
        <v>0</v>
      </c>
      <c r="AN161">
        <f t="shared" si="91"/>
        <v>0</v>
      </c>
      <c r="AP161">
        <f t="shared" si="92"/>
        <v>0</v>
      </c>
      <c r="AR161">
        <f t="shared" si="93"/>
        <v>0</v>
      </c>
    </row>
    <row r="162" spans="1:44">
      <c r="B162" t="s">
        <v>594</v>
      </c>
      <c r="D162" t="s">
        <v>591</v>
      </c>
      <c r="E162">
        <v>2016</v>
      </c>
      <c r="F162">
        <v>4</v>
      </c>
      <c r="G162">
        <v>0</v>
      </c>
      <c r="I162" t="s">
        <v>78</v>
      </c>
      <c r="J162">
        <v>1</v>
      </c>
      <c r="K162">
        <f t="shared" si="72"/>
        <v>2017</v>
      </c>
      <c r="N162">
        <f>((14612.94+16641.82+675)/75)*3</f>
        <v>1277.1904</v>
      </c>
      <c r="P162">
        <f t="shared" si="73"/>
        <v>1277.1904</v>
      </c>
      <c r="Q162">
        <f t="shared" si="74"/>
        <v>106.43253333333332</v>
      </c>
      <c r="R162">
        <f>IF(O162&gt;0,0,IF(OR(AD162&gt;AE162,AF162&lt;AG162),0,IF(AND(AF162&gt;=AG162,AF162&lt;=AE162),Q162*((AF162-AG162)*12),IF(AND(AG162&lt;=AD162,AE162&gt;=AD162),((AE162-AD162)*12)*Q162,IF(AF162&gt;AE162,12*Q162,0)))))</f>
        <v>212.86506666676345</v>
      </c>
      <c r="S162">
        <f>IF(O162=0,0,IF(AND(AH162&gt;=AG162,AH162&lt;=AF162),((AH162-AG162)*12)*Q162,0))</f>
        <v>0</v>
      </c>
      <c r="T162">
        <f>IF(S162&gt;0,S162,R162)</f>
        <v>212.86506666676345</v>
      </c>
      <c r="U162">
        <v>1</v>
      </c>
      <c r="V162">
        <f>U162*SUM(R162:S162)</f>
        <v>212.86506666676345</v>
      </c>
      <c r="X162">
        <f>IF(AD162&gt;AE162,0,IF(AF162&lt;AG162,P162,IF(AND(AF162&gt;=AG162,AF162&lt;=AE162),(P162-T162),IF(AND(AG162&lt;=AD162,AE162&gt;=AD162),0,IF(AF162&gt;AE162,((AG162-AD162)*12)*Q162,0)))))</f>
        <v>1064.3253333332366</v>
      </c>
      <c r="Y162">
        <f>X162*U162</f>
        <v>1064.3253333332366</v>
      </c>
      <c r="Z162">
        <v>1</v>
      </c>
      <c r="AA162">
        <f>Y162*Z162</f>
        <v>1064.3253333332366</v>
      </c>
      <c r="AB162">
        <f>IF(O162&gt;0,0,AA162+V162*Z162)*Z162</f>
        <v>1277.1904</v>
      </c>
      <c r="AC162">
        <f>IF(O162&gt;0,(N162-AA162)/2,IF(AD162&gt;=AG162,(((N162*U162)*Z162)-AB162)/2,((((N162*U162)*Z162)-AA162)+(((N162*U162)*Z162)-AB162))/2))</f>
        <v>106.43253333338168</v>
      </c>
      <c r="AD162">
        <f t="shared" si="84"/>
        <v>2016.25</v>
      </c>
      <c r="AE162">
        <f t="shared" si="85"/>
        <v>2018.0833333333333</v>
      </c>
      <c r="AF162">
        <f t="shared" si="86"/>
        <v>2017.25</v>
      </c>
      <c r="AG162">
        <f t="shared" si="87"/>
        <v>2017.0833333333333</v>
      </c>
      <c r="AH162">
        <f t="shared" si="88"/>
        <v>-8.3333333333333329E-2</v>
      </c>
      <c r="AJ162">
        <f t="shared" si="89"/>
        <v>0</v>
      </c>
      <c r="AL162">
        <f t="shared" si="90"/>
        <v>212.86506666676345</v>
      </c>
      <c r="AN162">
        <f t="shared" si="91"/>
        <v>0</v>
      </c>
      <c r="AP162">
        <f t="shared" si="92"/>
        <v>0</v>
      </c>
      <c r="AR162">
        <f t="shared" si="93"/>
        <v>106.43253333338168</v>
      </c>
    </row>
    <row r="164" spans="1:44">
      <c r="C164">
        <v>3</v>
      </c>
      <c r="D164" t="s">
        <v>277</v>
      </c>
      <c r="N164">
        <f>SUM(N156:N163)</f>
        <v>514254.40040000004</v>
      </c>
      <c r="P164">
        <f>SUM(P156:P163)</f>
        <v>413121.07640000008</v>
      </c>
      <c r="Q164">
        <f>SUM(Q156:Q163)</f>
        <v>5109.1220492063494</v>
      </c>
      <c r="R164">
        <f>SUM(R156:R163)</f>
        <v>212.86506666676345</v>
      </c>
      <c r="V164">
        <f>SUM(V156:V163)</f>
        <v>212.86506666676345</v>
      </c>
      <c r="AA164">
        <f>SUM(AA156:AA163)</f>
        <v>412908.21133333328</v>
      </c>
      <c r="AB164">
        <f>SUM(AB156:AB163)</f>
        <v>413121.07640000008</v>
      </c>
      <c r="AC164">
        <f>SUM(AC156:AC163)</f>
        <v>101239.75653333339</v>
      </c>
      <c r="AJ164">
        <f t="shared" ref="AJ164:AR164" si="94">SUM(AJ156:AJ163)</f>
        <v>33711.108000000007</v>
      </c>
      <c r="AL164">
        <f t="shared" si="94"/>
        <v>33923.973066666767</v>
      </c>
      <c r="AN164">
        <f t="shared" si="94"/>
        <v>-101133.32400000001</v>
      </c>
      <c r="AP164">
        <f t="shared" si="94"/>
        <v>0</v>
      </c>
      <c r="AR164">
        <f t="shared" si="94"/>
        <v>106.43253333338168</v>
      </c>
    </row>
    <row r="167" spans="1:44">
      <c r="D167" t="s">
        <v>532</v>
      </c>
    </row>
    <row r="169" spans="1:44">
      <c r="A169">
        <v>114264</v>
      </c>
      <c r="B169" t="s">
        <v>285</v>
      </c>
      <c r="C169">
        <v>1559</v>
      </c>
      <c r="D169" t="s">
        <v>533</v>
      </c>
      <c r="E169">
        <v>1992</v>
      </c>
      <c r="F169">
        <v>2</v>
      </c>
      <c r="G169">
        <v>0.33</v>
      </c>
      <c r="I169" t="s">
        <v>78</v>
      </c>
      <c r="J169">
        <v>5</v>
      </c>
      <c r="K169">
        <f t="shared" ref="K169:K185" si="95">E169+J169</f>
        <v>1997</v>
      </c>
      <c r="N169">
        <v>37870</v>
      </c>
      <c r="P169">
        <f t="shared" ref="P169:P185" si="96">N169-N169*G169</f>
        <v>25372.9</v>
      </c>
      <c r="Q169">
        <f t="shared" ref="Q169:Q185" si="97">P169/J169/12</f>
        <v>422.88166666666666</v>
      </c>
      <c r="R169">
        <f t="shared" ref="R169:R184" si="98">IF(O169&gt;0,0,IF(OR(AD169&gt;AE169,AF169&lt;AG169),0,IF(AND(AF169&gt;=AG169,AF169&lt;=AE169),Q169*((AF169-AG169)*12),IF(AND(AG169&lt;=AD169,AE169&gt;=AD169),((AE169-AD169)*12)*Q169,IF(AF169&gt;AE169,12*Q169,0)))))</f>
        <v>0</v>
      </c>
      <c r="S169">
        <f t="shared" ref="S169:S184" si="99">IF(O169=0,0,IF(AND(AH169&gt;=AG169,AH169&lt;=AF169),((AH169-AG169)*12)*Q169,0))</f>
        <v>0</v>
      </c>
      <c r="T169">
        <f t="shared" ref="T169:T184" si="100">IF(S169&gt;0,S169,R169)</f>
        <v>0</v>
      </c>
      <c r="U169">
        <v>1</v>
      </c>
      <c r="V169">
        <f t="shared" ref="V169:V184" si="101">U169*SUM(R169:S169)</f>
        <v>0</v>
      </c>
      <c r="X169">
        <f t="shared" ref="X169:X184" si="102">IF(AD169&gt;AE169,0,IF(AF169&lt;AG169,P169,IF(AND(AF169&gt;=AG169,AF169&lt;=AE169),(P169-T169),IF(AND(AG169&lt;=AD169,AE169&gt;=AD169),0,IF(AF169&gt;AE169,((AG169-AD169)*12)*Q169,0)))))</f>
        <v>25372.9</v>
      </c>
      <c r="Y169">
        <f t="shared" ref="Y169:Y184" si="103">X169*U169</f>
        <v>25372.9</v>
      </c>
      <c r="Z169">
        <v>1</v>
      </c>
      <c r="AA169">
        <f t="shared" ref="AA169:AA184" si="104">Y169*Z169</f>
        <v>25372.9</v>
      </c>
      <c r="AB169">
        <f t="shared" ref="AB169:AB184" si="105">IF(O169&gt;0,0,AA169+V169*Z169)*Z169</f>
        <v>25372.9</v>
      </c>
      <c r="AC169">
        <f t="shared" ref="AC169:AC184" si="106">IF(O169&gt;0,(N169-AA169)/2,IF(AD169&gt;=AG169,(((N169*U169)*Z169)-AB169)/2,((((N169*U169)*Z169)-AA169)+(((N169*U169)*Z169)-AB169))/2))</f>
        <v>12497.099999999999</v>
      </c>
      <c r="AD169">
        <f t="shared" ref="AD169:AD185" si="107">$E169+(($F169-1)/12)</f>
        <v>1992.0833333333333</v>
      </c>
      <c r="AE169">
        <f t="shared" ref="AE169:AE185" si="108">($P$5+1)-($P$2/12)</f>
        <v>2018.0833333333333</v>
      </c>
      <c r="AF169">
        <f t="shared" ref="AF169:AF185" si="109">$K169+(($F169-1)/12)</f>
        <v>1997.0833333333333</v>
      </c>
      <c r="AG169">
        <f t="shared" ref="AG169:AG185" si="110">$P$4+($P$3/12)</f>
        <v>2017.0833333333333</v>
      </c>
      <c r="AH169">
        <f t="shared" ref="AH169:AH185" si="111">$L169+(($M169-1)/12)</f>
        <v>-8.3333333333333329E-2</v>
      </c>
      <c r="AJ169">
        <f>+IF((AF169-AG169)&gt;3,((N169-P169)/(AF169-AG169)),(N169-P169)/3)</f>
        <v>4165.7</v>
      </c>
      <c r="AL169">
        <f>+AJ169+V169</f>
        <v>4165.7</v>
      </c>
      <c r="AN169">
        <f>+IF(AF169&lt;AG169,-AC169,0)</f>
        <v>-12497.099999999999</v>
      </c>
      <c r="AP169">
        <f>IF(AF169&gt;AG169,IF(AJ169&gt;0,IF(O169&gt;0,(N169-AA169)/2,IF(AD169&gt;=AG169,(((N169*U169)*Z169)-(AB169+AJ169))/2,((((N169*U169)*Z169)-AA169)+(((N169*U169)*Z169)-(AB169+AJ169)))/2)),0),0)</f>
        <v>0</v>
      </c>
      <c r="AR169">
        <f>+AC169+AN169+(IF(AP169&gt;0,(AP169-AC169),0))</f>
        <v>0</v>
      </c>
    </row>
    <row r="170" spans="1:44">
      <c r="B170" t="s">
        <v>285</v>
      </c>
      <c r="C170">
        <v>1559</v>
      </c>
      <c r="D170" t="s">
        <v>534</v>
      </c>
      <c r="E170">
        <v>1992</v>
      </c>
      <c r="F170">
        <v>2</v>
      </c>
      <c r="G170">
        <v>0.33</v>
      </c>
      <c r="I170" t="s">
        <v>78</v>
      </c>
      <c r="J170">
        <v>5</v>
      </c>
      <c r="K170">
        <f t="shared" si="95"/>
        <v>1997</v>
      </c>
      <c r="N170">
        <v>980</v>
      </c>
      <c r="P170">
        <f t="shared" si="96"/>
        <v>656.59999999999991</v>
      </c>
      <c r="Q170">
        <f t="shared" si="97"/>
        <v>10.943333333333333</v>
      </c>
      <c r="R170">
        <f t="shared" si="98"/>
        <v>0</v>
      </c>
      <c r="S170">
        <f t="shared" si="99"/>
        <v>0</v>
      </c>
      <c r="T170">
        <f t="shared" si="100"/>
        <v>0</v>
      </c>
      <c r="U170">
        <v>1</v>
      </c>
      <c r="V170">
        <f t="shared" si="101"/>
        <v>0</v>
      </c>
      <c r="X170">
        <f t="shared" si="102"/>
        <v>656.59999999999991</v>
      </c>
      <c r="Y170">
        <f t="shared" si="103"/>
        <v>656.59999999999991</v>
      </c>
      <c r="Z170">
        <v>1</v>
      </c>
      <c r="AA170">
        <f t="shared" si="104"/>
        <v>656.59999999999991</v>
      </c>
      <c r="AB170">
        <f t="shared" si="105"/>
        <v>656.59999999999991</v>
      </c>
      <c r="AC170">
        <f t="shared" si="106"/>
        <v>323.40000000000009</v>
      </c>
      <c r="AD170">
        <f t="shared" si="107"/>
        <v>1992.0833333333333</v>
      </c>
      <c r="AE170">
        <f t="shared" si="108"/>
        <v>2018.0833333333333</v>
      </c>
      <c r="AF170">
        <f t="shared" si="109"/>
        <v>1997.0833333333333</v>
      </c>
      <c r="AG170">
        <f t="shared" si="110"/>
        <v>2017.0833333333333</v>
      </c>
      <c r="AH170">
        <f t="shared" si="111"/>
        <v>-8.3333333333333329E-2</v>
      </c>
      <c r="AJ170">
        <f t="shared" ref="AJ170:AJ185" si="112">+IF((AF170-AG170)&gt;3,((N170-P170)/(AF170-AG170)),(N170-P170)/3)</f>
        <v>107.80000000000003</v>
      </c>
      <c r="AL170">
        <f t="shared" ref="AL170:AL185" si="113">+AJ170+V170</f>
        <v>107.80000000000003</v>
      </c>
      <c r="AN170">
        <f t="shared" ref="AN170:AN185" si="114">+IF(AF170&lt;AG170,-AC170,0)</f>
        <v>-323.40000000000009</v>
      </c>
      <c r="AP170">
        <f t="shared" ref="AP170:AP185" si="115">IF(AF170&gt;AG170,IF(AJ170&gt;0,IF(O170&gt;0,(N170-AA170)/2,IF(AD170&gt;=AG170,(((N170*U170)*Z170)-(AB170+AJ170))/2,((((N170*U170)*Z170)-AA170)+(((N170*U170)*Z170)-(AB170+AJ170)))/2)),0),0)</f>
        <v>0</v>
      </c>
      <c r="AR170">
        <f t="shared" ref="AR170:AR185" si="116">+AC170+AN170+(IF(AP170&gt;0,(AP170-AC170),0))</f>
        <v>0</v>
      </c>
    </row>
    <row r="171" spans="1:44">
      <c r="B171" t="s">
        <v>285</v>
      </c>
      <c r="C171">
        <v>1559</v>
      </c>
      <c r="D171" t="s">
        <v>535</v>
      </c>
      <c r="E171">
        <v>1992</v>
      </c>
      <c r="F171">
        <v>5</v>
      </c>
      <c r="G171">
        <v>0.33</v>
      </c>
      <c r="I171" t="s">
        <v>78</v>
      </c>
      <c r="J171">
        <v>5</v>
      </c>
      <c r="K171">
        <f t="shared" si="95"/>
        <v>1997</v>
      </c>
      <c r="N171">
        <v>426</v>
      </c>
      <c r="P171">
        <f t="shared" si="96"/>
        <v>285.41999999999996</v>
      </c>
      <c r="Q171">
        <f t="shared" si="97"/>
        <v>4.7569999999999988</v>
      </c>
      <c r="R171">
        <f t="shared" si="98"/>
        <v>0</v>
      </c>
      <c r="S171">
        <f t="shared" si="99"/>
        <v>0</v>
      </c>
      <c r="T171">
        <f t="shared" si="100"/>
        <v>0</v>
      </c>
      <c r="U171">
        <v>1</v>
      </c>
      <c r="V171">
        <f t="shared" si="101"/>
        <v>0</v>
      </c>
      <c r="X171">
        <f t="shared" si="102"/>
        <v>285.41999999999996</v>
      </c>
      <c r="Y171">
        <f t="shared" si="103"/>
        <v>285.41999999999996</v>
      </c>
      <c r="Z171">
        <v>1</v>
      </c>
      <c r="AA171">
        <f t="shared" si="104"/>
        <v>285.41999999999996</v>
      </c>
      <c r="AB171">
        <f t="shared" si="105"/>
        <v>285.41999999999996</v>
      </c>
      <c r="AC171">
        <f t="shared" si="106"/>
        <v>140.58000000000004</v>
      </c>
      <c r="AD171">
        <f t="shared" si="107"/>
        <v>1992.3333333333333</v>
      </c>
      <c r="AE171">
        <f t="shared" si="108"/>
        <v>2018.0833333333333</v>
      </c>
      <c r="AF171">
        <f t="shared" si="109"/>
        <v>1997.3333333333333</v>
      </c>
      <c r="AG171">
        <f t="shared" si="110"/>
        <v>2017.0833333333333</v>
      </c>
      <c r="AH171">
        <f t="shared" si="111"/>
        <v>-8.3333333333333329E-2</v>
      </c>
      <c r="AJ171">
        <f t="shared" si="112"/>
        <v>46.860000000000014</v>
      </c>
      <c r="AL171">
        <f t="shared" si="113"/>
        <v>46.860000000000014</v>
      </c>
      <c r="AN171">
        <f t="shared" si="114"/>
        <v>-140.58000000000004</v>
      </c>
      <c r="AP171">
        <f t="shared" si="115"/>
        <v>0</v>
      </c>
      <c r="AR171">
        <f t="shared" si="116"/>
        <v>0</v>
      </c>
    </row>
    <row r="172" spans="1:44">
      <c r="A172">
        <v>114277</v>
      </c>
      <c r="B172" t="s">
        <v>283</v>
      </c>
      <c r="C172">
        <v>4512</v>
      </c>
      <c r="D172" t="s">
        <v>537</v>
      </c>
      <c r="E172">
        <v>1998</v>
      </c>
      <c r="F172">
        <v>2</v>
      </c>
      <c r="G172">
        <v>0.33</v>
      </c>
      <c r="I172" t="s">
        <v>78</v>
      </c>
      <c r="J172">
        <v>5</v>
      </c>
      <c r="K172">
        <f t="shared" si="95"/>
        <v>2003</v>
      </c>
      <c r="N172">
        <v>25000</v>
      </c>
      <c r="P172">
        <f t="shared" si="96"/>
        <v>16750</v>
      </c>
      <c r="Q172">
        <f t="shared" si="97"/>
        <v>279.16666666666669</v>
      </c>
      <c r="R172">
        <f t="shared" si="98"/>
        <v>0</v>
      </c>
      <c r="S172">
        <f t="shared" si="99"/>
        <v>0</v>
      </c>
      <c r="T172">
        <f t="shared" si="100"/>
        <v>0</v>
      </c>
      <c r="U172">
        <v>1</v>
      </c>
      <c r="V172">
        <f t="shared" si="101"/>
        <v>0</v>
      </c>
      <c r="X172">
        <f t="shared" si="102"/>
        <v>16750</v>
      </c>
      <c r="Y172">
        <f t="shared" si="103"/>
        <v>16750</v>
      </c>
      <c r="Z172">
        <v>1</v>
      </c>
      <c r="AA172">
        <f t="shared" si="104"/>
        <v>16750</v>
      </c>
      <c r="AB172">
        <f t="shared" si="105"/>
        <v>16750</v>
      </c>
      <c r="AC172">
        <f t="shared" si="106"/>
        <v>8250</v>
      </c>
      <c r="AD172">
        <f t="shared" si="107"/>
        <v>1998.0833333333333</v>
      </c>
      <c r="AE172">
        <f t="shared" si="108"/>
        <v>2018.0833333333333</v>
      </c>
      <c r="AF172">
        <f t="shared" si="109"/>
        <v>2003.0833333333333</v>
      </c>
      <c r="AG172">
        <f t="shared" si="110"/>
        <v>2017.0833333333333</v>
      </c>
      <c r="AH172">
        <f t="shared" si="111"/>
        <v>-8.3333333333333329E-2</v>
      </c>
      <c r="AJ172">
        <f t="shared" si="112"/>
        <v>2750</v>
      </c>
      <c r="AL172">
        <f t="shared" si="113"/>
        <v>2750</v>
      </c>
      <c r="AN172">
        <f t="shared" si="114"/>
        <v>-8250</v>
      </c>
      <c r="AP172">
        <f t="shared" si="115"/>
        <v>0</v>
      </c>
      <c r="AR172">
        <f t="shared" si="116"/>
        <v>0</v>
      </c>
    </row>
    <row r="173" spans="1:44">
      <c r="A173">
        <v>114278</v>
      </c>
      <c r="B173" t="s">
        <v>285</v>
      </c>
      <c r="C173">
        <v>1029</v>
      </c>
      <c r="D173" t="s">
        <v>538</v>
      </c>
      <c r="E173">
        <v>2000</v>
      </c>
      <c r="F173">
        <v>6</v>
      </c>
      <c r="G173">
        <v>0.2</v>
      </c>
      <c r="I173" t="s">
        <v>78</v>
      </c>
      <c r="J173">
        <v>7</v>
      </c>
      <c r="K173">
        <f t="shared" si="95"/>
        <v>2007</v>
      </c>
      <c r="N173">
        <v>95126.41</v>
      </c>
      <c r="P173">
        <f t="shared" si="96"/>
        <v>76101.127999999997</v>
      </c>
      <c r="Q173">
        <f t="shared" si="97"/>
        <v>905.96580952380953</v>
      </c>
      <c r="R173">
        <f t="shared" si="98"/>
        <v>0</v>
      </c>
      <c r="S173">
        <f t="shared" si="99"/>
        <v>0</v>
      </c>
      <c r="T173">
        <f t="shared" si="100"/>
        <v>0</v>
      </c>
      <c r="U173">
        <v>1</v>
      </c>
      <c r="V173">
        <f t="shared" si="101"/>
        <v>0</v>
      </c>
      <c r="X173">
        <f t="shared" si="102"/>
        <v>76101.127999999997</v>
      </c>
      <c r="Y173">
        <f t="shared" si="103"/>
        <v>76101.127999999997</v>
      </c>
      <c r="Z173">
        <v>1</v>
      </c>
      <c r="AA173">
        <f t="shared" si="104"/>
        <v>76101.127999999997</v>
      </c>
      <c r="AB173">
        <f t="shared" si="105"/>
        <v>76101.127999999997</v>
      </c>
      <c r="AC173">
        <f t="shared" si="106"/>
        <v>19025.282000000007</v>
      </c>
      <c r="AD173">
        <f t="shared" si="107"/>
        <v>2000.4166666666667</v>
      </c>
      <c r="AE173">
        <f t="shared" si="108"/>
        <v>2018.0833333333333</v>
      </c>
      <c r="AF173">
        <f t="shared" si="109"/>
        <v>2007.4166666666667</v>
      </c>
      <c r="AG173">
        <f t="shared" si="110"/>
        <v>2017.0833333333333</v>
      </c>
      <c r="AH173">
        <f t="shared" si="111"/>
        <v>-8.3333333333333329E-2</v>
      </c>
      <c r="AJ173">
        <f t="shared" si="112"/>
        <v>6341.7606666666688</v>
      </c>
      <c r="AL173">
        <f t="shared" si="113"/>
        <v>6341.7606666666688</v>
      </c>
      <c r="AN173">
        <f t="shared" si="114"/>
        <v>-19025.282000000007</v>
      </c>
      <c r="AP173">
        <f t="shared" si="115"/>
        <v>0</v>
      </c>
      <c r="AR173">
        <f t="shared" si="116"/>
        <v>0</v>
      </c>
    </row>
    <row r="174" spans="1:44">
      <c r="A174">
        <v>114268</v>
      </c>
      <c r="B174" t="s">
        <v>285</v>
      </c>
      <c r="C174">
        <v>1036</v>
      </c>
      <c r="D174" t="s">
        <v>539</v>
      </c>
      <c r="E174">
        <v>2002</v>
      </c>
      <c r="F174">
        <v>6</v>
      </c>
      <c r="G174">
        <v>0.2</v>
      </c>
      <c r="I174" t="s">
        <v>78</v>
      </c>
      <c r="J174">
        <v>7</v>
      </c>
      <c r="K174">
        <f t="shared" si="95"/>
        <v>2009</v>
      </c>
      <c r="N174">
        <v>101881.5</v>
      </c>
      <c r="P174">
        <f t="shared" si="96"/>
        <v>81505.2</v>
      </c>
      <c r="Q174">
        <f t="shared" si="97"/>
        <v>970.30000000000007</v>
      </c>
      <c r="R174">
        <f t="shared" si="98"/>
        <v>0</v>
      </c>
      <c r="S174">
        <f t="shared" si="99"/>
        <v>0</v>
      </c>
      <c r="T174">
        <f t="shared" si="100"/>
        <v>0</v>
      </c>
      <c r="U174">
        <v>1</v>
      </c>
      <c r="V174">
        <f t="shared" si="101"/>
        <v>0</v>
      </c>
      <c r="X174">
        <f t="shared" si="102"/>
        <v>81505.2</v>
      </c>
      <c r="Y174">
        <f t="shared" si="103"/>
        <v>81505.2</v>
      </c>
      <c r="Z174">
        <v>1</v>
      </c>
      <c r="AA174">
        <f t="shared" si="104"/>
        <v>81505.2</v>
      </c>
      <c r="AB174">
        <f t="shared" si="105"/>
        <v>81505.2</v>
      </c>
      <c r="AC174">
        <f t="shared" si="106"/>
        <v>20376.300000000003</v>
      </c>
      <c r="AD174">
        <f t="shared" si="107"/>
        <v>2002.4166666666667</v>
      </c>
      <c r="AE174">
        <f t="shared" si="108"/>
        <v>2018.0833333333333</v>
      </c>
      <c r="AF174">
        <f t="shared" si="109"/>
        <v>2009.4166666666667</v>
      </c>
      <c r="AG174">
        <f t="shared" si="110"/>
        <v>2017.0833333333333</v>
      </c>
      <c r="AH174">
        <f t="shared" si="111"/>
        <v>-8.3333333333333329E-2</v>
      </c>
      <c r="AJ174">
        <f t="shared" si="112"/>
        <v>6792.1000000000013</v>
      </c>
      <c r="AL174">
        <f t="shared" si="113"/>
        <v>6792.1000000000013</v>
      </c>
      <c r="AN174">
        <f t="shared" si="114"/>
        <v>-20376.300000000003</v>
      </c>
      <c r="AP174">
        <f t="shared" si="115"/>
        <v>0</v>
      </c>
      <c r="AR174">
        <f t="shared" si="116"/>
        <v>0</v>
      </c>
    </row>
    <row r="175" spans="1:44">
      <c r="A175">
        <v>114306</v>
      </c>
      <c r="B175" t="s">
        <v>285</v>
      </c>
      <c r="C175">
        <v>1038</v>
      </c>
      <c r="D175" t="s">
        <v>540</v>
      </c>
      <c r="E175">
        <v>2003</v>
      </c>
      <c r="F175">
        <v>5</v>
      </c>
      <c r="G175">
        <v>0.2</v>
      </c>
      <c r="I175" t="s">
        <v>78</v>
      </c>
      <c r="J175">
        <v>7</v>
      </c>
      <c r="K175">
        <f t="shared" si="95"/>
        <v>2010</v>
      </c>
      <c r="N175">
        <f>98919.95+1403.57+520</f>
        <v>100843.52</v>
      </c>
      <c r="P175">
        <f t="shared" si="96"/>
        <v>80674.816000000006</v>
      </c>
      <c r="Q175">
        <f t="shared" si="97"/>
        <v>960.41447619047631</v>
      </c>
      <c r="R175">
        <f>IF(O175&gt;0,0,IF(OR(AD175&gt;AE175,AF175&lt;AG175),0,IF(AND(AF175&gt;=AG175,AF175&lt;=AE175),Q175*((AF175-AG175)*12),IF(AND(AG175&lt;=AD175,AE175&gt;=AD175),((AE175-AD175)*12)*Q175,IF(AF175&gt;AE175,12*Q175,0)))))</f>
        <v>0</v>
      </c>
      <c r="S175">
        <f>IF(O175=0,0,IF(AND(AH175&gt;=AG175,AH175&lt;=AF175),((AH175-AG175)*12)*Q175,0))</f>
        <v>0</v>
      </c>
      <c r="T175">
        <f>IF(S175&gt;0,S175,R175)</f>
        <v>0</v>
      </c>
      <c r="U175">
        <v>1</v>
      </c>
      <c r="V175">
        <f>U175*SUM(R175:S175)</f>
        <v>0</v>
      </c>
      <c r="X175">
        <f>IF(AD175&gt;AE175,0,IF(AF175&lt;AG175,P175,IF(AND(AF175&gt;=AG175,AF175&lt;=AE175),(P175-T175),IF(AND(AG175&lt;=AD175,AE175&gt;=AD175),0,IF(AF175&gt;AE175,((AG175-AD175)*12)*Q175,0)))))</f>
        <v>80674.816000000006</v>
      </c>
      <c r="Y175">
        <f>X175*U175</f>
        <v>80674.816000000006</v>
      </c>
      <c r="Z175">
        <v>1</v>
      </c>
      <c r="AA175">
        <f>Y175*Z175</f>
        <v>80674.816000000006</v>
      </c>
      <c r="AB175">
        <f>IF(O175&gt;0,0,AA175+V175*Z175)*Z175</f>
        <v>80674.816000000006</v>
      </c>
      <c r="AC175">
        <f>IF(O175&gt;0,(N175-AA175)/2,IF(AD175&gt;=AG175,(((N175*U175)*Z175)-AB175)/2,((((N175*U175)*Z175)-AA175)+(((N175*U175)*Z175)-AB175))/2))</f>
        <v>20168.703999999998</v>
      </c>
      <c r="AD175">
        <f t="shared" si="107"/>
        <v>2003.3333333333333</v>
      </c>
      <c r="AE175">
        <f t="shared" si="108"/>
        <v>2018.0833333333333</v>
      </c>
      <c r="AF175">
        <f t="shared" si="109"/>
        <v>2010.3333333333333</v>
      </c>
      <c r="AG175">
        <f t="shared" si="110"/>
        <v>2017.0833333333333</v>
      </c>
      <c r="AH175">
        <f t="shared" si="111"/>
        <v>-8.3333333333333329E-2</v>
      </c>
      <c r="AJ175">
        <f t="shared" si="112"/>
        <v>6722.9013333333323</v>
      </c>
      <c r="AL175">
        <f t="shared" si="113"/>
        <v>6722.9013333333323</v>
      </c>
      <c r="AN175">
        <f t="shared" si="114"/>
        <v>-20168.703999999998</v>
      </c>
      <c r="AP175">
        <f t="shared" si="115"/>
        <v>0</v>
      </c>
      <c r="AR175">
        <f t="shared" si="116"/>
        <v>0</v>
      </c>
    </row>
    <row r="176" spans="1:44">
      <c r="A176">
        <v>114269</v>
      </c>
      <c r="B176" t="s">
        <v>283</v>
      </c>
      <c r="C176">
        <v>4518</v>
      </c>
      <c r="D176" t="s">
        <v>541</v>
      </c>
      <c r="E176">
        <v>2003</v>
      </c>
      <c r="F176">
        <v>12</v>
      </c>
      <c r="G176">
        <v>0.2</v>
      </c>
      <c r="I176" t="s">
        <v>78</v>
      </c>
      <c r="J176">
        <v>7</v>
      </c>
      <c r="K176">
        <f t="shared" si="95"/>
        <v>2010</v>
      </c>
      <c r="N176">
        <v>71912.5</v>
      </c>
      <c r="P176">
        <f t="shared" si="96"/>
        <v>57530</v>
      </c>
      <c r="Q176">
        <f t="shared" si="97"/>
        <v>684.88095238095241</v>
      </c>
      <c r="R176">
        <f t="shared" si="98"/>
        <v>0</v>
      </c>
      <c r="S176">
        <f t="shared" si="99"/>
        <v>0</v>
      </c>
      <c r="T176">
        <f t="shared" si="100"/>
        <v>0</v>
      </c>
      <c r="U176">
        <v>1</v>
      </c>
      <c r="V176">
        <f t="shared" si="101"/>
        <v>0</v>
      </c>
      <c r="X176">
        <f t="shared" si="102"/>
        <v>57530</v>
      </c>
      <c r="Y176">
        <f t="shared" si="103"/>
        <v>57530</v>
      </c>
      <c r="Z176">
        <v>1</v>
      </c>
      <c r="AA176">
        <f t="shared" si="104"/>
        <v>57530</v>
      </c>
      <c r="AB176">
        <f t="shared" si="105"/>
        <v>57530</v>
      </c>
      <c r="AC176">
        <f t="shared" si="106"/>
        <v>14382.5</v>
      </c>
      <c r="AD176">
        <f t="shared" si="107"/>
        <v>2003.9166666666667</v>
      </c>
      <c r="AE176">
        <f t="shared" si="108"/>
        <v>2018.0833333333333</v>
      </c>
      <c r="AF176">
        <f t="shared" si="109"/>
        <v>2010.9166666666667</v>
      </c>
      <c r="AG176">
        <f t="shared" si="110"/>
        <v>2017.0833333333333</v>
      </c>
      <c r="AH176">
        <f t="shared" si="111"/>
        <v>-8.3333333333333329E-2</v>
      </c>
      <c r="AJ176">
        <f t="shared" si="112"/>
        <v>4794.166666666667</v>
      </c>
      <c r="AL176">
        <f t="shared" si="113"/>
        <v>4794.166666666667</v>
      </c>
      <c r="AN176">
        <f t="shared" si="114"/>
        <v>-14382.5</v>
      </c>
      <c r="AP176">
        <f t="shared" si="115"/>
        <v>0</v>
      </c>
      <c r="AR176">
        <f t="shared" si="116"/>
        <v>0</v>
      </c>
    </row>
    <row r="177" spans="1:44">
      <c r="A177">
        <v>114281</v>
      </c>
      <c r="B177" t="s">
        <v>286</v>
      </c>
      <c r="C177">
        <v>2022</v>
      </c>
      <c r="D177" t="s">
        <v>542</v>
      </c>
      <c r="E177">
        <v>2004</v>
      </c>
      <c r="F177">
        <v>12</v>
      </c>
      <c r="G177">
        <v>0.2</v>
      </c>
      <c r="I177" t="s">
        <v>78</v>
      </c>
      <c r="J177">
        <v>7</v>
      </c>
      <c r="K177">
        <f t="shared" si="95"/>
        <v>2011</v>
      </c>
      <c r="N177">
        <v>181304.22</v>
      </c>
      <c r="P177">
        <f t="shared" si="96"/>
        <v>145043.37599999999</v>
      </c>
      <c r="Q177">
        <f t="shared" si="97"/>
        <v>1726.706857142857</v>
      </c>
      <c r="R177">
        <f t="shared" si="98"/>
        <v>0</v>
      </c>
      <c r="S177">
        <f t="shared" si="99"/>
        <v>0</v>
      </c>
      <c r="T177">
        <f t="shared" si="100"/>
        <v>0</v>
      </c>
      <c r="U177">
        <v>1</v>
      </c>
      <c r="V177">
        <f t="shared" si="101"/>
        <v>0</v>
      </c>
      <c r="X177">
        <f t="shared" si="102"/>
        <v>145043.37599999999</v>
      </c>
      <c r="Y177">
        <f t="shared" si="103"/>
        <v>145043.37599999999</v>
      </c>
      <c r="Z177">
        <v>1</v>
      </c>
      <c r="AA177">
        <f t="shared" si="104"/>
        <v>145043.37599999999</v>
      </c>
      <c r="AB177">
        <f t="shared" si="105"/>
        <v>145043.37599999999</v>
      </c>
      <c r="AC177">
        <f t="shared" si="106"/>
        <v>36260.844000000012</v>
      </c>
      <c r="AD177">
        <f t="shared" si="107"/>
        <v>2004.9166666666667</v>
      </c>
      <c r="AE177">
        <f t="shared" si="108"/>
        <v>2018.0833333333333</v>
      </c>
      <c r="AF177">
        <f t="shared" si="109"/>
        <v>2011.9166666666667</v>
      </c>
      <c r="AG177">
        <f t="shared" si="110"/>
        <v>2017.0833333333333</v>
      </c>
      <c r="AH177">
        <f t="shared" si="111"/>
        <v>-8.3333333333333329E-2</v>
      </c>
      <c r="AJ177">
        <f t="shared" si="112"/>
        <v>12086.948000000004</v>
      </c>
      <c r="AL177">
        <f t="shared" si="113"/>
        <v>12086.948000000004</v>
      </c>
      <c r="AN177">
        <f t="shared" si="114"/>
        <v>-36260.844000000012</v>
      </c>
      <c r="AP177">
        <f t="shared" si="115"/>
        <v>0</v>
      </c>
      <c r="AR177">
        <f t="shared" si="116"/>
        <v>0</v>
      </c>
    </row>
    <row r="178" spans="1:44">
      <c r="A178">
        <v>114303</v>
      </c>
      <c r="B178" t="s">
        <v>285</v>
      </c>
      <c r="C178">
        <v>1014</v>
      </c>
      <c r="D178" t="s">
        <v>543</v>
      </c>
      <c r="E178">
        <v>2008</v>
      </c>
      <c r="F178">
        <v>11</v>
      </c>
      <c r="G178">
        <v>0.33</v>
      </c>
      <c r="I178" t="s">
        <v>78</v>
      </c>
      <c r="J178">
        <v>5</v>
      </c>
      <c r="K178">
        <f t="shared" si="95"/>
        <v>2013</v>
      </c>
      <c r="N178">
        <v>5500</v>
      </c>
      <c r="P178">
        <f t="shared" si="96"/>
        <v>3685</v>
      </c>
      <c r="Q178">
        <f t="shared" si="97"/>
        <v>61.416666666666664</v>
      </c>
      <c r="R178">
        <f t="shared" si="98"/>
        <v>0</v>
      </c>
      <c r="S178">
        <f t="shared" si="99"/>
        <v>0</v>
      </c>
      <c r="T178">
        <f t="shared" si="100"/>
        <v>0</v>
      </c>
      <c r="U178">
        <v>1</v>
      </c>
      <c r="V178">
        <f t="shared" si="101"/>
        <v>0</v>
      </c>
      <c r="X178">
        <f t="shared" si="102"/>
        <v>3685</v>
      </c>
      <c r="Y178">
        <f t="shared" si="103"/>
        <v>3685</v>
      </c>
      <c r="Z178">
        <v>1</v>
      </c>
      <c r="AA178">
        <f t="shared" si="104"/>
        <v>3685</v>
      </c>
      <c r="AB178">
        <f t="shared" si="105"/>
        <v>3685</v>
      </c>
      <c r="AC178">
        <f t="shared" si="106"/>
        <v>1815</v>
      </c>
      <c r="AD178">
        <f t="shared" si="107"/>
        <v>2008.8333333333333</v>
      </c>
      <c r="AE178">
        <f t="shared" si="108"/>
        <v>2018.0833333333333</v>
      </c>
      <c r="AF178">
        <f t="shared" si="109"/>
        <v>2013.8333333333333</v>
      </c>
      <c r="AG178">
        <f t="shared" si="110"/>
        <v>2017.0833333333333</v>
      </c>
      <c r="AH178">
        <f t="shared" si="111"/>
        <v>-8.3333333333333329E-2</v>
      </c>
      <c r="AJ178">
        <f t="shared" si="112"/>
        <v>605</v>
      </c>
      <c r="AL178">
        <f t="shared" si="113"/>
        <v>605</v>
      </c>
      <c r="AN178">
        <f t="shared" si="114"/>
        <v>-1815</v>
      </c>
      <c r="AP178">
        <f t="shared" si="115"/>
        <v>0</v>
      </c>
      <c r="AR178">
        <f t="shared" si="116"/>
        <v>0</v>
      </c>
    </row>
    <row r="179" spans="1:44">
      <c r="A179">
        <v>61159</v>
      </c>
      <c r="B179" t="s">
        <v>544</v>
      </c>
      <c r="C179">
        <v>9576</v>
      </c>
      <c r="D179" t="s">
        <v>564</v>
      </c>
      <c r="E179">
        <v>2008</v>
      </c>
      <c r="F179">
        <v>11</v>
      </c>
      <c r="G179">
        <v>0.33</v>
      </c>
      <c r="I179" t="s">
        <v>78</v>
      </c>
      <c r="J179">
        <v>5</v>
      </c>
      <c r="K179">
        <f t="shared" si="95"/>
        <v>2013</v>
      </c>
      <c r="N179">
        <v>23327</v>
      </c>
      <c r="P179">
        <f t="shared" si="96"/>
        <v>15629.09</v>
      </c>
      <c r="Q179">
        <f t="shared" si="97"/>
        <v>260.48483333333337</v>
      </c>
      <c r="R179">
        <f>IF(O179&gt;0,0,IF(OR(AD179&gt;AE179,AF179&lt;AG179),0,IF(AND(AF179&gt;=AG179,AF179&lt;=AE179),Q179*((AF179-AG179)*12),IF(AND(AG179&lt;=AD179,AE179&gt;=AD179),((AE179-AD179)*12)*Q179,IF(AF179&gt;AE179,12*Q179,0)))))</f>
        <v>0</v>
      </c>
      <c r="S179">
        <f>IF(O179=0,0,IF(AND(AH179&gt;=AG179,AH179&lt;=AF179),((AH179-AG179)*12)*Q179,0))</f>
        <v>0</v>
      </c>
      <c r="T179">
        <f>IF(S179&gt;0,S179,R179)</f>
        <v>0</v>
      </c>
      <c r="U179">
        <v>1</v>
      </c>
      <c r="V179">
        <f>U179*SUM(R179:S179)</f>
        <v>0</v>
      </c>
      <c r="X179">
        <f>IF(AD179&gt;AE179,0,IF(AF179&lt;AG179,P179,IF(AND(AF179&gt;=AG179,AF179&lt;=AE179),(P179-T179),IF(AND(AG179&lt;=AD179,AE179&gt;=AD179),0,IF(AF179&gt;AE179,((AG179-AD179)*12)*Q179,0)))))</f>
        <v>15629.09</v>
      </c>
      <c r="Y179">
        <f>X179*U179</f>
        <v>15629.09</v>
      </c>
      <c r="Z179">
        <v>1</v>
      </c>
      <c r="AA179">
        <f>Y179*Z179</f>
        <v>15629.09</v>
      </c>
      <c r="AB179">
        <f>IF(O179&gt;0,0,AA179+V179*Z179)*Z179</f>
        <v>15629.09</v>
      </c>
      <c r="AC179">
        <f>IF(O179&gt;0,(N179-AA179)/2,IF(AD179&gt;=AG179,(((N179*U179)*Z179)-AB179)/2,((((N179*U179)*Z179)-AA179)+(((N179*U179)*Z179)-AB179))/2))</f>
        <v>7697.91</v>
      </c>
      <c r="AD179">
        <f t="shared" si="107"/>
        <v>2008.8333333333333</v>
      </c>
      <c r="AE179">
        <f t="shared" si="108"/>
        <v>2018.0833333333333</v>
      </c>
      <c r="AF179">
        <f t="shared" si="109"/>
        <v>2013.8333333333333</v>
      </c>
      <c r="AG179">
        <f t="shared" si="110"/>
        <v>2017.0833333333333</v>
      </c>
      <c r="AH179">
        <f t="shared" si="111"/>
        <v>-8.3333333333333329E-2</v>
      </c>
      <c r="AJ179">
        <f t="shared" si="112"/>
        <v>2565.9699999999998</v>
      </c>
      <c r="AL179">
        <f t="shared" si="113"/>
        <v>2565.9699999999998</v>
      </c>
      <c r="AN179">
        <f t="shared" si="114"/>
        <v>-7697.91</v>
      </c>
      <c r="AP179">
        <f t="shared" si="115"/>
        <v>0</v>
      </c>
      <c r="AR179">
        <f t="shared" si="116"/>
        <v>0</v>
      </c>
    </row>
    <row r="180" spans="1:44">
      <c r="A180">
        <v>114279</v>
      </c>
      <c r="B180" t="s">
        <v>285</v>
      </c>
      <c r="C180">
        <v>1029</v>
      </c>
      <c r="D180" t="s">
        <v>545</v>
      </c>
      <c r="E180">
        <v>2009</v>
      </c>
      <c r="F180">
        <v>6</v>
      </c>
      <c r="G180">
        <v>0</v>
      </c>
      <c r="I180" t="s">
        <v>78</v>
      </c>
      <c r="J180">
        <v>3</v>
      </c>
      <c r="K180">
        <f t="shared" si="95"/>
        <v>2012</v>
      </c>
      <c r="N180">
        <v>2915.87</v>
      </c>
      <c r="P180">
        <f t="shared" si="96"/>
        <v>2915.87</v>
      </c>
      <c r="Q180">
        <f t="shared" si="97"/>
        <v>80.996388888888887</v>
      </c>
      <c r="R180">
        <f t="shared" si="98"/>
        <v>0</v>
      </c>
      <c r="S180">
        <f t="shared" si="99"/>
        <v>0</v>
      </c>
      <c r="T180">
        <f t="shared" si="100"/>
        <v>0</v>
      </c>
      <c r="U180">
        <v>1</v>
      </c>
      <c r="V180">
        <f t="shared" si="101"/>
        <v>0</v>
      </c>
      <c r="X180">
        <f t="shared" si="102"/>
        <v>2915.87</v>
      </c>
      <c r="Y180">
        <f t="shared" si="103"/>
        <v>2915.87</v>
      </c>
      <c r="Z180">
        <v>1</v>
      </c>
      <c r="AA180">
        <f t="shared" si="104"/>
        <v>2915.87</v>
      </c>
      <c r="AB180">
        <f t="shared" si="105"/>
        <v>2915.87</v>
      </c>
      <c r="AC180">
        <f t="shared" si="106"/>
        <v>0</v>
      </c>
      <c r="AD180">
        <f t="shared" si="107"/>
        <v>2009.4166666666667</v>
      </c>
      <c r="AE180">
        <f t="shared" si="108"/>
        <v>2018.0833333333333</v>
      </c>
      <c r="AF180">
        <f t="shared" si="109"/>
        <v>2012.4166666666667</v>
      </c>
      <c r="AG180">
        <f t="shared" si="110"/>
        <v>2017.0833333333333</v>
      </c>
      <c r="AH180">
        <f t="shared" si="111"/>
        <v>-8.3333333333333329E-2</v>
      </c>
      <c r="AJ180">
        <f t="shared" si="112"/>
        <v>0</v>
      </c>
      <c r="AL180">
        <f t="shared" si="113"/>
        <v>0</v>
      </c>
      <c r="AN180">
        <f t="shared" si="114"/>
        <v>0</v>
      </c>
      <c r="AP180">
        <f t="shared" si="115"/>
        <v>0</v>
      </c>
      <c r="AR180">
        <f t="shared" si="116"/>
        <v>0</v>
      </c>
    </row>
    <row r="181" spans="1:44">
      <c r="A181">
        <v>114265</v>
      </c>
      <c r="B181" t="s">
        <v>285</v>
      </c>
      <c r="C181">
        <v>1559</v>
      </c>
      <c r="D181" t="s">
        <v>546</v>
      </c>
      <c r="E181">
        <v>2009</v>
      </c>
      <c r="F181">
        <v>6</v>
      </c>
      <c r="G181">
        <v>0</v>
      </c>
      <c r="I181" t="s">
        <v>78</v>
      </c>
      <c r="J181">
        <v>3</v>
      </c>
      <c r="K181">
        <f t="shared" si="95"/>
        <v>2012</v>
      </c>
      <c r="N181">
        <v>10511.07</v>
      </c>
      <c r="P181">
        <f t="shared" si="96"/>
        <v>10511.07</v>
      </c>
      <c r="Q181">
        <f t="shared" si="97"/>
        <v>291.97416666666669</v>
      </c>
      <c r="R181">
        <f t="shared" si="98"/>
        <v>0</v>
      </c>
      <c r="S181">
        <f t="shared" si="99"/>
        <v>0</v>
      </c>
      <c r="T181">
        <f t="shared" si="100"/>
        <v>0</v>
      </c>
      <c r="U181">
        <v>1</v>
      </c>
      <c r="V181">
        <f t="shared" si="101"/>
        <v>0</v>
      </c>
      <c r="X181">
        <f t="shared" si="102"/>
        <v>10511.07</v>
      </c>
      <c r="Y181">
        <f t="shared" si="103"/>
        <v>10511.07</v>
      </c>
      <c r="Z181">
        <v>1</v>
      </c>
      <c r="AA181">
        <f t="shared" si="104"/>
        <v>10511.07</v>
      </c>
      <c r="AB181">
        <f t="shared" si="105"/>
        <v>10511.07</v>
      </c>
      <c r="AC181">
        <f t="shared" si="106"/>
        <v>0</v>
      </c>
      <c r="AD181">
        <f t="shared" si="107"/>
        <v>2009.4166666666667</v>
      </c>
      <c r="AE181">
        <f t="shared" si="108"/>
        <v>2018.0833333333333</v>
      </c>
      <c r="AF181">
        <f t="shared" si="109"/>
        <v>2012.4166666666667</v>
      </c>
      <c r="AG181">
        <f t="shared" si="110"/>
        <v>2017.0833333333333</v>
      </c>
      <c r="AH181">
        <f t="shared" si="111"/>
        <v>-8.3333333333333329E-2</v>
      </c>
      <c r="AJ181">
        <f t="shared" si="112"/>
        <v>0</v>
      </c>
      <c r="AL181">
        <f t="shared" si="113"/>
        <v>0</v>
      </c>
      <c r="AN181">
        <f t="shared" si="114"/>
        <v>0</v>
      </c>
      <c r="AP181">
        <f t="shared" si="115"/>
        <v>0</v>
      </c>
      <c r="AR181">
        <f t="shared" si="116"/>
        <v>0</v>
      </c>
    </row>
    <row r="182" spans="1:44">
      <c r="A182">
        <v>114282</v>
      </c>
      <c r="B182" t="s">
        <v>286</v>
      </c>
      <c r="C182">
        <v>2022</v>
      </c>
      <c r="D182" t="s">
        <v>547</v>
      </c>
      <c r="E182">
        <v>2009</v>
      </c>
      <c r="F182">
        <v>6</v>
      </c>
      <c r="G182">
        <v>0</v>
      </c>
      <c r="I182" t="s">
        <v>78</v>
      </c>
      <c r="J182">
        <v>3</v>
      </c>
      <c r="K182">
        <f t="shared" si="95"/>
        <v>2012</v>
      </c>
      <c r="N182">
        <v>9254.61</v>
      </c>
      <c r="P182">
        <f t="shared" si="96"/>
        <v>9254.61</v>
      </c>
      <c r="Q182">
        <f t="shared" si="97"/>
        <v>257.07250000000005</v>
      </c>
      <c r="R182">
        <f t="shared" si="98"/>
        <v>0</v>
      </c>
      <c r="S182">
        <f t="shared" si="99"/>
        <v>0</v>
      </c>
      <c r="T182">
        <f t="shared" si="100"/>
        <v>0</v>
      </c>
      <c r="U182">
        <v>1</v>
      </c>
      <c r="V182">
        <f t="shared" si="101"/>
        <v>0</v>
      </c>
      <c r="X182">
        <f t="shared" si="102"/>
        <v>9254.61</v>
      </c>
      <c r="Y182">
        <f t="shared" si="103"/>
        <v>9254.61</v>
      </c>
      <c r="Z182">
        <v>1</v>
      </c>
      <c r="AA182">
        <f t="shared" si="104"/>
        <v>9254.61</v>
      </c>
      <c r="AB182">
        <f t="shared" si="105"/>
        <v>9254.61</v>
      </c>
      <c r="AC182">
        <f t="shared" si="106"/>
        <v>0</v>
      </c>
      <c r="AD182">
        <f t="shared" si="107"/>
        <v>2009.4166666666667</v>
      </c>
      <c r="AE182">
        <f t="shared" si="108"/>
        <v>2018.0833333333333</v>
      </c>
      <c r="AF182">
        <f t="shared" si="109"/>
        <v>2012.4166666666667</v>
      </c>
      <c r="AG182">
        <f t="shared" si="110"/>
        <v>2017.0833333333333</v>
      </c>
      <c r="AH182">
        <f t="shared" si="111"/>
        <v>-8.3333333333333329E-2</v>
      </c>
      <c r="AJ182">
        <f t="shared" si="112"/>
        <v>0</v>
      </c>
      <c r="AL182">
        <f t="shared" si="113"/>
        <v>0</v>
      </c>
      <c r="AN182">
        <f t="shared" si="114"/>
        <v>0</v>
      </c>
      <c r="AP182">
        <f t="shared" si="115"/>
        <v>0</v>
      </c>
      <c r="AR182">
        <f t="shared" si="116"/>
        <v>0</v>
      </c>
    </row>
    <row r="183" spans="1:44">
      <c r="B183" t="s">
        <v>311</v>
      </c>
      <c r="C183">
        <v>68613</v>
      </c>
      <c r="D183" t="s">
        <v>324</v>
      </c>
      <c r="E183">
        <v>2009</v>
      </c>
      <c r="F183">
        <v>7</v>
      </c>
      <c r="G183">
        <v>0.33</v>
      </c>
      <c r="I183" t="s">
        <v>78</v>
      </c>
      <c r="J183">
        <v>5</v>
      </c>
      <c r="K183">
        <f t="shared" si="95"/>
        <v>2014</v>
      </c>
      <c r="N183">
        <v>8065.49</v>
      </c>
      <c r="P183">
        <f t="shared" si="96"/>
        <v>5403.8783000000003</v>
      </c>
      <c r="Q183">
        <f t="shared" si="97"/>
        <v>90.064638333333335</v>
      </c>
      <c r="R183">
        <f t="shared" si="98"/>
        <v>0</v>
      </c>
      <c r="S183">
        <f t="shared" si="99"/>
        <v>0</v>
      </c>
      <c r="T183">
        <f t="shared" si="100"/>
        <v>0</v>
      </c>
      <c r="U183">
        <v>1</v>
      </c>
      <c r="V183">
        <f t="shared" si="101"/>
        <v>0</v>
      </c>
      <c r="X183">
        <f t="shared" si="102"/>
        <v>5403.8783000000003</v>
      </c>
      <c r="Y183">
        <f t="shared" si="103"/>
        <v>5403.8783000000003</v>
      </c>
      <c r="Z183">
        <v>1</v>
      </c>
      <c r="AA183">
        <f t="shared" si="104"/>
        <v>5403.8783000000003</v>
      </c>
      <c r="AB183">
        <f t="shared" si="105"/>
        <v>5403.8783000000003</v>
      </c>
      <c r="AC183">
        <f t="shared" si="106"/>
        <v>2661.6116999999995</v>
      </c>
      <c r="AD183">
        <f t="shared" si="107"/>
        <v>2009.5</v>
      </c>
      <c r="AE183">
        <f t="shared" si="108"/>
        <v>2018.0833333333333</v>
      </c>
      <c r="AF183">
        <f t="shared" si="109"/>
        <v>2014.5</v>
      </c>
      <c r="AG183">
        <f t="shared" si="110"/>
        <v>2017.0833333333333</v>
      </c>
      <c r="AH183">
        <f t="shared" si="111"/>
        <v>-8.3333333333333329E-2</v>
      </c>
      <c r="AJ183">
        <f t="shared" si="112"/>
        <v>887.20389999999986</v>
      </c>
      <c r="AL183">
        <f t="shared" si="113"/>
        <v>887.20389999999986</v>
      </c>
      <c r="AN183">
        <f t="shared" si="114"/>
        <v>-2661.6116999999995</v>
      </c>
      <c r="AP183">
        <f t="shared" si="115"/>
        <v>0</v>
      </c>
      <c r="AR183">
        <f t="shared" si="116"/>
        <v>0</v>
      </c>
    </row>
    <row r="184" spans="1:44">
      <c r="A184">
        <v>88722</v>
      </c>
      <c r="D184" t="s">
        <v>548</v>
      </c>
      <c r="E184">
        <v>2011</v>
      </c>
      <c r="F184">
        <v>12</v>
      </c>
      <c r="G184">
        <v>0</v>
      </c>
      <c r="I184" t="s">
        <v>78</v>
      </c>
      <c r="J184">
        <v>5</v>
      </c>
      <c r="K184">
        <f t="shared" si="95"/>
        <v>2016</v>
      </c>
      <c r="N184">
        <f>(487.65*3)+(476.03*13)</f>
        <v>7651.3399999999992</v>
      </c>
      <c r="P184">
        <f t="shared" si="96"/>
        <v>7651.3399999999992</v>
      </c>
      <c r="Q184">
        <f t="shared" si="97"/>
        <v>127.52233333333332</v>
      </c>
      <c r="R184">
        <f t="shared" si="98"/>
        <v>0</v>
      </c>
      <c r="S184">
        <f t="shared" si="99"/>
        <v>0</v>
      </c>
      <c r="T184">
        <f t="shared" si="100"/>
        <v>0</v>
      </c>
      <c r="U184">
        <v>1</v>
      </c>
      <c r="V184">
        <f t="shared" si="101"/>
        <v>0</v>
      </c>
      <c r="X184">
        <f t="shared" si="102"/>
        <v>7651.3399999999992</v>
      </c>
      <c r="Y184">
        <f t="shared" si="103"/>
        <v>7651.3399999999992</v>
      </c>
      <c r="Z184">
        <v>1</v>
      </c>
      <c r="AA184">
        <f t="shared" si="104"/>
        <v>7651.3399999999992</v>
      </c>
      <c r="AB184">
        <f t="shared" si="105"/>
        <v>7651.3399999999992</v>
      </c>
      <c r="AC184">
        <f t="shared" si="106"/>
        <v>0</v>
      </c>
      <c r="AD184">
        <f t="shared" si="107"/>
        <v>2011.9166666666667</v>
      </c>
      <c r="AE184">
        <f t="shared" si="108"/>
        <v>2018.0833333333333</v>
      </c>
      <c r="AF184">
        <f t="shared" si="109"/>
        <v>2016.9166666666667</v>
      </c>
      <c r="AG184">
        <f t="shared" si="110"/>
        <v>2017.0833333333333</v>
      </c>
      <c r="AH184">
        <f t="shared" si="111"/>
        <v>-8.3333333333333329E-2</v>
      </c>
      <c r="AJ184">
        <f t="shared" si="112"/>
        <v>0</v>
      </c>
      <c r="AL184">
        <f t="shared" si="113"/>
        <v>0</v>
      </c>
      <c r="AN184">
        <f t="shared" si="114"/>
        <v>0</v>
      </c>
      <c r="AP184">
        <f t="shared" si="115"/>
        <v>0</v>
      </c>
      <c r="AR184">
        <f t="shared" si="116"/>
        <v>0</v>
      </c>
    </row>
    <row r="185" spans="1:44">
      <c r="B185" t="s">
        <v>594</v>
      </c>
      <c r="D185" t="s">
        <v>592</v>
      </c>
      <c r="E185">
        <v>2016</v>
      </c>
      <c r="F185">
        <v>4</v>
      </c>
      <c r="G185">
        <v>0</v>
      </c>
      <c r="I185" t="s">
        <v>78</v>
      </c>
      <c r="J185">
        <v>1</v>
      </c>
      <c r="K185">
        <f t="shared" si="95"/>
        <v>2017</v>
      </c>
      <c r="N185">
        <f>((14612.94+16641.82+675)/75)*10</f>
        <v>4257.3013333333338</v>
      </c>
      <c r="P185">
        <f t="shared" si="96"/>
        <v>4257.3013333333338</v>
      </c>
      <c r="Q185">
        <f t="shared" si="97"/>
        <v>354.77511111111113</v>
      </c>
      <c r="R185">
        <f>IF(O185&gt;0,0,IF(OR(AD185&gt;AE185,AF185&lt;AG185),0,IF(AND(AF185&gt;=AG185,AF185&lt;=AE185),Q185*((AF185-AG185)*12),IF(AND(AG185&lt;=AD185,AE185&gt;=AD185),((AE185-AD185)*12)*Q185,IF(AF185&gt;AE185,12*Q185,0)))))</f>
        <v>709.5502222225449</v>
      </c>
      <c r="S185">
        <f>IF(O185=0,0,IF(AND(AH185&gt;=AG185,AH185&lt;=AF185),((AH185-AG185)*12)*Q185,0))</f>
        <v>0</v>
      </c>
      <c r="T185">
        <f>IF(S185&gt;0,S185,R185)</f>
        <v>709.5502222225449</v>
      </c>
      <c r="U185">
        <v>1</v>
      </c>
      <c r="V185">
        <f>U185*SUM(R185:S185)</f>
        <v>709.5502222225449</v>
      </c>
      <c r="X185">
        <f>IF(AD185&gt;AE185,0,IF(AF185&lt;AG185,P185,IF(AND(AF185&gt;=AG185,AF185&lt;=AE185),(P185-T185),IF(AND(AG185&lt;=AD185,AE185&gt;=AD185),0,IF(AF185&gt;AE185,((AG185-AD185)*12)*Q185,0)))))</f>
        <v>3547.7511111107888</v>
      </c>
      <c r="Y185">
        <f>X185*U185</f>
        <v>3547.7511111107888</v>
      </c>
      <c r="Z185">
        <v>1</v>
      </c>
      <c r="AA185">
        <f>Y185*Z185</f>
        <v>3547.7511111107888</v>
      </c>
      <c r="AB185">
        <f>IF(O185&gt;0,0,AA185+V185*Z185)*Z185</f>
        <v>4257.3013333333338</v>
      </c>
      <c r="AC185">
        <f>IF(O185&gt;0,(N185-AA185)/2,IF(AD185&gt;=AG185,(((N185*U185)*Z185)-AB185)/2,((((N185*U185)*Z185)-AA185)+(((N185*U185)*Z185)-AB185))/2))</f>
        <v>354.77511111127251</v>
      </c>
      <c r="AD185">
        <f t="shared" si="107"/>
        <v>2016.25</v>
      </c>
      <c r="AE185">
        <f t="shared" si="108"/>
        <v>2018.0833333333333</v>
      </c>
      <c r="AF185">
        <f t="shared" si="109"/>
        <v>2017.25</v>
      </c>
      <c r="AG185">
        <f t="shared" si="110"/>
        <v>2017.0833333333333</v>
      </c>
      <c r="AH185">
        <f t="shared" si="111"/>
        <v>-8.3333333333333329E-2</v>
      </c>
      <c r="AJ185">
        <f t="shared" si="112"/>
        <v>0</v>
      </c>
      <c r="AL185">
        <f t="shared" si="113"/>
        <v>709.5502222225449</v>
      </c>
      <c r="AN185">
        <f t="shared" si="114"/>
        <v>0</v>
      </c>
      <c r="AP185">
        <f t="shared" si="115"/>
        <v>0</v>
      </c>
      <c r="AR185">
        <f t="shared" si="116"/>
        <v>354.77511111127251</v>
      </c>
    </row>
    <row r="187" spans="1:44">
      <c r="C187">
        <v>16</v>
      </c>
      <c r="D187" t="s">
        <v>549</v>
      </c>
      <c r="N187">
        <f>SUM(N169:N186)</f>
        <v>686826.83133333328</v>
      </c>
      <c r="P187">
        <f>SUM(P169:P186)</f>
        <v>543227.59963333339</v>
      </c>
      <c r="Q187">
        <f>SUM(Q169:Q186)</f>
        <v>7490.3234002380959</v>
      </c>
      <c r="R187">
        <f>SUM(R169:R186)</f>
        <v>709.5502222225449</v>
      </c>
      <c r="V187">
        <f>SUM(V169:V186)</f>
        <v>709.5502222225449</v>
      </c>
      <c r="AA187">
        <f>SUM(AA169:AA186)</f>
        <v>542518.04941111081</v>
      </c>
      <c r="AB187">
        <f>SUM(AB169:AB186)</f>
        <v>543227.59963333339</v>
      </c>
      <c r="AC187">
        <f>SUM(AC169:AC186)</f>
        <v>143954.00681111129</v>
      </c>
      <c r="AJ187">
        <f t="shared" ref="AJ187:AR187" si="117">SUM(AJ169:AJ186)</f>
        <v>47866.41056666668</v>
      </c>
      <c r="AL187">
        <f t="shared" si="117"/>
        <v>48575.960788889228</v>
      </c>
      <c r="AN187">
        <f t="shared" si="117"/>
        <v>-143599.23170000003</v>
      </c>
      <c r="AP187">
        <f t="shared" si="117"/>
        <v>0</v>
      </c>
      <c r="AR187">
        <f t="shared" si="117"/>
        <v>354.77511111127251</v>
      </c>
    </row>
    <row r="191" spans="1:44">
      <c r="D191" t="s">
        <v>83</v>
      </c>
      <c r="N191">
        <f>SUM(N164,N151,N145,N114,N77,N187)</f>
        <v>14176346.150000004</v>
      </c>
      <c r="P191">
        <f>SUM(P164,P151,P145,P114,P77,P187)</f>
        <v>11612777.424000001</v>
      </c>
      <c r="Q191">
        <f>SUM(Q164,Q151,Q145,Q114,Q77,Q187)</f>
        <v>142215.23789285714</v>
      </c>
      <c r="R191">
        <f>SUM(R164,R151,R145,R114,R77,R187)</f>
        <v>658071.71987301437</v>
      </c>
      <c r="V191">
        <f>SUM(V164,V151,V145,V114,V77,V187)</f>
        <v>658071.71987301437</v>
      </c>
      <c r="AA191">
        <f>SUM(AA164,AA151,AA145,AA114,AA77,AA187)</f>
        <v>8367272.1217618547</v>
      </c>
      <c r="AB191">
        <f>SUM(AB164,AB151,AB145,AB114,AB77,AB187)</f>
        <v>9025343.8416348696</v>
      </c>
      <c r="AC191">
        <f>SUM(AC164,AC151,AC145,AC114,AC77,AC187)</f>
        <v>5419990.8883016398</v>
      </c>
      <c r="AJ191">
        <f t="shared" ref="AJ191:AR191" si="118">SUM(AJ164,AJ151,AJ145,AJ114,AJ77,AJ187)</f>
        <v>790235.89682289481</v>
      </c>
      <c r="AL191">
        <f t="shared" si="118"/>
        <v>1448307.6166959093</v>
      </c>
      <c r="AN191">
        <f t="shared" si="118"/>
        <v>-1670915.78</v>
      </c>
      <c r="AP191">
        <f t="shared" si="118"/>
        <v>2414925.9901124062</v>
      </c>
      <c r="AR191">
        <f t="shared" si="118"/>
        <v>3632443.123223525</v>
      </c>
    </row>
    <row r="195" spans="1:34">
      <c r="D195" t="s">
        <v>644</v>
      </c>
      <c r="E195">
        <f>+SUMIF($K$1:$K$187,2016,$V$1:$V$187)</f>
        <v>0</v>
      </c>
    </row>
    <row r="196" spans="1:34">
      <c r="D196" t="s">
        <v>645</v>
      </c>
      <c r="E196">
        <f>+SUMIF($K$1:$K$187,2017,$V$1:$V$187)</f>
        <v>24836.981666671105</v>
      </c>
    </row>
    <row r="197" spans="1:34">
      <c r="D197" t="s">
        <v>646</v>
      </c>
      <c r="E197">
        <f>+E195+E196</f>
        <v>24836.981666671105</v>
      </c>
    </row>
    <row r="202" spans="1:34">
      <c r="D202" t="s">
        <v>431</v>
      </c>
    </row>
    <row r="203" spans="1:34">
      <c r="A203" t="s">
        <v>288</v>
      </c>
      <c r="C203">
        <v>6039</v>
      </c>
      <c r="D203" t="s">
        <v>293</v>
      </c>
      <c r="E203">
        <v>2007</v>
      </c>
      <c r="F203">
        <v>3</v>
      </c>
      <c r="G203">
        <v>0.33</v>
      </c>
      <c r="I203" t="s">
        <v>78</v>
      </c>
      <c r="J203">
        <v>5</v>
      </c>
      <c r="K203">
        <f>E203+J203</f>
        <v>2012</v>
      </c>
      <c r="L203">
        <v>2011</v>
      </c>
      <c r="M203">
        <v>5</v>
      </c>
      <c r="N203">
        <v>13489.67</v>
      </c>
      <c r="P203">
        <f>N203-N203*G203</f>
        <v>9038.0789000000004</v>
      </c>
      <c r="Q203">
        <f>P203/J203/12</f>
        <v>150.63464833333333</v>
      </c>
      <c r="R203">
        <f>IF(O203&gt;0,0,IF(OR(AD203&gt;AE203,AF203&lt;AG203),0,IF(AND(AF203&gt;=AG203,AF203&lt;=AE203),Q203*((AF203-AG203)*12),IF(AND(AG203&lt;=AD203,AE203&gt;=AD203),((AE203-AD203)*12)*Q203,IF(AF203&gt;AE203,12*Q203,0)))))</f>
        <v>0</v>
      </c>
      <c r="S203">
        <f>IF(O203=0,0,IF(AND(AH203&gt;=AG203,AH203&lt;=AF203),((AH203-AG203)*12)*Q203,0))</f>
        <v>0</v>
      </c>
      <c r="T203">
        <f>IF(S203&gt;0,S203,R203)</f>
        <v>0</v>
      </c>
      <c r="U203">
        <v>1</v>
      </c>
      <c r="V203">
        <f>U203*SUM(R203:S203)</f>
        <v>0</v>
      </c>
      <c r="X203">
        <f>IF(AD203&gt;AE203,0,IF(AF203&lt;AG203,P203,IF(AND(AF203&gt;=AG203,AF203&lt;=AE203),(P203-T203),IF(AND(AG203&lt;=AD203,AE203&gt;=AD203),0,IF(AF203&gt;AE203,((AG203-AD203)*12)*Q203,0)))))</f>
        <v>9038.0789000000004</v>
      </c>
      <c r="Y203">
        <f>X203*U203</f>
        <v>9038.0789000000004</v>
      </c>
      <c r="Z203">
        <v>1</v>
      </c>
      <c r="AA203">
        <f>Y203*Z203</f>
        <v>9038.0789000000004</v>
      </c>
      <c r="AB203">
        <f>IF(O203&gt;0,0,AA203+V203*Z203)*Z203</f>
        <v>9038.0789000000004</v>
      </c>
      <c r="AC203">
        <f>IF(O203&gt;0,(N203-AA203)/2,IF(AD203&gt;=AG203,(((N203*U203)*Z203)-AB203)/2,((((N203*U203)*Z203)-AA203)+(((N203*U203)*Z203)-AB203))/2))</f>
        <v>4451.5910999999996</v>
      </c>
      <c r="AD203">
        <f>$E203+(($F203-1)/12)</f>
        <v>2007.1666666666667</v>
      </c>
      <c r="AE203">
        <f>($P$5+1)-($P$2/12)</f>
        <v>2018.0833333333333</v>
      </c>
      <c r="AF203">
        <f>$K203+(($F203-1)/12)</f>
        <v>2012.1666666666667</v>
      </c>
      <c r="AG203">
        <f>$P$4+($P$3/12)</f>
        <v>2017.0833333333333</v>
      </c>
      <c r="AH203">
        <f>$L203+(($M203-1)/12)</f>
        <v>2011.3333333333333</v>
      </c>
    </row>
    <row r="206" spans="1:34">
      <c r="D206" t="s">
        <v>447</v>
      </c>
    </row>
    <row r="207" spans="1:34">
      <c r="A207" t="s">
        <v>286</v>
      </c>
      <c r="C207">
        <v>2031</v>
      </c>
      <c r="D207" t="s">
        <v>336</v>
      </c>
      <c r="E207">
        <v>2007</v>
      </c>
      <c r="F207">
        <v>8</v>
      </c>
      <c r="G207">
        <v>0.2</v>
      </c>
      <c r="I207" t="s">
        <v>78</v>
      </c>
      <c r="J207">
        <v>7</v>
      </c>
      <c r="K207">
        <f>E207+J207</f>
        <v>2014</v>
      </c>
      <c r="N207">
        <v>215572.44</v>
      </c>
      <c r="P207">
        <f>N207-N207*G207</f>
        <v>172457.95199999999</v>
      </c>
      <c r="Q207">
        <f>P207/J207/12</f>
        <v>2053.0708571428572</v>
      </c>
      <c r="R207">
        <f>IF(O207&gt;0,0,IF(OR(AD207&gt;AE207,AF207&lt;AG207),0,IF(AND(AF207&gt;=AG207,AF207&lt;=AE207),Q207*((AF207-AG207)*12),IF(AND(AG207&lt;=AD207,AE207&gt;=AD207),((AE207-AD207)*12)*Q207,IF(AF207&gt;AE207,12*Q207,0)))))</f>
        <v>0</v>
      </c>
      <c r="S207">
        <f>IF(O207=0,0,IF(AND(AH207&gt;=AG207,AH207&lt;=AF207),((AH207-AG207)*12)*Q207,0))</f>
        <v>0</v>
      </c>
      <c r="T207">
        <f>IF(S207&gt;0,S207,R207)</f>
        <v>0</v>
      </c>
      <c r="U207">
        <v>1</v>
      </c>
      <c r="V207">
        <f>U207*SUM(R207:S207)</f>
        <v>0</v>
      </c>
      <c r="X207">
        <f>IF(AD207&gt;AE207,0,IF(AF207&lt;AG207,P207,IF(AND(AF207&gt;=AG207,AF207&lt;=AE207),(P207-T207),IF(AND(AG207&lt;=AD207,AE207&gt;=AD207),0,IF(AF207&gt;AE207,((AG207-AD207)*12)*Q207,0)))))</f>
        <v>172457.95199999999</v>
      </c>
      <c r="Y207">
        <f>X207*U207</f>
        <v>172457.95199999999</v>
      </c>
      <c r="Z207">
        <v>1</v>
      </c>
      <c r="AA207">
        <f>Y207*Z207</f>
        <v>172457.95199999999</v>
      </c>
      <c r="AB207">
        <f>IF(O207&gt;0,0,AA207+V207*Z207)*Z207</f>
        <v>172457.95199999999</v>
      </c>
      <c r="AC207">
        <f>IF(O207&gt;0,(N207-AA207)/2,IF(AD207&gt;=AG207,(((N207*U207)*Z207)-AB207)/2,((((N207*U207)*Z207)-AA207)+(((N207*U207)*Z207)-AB207))/2))</f>
        <v>43114.488000000012</v>
      </c>
      <c r="AD207">
        <f>$E207+(($F207-1)/12)</f>
        <v>2007.5833333333333</v>
      </c>
      <c r="AE207">
        <f>($P$5+1)-($P$2/12)</f>
        <v>2018.0833333333333</v>
      </c>
      <c r="AF207">
        <f>$K207+(($F207-1)/12)</f>
        <v>2014.5833333333333</v>
      </c>
      <c r="AG207">
        <f>$P$4+($P$3/12)</f>
        <v>2017.0833333333333</v>
      </c>
      <c r="AH207">
        <f>$L207+(($M207-1)/12)</f>
        <v>-8.3333333333333329E-2</v>
      </c>
    </row>
    <row r="208" spans="1:34">
      <c r="A208" t="s">
        <v>155</v>
      </c>
      <c r="C208">
        <v>3564</v>
      </c>
      <c r="D208" t="s">
        <v>158</v>
      </c>
      <c r="E208">
        <v>2001</v>
      </c>
      <c r="F208">
        <v>8</v>
      </c>
      <c r="G208">
        <v>0.2</v>
      </c>
      <c r="I208" t="s">
        <v>78</v>
      </c>
      <c r="J208">
        <v>7</v>
      </c>
      <c r="K208">
        <f>E208+J208</f>
        <v>2008</v>
      </c>
      <c r="N208">
        <v>156300.88</v>
      </c>
      <c r="P208">
        <f>N208-N208*G208</f>
        <v>125040.704</v>
      </c>
      <c r="Q208">
        <f>P208/J208/12</f>
        <v>1488.5798095238094</v>
      </c>
      <c r="R208">
        <f>IF(O208&gt;0,0,IF(OR(AD208&gt;AE208,AF208&lt;AG208),0,IF(AND(AF208&gt;=AG208,AF208&lt;=AE208),Q208*((AF208-AG208)*12),IF(AND(AG208&lt;=AD208,AE208&gt;=AD208),((AE208-AD208)*12)*Q208,IF(AF208&gt;AE208,12*Q208,0)))))</f>
        <v>0</v>
      </c>
      <c r="S208">
        <f>IF(O208=0,0,IF(AND(AH208&gt;=AG208,AH208&lt;=AF208),((AH208-AG208)*12)*Q208,0))</f>
        <v>0</v>
      </c>
      <c r="T208">
        <f>IF(S208&gt;0,S208,R208)</f>
        <v>0</v>
      </c>
      <c r="U208">
        <v>1</v>
      </c>
      <c r="V208">
        <f>U208*SUM(R208:S208)</f>
        <v>0</v>
      </c>
      <c r="X208">
        <f>IF(AD208&gt;AE208,0,IF(AF208&lt;AG208,P208,IF(AND(AF208&gt;=AG208,AF208&lt;=AE208),(P208-T208),IF(AND(AG208&lt;=AD208,AE208&gt;=AD208),0,IF(AF208&gt;AE208,((AG208-AD208)*12)*Q208,0)))))</f>
        <v>125040.704</v>
      </c>
      <c r="Y208">
        <f>X208*U208</f>
        <v>125040.704</v>
      </c>
      <c r="Z208">
        <v>1</v>
      </c>
      <c r="AA208">
        <f>Y208*Z208</f>
        <v>125040.704</v>
      </c>
      <c r="AB208">
        <f>IF(O208&gt;0,0,AA208+V208*Z208)*Z208</f>
        <v>125040.704</v>
      </c>
      <c r="AC208">
        <f>IF(O208&gt;0,(N208-AA208)/2,IF(AD208&gt;=AG208,(((N208*U208)*Z208)-AB208)/2,((((N208*U208)*Z208)-AA208)+(((N208*U208)*Z208)-AB208))/2))</f>
        <v>31260.176000000007</v>
      </c>
      <c r="AD208">
        <f>$E208+(($F208-1)/12)</f>
        <v>2001.5833333333333</v>
      </c>
      <c r="AE208">
        <f>($P$5+1)-($P$2/12)</f>
        <v>2018.0833333333333</v>
      </c>
      <c r="AF208">
        <f>$K208+(($F208-1)/12)</f>
        <v>2008.5833333333333</v>
      </c>
      <c r="AG208">
        <f>$P$4+($P$3/12)</f>
        <v>2017.0833333333333</v>
      </c>
      <c r="AH208">
        <f>$L208+(($M208-1)/12)</f>
        <v>-8.3333333333333329E-2</v>
      </c>
    </row>
    <row r="209" spans="1:34">
      <c r="A209" t="s">
        <v>286</v>
      </c>
      <c r="B209">
        <v>61092</v>
      </c>
      <c r="C209">
        <v>2026</v>
      </c>
      <c r="D209" t="s">
        <v>152</v>
      </c>
      <c r="E209">
        <v>2006</v>
      </c>
      <c r="F209">
        <v>8</v>
      </c>
      <c r="G209">
        <v>0.2</v>
      </c>
      <c r="I209" t="s">
        <v>78</v>
      </c>
      <c r="J209">
        <v>7</v>
      </c>
      <c r="K209">
        <f>E209+J209</f>
        <v>2013</v>
      </c>
      <c r="N209">
        <v>208742.37</v>
      </c>
      <c r="P209">
        <f>N209-N209*G209</f>
        <v>166993.89600000001</v>
      </c>
      <c r="Q209">
        <f>P209/J209/12</f>
        <v>1988.0225714285716</v>
      </c>
      <c r="R209">
        <f>IF(O209&gt;0,0,IF(OR(AD209&gt;AE209,AF209&lt;AG209),0,IF(AND(AF209&gt;=AG209,AF209&lt;=AE209),Q209*((AF209-AG209)*12),IF(AND(AG209&lt;=AD209,AE209&gt;=AD209),((AE209-AD209)*12)*Q209,IF(AF209&gt;AE209,12*Q209,0)))))</f>
        <v>0</v>
      </c>
      <c r="S209">
        <f>IF(O209=0,0,IF(AND(AH209&gt;=AG209,AH209&lt;=AF209),((AH209-AG209)*12)*Q209,0))</f>
        <v>0</v>
      </c>
      <c r="T209">
        <f>IF(S209&gt;0,S209,R209)</f>
        <v>0</v>
      </c>
      <c r="U209">
        <v>1</v>
      </c>
      <c r="V209">
        <f>U209*SUM(R209:S209)</f>
        <v>0</v>
      </c>
      <c r="X209">
        <f>IF(AD209&gt;AE209,0,IF(AF209&lt;AG209,P209,IF(AND(AF209&gt;=AG209,AF209&lt;=AE209),(P209-T209),IF(AND(AG209&lt;=AD209,AE209&gt;=AD209),0,IF(AF209&gt;AE209,((AG209-AD209)*12)*Q209,0)))))</f>
        <v>166993.89600000001</v>
      </c>
      <c r="Y209">
        <f>X209*U209</f>
        <v>166993.89600000001</v>
      </c>
      <c r="Z209">
        <v>1</v>
      </c>
      <c r="AA209">
        <f>Y209*Z209</f>
        <v>166993.89600000001</v>
      </c>
      <c r="AB209">
        <f>IF(O209&gt;0,0,AA209+V209*Z209)*Z209</f>
        <v>166993.89600000001</v>
      </c>
      <c r="AC209">
        <f>IF(O209&gt;0,(N209-AA209)/2,IF(AD209&gt;=AG209,(((N209*U209)*Z209)-AB209)/2,((((N209*U209)*Z209)-AA209)+(((N209*U209)*Z209)-AB209))/2))</f>
        <v>41748.473999999987</v>
      </c>
      <c r="AD209">
        <f>$E209+(($F209-1)/12)</f>
        <v>2006.5833333333333</v>
      </c>
      <c r="AE209">
        <f>($P$5+1)-($P$2/12)</f>
        <v>2018.0833333333333</v>
      </c>
      <c r="AF209">
        <f>$K209+(($F209-1)/12)</f>
        <v>2013.5833333333333</v>
      </c>
      <c r="AG209">
        <f>$P$4+($P$3/12)</f>
        <v>2017.0833333333333</v>
      </c>
      <c r="AH209">
        <f>$L209+(($M209-1)/12)</f>
        <v>-8.3333333333333329E-2</v>
      </c>
    </row>
    <row r="210" spans="1:34">
      <c r="A210" t="s">
        <v>283</v>
      </c>
      <c r="C210">
        <v>4040</v>
      </c>
      <c r="D210" t="s">
        <v>164</v>
      </c>
      <c r="E210">
        <v>2004</v>
      </c>
      <c r="F210">
        <v>11</v>
      </c>
      <c r="G210">
        <v>0.2</v>
      </c>
      <c r="I210" t="s">
        <v>78</v>
      </c>
      <c r="J210">
        <v>7</v>
      </c>
      <c r="K210">
        <f>E210+J210</f>
        <v>2011</v>
      </c>
      <c r="N210">
        <v>123785.60000000001</v>
      </c>
      <c r="P210">
        <f>N210-N210*G210</f>
        <v>99028.48000000001</v>
      </c>
      <c r="Q210">
        <f>P210/J210/12</f>
        <v>1178.9104761904762</v>
      </c>
      <c r="R210">
        <f>IF(O210&gt;0,0,IF(OR(AD210&gt;AE210,AF210&lt;AG210),0,IF(AND(AF210&gt;=AG210,AF210&lt;=AE210),Q210*((AF210-AG210)*12),IF(AND(AG210&lt;=AD210,AE210&gt;=AD210),((AE210-AD210)*12)*Q210,IF(AF210&gt;AE210,12*Q210,0)))))</f>
        <v>0</v>
      </c>
      <c r="S210">
        <f>IF(O210=0,0,IF(AND(AH210&gt;=AG210,AH210&lt;=AF210),((AH210-AG210)*12)*Q210,0))</f>
        <v>0</v>
      </c>
      <c r="T210">
        <f>IF(S210&gt;0,S210,R210)</f>
        <v>0</v>
      </c>
      <c r="U210">
        <v>1</v>
      </c>
      <c r="V210">
        <f>U210*SUM(R210:S210)</f>
        <v>0</v>
      </c>
      <c r="X210">
        <f>IF(AD210&gt;AE210,0,IF(AF210&lt;AG210,P210,IF(AND(AF210&gt;=AG210,AF210&lt;=AE210),(P210-T210),IF(AND(AG210&lt;=AD210,AE210&gt;=AD210),0,IF(AF210&gt;AE210,((AG210-AD210)*12)*Q210,0)))))</f>
        <v>99028.48000000001</v>
      </c>
      <c r="Y210">
        <f>X210*U210</f>
        <v>99028.48000000001</v>
      </c>
      <c r="Z210">
        <v>1</v>
      </c>
      <c r="AA210">
        <f>Y210*Z210</f>
        <v>99028.48000000001</v>
      </c>
      <c r="AB210">
        <f>IF(O210&gt;0,0,AA210+V210*Z210)*Z210</f>
        <v>99028.48000000001</v>
      </c>
      <c r="AC210">
        <f>IF(O210&gt;0,(N210-AA210)/2,IF(AD210&gt;=AG210,(((N210*U210)*Z210)-AB210)/2,((((N210*U210)*Z210)-AA210)+(((N210*U210)*Z210)-AB210))/2))</f>
        <v>24757.119999999995</v>
      </c>
      <c r="AD210">
        <f>$E210+(($F210-1)/12)</f>
        <v>2004.8333333333333</v>
      </c>
      <c r="AE210">
        <f>($P$5+1)-($P$2/12)</f>
        <v>2018.0833333333333</v>
      </c>
      <c r="AF210">
        <f>$K210+(($F210-1)/12)</f>
        <v>2011.8333333333333</v>
      </c>
      <c r="AG210">
        <f>$P$4+($P$3/12)</f>
        <v>2017.0833333333333</v>
      </c>
      <c r="AH210">
        <f>$L210+(($M210-1)/12)</f>
        <v>-8.3333333333333329E-2</v>
      </c>
    </row>
    <row r="211" spans="1:34">
      <c r="A211" t="s">
        <v>291</v>
      </c>
      <c r="C211">
        <v>5040</v>
      </c>
      <c r="D211" t="s">
        <v>333</v>
      </c>
      <c r="E211">
        <v>2001</v>
      </c>
      <c r="F211">
        <v>8</v>
      </c>
      <c r="G211">
        <v>0.2</v>
      </c>
      <c r="I211" t="s">
        <v>78</v>
      </c>
      <c r="J211">
        <v>7</v>
      </c>
      <c r="K211">
        <f>E211+J211</f>
        <v>2008</v>
      </c>
      <c r="N211">
        <v>65346.74</v>
      </c>
      <c r="P211">
        <f>N211-N211*G211</f>
        <v>52277.392</v>
      </c>
      <c r="Q211">
        <f>P211/J211/12</f>
        <v>622.34990476190478</v>
      </c>
      <c r="R211">
        <f>IF(O211&gt;0,0,IF(OR(AD211&gt;AE211,AF211&lt;AG211),0,IF(AND(AF211&gt;=AG211,AF211&lt;=AE211),Q211*((AF211-AG211)*12),IF(AND(AG211&lt;=AD211,AE211&gt;=AD211),((AE211-AD211)*12)*Q211,IF(AF211&gt;AE211,12*Q211,0)))))</f>
        <v>0</v>
      </c>
      <c r="S211">
        <f>IF(O211=0,0,IF(AND(AH211&gt;=AG211,AH211&lt;=AF211),((AH211-AG211)*12)*Q211,0))</f>
        <v>0</v>
      </c>
      <c r="T211">
        <f>IF(S211&gt;0,S211,R211)</f>
        <v>0</v>
      </c>
      <c r="U211">
        <v>1</v>
      </c>
      <c r="V211">
        <f>U211*SUM(R211:S211)</f>
        <v>0</v>
      </c>
      <c r="X211">
        <f>IF(AD211&gt;AE211,0,IF(AF211&lt;AG211,P211,IF(AND(AF211&gt;=AG211,AF211&lt;=AE211),(P211-T211),IF(AND(AG211&lt;=AD211,AE211&gt;=AD211),0,IF(AF211&gt;AE211,((AG211-AD211)*12)*Q211,0)))))</f>
        <v>52277.392</v>
      </c>
      <c r="Y211">
        <f>X211*U211</f>
        <v>52277.392</v>
      </c>
      <c r="Z211">
        <v>1</v>
      </c>
      <c r="AA211">
        <f>Y211*Z211</f>
        <v>52277.392</v>
      </c>
      <c r="AB211">
        <f>IF(O211&gt;0,0,AA211+V211*Z211)*Z211</f>
        <v>52277.392</v>
      </c>
      <c r="AC211">
        <f>IF(O211&gt;0,(N211-AA211)/2,IF(AD211&gt;=AG211,(((N211*U211)*Z211)-AB211)/2,((((N211*U211)*Z211)-AA211)+(((N211*U211)*Z211)-AB211))/2))</f>
        <v>13069.347999999998</v>
      </c>
      <c r="AD211">
        <f>$E211+(($F211-1)/12)</f>
        <v>2001.5833333333333</v>
      </c>
      <c r="AE211">
        <f>($P$5+1)-($P$2/12)</f>
        <v>2018.0833333333333</v>
      </c>
      <c r="AF211">
        <f>$K211+(($F211-1)/12)</f>
        <v>2008.5833333333333</v>
      </c>
      <c r="AG211">
        <f>$P$4+($P$3/12)</f>
        <v>2017.0833333333333</v>
      </c>
      <c r="AH211">
        <f>$L211+(($M211-1)/12)</f>
        <v>-8.3333333333333329E-2</v>
      </c>
    </row>
    <row r="213" spans="1:34">
      <c r="D213" t="s">
        <v>456</v>
      </c>
    </row>
    <row r="214" spans="1:34">
      <c r="A214" t="s">
        <v>288</v>
      </c>
      <c r="C214">
        <v>4514</v>
      </c>
      <c r="D214" t="s">
        <v>454</v>
      </c>
      <c r="E214">
        <v>1998</v>
      </c>
      <c r="F214">
        <v>2</v>
      </c>
      <c r="G214">
        <v>0.33</v>
      </c>
      <c r="I214" t="s">
        <v>78</v>
      </c>
      <c r="J214">
        <v>5</v>
      </c>
      <c r="K214">
        <f>E214+J214</f>
        <v>2003</v>
      </c>
      <c r="N214">
        <v>15000</v>
      </c>
      <c r="P214">
        <f>N214-N214*G214</f>
        <v>10050</v>
      </c>
      <c r="Q214">
        <f>P214/J214/12</f>
        <v>167.5</v>
      </c>
      <c r="R214">
        <f>IF(O214&gt;0,0,IF(OR(AD214&gt;AE214,AF214&lt;AG214),0,IF(AND(AF214&gt;=AG214,AF214&lt;=AE214),Q214*((AF214-AG214)*12),IF(AND(AG214&lt;=AD214,AE214&gt;=AD214),((AE214-AD214)*12)*Q214,IF(AF214&gt;AE214,12*Q214,0)))))</f>
        <v>0</v>
      </c>
      <c r="S214">
        <f>IF(O214=0,0,IF(AND(AH214&gt;=AG214,AH214&lt;=AF214),((AH214-AG214)*12)*Q214,0))</f>
        <v>0</v>
      </c>
      <c r="T214">
        <f>IF(S214&gt;0,S214,R214)</f>
        <v>0</v>
      </c>
      <c r="U214">
        <v>1</v>
      </c>
      <c r="V214">
        <f>U214*SUM(R214:S214)</f>
        <v>0</v>
      </c>
      <c r="X214">
        <f>IF(AD214&gt;AE214,0,IF(AF214&lt;AG214,P214,IF(AND(AF214&gt;=AG214,AF214&lt;=AE214),(P214-T214),IF(AND(AG214&lt;=AD214,AE214&gt;=AD214),0,IF(AF214&gt;AE214,((AG214-AD214)*12)*Q214,0)))))</f>
        <v>10050</v>
      </c>
      <c r="Y214">
        <f>X214*U214</f>
        <v>10050</v>
      </c>
      <c r="Z214">
        <v>1</v>
      </c>
      <c r="AA214">
        <f>Y214*Z214</f>
        <v>10050</v>
      </c>
      <c r="AB214">
        <f>IF(O214&gt;0,0,AA214+V214*Z214)*Z214</f>
        <v>10050</v>
      </c>
      <c r="AC214">
        <f>IF(O214&gt;0,(N214-AA214)/2,IF(AD214&gt;=AG214,(((N214*U214)*Z214)-AB214)/2,((((N214*U214)*Z214)-AA214)+(((N214*U214)*Z214)-AB214))/2))</f>
        <v>4950</v>
      </c>
      <c r="AD214">
        <f>$E214+(($F214-1)/12)</f>
        <v>1998.0833333333333</v>
      </c>
      <c r="AE214">
        <f>('[1]Trucks 2184'!$P$5+1)-('[1]Trucks 2184'!$P$2/12)</f>
        <v>2013</v>
      </c>
      <c r="AF214">
        <f>$K214+(($F214-1)/12)</f>
        <v>2003.0833333333333</v>
      </c>
      <c r="AG214">
        <f>'[1]Trucks 2184'!$P$4+('[1]Trucks 2184'!$P$3/12)</f>
        <v>2012</v>
      </c>
      <c r="AH214">
        <f>$L214+(($M214-1)/12)</f>
        <v>-8.3333333333333329E-2</v>
      </c>
    </row>
    <row r="216" spans="1:34">
      <c r="D216" t="s">
        <v>480</v>
      </c>
    </row>
    <row r="217" spans="1:34">
      <c r="A217" t="s">
        <v>151</v>
      </c>
      <c r="B217">
        <v>61036</v>
      </c>
      <c r="C217">
        <v>1208</v>
      </c>
      <c r="D217" t="s">
        <v>318</v>
      </c>
      <c r="E217">
        <v>1989</v>
      </c>
      <c r="F217">
        <v>12</v>
      </c>
      <c r="G217">
        <v>0.2</v>
      </c>
      <c r="I217" t="s">
        <v>78</v>
      </c>
      <c r="J217">
        <v>7</v>
      </c>
      <c r="K217">
        <f t="shared" ref="K217:K225" si="119">E217+J217</f>
        <v>1996</v>
      </c>
      <c r="N217">
        <v>37870</v>
      </c>
      <c r="P217">
        <f t="shared" ref="P217:P227" si="120">N217-N217*G217</f>
        <v>30296</v>
      </c>
      <c r="Q217">
        <f t="shared" ref="Q217:Q227" si="121">P217/J217/12</f>
        <v>360.66666666666669</v>
      </c>
      <c r="R217">
        <f t="shared" ref="R217:R225" si="122">IF(O217&gt;0,0,IF(OR(AD217&gt;AE217,AF217&lt;AG217),0,IF(AND(AF217&gt;=AG217,AF217&lt;=AE217),Q217*((AF217-AG217)*12),IF(AND(AG217&lt;=AD217,AE217&gt;=AD217),((AE217-AD217)*12)*Q217,IF(AF217&gt;AE217,12*Q217,0)))))</f>
        <v>0</v>
      </c>
      <c r="S217">
        <f t="shared" ref="S217:S225" si="123">IF(O217=0,0,IF(AND(AH217&gt;=AG217,AH217&lt;=AF217),((AH217-AG217)*12)*Q217,0))</f>
        <v>0</v>
      </c>
      <c r="T217">
        <f t="shared" ref="T217:T225" si="124">IF(S217&gt;0,S217,R217)</f>
        <v>0</v>
      </c>
      <c r="U217">
        <v>1</v>
      </c>
      <c r="V217">
        <f t="shared" ref="V217:V225" si="125">U217*SUM(R217:S217)</f>
        <v>0</v>
      </c>
      <c r="X217">
        <f t="shared" ref="X217:X225" si="126">IF(AD217&gt;AE217,0,IF(AF217&lt;AG217,P217,IF(AND(AF217&gt;=AG217,AF217&lt;=AE217),(P217-T217),IF(AND(AG217&lt;=AD217,AE217&gt;=AD217),0,IF(AF217&gt;AE217,((AG217-AD217)*12)*Q217,0)))))</f>
        <v>30296</v>
      </c>
      <c r="Y217">
        <f t="shared" ref="Y217:Y225" si="127">X217*U217</f>
        <v>30296</v>
      </c>
      <c r="Z217">
        <v>1</v>
      </c>
      <c r="AA217">
        <f t="shared" ref="AA217:AA225" si="128">Y217*Z217</f>
        <v>30296</v>
      </c>
      <c r="AB217">
        <f t="shared" ref="AB217:AB225" si="129">IF(O217&gt;0,0,AA217+V217*Z217)*Z217</f>
        <v>30296</v>
      </c>
      <c r="AC217">
        <f t="shared" ref="AC217:AC225" si="130">IF(O217&gt;0,(N217-AA217)/2,IF(AD217&gt;=AG217,(((N217*U217)*Z217)-AB217)/2,((((N217*U217)*Z217)-AA217)+(((N217*U217)*Z217)-AB217))/2))</f>
        <v>7574</v>
      </c>
      <c r="AD217">
        <f t="shared" ref="AD217:AD225" si="131">$E217+(($F217-1)/12)</f>
        <v>1989.9166666666667</v>
      </c>
      <c r="AE217">
        <f t="shared" ref="AE217:AE223" si="132">($P$5+1)-($P$2/12)</f>
        <v>2018.0833333333333</v>
      </c>
      <c r="AF217">
        <f t="shared" ref="AF217:AF225" si="133">$K217+(($F217-1)/12)</f>
        <v>1996.9166666666667</v>
      </c>
      <c r="AG217">
        <f t="shared" ref="AG217:AG223" si="134">$P$4+($P$3/12)</f>
        <v>2017.0833333333333</v>
      </c>
      <c r="AH217">
        <f t="shared" ref="AH217:AH227" si="135">$L217+(($M217-1)/12)</f>
        <v>-8.3333333333333329E-2</v>
      </c>
    </row>
    <row r="218" spans="1:34">
      <c r="A218" t="s">
        <v>151</v>
      </c>
      <c r="C218">
        <v>1208</v>
      </c>
      <c r="D218" t="s">
        <v>319</v>
      </c>
      <c r="E218">
        <v>2009</v>
      </c>
      <c r="F218">
        <v>5</v>
      </c>
      <c r="G218">
        <v>0</v>
      </c>
      <c r="I218" t="s">
        <v>78</v>
      </c>
      <c r="J218">
        <v>3</v>
      </c>
      <c r="K218">
        <f t="shared" si="119"/>
        <v>2012</v>
      </c>
      <c r="N218">
        <v>2971.88</v>
      </c>
      <c r="P218">
        <f t="shared" si="120"/>
        <v>2971.88</v>
      </c>
      <c r="Q218">
        <f t="shared" si="121"/>
        <v>82.552222222222227</v>
      </c>
      <c r="R218">
        <f t="shared" si="122"/>
        <v>0</v>
      </c>
      <c r="S218">
        <f t="shared" si="123"/>
        <v>0</v>
      </c>
      <c r="T218">
        <f t="shared" si="124"/>
        <v>0</v>
      </c>
      <c r="U218">
        <v>1</v>
      </c>
      <c r="V218">
        <f t="shared" si="125"/>
        <v>0</v>
      </c>
      <c r="X218">
        <f t="shared" si="126"/>
        <v>2971.88</v>
      </c>
      <c r="Y218">
        <f t="shared" si="127"/>
        <v>2971.88</v>
      </c>
      <c r="Z218">
        <v>1</v>
      </c>
      <c r="AA218">
        <f t="shared" si="128"/>
        <v>2971.88</v>
      </c>
      <c r="AB218">
        <f t="shared" si="129"/>
        <v>2971.88</v>
      </c>
      <c r="AC218">
        <f t="shared" si="130"/>
        <v>0</v>
      </c>
      <c r="AD218">
        <f t="shared" si="131"/>
        <v>2009.3333333333333</v>
      </c>
      <c r="AE218">
        <f t="shared" si="132"/>
        <v>2018.0833333333333</v>
      </c>
      <c r="AF218">
        <f t="shared" si="133"/>
        <v>2012.3333333333333</v>
      </c>
      <c r="AG218">
        <f t="shared" si="134"/>
        <v>2017.0833333333333</v>
      </c>
      <c r="AH218">
        <f t="shared" si="135"/>
        <v>-8.3333333333333329E-2</v>
      </c>
    </row>
    <row r="219" spans="1:34">
      <c r="A219" t="s">
        <v>151</v>
      </c>
      <c r="B219">
        <v>61040</v>
      </c>
      <c r="C219">
        <v>1214</v>
      </c>
      <c r="D219" t="s">
        <v>337</v>
      </c>
      <c r="E219">
        <v>1990</v>
      </c>
      <c r="F219">
        <v>12</v>
      </c>
      <c r="G219">
        <v>0.2</v>
      </c>
      <c r="I219" t="s">
        <v>78</v>
      </c>
      <c r="J219">
        <v>7</v>
      </c>
      <c r="K219">
        <f t="shared" si="119"/>
        <v>1997</v>
      </c>
      <c r="N219">
        <v>37870</v>
      </c>
      <c r="P219">
        <f t="shared" si="120"/>
        <v>30296</v>
      </c>
      <c r="Q219">
        <f t="shared" si="121"/>
        <v>360.66666666666669</v>
      </c>
      <c r="R219">
        <f t="shared" si="122"/>
        <v>0</v>
      </c>
      <c r="S219">
        <f t="shared" si="123"/>
        <v>0</v>
      </c>
      <c r="T219">
        <f t="shared" si="124"/>
        <v>0</v>
      </c>
      <c r="U219">
        <v>1</v>
      </c>
      <c r="V219">
        <f t="shared" si="125"/>
        <v>0</v>
      </c>
      <c r="X219">
        <f t="shared" si="126"/>
        <v>30296</v>
      </c>
      <c r="Y219">
        <f t="shared" si="127"/>
        <v>30296</v>
      </c>
      <c r="Z219">
        <v>1</v>
      </c>
      <c r="AA219">
        <f t="shared" si="128"/>
        <v>30296</v>
      </c>
      <c r="AB219">
        <f t="shared" si="129"/>
        <v>30296</v>
      </c>
      <c r="AC219">
        <f t="shared" si="130"/>
        <v>7574</v>
      </c>
      <c r="AD219">
        <f t="shared" si="131"/>
        <v>1990.9166666666667</v>
      </c>
      <c r="AE219">
        <f t="shared" si="132"/>
        <v>2018.0833333333333</v>
      </c>
      <c r="AF219">
        <f t="shared" si="133"/>
        <v>1997.9166666666667</v>
      </c>
      <c r="AG219">
        <f t="shared" si="134"/>
        <v>2017.0833333333333</v>
      </c>
      <c r="AH219">
        <f t="shared" si="135"/>
        <v>-8.3333333333333329E-2</v>
      </c>
    </row>
    <row r="220" spans="1:34">
      <c r="A220" t="s">
        <v>151</v>
      </c>
      <c r="C220">
        <v>1214</v>
      </c>
      <c r="D220" t="s">
        <v>338</v>
      </c>
      <c r="E220">
        <v>2009</v>
      </c>
      <c r="F220">
        <v>5</v>
      </c>
      <c r="G220">
        <v>0</v>
      </c>
      <c r="I220" t="s">
        <v>78</v>
      </c>
      <c r="J220">
        <v>3</v>
      </c>
      <c r="K220">
        <f t="shared" si="119"/>
        <v>2012</v>
      </c>
      <c r="N220">
        <v>8982.94</v>
      </c>
      <c r="P220">
        <f t="shared" si="120"/>
        <v>8982.94</v>
      </c>
      <c r="Q220">
        <f t="shared" si="121"/>
        <v>249.52611111111113</v>
      </c>
      <c r="R220">
        <f t="shared" si="122"/>
        <v>0</v>
      </c>
      <c r="S220">
        <f t="shared" si="123"/>
        <v>0</v>
      </c>
      <c r="T220">
        <f t="shared" si="124"/>
        <v>0</v>
      </c>
      <c r="U220">
        <v>1</v>
      </c>
      <c r="V220">
        <f t="shared" si="125"/>
        <v>0</v>
      </c>
      <c r="X220">
        <f t="shared" si="126"/>
        <v>8982.94</v>
      </c>
      <c r="Y220">
        <f t="shared" si="127"/>
        <v>8982.94</v>
      </c>
      <c r="Z220">
        <v>1</v>
      </c>
      <c r="AA220">
        <f t="shared" si="128"/>
        <v>8982.94</v>
      </c>
      <c r="AB220">
        <f t="shared" si="129"/>
        <v>8982.94</v>
      </c>
      <c r="AC220">
        <f t="shared" si="130"/>
        <v>0</v>
      </c>
      <c r="AD220">
        <f t="shared" si="131"/>
        <v>2009.3333333333333</v>
      </c>
      <c r="AE220">
        <f t="shared" si="132"/>
        <v>2018.0833333333333</v>
      </c>
      <c r="AF220">
        <f t="shared" si="133"/>
        <v>2012.3333333333333</v>
      </c>
      <c r="AG220">
        <f t="shared" si="134"/>
        <v>2017.0833333333333</v>
      </c>
      <c r="AH220">
        <f t="shared" si="135"/>
        <v>-8.3333333333333329E-2</v>
      </c>
    </row>
    <row r="221" spans="1:34">
      <c r="A221" t="s">
        <v>286</v>
      </c>
      <c r="B221">
        <v>61051</v>
      </c>
      <c r="C221">
        <v>2504</v>
      </c>
      <c r="D221" t="s">
        <v>154</v>
      </c>
      <c r="E221">
        <v>1996</v>
      </c>
      <c r="F221">
        <v>6</v>
      </c>
      <c r="G221">
        <v>0.2</v>
      </c>
      <c r="I221" t="s">
        <v>78</v>
      </c>
      <c r="J221">
        <v>7</v>
      </c>
      <c r="K221">
        <f t="shared" si="119"/>
        <v>2003</v>
      </c>
      <c r="N221">
        <v>89610</v>
      </c>
      <c r="P221">
        <f t="shared" si="120"/>
        <v>71688</v>
      </c>
      <c r="Q221">
        <f t="shared" si="121"/>
        <v>853.42857142857144</v>
      </c>
      <c r="R221">
        <f t="shared" si="122"/>
        <v>0</v>
      </c>
      <c r="S221">
        <f t="shared" si="123"/>
        <v>0</v>
      </c>
      <c r="T221">
        <f t="shared" si="124"/>
        <v>0</v>
      </c>
      <c r="U221">
        <v>1</v>
      </c>
      <c r="V221">
        <f t="shared" si="125"/>
        <v>0</v>
      </c>
      <c r="X221">
        <f t="shared" si="126"/>
        <v>71688</v>
      </c>
      <c r="Y221">
        <f t="shared" si="127"/>
        <v>71688</v>
      </c>
      <c r="Z221">
        <v>1</v>
      </c>
      <c r="AA221">
        <f t="shared" si="128"/>
        <v>71688</v>
      </c>
      <c r="AB221">
        <f t="shared" si="129"/>
        <v>71688</v>
      </c>
      <c r="AC221">
        <f t="shared" si="130"/>
        <v>17922</v>
      </c>
      <c r="AD221">
        <f t="shared" si="131"/>
        <v>1996.4166666666667</v>
      </c>
      <c r="AE221">
        <f t="shared" si="132"/>
        <v>2018.0833333333333</v>
      </c>
      <c r="AF221">
        <f t="shared" si="133"/>
        <v>2003.4166666666667</v>
      </c>
      <c r="AG221">
        <f t="shared" si="134"/>
        <v>2017.0833333333333</v>
      </c>
      <c r="AH221">
        <f t="shared" si="135"/>
        <v>-8.3333333333333329E-2</v>
      </c>
    </row>
    <row r="222" spans="1:34">
      <c r="A222" t="s">
        <v>286</v>
      </c>
      <c r="C222">
        <v>2504</v>
      </c>
      <c r="D222" t="s">
        <v>80</v>
      </c>
      <c r="E222">
        <v>1996</v>
      </c>
      <c r="F222">
        <v>8</v>
      </c>
      <c r="G222">
        <v>0.2</v>
      </c>
      <c r="I222" t="s">
        <v>78</v>
      </c>
      <c r="J222">
        <v>7</v>
      </c>
      <c r="K222">
        <f t="shared" si="119"/>
        <v>2003</v>
      </c>
      <c r="N222">
        <v>42120</v>
      </c>
      <c r="P222">
        <f t="shared" si="120"/>
        <v>33696</v>
      </c>
      <c r="Q222">
        <f t="shared" si="121"/>
        <v>401.14285714285711</v>
      </c>
      <c r="R222">
        <f t="shared" si="122"/>
        <v>0</v>
      </c>
      <c r="S222">
        <f t="shared" si="123"/>
        <v>0</v>
      </c>
      <c r="T222">
        <f t="shared" si="124"/>
        <v>0</v>
      </c>
      <c r="U222">
        <v>1</v>
      </c>
      <c r="V222">
        <f t="shared" si="125"/>
        <v>0</v>
      </c>
      <c r="X222">
        <f t="shared" si="126"/>
        <v>33696</v>
      </c>
      <c r="Y222">
        <f t="shared" si="127"/>
        <v>33696</v>
      </c>
      <c r="Z222">
        <v>1</v>
      </c>
      <c r="AA222">
        <f t="shared" si="128"/>
        <v>33696</v>
      </c>
      <c r="AB222">
        <f t="shared" si="129"/>
        <v>33696</v>
      </c>
      <c r="AC222">
        <f t="shared" si="130"/>
        <v>8424</v>
      </c>
      <c r="AD222">
        <f t="shared" si="131"/>
        <v>1996.5833333333333</v>
      </c>
      <c r="AE222">
        <f t="shared" si="132"/>
        <v>2018.0833333333333</v>
      </c>
      <c r="AF222">
        <f t="shared" si="133"/>
        <v>2003.5833333333333</v>
      </c>
      <c r="AG222">
        <f t="shared" si="134"/>
        <v>2017.0833333333333</v>
      </c>
      <c r="AH222">
        <f t="shared" si="135"/>
        <v>-8.3333333333333329E-2</v>
      </c>
    </row>
    <row r="223" spans="1:34">
      <c r="A223" t="s">
        <v>286</v>
      </c>
      <c r="C223">
        <v>2504</v>
      </c>
      <c r="D223" t="s">
        <v>81</v>
      </c>
      <c r="E223">
        <v>1996</v>
      </c>
      <c r="F223">
        <v>8</v>
      </c>
      <c r="G223">
        <v>0.2</v>
      </c>
      <c r="I223" t="s">
        <v>78</v>
      </c>
      <c r="J223">
        <v>7</v>
      </c>
      <c r="K223">
        <f t="shared" si="119"/>
        <v>2003</v>
      </c>
      <c r="N223">
        <v>17056</v>
      </c>
      <c r="P223">
        <f t="shared" si="120"/>
        <v>13644.8</v>
      </c>
      <c r="Q223">
        <f t="shared" si="121"/>
        <v>162.43809523809523</v>
      </c>
      <c r="R223">
        <f t="shared" si="122"/>
        <v>0</v>
      </c>
      <c r="S223">
        <f t="shared" si="123"/>
        <v>0</v>
      </c>
      <c r="T223">
        <f t="shared" si="124"/>
        <v>0</v>
      </c>
      <c r="U223">
        <v>1</v>
      </c>
      <c r="V223">
        <f t="shared" si="125"/>
        <v>0</v>
      </c>
      <c r="X223">
        <f t="shared" si="126"/>
        <v>13644.8</v>
      </c>
      <c r="Y223">
        <f t="shared" si="127"/>
        <v>13644.8</v>
      </c>
      <c r="Z223">
        <v>1</v>
      </c>
      <c r="AA223">
        <f t="shared" si="128"/>
        <v>13644.8</v>
      </c>
      <c r="AB223">
        <f t="shared" si="129"/>
        <v>13644.8</v>
      </c>
      <c r="AC223">
        <f t="shared" si="130"/>
        <v>3411.2000000000007</v>
      </c>
      <c r="AD223">
        <f t="shared" si="131"/>
        <v>1996.5833333333333</v>
      </c>
      <c r="AE223">
        <f t="shared" si="132"/>
        <v>2018.0833333333333</v>
      </c>
      <c r="AF223">
        <f t="shared" si="133"/>
        <v>2003.5833333333333</v>
      </c>
      <c r="AG223">
        <f t="shared" si="134"/>
        <v>2017.0833333333333</v>
      </c>
      <c r="AH223">
        <f t="shared" si="135"/>
        <v>-8.3333333333333329E-2</v>
      </c>
    </row>
    <row r="224" spans="1:34">
      <c r="A224" t="s">
        <v>288</v>
      </c>
      <c r="C224">
        <v>4514</v>
      </c>
      <c r="D224" t="s">
        <v>454</v>
      </c>
      <c r="E224">
        <v>1998</v>
      </c>
      <c r="F224">
        <v>2</v>
      </c>
      <c r="G224">
        <v>0.33</v>
      </c>
      <c r="I224" t="s">
        <v>78</v>
      </c>
      <c r="J224">
        <v>5</v>
      </c>
      <c r="K224">
        <f t="shared" si="119"/>
        <v>2003</v>
      </c>
      <c r="N224">
        <v>15000</v>
      </c>
      <c r="P224">
        <f t="shared" si="120"/>
        <v>10050</v>
      </c>
      <c r="Q224">
        <f t="shared" si="121"/>
        <v>167.5</v>
      </c>
      <c r="R224">
        <f t="shared" si="122"/>
        <v>0</v>
      </c>
      <c r="S224">
        <f t="shared" si="123"/>
        <v>0</v>
      </c>
      <c r="T224">
        <f t="shared" si="124"/>
        <v>0</v>
      </c>
      <c r="U224">
        <v>1</v>
      </c>
      <c r="V224">
        <f t="shared" si="125"/>
        <v>0</v>
      </c>
      <c r="X224">
        <f t="shared" si="126"/>
        <v>10050</v>
      </c>
      <c r="Y224">
        <f t="shared" si="127"/>
        <v>10050</v>
      </c>
      <c r="Z224">
        <v>1</v>
      </c>
      <c r="AA224">
        <f t="shared" si="128"/>
        <v>10050</v>
      </c>
      <c r="AB224">
        <f t="shared" si="129"/>
        <v>10050</v>
      </c>
      <c r="AC224">
        <f t="shared" si="130"/>
        <v>4950</v>
      </c>
      <c r="AD224">
        <f t="shared" si="131"/>
        <v>1998.0833333333333</v>
      </c>
      <c r="AE224">
        <f>('[1]Trucks 2184'!$P$5+1)-('[1]Trucks 2184'!$P$2/12)</f>
        <v>2013</v>
      </c>
      <c r="AF224">
        <f t="shared" si="133"/>
        <v>2003.0833333333333</v>
      </c>
      <c r="AG224">
        <f>'[1]Trucks 2184'!$P$4+('[1]Trucks 2184'!$P$3/12)</f>
        <v>2012</v>
      </c>
      <c r="AH224">
        <f t="shared" si="135"/>
        <v>-8.3333333333333329E-2</v>
      </c>
    </row>
    <row r="225" spans="1:76">
      <c r="A225" t="s">
        <v>288</v>
      </c>
      <c r="C225">
        <v>5013</v>
      </c>
      <c r="D225" t="s">
        <v>315</v>
      </c>
      <c r="E225">
        <v>2009</v>
      </c>
      <c r="F225">
        <v>5</v>
      </c>
      <c r="G225">
        <v>0</v>
      </c>
      <c r="I225" t="s">
        <v>78</v>
      </c>
      <c r="J225">
        <v>3</v>
      </c>
      <c r="K225">
        <f t="shared" si="119"/>
        <v>2012</v>
      </c>
      <c r="N225">
        <v>2868.22</v>
      </c>
      <c r="P225">
        <f t="shared" si="120"/>
        <v>2868.22</v>
      </c>
      <c r="Q225">
        <f t="shared" si="121"/>
        <v>79.672777777777767</v>
      </c>
      <c r="R225">
        <f t="shared" si="122"/>
        <v>0</v>
      </c>
      <c r="S225">
        <f t="shared" si="123"/>
        <v>0</v>
      </c>
      <c r="T225">
        <f t="shared" si="124"/>
        <v>0</v>
      </c>
      <c r="U225">
        <v>1</v>
      </c>
      <c r="V225">
        <f t="shared" si="125"/>
        <v>0</v>
      </c>
      <c r="X225">
        <f t="shared" si="126"/>
        <v>2868.22</v>
      </c>
      <c r="Y225">
        <f t="shared" si="127"/>
        <v>2868.22</v>
      </c>
      <c r="Z225">
        <v>1</v>
      </c>
      <c r="AA225">
        <f t="shared" si="128"/>
        <v>2868.22</v>
      </c>
      <c r="AB225">
        <f t="shared" si="129"/>
        <v>2868.22</v>
      </c>
      <c r="AC225">
        <f t="shared" si="130"/>
        <v>0</v>
      </c>
      <c r="AD225">
        <f t="shared" si="131"/>
        <v>2009.3333333333333</v>
      </c>
      <c r="AE225">
        <f>($P$5+1)-($P$2/12)</f>
        <v>2018.0833333333333</v>
      </c>
      <c r="AF225">
        <f t="shared" si="133"/>
        <v>2012.3333333333333</v>
      </c>
      <c r="AG225">
        <f>$P$4+($P$3/12)</f>
        <v>2017.0833333333333</v>
      </c>
      <c r="AH225">
        <f t="shared" si="135"/>
        <v>-8.3333333333333329E-2</v>
      </c>
    </row>
    <row r="226" spans="1:76">
      <c r="A226" t="s">
        <v>284</v>
      </c>
      <c r="C226">
        <v>3587</v>
      </c>
      <c r="D226" t="s">
        <v>160</v>
      </c>
      <c r="E226">
        <v>2005</v>
      </c>
      <c r="F226">
        <v>12</v>
      </c>
      <c r="G226">
        <v>0.2</v>
      </c>
      <c r="I226" t="s">
        <v>78</v>
      </c>
      <c r="J226">
        <v>7</v>
      </c>
      <c r="K226">
        <f>E226+J226</f>
        <v>2012</v>
      </c>
      <c r="N226">
        <v>174584.51</v>
      </c>
      <c r="P226">
        <f t="shared" si="120"/>
        <v>139667.60800000001</v>
      </c>
      <c r="Q226">
        <f t="shared" si="121"/>
        <v>1662.7096190476193</v>
      </c>
      <c r="R226">
        <f>IF(O226&gt;0,0,IF(OR(AD226&gt;AE226,AF226&lt;AG226),0,IF(AND(AF226&gt;=AG226,AF226&lt;=AE226),Q226*((AF226-AG226)*12),IF(AND(AG226&lt;=AD226,AE226&gt;=AD226),((AE226-AD226)*12)*Q226,IF(AF226&gt;AE226,12*Q226,0)))))</f>
        <v>0</v>
      </c>
      <c r="S226">
        <f>IF(O226=0,0,IF(AND(AH226&gt;=AG226,AH226&lt;=AF226),((AH226-AG226)*12)*Q226,0))</f>
        <v>0</v>
      </c>
      <c r="T226">
        <f>IF(S226&gt;0,S226,R226)</f>
        <v>0</v>
      </c>
      <c r="U226">
        <v>1</v>
      </c>
      <c r="V226">
        <f>U226*SUM(R226:S226)</f>
        <v>0</v>
      </c>
      <c r="X226">
        <f>IF(AD226&gt;AE226,0,IF(AF226&lt;AG226,P226,IF(AND(AF226&gt;=AG226,AF226&lt;=AE226),(P226-T226),IF(AND(AG226&lt;=AD226,AE226&gt;=AD226),0,IF(AF226&gt;AE226,((AG226-AD226)*12)*Q226,0)))))</f>
        <v>139667.60800000001</v>
      </c>
      <c r="Y226">
        <f>X226*U226</f>
        <v>139667.60800000001</v>
      </c>
      <c r="Z226">
        <v>1</v>
      </c>
      <c r="AA226">
        <f>Y226*Z226</f>
        <v>139667.60800000001</v>
      </c>
      <c r="AB226">
        <f>IF(O226&gt;0,0,AA226+V226*Z226)*Z226</f>
        <v>139667.60800000001</v>
      </c>
      <c r="AC226">
        <f>IF(O226&gt;0,(N226-AA226)/2,IF(AD226&gt;=AG226,(((N226*U226)*Z226)-AB226)/2,((((N226*U226)*Z226)-AA226)+(((N226*U226)*Z226)-AB226))/2))</f>
        <v>34916.902000000002</v>
      </c>
      <c r="AD226">
        <f>$E226+(($F226-1)/12)</f>
        <v>2005.9166666666667</v>
      </c>
      <c r="AE226">
        <f>($P$5+1)-($P$2/12)</f>
        <v>2018.0833333333333</v>
      </c>
      <c r="AF226">
        <f>$K226+(($F226-1)/12)</f>
        <v>2012.9166666666667</v>
      </c>
      <c r="AG226">
        <f>$P$4+($P$3/12)</f>
        <v>2017.0833333333333</v>
      </c>
      <c r="AH226">
        <f t="shared" si="135"/>
        <v>-8.3333333333333329E-2</v>
      </c>
      <c r="BW226">
        <v>3</v>
      </c>
      <c r="BX226" t="s">
        <v>255</v>
      </c>
    </row>
    <row r="227" spans="1:76">
      <c r="A227" t="s">
        <v>284</v>
      </c>
      <c r="C227">
        <v>3587</v>
      </c>
      <c r="D227" t="s">
        <v>296</v>
      </c>
      <c r="E227">
        <v>2006</v>
      </c>
      <c r="F227">
        <v>1</v>
      </c>
      <c r="G227">
        <v>0.2</v>
      </c>
      <c r="I227" t="s">
        <v>78</v>
      </c>
      <c r="J227">
        <v>7</v>
      </c>
      <c r="K227">
        <f>E227+J227</f>
        <v>2013</v>
      </c>
      <c r="N227">
        <v>8338.44</v>
      </c>
      <c r="P227">
        <f t="shared" si="120"/>
        <v>6670.7520000000004</v>
      </c>
      <c r="Q227">
        <f t="shared" si="121"/>
        <v>79.413714285714292</v>
      </c>
      <c r="R227">
        <f>IF(O227&gt;0,0,IF(OR(AD227&gt;AE227,AF227&lt;AG227),0,IF(AND(AF227&gt;=AG227,AF227&lt;=AE227),Q227*((AF227-AG227)*12),IF(AND(AG227&lt;=AD227,AE227&gt;=AD227),((AE227-AD227)*12)*Q227,IF(AF227&gt;AE227,12*Q227,0)))))</f>
        <v>0</v>
      </c>
      <c r="S227">
        <f>IF(O227=0,0,IF(AND(AH227&gt;=AG227,AH227&lt;=AF227),((AH227-AG227)*12)*Q227,0))</f>
        <v>0</v>
      </c>
      <c r="T227">
        <f>IF(S227&gt;0,S227,R227)</f>
        <v>0</v>
      </c>
      <c r="U227">
        <v>1</v>
      </c>
      <c r="V227">
        <f>U227*SUM(R227:S227)</f>
        <v>0</v>
      </c>
      <c r="X227">
        <f>IF(AD227&gt;AE227,0,IF(AF227&lt;AG227,P227,IF(AND(AF227&gt;=AG227,AF227&lt;=AE227),(P227-T227),IF(AND(AG227&lt;=AD227,AE227&gt;=AD227),0,IF(AF227&gt;AE227,((AG227-AD227)*12)*Q227,0)))))</f>
        <v>6670.7520000000004</v>
      </c>
      <c r="Y227">
        <f>X227*U227</f>
        <v>6670.7520000000004</v>
      </c>
      <c r="Z227">
        <v>1</v>
      </c>
      <c r="AA227">
        <f>Y227*Z227</f>
        <v>6670.7520000000004</v>
      </c>
      <c r="AB227">
        <f>IF(O227&gt;0,0,AA227+V227*Z227)*Z227</f>
        <v>6670.7520000000004</v>
      </c>
      <c r="AC227">
        <f>IF(O227&gt;0,(N227-AA227)/2,IF(AD227&gt;=AG227,(((N227*U227)*Z227)-AB227)/2,((((N227*U227)*Z227)-AA227)+(((N227*U227)*Z227)-AB227))/2))</f>
        <v>1667.6880000000001</v>
      </c>
      <c r="AD227">
        <f>$E227+(($F227-1)/12)</f>
        <v>2006</v>
      </c>
      <c r="AE227">
        <f>($P$5+1)-($P$2/12)</f>
        <v>2018.0833333333333</v>
      </c>
      <c r="AF227">
        <f>$K227+(($F227-1)/12)</f>
        <v>2013</v>
      </c>
      <c r="AG227">
        <f>$P$4+($P$3/12)</f>
        <v>2017.0833333333333</v>
      </c>
      <c r="AH227">
        <f t="shared" si="135"/>
        <v>-8.3333333333333329E-2</v>
      </c>
      <c r="BX227" t="s">
        <v>258</v>
      </c>
    </row>
    <row r="231" spans="1:76">
      <c r="D231" t="s">
        <v>508</v>
      </c>
    </row>
    <row r="232" spans="1:76">
      <c r="A232" t="s">
        <v>155</v>
      </c>
      <c r="B232" t="s">
        <v>509</v>
      </c>
      <c r="C232">
        <v>3553</v>
      </c>
      <c r="D232" t="s">
        <v>168</v>
      </c>
      <c r="E232">
        <v>1999</v>
      </c>
      <c r="F232">
        <v>10</v>
      </c>
      <c r="G232">
        <v>0.2</v>
      </c>
      <c r="I232" t="s">
        <v>78</v>
      </c>
      <c r="J232">
        <v>7</v>
      </c>
      <c r="K232">
        <f t="shared" ref="K232:K239" si="136">E232+J232</f>
        <v>2006</v>
      </c>
      <c r="N232">
        <v>85472.55</v>
      </c>
      <c r="P232">
        <f t="shared" ref="P232:P239" si="137">N232-N232*G232</f>
        <v>68378.040000000008</v>
      </c>
      <c r="Q232">
        <f t="shared" ref="Q232:Q239" si="138">P232/J232/12</f>
        <v>814.02428571428584</v>
      </c>
      <c r="R232">
        <f t="shared" ref="R232:R239" si="139">IF(O232&gt;0,0,IF(OR(AD232&gt;AE232,AF232&lt;AG232),0,IF(AND(AF232&gt;=AG232,AF232&lt;=AE232),Q232*((AF232-AG232)*12),IF(AND(AG232&lt;=AD232,AE232&gt;=AD232),((AE232-AD232)*12)*Q232,IF(AF232&gt;AE232,12*Q232,0)))))</f>
        <v>0</v>
      </c>
      <c r="S232">
        <f t="shared" ref="S232:S239" si="140">IF(O232=0,0,IF(AND(AH232&gt;=AG232,AH232&lt;=AF232),((AH232-AG232)*12)*Q232,0))</f>
        <v>0</v>
      </c>
      <c r="T232">
        <f t="shared" ref="T232:T239" si="141">IF(S232&gt;0,S232,R232)</f>
        <v>0</v>
      </c>
      <c r="U232">
        <v>1</v>
      </c>
      <c r="V232">
        <f t="shared" ref="V232:V239" si="142">U232*SUM(R232:S232)</f>
        <v>0</v>
      </c>
      <c r="X232">
        <f t="shared" ref="X232:X239" si="143">IF(AD232&gt;AE232,0,IF(AF232&lt;AG232,P232,IF(AND(AF232&gt;=AG232,AF232&lt;=AE232),(P232-T232),IF(AND(AG232&lt;=AD232,AE232&gt;=AD232),0,IF(AF232&gt;AE232,((AG232-AD232)*12)*Q232,0)))))</f>
        <v>68378.040000000008</v>
      </c>
      <c r="Y232">
        <f t="shared" ref="Y232:Y239" si="144">X232*U232</f>
        <v>68378.040000000008</v>
      </c>
      <c r="Z232">
        <v>1</v>
      </c>
      <c r="AA232">
        <f t="shared" ref="AA232:AA239" si="145">Y232*Z232</f>
        <v>68378.040000000008</v>
      </c>
      <c r="AB232">
        <f t="shared" ref="AB232:AB239" si="146">IF(O232&gt;0,0,AA232+V232*Z232)*Z232</f>
        <v>68378.040000000008</v>
      </c>
      <c r="AC232">
        <f t="shared" ref="AC232:AC239" si="147">IF(O232&gt;0,(N232-AA232)/2,IF(AD232&gt;=AG232,(((N232*U232)*Z232)-AB232)/2,((((N232*U232)*Z232)-AA232)+(((N232*U232)*Z232)-AB232))/2))</f>
        <v>17094.509999999995</v>
      </c>
      <c r="AD232">
        <f t="shared" ref="AD232:AD239" si="148">$E232+(($F232-1)/12)</f>
        <v>1999.75</v>
      </c>
      <c r="AE232">
        <f t="shared" ref="AE232:AE239" si="149">($P$5+1)-($P$2/12)</f>
        <v>2018.0833333333333</v>
      </c>
      <c r="AF232">
        <f t="shared" ref="AF232:AF239" si="150">$K232+(($F232-1)/12)</f>
        <v>2006.75</v>
      </c>
      <c r="AG232">
        <f t="shared" ref="AG232:AG239" si="151">$P$4+($P$3/12)</f>
        <v>2017.0833333333333</v>
      </c>
      <c r="AH232">
        <f t="shared" ref="AH232:AH239" si="152">$L232+(($M232-1)/12)</f>
        <v>-8.3333333333333329E-2</v>
      </c>
    </row>
    <row r="233" spans="1:76">
      <c r="A233" t="s">
        <v>155</v>
      </c>
      <c r="B233" t="s">
        <v>509</v>
      </c>
      <c r="C233">
        <v>3553</v>
      </c>
      <c r="D233" t="s">
        <v>142</v>
      </c>
      <c r="E233">
        <v>1999</v>
      </c>
      <c r="F233">
        <v>10</v>
      </c>
      <c r="G233">
        <v>0.2</v>
      </c>
      <c r="I233" t="s">
        <v>78</v>
      </c>
      <c r="J233">
        <v>7</v>
      </c>
      <c r="K233">
        <f t="shared" si="136"/>
        <v>2006</v>
      </c>
      <c r="N233">
        <v>1532.03</v>
      </c>
      <c r="P233">
        <f t="shared" si="137"/>
        <v>1225.624</v>
      </c>
      <c r="Q233">
        <f t="shared" si="138"/>
        <v>14.590761904761905</v>
      </c>
      <c r="R233">
        <f t="shared" si="139"/>
        <v>0</v>
      </c>
      <c r="S233">
        <f t="shared" si="140"/>
        <v>0</v>
      </c>
      <c r="T233">
        <f t="shared" si="141"/>
        <v>0</v>
      </c>
      <c r="U233">
        <v>1</v>
      </c>
      <c r="V233">
        <f t="shared" si="142"/>
        <v>0</v>
      </c>
      <c r="X233">
        <f t="shared" si="143"/>
        <v>1225.624</v>
      </c>
      <c r="Y233">
        <f t="shared" si="144"/>
        <v>1225.624</v>
      </c>
      <c r="Z233">
        <v>1</v>
      </c>
      <c r="AA233">
        <f t="shared" si="145"/>
        <v>1225.624</v>
      </c>
      <c r="AB233">
        <f t="shared" si="146"/>
        <v>1225.624</v>
      </c>
      <c r="AC233">
        <f t="shared" si="147"/>
        <v>306.40599999999995</v>
      </c>
      <c r="AD233">
        <f t="shared" si="148"/>
        <v>1999.75</v>
      </c>
      <c r="AE233">
        <f t="shared" si="149"/>
        <v>2018.0833333333333</v>
      </c>
      <c r="AF233">
        <f t="shared" si="150"/>
        <v>2006.75</v>
      </c>
      <c r="AG233">
        <f t="shared" si="151"/>
        <v>2017.0833333333333</v>
      </c>
      <c r="AH233">
        <f t="shared" si="152"/>
        <v>-8.3333333333333329E-2</v>
      </c>
    </row>
    <row r="234" spans="1:76">
      <c r="A234" t="s">
        <v>155</v>
      </c>
      <c r="B234" t="s">
        <v>509</v>
      </c>
      <c r="C234">
        <v>3553</v>
      </c>
      <c r="D234" t="s">
        <v>92</v>
      </c>
      <c r="E234">
        <v>1999</v>
      </c>
      <c r="F234">
        <v>12</v>
      </c>
      <c r="G234">
        <v>0.2</v>
      </c>
      <c r="I234" t="s">
        <v>78</v>
      </c>
      <c r="J234">
        <v>7</v>
      </c>
      <c r="K234">
        <f t="shared" si="136"/>
        <v>2006</v>
      </c>
      <c r="N234">
        <v>62217.11</v>
      </c>
      <c r="P234">
        <f t="shared" si="137"/>
        <v>49773.688000000002</v>
      </c>
      <c r="Q234">
        <f t="shared" si="138"/>
        <v>592.54390476190486</v>
      </c>
      <c r="R234">
        <f t="shared" si="139"/>
        <v>0</v>
      </c>
      <c r="S234">
        <f t="shared" si="140"/>
        <v>0</v>
      </c>
      <c r="T234">
        <f t="shared" si="141"/>
        <v>0</v>
      </c>
      <c r="U234">
        <v>1</v>
      </c>
      <c r="V234">
        <f t="shared" si="142"/>
        <v>0</v>
      </c>
      <c r="X234">
        <f t="shared" si="143"/>
        <v>49773.688000000002</v>
      </c>
      <c r="Y234">
        <f t="shared" si="144"/>
        <v>49773.688000000002</v>
      </c>
      <c r="Z234">
        <v>1</v>
      </c>
      <c r="AA234">
        <f t="shared" si="145"/>
        <v>49773.688000000002</v>
      </c>
      <c r="AB234">
        <f t="shared" si="146"/>
        <v>49773.688000000002</v>
      </c>
      <c r="AC234">
        <f t="shared" si="147"/>
        <v>12443.421999999999</v>
      </c>
      <c r="AD234">
        <f t="shared" si="148"/>
        <v>1999.9166666666667</v>
      </c>
      <c r="AE234">
        <f t="shared" si="149"/>
        <v>2018.0833333333333</v>
      </c>
      <c r="AF234">
        <f t="shared" si="150"/>
        <v>2006.9166666666667</v>
      </c>
      <c r="AG234">
        <f t="shared" si="151"/>
        <v>2017.0833333333333</v>
      </c>
      <c r="AH234">
        <f t="shared" si="152"/>
        <v>-8.3333333333333329E-2</v>
      </c>
    </row>
    <row r="235" spans="1:76">
      <c r="A235" t="s">
        <v>284</v>
      </c>
      <c r="B235" t="s">
        <v>509</v>
      </c>
      <c r="C235">
        <v>3553</v>
      </c>
      <c r="D235" t="s">
        <v>0</v>
      </c>
      <c r="E235">
        <v>2000</v>
      </c>
      <c r="F235">
        <v>1</v>
      </c>
      <c r="G235">
        <v>0.2</v>
      </c>
      <c r="I235" t="s">
        <v>78</v>
      </c>
      <c r="J235">
        <v>7</v>
      </c>
      <c r="K235">
        <f t="shared" si="136"/>
        <v>2007</v>
      </c>
      <c r="N235">
        <v>2015</v>
      </c>
      <c r="P235">
        <f t="shared" si="137"/>
        <v>1612</v>
      </c>
      <c r="Q235">
        <f t="shared" si="138"/>
        <v>19.19047619047619</v>
      </c>
      <c r="R235">
        <f t="shared" si="139"/>
        <v>0</v>
      </c>
      <c r="S235">
        <f t="shared" si="140"/>
        <v>0</v>
      </c>
      <c r="T235">
        <f t="shared" si="141"/>
        <v>0</v>
      </c>
      <c r="U235">
        <v>1</v>
      </c>
      <c r="V235">
        <f t="shared" si="142"/>
        <v>0</v>
      </c>
      <c r="X235">
        <f t="shared" si="143"/>
        <v>1612</v>
      </c>
      <c r="Y235">
        <f t="shared" si="144"/>
        <v>1612</v>
      </c>
      <c r="Z235">
        <v>1</v>
      </c>
      <c r="AA235">
        <f t="shared" si="145"/>
        <v>1612</v>
      </c>
      <c r="AB235">
        <f t="shared" si="146"/>
        <v>1612</v>
      </c>
      <c r="AC235">
        <f t="shared" si="147"/>
        <v>403</v>
      </c>
      <c r="AD235">
        <f t="shared" si="148"/>
        <v>2000</v>
      </c>
      <c r="AE235">
        <f t="shared" si="149"/>
        <v>2018.0833333333333</v>
      </c>
      <c r="AF235">
        <f t="shared" si="150"/>
        <v>2007</v>
      </c>
      <c r="AG235">
        <f t="shared" si="151"/>
        <v>2017.0833333333333</v>
      </c>
      <c r="AH235">
        <f t="shared" si="152"/>
        <v>-8.3333333333333329E-2</v>
      </c>
    </row>
    <row r="236" spans="1:76">
      <c r="B236" t="s">
        <v>509</v>
      </c>
      <c r="C236">
        <v>1003</v>
      </c>
      <c r="D236" t="s">
        <v>459</v>
      </c>
      <c r="E236">
        <v>1995</v>
      </c>
      <c r="F236">
        <v>6</v>
      </c>
      <c r="G236">
        <v>0.2</v>
      </c>
      <c r="I236" t="s">
        <v>78</v>
      </c>
      <c r="J236">
        <v>7</v>
      </c>
      <c r="K236">
        <f t="shared" si="136"/>
        <v>2002</v>
      </c>
      <c r="N236">
        <v>25896</v>
      </c>
      <c r="P236">
        <f t="shared" si="137"/>
        <v>20716.8</v>
      </c>
      <c r="Q236">
        <f t="shared" si="138"/>
        <v>246.62857142857141</v>
      </c>
      <c r="R236">
        <f t="shared" si="139"/>
        <v>0</v>
      </c>
      <c r="S236">
        <f t="shared" si="140"/>
        <v>0</v>
      </c>
      <c r="T236">
        <f t="shared" si="141"/>
        <v>0</v>
      </c>
      <c r="U236">
        <v>1</v>
      </c>
      <c r="V236">
        <f t="shared" si="142"/>
        <v>0</v>
      </c>
      <c r="X236">
        <f t="shared" si="143"/>
        <v>20716.8</v>
      </c>
      <c r="Y236">
        <f t="shared" si="144"/>
        <v>20716.8</v>
      </c>
      <c r="Z236">
        <v>1</v>
      </c>
      <c r="AA236">
        <f t="shared" si="145"/>
        <v>20716.8</v>
      </c>
      <c r="AB236">
        <f t="shared" si="146"/>
        <v>20716.8</v>
      </c>
      <c r="AC236">
        <f t="shared" si="147"/>
        <v>5179.2000000000007</v>
      </c>
      <c r="AD236">
        <f t="shared" si="148"/>
        <v>1995.4166666666667</v>
      </c>
      <c r="AE236">
        <f t="shared" si="149"/>
        <v>2018.0833333333333</v>
      </c>
      <c r="AF236">
        <f t="shared" si="150"/>
        <v>2002.4166666666667</v>
      </c>
      <c r="AG236">
        <f t="shared" si="151"/>
        <v>2017.0833333333333</v>
      </c>
      <c r="AH236">
        <f t="shared" si="152"/>
        <v>-8.3333333333333329E-2</v>
      </c>
    </row>
    <row r="237" spans="1:76">
      <c r="B237" t="s">
        <v>509</v>
      </c>
      <c r="C237">
        <v>1003</v>
      </c>
      <c r="D237" t="s">
        <v>460</v>
      </c>
      <c r="E237">
        <v>1995</v>
      </c>
      <c r="F237">
        <v>9</v>
      </c>
      <c r="G237">
        <v>0.2</v>
      </c>
      <c r="I237" t="s">
        <v>78</v>
      </c>
      <c r="J237">
        <v>7</v>
      </c>
      <c r="K237">
        <f t="shared" si="136"/>
        <v>2002</v>
      </c>
      <c r="N237">
        <v>386</v>
      </c>
      <c r="P237">
        <f t="shared" si="137"/>
        <v>308.8</v>
      </c>
      <c r="Q237">
        <f t="shared" si="138"/>
        <v>3.676190476190476</v>
      </c>
      <c r="R237">
        <f t="shared" si="139"/>
        <v>0</v>
      </c>
      <c r="S237">
        <f t="shared" si="140"/>
        <v>0</v>
      </c>
      <c r="T237">
        <f t="shared" si="141"/>
        <v>0</v>
      </c>
      <c r="U237">
        <v>1</v>
      </c>
      <c r="V237">
        <f t="shared" si="142"/>
        <v>0</v>
      </c>
      <c r="X237">
        <f t="shared" si="143"/>
        <v>308.8</v>
      </c>
      <c r="Y237">
        <f t="shared" si="144"/>
        <v>308.8</v>
      </c>
      <c r="Z237">
        <v>1</v>
      </c>
      <c r="AA237">
        <f t="shared" si="145"/>
        <v>308.8</v>
      </c>
      <c r="AB237">
        <f t="shared" si="146"/>
        <v>308.8</v>
      </c>
      <c r="AC237">
        <f t="shared" si="147"/>
        <v>77.199999999999989</v>
      </c>
      <c r="AD237">
        <f t="shared" si="148"/>
        <v>1995.6666666666667</v>
      </c>
      <c r="AE237">
        <f t="shared" si="149"/>
        <v>2018.0833333333333</v>
      </c>
      <c r="AF237">
        <f t="shared" si="150"/>
        <v>2002.6666666666667</v>
      </c>
      <c r="AG237">
        <f t="shared" si="151"/>
        <v>2017.0833333333333</v>
      </c>
      <c r="AH237">
        <f t="shared" si="152"/>
        <v>-8.3333333333333329E-2</v>
      </c>
    </row>
    <row r="238" spans="1:76">
      <c r="B238" t="s">
        <v>509</v>
      </c>
      <c r="C238">
        <v>1003</v>
      </c>
      <c r="D238" t="s">
        <v>461</v>
      </c>
      <c r="E238">
        <v>1995</v>
      </c>
      <c r="F238">
        <v>10</v>
      </c>
      <c r="G238">
        <v>0.2</v>
      </c>
      <c r="I238" t="s">
        <v>78</v>
      </c>
      <c r="J238">
        <v>7</v>
      </c>
      <c r="K238">
        <f t="shared" si="136"/>
        <v>2002</v>
      </c>
      <c r="N238">
        <v>49699</v>
      </c>
      <c r="P238">
        <f t="shared" si="137"/>
        <v>39759.199999999997</v>
      </c>
      <c r="Q238">
        <f t="shared" si="138"/>
        <v>473.32380952380953</v>
      </c>
      <c r="R238">
        <f t="shared" si="139"/>
        <v>0</v>
      </c>
      <c r="S238">
        <f t="shared" si="140"/>
        <v>0</v>
      </c>
      <c r="T238">
        <f t="shared" si="141"/>
        <v>0</v>
      </c>
      <c r="U238">
        <v>1</v>
      </c>
      <c r="V238">
        <f t="shared" si="142"/>
        <v>0</v>
      </c>
      <c r="X238">
        <f t="shared" si="143"/>
        <v>39759.199999999997</v>
      </c>
      <c r="Y238">
        <f t="shared" si="144"/>
        <v>39759.199999999997</v>
      </c>
      <c r="Z238">
        <v>1</v>
      </c>
      <c r="AA238">
        <f t="shared" si="145"/>
        <v>39759.199999999997</v>
      </c>
      <c r="AB238">
        <f t="shared" si="146"/>
        <v>39759.199999999997</v>
      </c>
      <c r="AC238">
        <f t="shared" si="147"/>
        <v>9939.8000000000029</v>
      </c>
      <c r="AD238">
        <f t="shared" si="148"/>
        <v>1995.75</v>
      </c>
      <c r="AE238">
        <f t="shared" si="149"/>
        <v>2018.0833333333333</v>
      </c>
      <c r="AF238">
        <f t="shared" si="150"/>
        <v>2002.75</v>
      </c>
      <c r="AG238">
        <f t="shared" si="151"/>
        <v>2017.0833333333333</v>
      </c>
      <c r="AH238">
        <f t="shared" si="152"/>
        <v>-8.3333333333333329E-2</v>
      </c>
    </row>
    <row r="239" spans="1:76">
      <c r="B239" t="s">
        <v>509</v>
      </c>
      <c r="C239">
        <v>1003</v>
      </c>
      <c r="D239" t="s">
        <v>536</v>
      </c>
      <c r="E239">
        <v>1995</v>
      </c>
      <c r="F239">
        <v>10</v>
      </c>
      <c r="G239">
        <v>0.2</v>
      </c>
      <c r="I239" t="s">
        <v>78</v>
      </c>
      <c r="J239">
        <v>7</v>
      </c>
      <c r="K239">
        <f t="shared" si="136"/>
        <v>2002</v>
      </c>
      <c r="N239">
        <v>3883</v>
      </c>
      <c r="P239">
        <f t="shared" si="137"/>
        <v>3106.4</v>
      </c>
      <c r="Q239">
        <f t="shared" si="138"/>
        <v>36.980952380952381</v>
      </c>
      <c r="R239">
        <f t="shared" si="139"/>
        <v>0</v>
      </c>
      <c r="S239">
        <f t="shared" si="140"/>
        <v>0</v>
      </c>
      <c r="T239">
        <f t="shared" si="141"/>
        <v>0</v>
      </c>
      <c r="U239">
        <v>1</v>
      </c>
      <c r="V239">
        <f t="shared" si="142"/>
        <v>0</v>
      </c>
      <c r="X239">
        <f t="shared" si="143"/>
        <v>3106.4</v>
      </c>
      <c r="Y239">
        <f t="shared" si="144"/>
        <v>3106.4</v>
      </c>
      <c r="Z239">
        <v>1</v>
      </c>
      <c r="AA239">
        <f t="shared" si="145"/>
        <v>3106.4</v>
      </c>
      <c r="AB239">
        <f t="shared" si="146"/>
        <v>3106.4</v>
      </c>
      <c r="AC239">
        <f t="shared" si="147"/>
        <v>776.59999999999991</v>
      </c>
      <c r="AD239">
        <f t="shared" si="148"/>
        <v>1995.75</v>
      </c>
      <c r="AE239">
        <f t="shared" si="149"/>
        <v>2018.0833333333333</v>
      </c>
      <c r="AF239">
        <f t="shared" si="150"/>
        <v>2002.75</v>
      </c>
      <c r="AG239">
        <f t="shared" si="151"/>
        <v>2017.0833333333333</v>
      </c>
      <c r="AH239">
        <f t="shared" si="152"/>
        <v>-8.3333333333333329E-2</v>
      </c>
    </row>
    <row r="244" spans="1:34">
      <c r="D244" t="s">
        <v>581</v>
      </c>
    </row>
    <row r="245" spans="1:34">
      <c r="A245">
        <v>114267</v>
      </c>
      <c r="B245" t="s">
        <v>285</v>
      </c>
      <c r="C245">
        <v>1009</v>
      </c>
      <c r="D245" t="s">
        <v>459</v>
      </c>
      <c r="E245">
        <v>1995</v>
      </c>
      <c r="F245">
        <v>7</v>
      </c>
      <c r="G245">
        <v>0.2</v>
      </c>
      <c r="I245" t="s">
        <v>78</v>
      </c>
      <c r="J245">
        <v>7</v>
      </c>
      <c r="K245">
        <f t="shared" ref="K245:K259" si="153">E245+J245</f>
        <v>2002</v>
      </c>
      <c r="N245">
        <v>25896</v>
      </c>
      <c r="P245">
        <f t="shared" ref="P245:P262" si="154">N245-N245*G245</f>
        <v>20716.8</v>
      </c>
      <c r="Q245">
        <f t="shared" ref="Q245:Q262" si="155">P245/J245/12</f>
        <v>246.62857142857141</v>
      </c>
      <c r="R245">
        <f t="shared" ref="R245:R258" si="156">IF(O245&gt;0,0,IF(OR(AD245&gt;AE245,AF245&lt;AG245),0,IF(AND(AF245&gt;=AG245,AF245&lt;=AE245),Q245*((AF245-AG245)*12),IF(AND(AG245&lt;=AD245,AE245&gt;=AD245),((AE245-AD245)*12)*Q245,IF(AF245&gt;AE245,12*Q245,0)))))</f>
        <v>0</v>
      </c>
      <c r="S245">
        <f t="shared" ref="S245:S258" si="157">IF(O245=0,0,IF(AND(AH245&gt;=AG245,AH245&lt;=AF245),((AH245-AG245)*12)*Q245,0))</f>
        <v>0</v>
      </c>
      <c r="T245">
        <f t="shared" ref="T245:T258" si="158">IF(S245&gt;0,S245,R245)</f>
        <v>0</v>
      </c>
      <c r="U245">
        <v>1</v>
      </c>
      <c r="V245">
        <f t="shared" ref="V245:V258" si="159">U245*SUM(R245:S245)</f>
        <v>0</v>
      </c>
      <c r="X245">
        <f t="shared" ref="X245:X258" si="160">IF(AD245&gt;AE245,0,IF(AF245&lt;AG245,P245,IF(AND(AF245&gt;=AG245,AF245&lt;=AE245),(P245-T245),IF(AND(AG245&lt;=AD245,AE245&gt;=AD245),0,IF(AF245&gt;AE245,((AG245-AD245)*12)*Q245,0)))))</f>
        <v>20716.8</v>
      </c>
      <c r="Y245">
        <f t="shared" ref="Y245:Y258" si="161">X245*U245</f>
        <v>20716.8</v>
      </c>
      <c r="Z245">
        <v>1</v>
      </c>
      <c r="AA245">
        <f t="shared" ref="AA245:AA258" si="162">Y245*Z245</f>
        <v>20716.8</v>
      </c>
      <c r="AB245">
        <f t="shared" ref="AB245:AB258" si="163">IF(O245&gt;0,0,AA245+V245*Z245)*Z245</f>
        <v>20716.8</v>
      </c>
      <c r="AC245">
        <f t="shared" ref="AC245:AC258" si="164">IF(O245&gt;0,(N245-AA245)/2,IF(AD245&gt;=AG245,(((N245*U245)*Z245)-AB245)/2,((((N245*U245)*Z245)-AA245)+(((N245*U245)*Z245)-AB245))/2))</f>
        <v>5179.2000000000007</v>
      </c>
      <c r="AD245">
        <f t="shared" ref="AD245:AD262" si="165">$E245+(($F245-1)/12)</f>
        <v>1995.5</v>
      </c>
      <c r="AE245">
        <f t="shared" ref="AE245:AE262" si="166">($P$5+1)-($P$2/12)</f>
        <v>2018.0833333333333</v>
      </c>
      <c r="AF245">
        <f t="shared" ref="AF245:AF262" si="167">$K245+(($F245-1)/12)</f>
        <v>2002.5</v>
      </c>
      <c r="AG245">
        <f t="shared" ref="AG245:AG262" si="168">$P$4+($P$3/12)</f>
        <v>2017.0833333333333</v>
      </c>
      <c r="AH245">
        <f t="shared" ref="AH245:AH262" si="169">$L245+(($M245-1)/12)</f>
        <v>-8.3333333333333329E-2</v>
      </c>
    </row>
    <row r="246" spans="1:34">
      <c r="B246" t="s">
        <v>285</v>
      </c>
      <c r="C246">
        <v>1009</v>
      </c>
      <c r="D246" t="s">
        <v>460</v>
      </c>
      <c r="E246">
        <v>1995</v>
      </c>
      <c r="F246">
        <v>10</v>
      </c>
      <c r="G246">
        <v>0.2</v>
      </c>
      <c r="I246" t="s">
        <v>78</v>
      </c>
      <c r="J246">
        <v>7</v>
      </c>
      <c r="K246">
        <f t="shared" si="153"/>
        <v>2002</v>
      </c>
      <c r="N246">
        <v>469.6</v>
      </c>
      <c r="P246">
        <f t="shared" si="154"/>
        <v>375.68</v>
      </c>
      <c r="Q246">
        <f t="shared" si="155"/>
        <v>4.472380952380953</v>
      </c>
      <c r="R246">
        <f t="shared" si="156"/>
        <v>0</v>
      </c>
      <c r="S246">
        <f t="shared" si="157"/>
        <v>0</v>
      </c>
      <c r="T246">
        <f t="shared" si="158"/>
        <v>0</v>
      </c>
      <c r="U246">
        <v>1</v>
      </c>
      <c r="V246">
        <f t="shared" si="159"/>
        <v>0</v>
      </c>
      <c r="X246">
        <f t="shared" si="160"/>
        <v>375.68</v>
      </c>
      <c r="Y246">
        <f t="shared" si="161"/>
        <v>375.68</v>
      </c>
      <c r="Z246">
        <v>1</v>
      </c>
      <c r="AA246">
        <f t="shared" si="162"/>
        <v>375.68</v>
      </c>
      <c r="AB246">
        <f t="shared" si="163"/>
        <v>375.68</v>
      </c>
      <c r="AC246">
        <f t="shared" si="164"/>
        <v>93.920000000000016</v>
      </c>
      <c r="AD246">
        <f t="shared" si="165"/>
        <v>1995.75</v>
      </c>
      <c r="AE246">
        <f t="shared" si="166"/>
        <v>2018.0833333333333</v>
      </c>
      <c r="AF246">
        <f t="shared" si="167"/>
        <v>2002.75</v>
      </c>
      <c r="AG246">
        <f t="shared" si="168"/>
        <v>2017.0833333333333</v>
      </c>
      <c r="AH246">
        <f t="shared" si="169"/>
        <v>-8.3333333333333329E-2</v>
      </c>
    </row>
    <row r="247" spans="1:34">
      <c r="A247">
        <v>114267</v>
      </c>
      <c r="B247" t="s">
        <v>285</v>
      </c>
      <c r="C247">
        <v>1009</v>
      </c>
      <c r="D247" t="s">
        <v>461</v>
      </c>
      <c r="E247">
        <v>1995</v>
      </c>
      <c r="F247">
        <v>11</v>
      </c>
      <c r="G247">
        <v>0.2</v>
      </c>
      <c r="I247" t="s">
        <v>78</v>
      </c>
      <c r="J247">
        <v>7</v>
      </c>
      <c r="K247">
        <f t="shared" si="153"/>
        <v>2002</v>
      </c>
      <c r="N247">
        <v>49699</v>
      </c>
      <c r="P247">
        <f t="shared" si="154"/>
        <v>39759.199999999997</v>
      </c>
      <c r="Q247">
        <f t="shared" si="155"/>
        <v>473.32380952380953</v>
      </c>
      <c r="R247">
        <f t="shared" si="156"/>
        <v>0</v>
      </c>
      <c r="S247">
        <f t="shared" si="157"/>
        <v>0</v>
      </c>
      <c r="T247">
        <f t="shared" si="158"/>
        <v>0</v>
      </c>
      <c r="U247">
        <v>1</v>
      </c>
      <c r="V247">
        <f t="shared" si="159"/>
        <v>0</v>
      </c>
      <c r="X247">
        <f t="shared" si="160"/>
        <v>39759.199999999997</v>
      </c>
      <c r="Y247">
        <f t="shared" si="161"/>
        <v>39759.199999999997</v>
      </c>
      <c r="Z247">
        <v>1</v>
      </c>
      <c r="AA247">
        <f t="shared" si="162"/>
        <v>39759.199999999997</v>
      </c>
      <c r="AB247">
        <f t="shared" si="163"/>
        <v>39759.199999999997</v>
      </c>
      <c r="AC247">
        <f t="shared" si="164"/>
        <v>9939.8000000000029</v>
      </c>
      <c r="AD247">
        <f t="shared" si="165"/>
        <v>1995.8333333333333</v>
      </c>
      <c r="AE247">
        <f t="shared" si="166"/>
        <v>2018.0833333333333</v>
      </c>
      <c r="AF247">
        <f t="shared" si="167"/>
        <v>2002.8333333333333</v>
      </c>
      <c r="AG247">
        <f t="shared" si="168"/>
        <v>2017.0833333333333</v>
      </c>
      <c r="AH247">
        <f t="shared" si="169"/>
        <v>-8.3333333333333329E-2</v>
      </c>
    </row>
    <row r="248" spans="1:34">
      <c r="B248" t="s">
        <v>285</v>
      </c>
      <c r="C248">
        <v>1009</v>
      </c>
      <c r="D248" t="s">
        <v>462</v>
      </c>
      <c r="E248">
        <v>1996</v>
      </c>
      <c r="F248">
        <v>1</v>
      </c>
      <c r="G248">
        <v>0.2</v>
      </c>
      <c r="I248" t="s">
        <v>78</v>
      </c>
      <c r="J248">
        <v>7</v>
      </c>
      <c r="K248">
        <f t="shared" si="153"/>
        <v>2003</v>
      </c>
      <c r="N248">
        <v>122</v>
      </c>
      <c r="P248">
        <f t="shared" si="154"/>
        <v>97.6</v>
      </c>
      <c r="Q248">
        <f t="shared" si="155"/>
        <v>1.1619047619047618</v>
      </c>
      <c r="R248">
        <f t="shared" si="156"/>
        <v>0</v>
      </c>
      <c r="S248">
        <f t="shared" si="157"/>
        <v>0</v>
      </c>
      <c r="T248">
        <f t="shared" si="158"/>
        <v>0</v>
      </c>
      <c r="U248">
        <v>1</v>
      </c>
      <c r="V248">
        <f t="shared" si="159"/>
        <v>0</v>
      </c>
      <c r="X248">
        <f t="shared" si="160"/>
        <v>97.6</v>
      </c>
      <c r="Y248">
        <f t="shared" si="161"/>
        <v>97.6</v>
      </c>
      <c r="Z248">
        <v>1</v>
      </c>
      <c r="AA248">
        <f t="shared" si="162"/>
        <v>97.6</v>
      </c>
      <c r="AB248">
        <f t="shared" si="163"/>
        <v>97.6</v>
      </c>
      <c r="AC248">
        <f t="shared" si="164"/>
        <v>24.400000000000006</v>
      </c>
      <c r="AD248">
        <f t="shared" si="165"/>
        <v>1996</v>
      </c>
      <c r="AE248">
        <f t="shared" si="166"/>
        <v>2018.0833333333333</v>
      </c>
      <c r="AF248">
        <f t="shared" si="167"/>
        <v>2003</v>
      </c>
      <c r="AG248">
        <f t="shared" si="168"/>
        <v>2017.0833333333333</v>
      </c>
      <c r="AH248">
        <f t="shared" si="169"/>
        <v>-8.3333333333333329E-2</v>
      </c>
    </row>
    <row r="249" spans="1:34">
      <c r="B249">
        <v>88721</v>
      </c>
      <c r="D249" t="s">
        <v>440</v>
      </c>
      <c r="E249">
        <v>2011</v>
      </c>
      <c r="F249">
        <v>12</v>
      </c>
      <c r="G249">
        <v>0</v>
      </c>
      <c r="I249" t="s">
        <v>78</v>
      </c>
      <c r="J249">
        <v>5</v>
      </c>
      <c r="K249">
        <f t="shared" si="153"/>
        <v>2016</v>
      </c>
      <c r="N249">
        <f>487.65*2</f>
        <v>975.3</v>
      </c>
      <c r="P249">
        <f t="shared" si="154"/>
        <v>975.3</v>
      </c>
      <c r="Q249">
        <f t="shared" si="155"/>
        <v>16.254999999999999</v>
      </c>
      <c r="R249">
        <f t="shared" si="156"/>
        <v>0</v>
      </c>
      <c r="S249">
        <f t="shared" si="157"/>
        <v>0</v>
      </c>
      <c r="T249">
        <f t="shared" si="158"/>
        <v>0</v>
      </c>
      <c r="U249">
        <v>1</v>
      </c>
      <c r="V249">
        <f t="shared" si="159"/>
        <v>0</v>
      </c>
      <c r="X249">
        <f t="shared" si="160"/>
        <v>975.3</v>
      </c>
      <c r="Y249">
        <f t="shared" si="161"/>
        <v>975.3</v>
      </c>
      <c r="Z249">
        <v>1</v>
      </c>
      <c r="AA249">
        <f t="shared" si="162"/>
        <v>975.3</v>
      </c>
      <c r="AB249">
        <f t="shared" si="163"/>
        <v>975.3</v>
      </c>
      <c r="AC249">
        <f t="shared" si="164"/>
        <v>0</v>
      </c>
      <c r="AD249">
        <f t="shared" si="165"/>
        <v>2011.9166666666667</v>
      </c>
      <c r="AE249">
        <f t="shared" si="166"/>
        <v>2018.0833333333333</v>
      </c>
      <c r="AF249">
        <f t="shared" si="167"/>
        <v>2016.9166666666667</v>
      </c>
      <c r="AG249">
        <f t="shared" si="168"/>
        <v>2017.0833333333333</v>
      </c>
      <c r="AH249">
        <f t="shared" si="169"/>
        <v>-8.3333333333333329E-2</v>
      </c>
    </row>
    <row r="250" spans="1:34">
      <c r="A250" t="s">
        <v>155</v>
      </c>
      <c r="C250">
        <v>3556</v>
      </c>
      <c r="D250" t="s">
        <v>142</v>
      </c>
      <c r="E250">
        <v>1999</v>
      </c>
      <c r="F250">
        <v>10</v>
      </c>
      <c r="G250">
        <v>0.2</v>
      </c>
      <c r="I250" t="s">
        <v>78</v>
      </c>
      <c r="J250">
        <v>7</v>
      </c>
      <c r="K250">
        <f t="shared" si="153"/>
        <v>2006</v>
      </c>
      <c r="N250">
        <v>1532.02</v>
      </c>
      <c r="P250">
        <f t="shared" si="154"/>
        <v>1225.616</v>
      </c>
      <c r="Q250">
        <f t="shared" si="155"/>
        <v>14.590666666666666</v>
      </c>
      <c r="R250">
        <f t="shared" si="156"/>
        <v>0</v>
      </c>
      <c r="S250">
        <f t="shared" si="157"/>
        <v>0</v>
      </c>
      <c r="T250">
        <f t="shared" si="158"/>
        <v>0</v>
      </c>
      <c r="U250">
        <v>1</v>
      </c>
      <c r="V250">
        <f t="shared" si="159"/>
        <v>0</v>
      </c>
      <c r="X250">
        <f t="shared" si="160"/>
        <v>1225.616</v>
      </c>
      <c r="Y250">
        <f t="shared" si="161"/>
        <v>1225.616</v>
      </c>
      <c r="Z250">
        <v>1</v>
      </c>
      <c r="AA250">
        <f t="shared" si="162"/>
        <v>1225.616</v>
      </c>
      <c r="AB250">
        <f t="shared" si="163"/>
        <v>1225.616</v>
      </c>
      <c r="AC250">
        <f t="shared" si="164"/>
        <v>306.404</v>
      </c>
      <c r="AD250">
        <f t="shared" si="165"/>
        <v>1999.75</v>
      </c>
      <c r="AE250">
        <f t="shared" si="166"/>
        <v>2018.0833333333333</v>
      </c>
      <c r="AF250">
        <f t="shared" si="167"/>
        <v>2006.75</v>
      </c>
      <c r="AG250">
        <f t="shared" si="168"/>
        <v>2017.0833333333333</v>
      </c>
      <c r="AH250">
        <f t="shared" si="169"/>
        <v>-8.3333333333333329E-2</v>
      </c>
    </row>
    <row r="251" spans="1:34">
      <c r="A251" t="s">
        <v>155</v>
      </c>
      <c r="C251">
        <v>3556</v>
      </c>
      <c r="D251" t="s">
        <v>169</v>
      </c>
      <c r="E251">
        <v>1999</v>
      </c>
      <c r="F251">
        <v>11</v>
      </c>
      <c r="G251">
        <v>0.2</v>
      </c>
      <c r="I251" t="s">
        <v>78</v>
      </c>
      <c r="J251">
        <v>7</v>
      </c>
      <c r="K251">
        <f t="shared" si="153"/>
        <v>2006</v>
      </c>
      <c r="N251">
        <v>85472.55</v>
      </c>
      <c r="P251">
        <f t="shared" si="154"/>
        <v>68378.040000000008</v>
      </c>
      <c r="Q251">
        <f t="shared" si="155"/>
        <v>814.02428571428584</v>
      </c>
      <c r="R251">
        <f t="shared" si="156"/>
        <v>0</v>
      </c>
      <c r="S251">
        <f t="shared" si="157"/>
        <v>0</v>
      </c>
      <c r="T251">
        <f t="shared" si="158"/>
        <v>0</v>
      </c>
      <c r="U251">
        <v>1</v>
      </c>
      <c r="V251">
        <f t="shared" si="159"/>
        <v>0</v>
      </c>
      <c r="X251">
        <f t="shared" si="160"/>
        <v>68378.040000000008</v>
      </c>
      <c r="Y251">
        <f t="shared" si="161"/>
        <v>68378.040000000008</v>
      </c>
      <c r="Z251">
        <v>1</v>
      </c>
      <c r="AA251">
        <f t="shared" si="162"/>
        <v>68378.040000000008</v>
      </c>
      <c r="AB251">
        <f t="shared" si="163"/>
        <v>68378.040000000008</v>
      </c>
      <c r="AC251">
        <f t="shared" si="164"/>
        <v>17094.509999999995</v>
      </c>
      <c r="AD251">
        <f t="shared" si="165"/>
        <v>1999.8333333333333</v>
      </c>
      <c r="AE251">
        <f t="shared" si="166"/>
        <v>2018.0833333333333</v>
      </c>
      <c r="AF251">
        <f t="shared" si="167"/>
        <v>2006.8333333333333</v>
      </c>
      <c r="AG251">
        <f t="shared" si="168"/>
        <v>2017.0833333333333</v>
      </c>
      <c r="AH251">
        <f t="shared" si="169"/>
        <v>-8.3333333333333329E-2</v>
      </c>
    </row>
    <row r="252" spans="1:34">
      <c r="A252" t="s">
        <v>155</v>
      </c>
      <c r="C252">
        <v>3556</v>
      </c>
      <c r="D252" t="s">
        <v>92</v>
      </c>
      <c r="E252">
        <v>1999</v>
      </c>
      <c r="F252">
        <v>12</v>
      </c>
      <c r="G252">
        <v>0.2</v>
      </c>
      <c r="I252" t="s">
        <v>78</v>
      </c>
      <c r="J252">
        <v>7</v>
      </c>
      <c r="K252">
        <f t="shared" si="153"/>
        <v>2006</v>
      </c>
      <c r="N252">
        <v>62217.11</v>
      </c>
      <c r="P252">
        <f t="shared" si="154"/>
        <v>49773.688000000002</v>
      </c>
      <c r="Q252">
        <f t="shared" si="155"/>
        <v>592.54390476190486</v>
      </c>
      <c r="R252">
        <f t="shared" si="156"/>
        <v>0</v>
      </c>
      <c r="S252">
        <f t="shared" si="157"/>
        <v>0</v>
      </c>
      <c r="T252">
        <f t="shared" si="158"/>
        <v>0</v>
      </c>
      <c r="U252">
        <v>1</v>
      </c>
      <c r="V252">
        <f t="shared" si="159"/>
        <v>0</v>
      </c>
      <c r="X252">
        <f t="shared" si="160"/>
        <v>49773.688000000002</v>
      </c>
      <c r="Y252">
        <f t="shared" si="161"/>
        <v>49773.688000000002</v>
      </c>
      <c r="Z252">
        <v>1</v>
      </c>
      <c r="AA252">
        <f t="shared" si="162"/>
        <v>49773.688000000002</v>
      </c>
      <c r="AB252">
        <f t="shared" si="163"/>
        <v>49773.688000000002</v>
      </c>
      <c r="AC252">
        <f t="shared" si="164"/>
        <v>12443.421999999999</v>
      </c>
      <c r="AD252">
        <f t="shared" si="165"/>
        <v>1999.9166666666667</v>
      </c>
      <c r="AE252">
        <f t="shared" si="166"/>
        <v>2018.0833333333333</v>
      </c>
      <c r="AF252">
        <f t="shared" si="167"/>
        <v>2006.9166666666667</v>
      </c>
      <c r="AG252">
        <f t="shared" si="168"/>
        <v>2017.0833333333333</v>
      </c>
      <c r="AH252">
        <f t="shared" si="169"/>
        <v>-8.3333333333333329E-2</v>
      </c>
    </row>
    <row r="253" spans="1:34">
      <c r="A253" t="s">
        <v>284</v>
      </c>
      <c r="C253">
        <v>3556</v>
      </c>
      <c r="D253" t="s">
        <v>369</v>
      </c>
      <c r="E253">
        <v>2000</v>
      </c>
      <c r="F253">
        <v>1</v>
      </c>
      <c r="G253">
        <v>0.2</v>
      </c>
      <c r="I253" t="s">
        <v>78</v>
      </c>
      <c r="J253">
        <v>7</v>
      </c>
      <c r="K253">
        <f t="shared" si="153"/>
        <v>2007</v>
      </c>
      <c r="N253">
        <v>3789.2</v>
      </c>
      <c r="P253">
        <f t="shared" si="154"/>
        <v>3031.3599999999997</v>
      </c>
      <c r="Q253">
        <f t="shared" si="155"/>
        <v>36.087619047619043</v>
      </c>
      <c r="R253">
        <f t="shared" si="156"/>
        <v>0</v>
      </c>
      <c r="S253">
        <f t="shared" si="157"/>
        <v>0</v>
      </c>
      <c r="T253">
        <f t="shared" si="158"/>
        <v>0</v>
      </c>
      <c r="U253">
        <v>1</v>
      </c>
      <c r="V253">
        <f t="shared" si="159"/>
        <v>0</v>
      </c>
      <c r="X253">
        <f t="shared" si="160"/>
        <v>3031.3599999999997</v>
      </c>
      <c r="Y253">
        <f t="shared" si="161"/>
        <v>3031.3599999999997</v>
      </c>
      <c r="Z253">
        <v>1</v>
      </c>
      <c r="AA253">
        <f t="shared" si="162"/>
        <v>3031.3599999999997</v>
      </c>
      <c r="AB253">
        <f t="shared" si="163"/>
        <v>3031.3599999999997</v>
      </c>
      <c r="AC253">
        <f t="shared" si="164"/>
        <v>757.84000000000015</v>
      </c>
      <c r="AD253">
        <f t="shared" si="165"/>
        <v>2000</v>
      </c>
      <c r="AE253">
        <f t="shared" si="166"/>
        <v>2018.0833333333333</v>
      </c>
      <c r="AF253">
        <f t="shared" si="167"/>
        <v>2007</v>
      </c>
      <c r="AG253">
        <f t="shared" si="168"/>
        <v>2017.0833333333333</v>
      </c>
      <c r="AH253">
        <f t="shared" si="169"/>
        <v>-8.3333333333333329E-2</v>
      </c>
    </row>
    <row r="254" spans="1:34">
      <c r="A254" t="s">
        <v>284</v>
      </c>
      <c r="C254">
        <v>3556</v>
      </c>
      <c r="D254" t="s">
        <v>1</v>
      </c>
      <c r="E254">
        <v>2000</v>
      </c>
      <c r="F254">
        <v>1</v>
      </c>
      <c r="G254">
        <v>0.2</v>
      </c>
      <c r="I254" t="s">
        <v>78</v>
      </c>
      <c r="J254">
        <v>7</v>
      </c>
      <c r="K254">
        <f t="shared" si="153"/>
        <v>2007</v>
      </c>
      <c r="N254">
        <v>1870</v>
      </c>
      <c r="P254">
        <f t="shared" si="154"/>
        <v>1496</v>
      </c>
      <c r="Q254">
        <f t="shared" si="155"/>
        <v>17.80952380952381</v>
      </c>
      <c r="R254">
        <f t="shared" si="156"/>
        <v>0</v>
      </c>
      <c r="S254">
        <f t="shared" si="157"/>
        <v>0</v>
      </c>
      <c r="T254">
        <f t="shared" si="158"/>
        <v>0</v>
      </c>
      <c r="U254">
        <v>1</v>
      </c>
      <c r="V254">
        <f t="shared" si="159"/>
        <v>0</v>
      </c>
      <c r="X254">
        <f t="shared" si="160"/>
        <v>1496</v>
      </c>
      <c r="Y254">
        <f t="shared" si="161"/>
        <v>1496</v>
      </c>
      <c r="Z254">
        <v>1</v>
      </c>
      <c r="AA254">
        <f t="shared" si="162"/>
        <v>1496</v>
      </c>
      <c r="AB254">
        <f t="shared" si="163"/>
        <v>1496</v>
      </c>
      <c r="AC254">
        <f t="shared" si="164"/>
        <v>374</v>
      </c>
      <c r="AD254">
        <f t="shared" si="165"/>
        <v>2000</v>
      </c>
      <c r="AE254">
        <f t="shared" si="166"/>
        <v>2018.0833333333333</v>
      </c>
      <c r="AF254">
        <f t="shared" si="167"/>
        <v>2007</v>
      </c>
      <c r="AG254">
        <f t="shared" si="168"/>
        <v>2017.0833333333333</v>
      </c>
      <c r="AH254">
        <f t="shared" si="169"/>
        <v>-8.3333333333333329E-2</v>
      </c>
    </row>
    <row r="255" spans="1:34">
      <c r="A255" t="s">
        <v>284</v>
      </c>
      <c r="C255">
        <v>3556</v>
      </c>
      <c r="D255" t="s">
        <v>372</v>
      </c>
      <c r="E255">
        <v>2009</v>
      </c>
      <c r="F255">
        <v>1</v>
      </c>
      <c r="G255">
        <v>0.2</v>
      </c>
      <c r="I255" t="s">
        <v>78</v>
      </c>
      <c r="J255">
        <v>7</v>
      </c>
      <c r="K255">
        <f t="shared" si="153"/>
        <v>2016</v>
      </c>
      <c r="N255">
        <v>4850.8500000000004</v>
      </c>
      <c r="P255">
        <f t="shared" si="154"/>
        <v>3880.6800000000003</v>
      </c>
      <c r="Q255">
        <f t="shared" si="155"/>
        <v>46.198571428571434</v>
      </c>
      <c r="R255">
        <f t="shared" si="156"/>
        <v>0</v>
      </c>
      <c r="S255">
        <f t="shared" si="157"/>
        <v>0</v>
      </c>
      <c r="T255">
        <f t="shared" si="158"/>
        <v>0</v>
      </c>
      <c r="U255">
        <v>1</v>
      </c>
      <c r="V255">
        <f t="shared" si="159"/>
        <v>0</v>
      </c>
      <c r="X255">
        <f t="shared" si="160"/>
        <v>3880.6800000000003</v>
      </c>
      <c r="Y255">
        <f t="shared" si="161"/>
        <v>3880.6800000000003</v>
      </c>
      <c r="Z255">
        <v>1</v>
      </c>
      <c r="AA255">
        <f t="shared" si="162"/>
        <v>3880.6800000000003</v>
      </c>
      <c r="AB255">
        <f t="shared" si="163"/>
        <v>3880.6800000000003</v>
      </c>
      <c r="AC255">
        <f t="shared" si="164"/>
        <v>970.17000000000007</v>
      </c>
      <c r="AD255">
        <f t="shared" si="165"/>
        <v>2009</v>
      </c>
      <c r="AE255">
        <f t="shared" si="166"/>
        <v>2018.0833333333333</v>
      </c>
      <c r="AF255">
        <f t="shared" si="167"/>
        <v>2016</v>
      </c>
      <c r="AG255">
        <f t="shared" si="168"/>
        <v>2017.0833333333333</v>
      </c>
      <c r="AH255">
        <f t="shared" si="169"/>
        <v>-8.3333333333333329E-2</v>
      </c>
    </row>
    <row r="256" spans="1:34">
      <c r="A256" t="s">
        <v>284</v>
      </c>
      <c r="C256">
        <v>3556</v>
      </c>
      <c r="D256" t="s">
        <v>317</v>
      </c>
      <c r="E256">
        <v>2009</v>
      </c>
      <c r="F256">
        <v>5</v>
      </c>
      <c r="G256">
        <v>0</v>
      </c>
      <c r="I256" t="s">
        <v>78</v>
      </c>
      <c r="J256">
        <v>3</v>
      </c>
      <c r="K256">
        <f t="shared" si="153"/>
        <v>2012</v>
      </c>
      <c r="N256">
        <v>4027.2</v>
      </c>
      <c r="P256">
        <f t="shared" si="154"/>
        <v>4027.2</v>
      </c>
      <c r="Q256">
        <f t="shared" si="155"/>
        <v>111.86666666666666</v>
      </c>
      <c r="R256">
        <f t="shared" si="156"/>
        <v>0</v>
      </c>
      <c r="S256">
        <f t="shared" si="157"/>
        <v>0</v>
      </c>
      <c r="T256">
        <f t="shared" si="158"/>
        <v>0</v>
      </c>
      <c r="U256">
        <v>1</v>
      </c>
      <c r="V256">
        <f t="shared" si="159"/>
        <v>0</v>
      </c>
      <c r="X256">
        <f t="shared" si="160"/>
        <v>4027.2</v>
      </c>
      <c r="Y256">
        <f t="shared" si="161"/>
        <v>4027.2</v>
      </c>
      <c r="Z256">
        <v>1</v>
      </c>
      <c r="AA256">
        <f t="shared" si="162"/>
        <v>4027.2</v>
      </c>
      <c r="AB256">
        <f t="shared" si="163"/>
        <v>4027.2</v>
      </c>
      <c r="AC256">
        <f t="shared" si="164"/>
        <v>0</v>
      </c>
      <c r="AD256">
        <f t="shared" si="165"/>
        <v>2009.3333333333333</v>
      </c>
      <c r="AE256">
        <f t="shared" si="166"/>
        <v>2018.0833333333333</v>
      </c>
      <c r="AF256">
        <f t="shared" si="167"/>
        <v>2012.3333333333333</v>
      </c>
      <c r="AG256">
        <f t="shared" si="168"/>
        <v>2017.0833333333333</v>
      </c>
      <c r="AH256">
        <f t="shared" si="169"/>
        <v>-8.3333333333333329E-2</v>
      </c>
    </row>
    <row r="257" spans="1:34">
      <c r="A257" t="s">
        <v>284</v>
      </c>
      <c r="C257">
        <v>3556</v>
      </c>
      <c r="D257" t="s">
        <v>370</v>
      </c>
      <c r="E257">
        <v>2009</v>
      </c>
      <c r="F257">
        <v>7</v>
      </c>
      <c r="G257">
        <v>0.2</v>
      </c>
      <c r="I257" t="s">
        <v>78</v>
      </c>
      <c r="J257">
        <v>7</v>
      </c>
      <c r="K257">
        <f t="shared" si="153"/>
        <v>2016</v>
      </c>
      <c r="N257">
        <v>61.25</v>
      </c>
      <c r="P257">
        <f t="shared" si="154"/>
        <v>49</v>
      </c>
      <c r="Q257">
        <f t="shared" si="155"/>
        <v>0.58333333333333337</v>
      </c>
      <c r="R257">
        <f t="shared" si="156"/>
        <v>0</v>
      </c>
      <c r="S257">
        <f t="shared" si="157"/>
        <v>0</v>
      </c>
      <c r="T257">
        <f t="shared" si="158"/>
        <v>0</v>
      </c>
      <c r="U257">
        <v>1</v>
      </c>
      <c r="V257">
        <f t="shared" si="159"/>
        <v>0</v>
      </c>
      <c r="X257">
        <f t="shared" si="160"/>
        <v>49</v>
      </c>
      <c r="Y257">
        <f t="shared" si="161"/>
        <v>49</v>
      </c>
      <c r="Z257">
        <v>1</v>
      </c>
      <c r="AA257">
        <f t="shared" si="162"/>
        <v>49</v>
      </c>
      <c r="AB257">
        <f t="shared" si="163"/>
        <v>49</v>
      </c>
      <c r="AC257">
        <f t="shared" si="164"/>
        <v>12.25</v>
      </c>
      <c r="AD257">
        <f t="shared" si="165"/>
        <v>2009.5</v>
      </c>
      <c r="AE257">
        <f t="shared" si="166"/>
        <v>2018.0833333333333</v>
      </c>
      <c r="AF257">
        <f t="shared" si="167"/>
        <v>2016.5</v>
      </c>
      <c r="AG257">
        <f t="shared" si="168"/>
        <v>2017.0833333333333</v>
      </c>
      <c r="AH257">
        <f t="shared" si="169"/>
        <v>-8.3333333333333329E-2</v>
      </c>
    </row>
    <row r="258" spans="1:34">
      <c r="A258" t="s">
        <v>284</v>
      </c>
      <c r="C258">
        <v>3556</v>
      </c>
      <c r="D258" t="s">
        <v>371</v>
      </c>
      <c r="E258">
        <v>2009</v>
      </c>
      <c r="F258">
        <v>7</v>
      </c>
      <c r="G258">
        <v>0.2</v>
      </c>
      <c r="I258" t="s">
        <v>78</v>
      </c>
      <c r="J258">
        <v>7</v>
      </c>
      <c r="K258">
        <f t="shared" si="153"/>
        <v>2016</v>
      </c>
      <c r="N258">
        <v>192.5</v>
      </c>
      <c r="P258">
        <f t="shared" si="154"/>
        <v>154</v>
      </c>
      <c r="Q258">
        <f t="shared" si="155"/>
        <v>1.8333333333333333</v>
      </c>
      <c r="R258">
        <f t="shared" si="156"/>
        <v>0</v>
      </c>
      <c r="S258">
        <f t="shared" si="157"/>
        <v>0</v>
      </c>
      <c r="T258">
        <f t="shared" si="158"/>
        <v>0</v>
      </c>
      <c r="U258">
        <v>1</v>
      </c>
      <c r="V258">
        <f t="shared" si="159"/>
        <v>0</v>
      </c>
      <c r="X258">
        <f t="shared" si="160"/>
        <v>154</v>
      </c>
      <c r="Y258">
        <f t="shared" si="161"/>
        <v>154</v>
      </c>
      <c r="Z258">
        <v>1</v>
      </c>
      <c r="AA258">
        <f t="shared" si="162"/>
        <v>154</v>
      </c>
      <c r="AB258">
        <f t="shared" si="163"/>
        <v>154</v>
      </c>
      <c r="AC258">
        <f t="shared" si="164"/>
        <v>38.5</v>
      </c>
      <c r="AD258">
        <f t="shared" si="165"/>
        <v>2009.5</v>
      </c>
      <c r="AE258">
        <f t="shared" si="166"/>
        <v>2018.0833333333333</v>
      </c>
      <c r="AF258">
        <f t="shared" si="167"/>
        <v>2016.5</v>
      </c>
      <c r="AG258">
        <f t="shared" si="168"/>
        <v>2017.0833333333333</v>
      </c>
      <c r="AH258">
        <f t="shared" si="169"/>
        <v>-8.3333333333333329E-2</v>
      </c>
    </row>
    <row r="259" spans="1:34">
      <c r="A259" t="s">
        <v>284</v>
      </c>
      <c r="B259" t="s">
        <v>505</v>
      </c>
      <c r="C259">
        <v>245</v>
      </c>
      <c r="D259" t="s">
        <v>504</v>
      </c>
      <c r="E259">
        <v>2000</v>
      </c>
      <c r="F259">
        <v>6</v>
      </c>
      <c r="G259">
        <v>0.2</v>
      </c>
      <c r="I259" t="s">
        <v>78</v>
      </c>
      <c r="J259">
        <v>7</v>
      </c>
      <c r="K259">
        <f t="shared" si="153"/>
        <v>2007</v>
      </c>
      <c r="N259">
        <f>71878.98+46599</f>
        <v>118477.98</v>
      </c>
      <c r="P259">
        <f t="shared" si="154"/>
        <v>94782.383999999991</v>
      </c>
      <c r="Q259">
        <f t="shared" si="155"/>
        <v>1128.3617142857142</v>
      </c>
      <c r="R259">
        <f>IF(O259&gt;0,0,IF(OR(AD259&gt;AE259,AF259&lt;AG259),0,IF(AND(AF259&gt;=AG259,AF259&lt;=AE259),Q259*((AF259-AG259)*12),IF(AND(AG259&lt;=AD259,AE259&gt;=AD259),((AE259-AD259)*12)*Q259,IF(AF259&gt;AE259,12*Q259,0)))))</f>
        <v>0</v>
      </c>
      <c r="S259">
        <f>IF(O259=0,0,IF(AND(AH259&gt;=AG259,AH259&lt;=AF259),((AH259-AG259)*12)*Q259,0))</f>
        <v>0</v>
      </c>
      <c r="T259">
        <f>IF(S259&gt;0,S259,R259)</f>
        <v>0</v>
      </c>
      <c r="U259">
        <v>1</v>
      </c>
      <c r="V259">
        <f>U259*SUM(R259:S259)</f>
        <v>0</v>
      </c>
      <c r="X259">
        <f>IF(AD259&gt;AE259,0,IF(AF259&lt;AG259,P259,IF(AND(AF259&gt;=AG259,AF259&lt;=AE259),(P259-T259),IF(AND(AG259&lt;=AD259,AE259&gt;=AD259),0,IF(AF259&gt;AE259,((AG259-AD259)*12)*Q259,0)))))</f>
        <v>94782.383999999991</v>
      </c>
      <c r="Y259">
        <f>X259*U259</f>
        <v>94782.383999999991</v>
      </c>
      <c r="Z259">
        <v>1</v>
      </c>
      <c r="AA259">
        <f>Y259*Z259</f>
        <v>94782.383999999991</v>
      </c>
      <c r="AB259">
        <f>IF(O259&gt;0,0,AA259+V259*Z259)*Z259</f>
        <v>94782.383999999991</v>
      </c>
      <c r="AC259">
        <f>IF(O259&gt;0,(N259-AA259)/2,IF(AD259&gt;=AG259,(((N259*U259)*Z259)-AB259)/2,((((N259*U259)*Z259)-AA259)+(((N259*U259)*Z259)-AB259))/2))</f>
        <v>23695.596000000005</v>
      </c>
      <c r="AD259">
        <f t="shared" si="165"/>
        <v>2000.4166666666667</v>
      </c>
      <c r="AE259">
        <f t="shared" si="166"/>
        <v>2018.0833333333333</v>
      </c>
      <c r="AF259">
        <f t="shared" si="167"/>
        <v>2007.4166666666667</v>
      </c>
      <c r="AG259">
        <f t="shared" si="168"/>
        <v>2017.0833333333333</v>
      </c>
      <c r="AH259">
        <f t="shared" si="169"/>
        <v>-8.3333333333333329E-2</v>
      </c>
    </row>
    <row r="260" spans="1:34">
      <c r="B260">
        <v>111223</v>
      </c>
      <c r="C260">
        <v>245</v>
      </c>
      <c r="D260" t="s">
        <v>507</v>
      </c>
      <c r="E260">
        <v>2009</v>
      </c>
      <c r="F260">
        <v>6</v>
      </c>
      <c r="G260">
        <v>0</v>
      </c>
      <c r="I260" t="s">
        <v>78</v>
      </c>
      <c r="J260">
        <v>3</v>
      </c>
      <c r="K260">
        <f>E260+J260</f>
        <v>2012</v>
      </c>
      <c r="N260">
        <v>7065.91</v>
      </c>
      <c r="P260">
        <f t="shared" si="154"/>
        <v>7065.91</v>
      </c>
      <c r="Q260">
        <f t="shared" si="155"/>
        <v>196.27527777777777</v>
      </c>
      <c r="R260">
        <f>IF(O260&gt;0,0,IF(OR(AD260&gt;AE260,AF260&lt;AG260),0,IF(AND(AF260&gt;=AG260,AF260&lt;=AE260),Q260*((AF260-AG260)*12),IF(AND(AG260&lt;=AD260,AE260&gt;=AD260),((AE260-AD260)*12)*Q260,IF(AF260&gt;AE260,12*Q260,0)))))</f>
        <v>0</v>
      </c>
      <c r="S260">
        <f>IF(O260=0,0,IF(AND(AH260&gt;=AG260,AH260&lt;=AF260),((AH260-AG260)*12)*Q260,0))</f>
        <v>0</v>
      </c>
      <c r="T260">
        <f>IF(S260&gt;0,S260,R260)</f>
        <v>0</v>
      </c>
      <c r="U260">
        <v>1</v>
      </c>
      <c r="V260">
        <f>U260*SUM(R260:S260)</f>
        <v>0</v>
      </c>
      <c r="X260">
        <f>IF(AD260&gt;AE260,0,IF(AF260&lt;AG260,P260,IF(AND(AF260&gt;=AG260,AF260&lt;=AE260),(P260-T260),IF(AND(AG260&lt;=AD260,AE260&gt;=AD260),0,IF(AF260&gt;AE260,((AG260-AD260)*12)*Q260,0)))))</f>
        <v>7065.91</v>
      </c>
      <c r="Y260">
        <f>X260*U260</f>
        <v>7065.91</v>
      </c>
      <c r="Z260">
        <v>1</v>
      </c>
      <c r="AA260">
        <f>Y260*Z260</f>
        <v>7065.91</v>
      </c>
      <c r="AB260">
        <f>IF(O260&gt;0,0,AA260+V260*Z260)*Z260</f>
        <v>7065.91</v>
      </c>
      <c r="AC260">
        <f>IF(O260&gt;0,(N260-AA260)/2,IF(AD260&gt;=AG260,(((N260*U260)*Z260)-AB260)/2,((((N260*U260)*Z260)-AA260)+(((N260*U260)*Z260)-AB260))/2))</f>
        <v>0</v>
      </c>
      <c r="AD260">
        <f t="shared" si="165"/>
        <v>2009.4166666666667</v>
      </c>
      <c r="AE260">
        <f t="shared" si="166"/>
        <v>2018.0833333333333</v>
      </c>
      <c r="AF260">
        <f t="shared" si="167"/>
        <v>2012.4166666666667</v>
      </c>
      <c r="AG260">
        <f t="shared" si="168"/>
        <v>2017.0833333333333</v>
      </c>
      <c r="AH260">
        <f t="shared" si="169"/>
        <v>-8.3333333333333329E-2</v>
      </c>
    </row>
    <row r="261" spans="1:34">
      <c r="B261">
        <v>111224</v>
      </c>
      <c r="C261">
        <v>245</v>
      </c>
      <c r="D261" t="s">
        <v>506</v>
      </c>
      <c r="E261">
        <v>2009</v>
      </c>
      <c r="F261">
        <v>9</v>
      </c>
      <c r="G261">
        <v>0</v>
      </c>
      <c r="I261" t="s">
        <v>78</v>
      </c>
      <c r="J261">
        <v>3</v>
      </c>
      <c r="K261">
        <f>E261+J261</f>
        <v>2012</v>
      </c>
      <c r="N261">
        <v>14680.19</v>
      </c>
      <c r="P261">
        <f t="shared" si="154"/>
        <v>14680.19</v>
      </c>
      <c r="Q261">
        <f t="shared" si="155"/>
        <v>407.78305555555556</v>
      </c>
      <c r="R261">
        <f>IF(O261&gt;0,0,IF(OR(AD261&gt;AE261,AF261&lt;AG261),0,IF(AND(AF261&gt;=AG261,AF261&lt;=AE261),Q261*((AF261-AG261)*12),IF(AND(AG261&lt;=AD261,AE261&gt;=AD261),((AE261-AD261)*12)*Q261,IF(AF261&gt;AE261,12*Q261,0)))))</f>
        <v>0</v>
      </c>
      <c r="S261">
        <f>IF(O261=0,0,IF(AND(AH261&gt;=AG261,AH261&lt;=AF261),((AH261-AG261)*12)*Q261,0))</f>
        <v>0</v>
      </c>
      <c r="T261">
        <f>IF(S261&gt;0,S261,R261)</f>
        <v>0</v>
      </c>
      <c r="U261">
        <v>1</v>
      </c>
      <c r="V261">
        <f>U261*SUM(R261:S261)</f>
        <v>0</v>
      </c>
      <c r="X261">
        <f>IF(AD261&gt;AE261,0,IF(AF261&lt;AG261,P261,IF(AND(AF261&gt;=AG261,AF261&lt;=AE261),(P261-T261),IF(AND(AG261&lt;=AD261,AE261&gt;=AD261),0,IF(AF261&gt;AE261,((AG261-AD261)*12)*Q261,0)))))</f>
        <v>14680.19</v>
      </c>
      <c r="Y261">
        <f>X261*U261</f>
        <v>14680.19</v>
      </c>
      <c r="Z261">
        <v>1</v>
      </c>
      <c r="AA261">
        <f>Y261*Z261</f>
        <v>14680.19</v>
      </c>
      <c r="AB261">
        <f>IF(O261&gt;0,0,AA261+V261*Z261)*Z261</f>
        <v>14680.19</v>
      </c>
      <c r="AC261">
        <f>IF(O261&gt;0,(N261-AA261)/2,IF(AD261&gt;=AG261,(((N261*U261)*Z261)-AB261)/2,((((N261*U261)*Z261)-AA261)+(((N261*U261)*Z261)-AB261))/2))</f>
        <v>0</v>
      </c>
      <c r="AD261">
        <f t="shared" si="165"/>
        <v>2009.6666666666667</v>
      </c>
      <c r="AE261">
        <f t="shared" si="166"/>
        <v>2018.0833333333333</v>
      </c>
      <c r="AF261">
        <f t="shared" si="167"/>
        <v>2012.6666666666667</v>
      </c>
      <c r="AG261">
        <f t="shared" si="168"/>
        <v>2017.0833333333333</v>
      </c>
      <c r="AH261">
        <f t="shared" si="169"/>
        <v>-8.3333333333333329E-2</v>
      </c>
    </row>
    <row r="262" spans="1:34">
      <c r="A262" t="s">
        <v>284</v>
      </c>
      <c r="C262">
        <v>3557</v>
      </c>
      <c r="D262" t="s">
        <v>156</v>
      </c>
      <c r="E262">
        <v>2000</v>
      </c>
      <c r="F262">
        <v>6</v>
      </c>
      <c r="G262">
        <v>0.2</v>
      </c>
      <c r="I262" t="s">
        <v>78</v>
      </c>
      <c r="J262">
        <v>7</v>
      </c>
      <c r="K262">
        <f>E262+J262</f>
        <v>2007</v>
      </c>
      <c r="N262">
        <v>149691.38</v>
      </c>
      <c r="P262">
        <f t="shared" si="154"/>
        <v>119753.10400000001</v>
      </c>
      <c r="Q262">
        <f t="shared" si="155"/>
        <v>1425.6321904761905</v>
      </c>
      <c r="R262">
        <f>IF(O262&gt;0,0,IF(OR(AD262&gt;AE262,AF262&lt;AG262),0,IF(AND(AF262&gt;=AG262,AF262&lt;=AE262),Q262*((AF262-AG262)*12),IF(AND(AG262&lt;=AD262,AE262&gt;=AD262),((AE262-AD262)*12)*Q262,IF(AF262&gt;AE262,12*Q262,0)))))</f>
        <v>0</v>
      </c>
      <c r="S262">
        <f>IF(O262=0,0,IF(AND(AH262&gt;=AG262,AH262&lt;=AF262),((AH262-AG262)*12)*Q262,0))</f>
        <v>0</v>
      </c>
      <c r="T262">
        <f>IF(S262&gt;0,S262,R262)</f>
        <v>0</v>
      </c>
      <c r="U262">
        <v>1</v>
      </c>
      <c r="V262">
        <f>U262*SUM(R262:S262)</f>
        <v>0</v>
      </c>
      <c r="X262">
        <f>IF(AD262&gt;AE262,0,IF(AF262&lt;AG262,P262,IF(AND(AF262&gt;=AG262,AF262&lt;=AE262),(P262-T262),IF(AND(AG262&lt;=AD262,AE262&gt;=AD262),0,IF(AF262&gt;AE262,((AG262-AD262)*12)*Q262,0)))))</f>
        <v>119753.10400000001</v>
      </c>
      <c r="Y262">
        <f>X262*U262</f>
        <v>119753.10400000001</v>
      </c>
      <c r="Z262">
        <v>1</v>
      </c>
      <c r="AA262">
        <f>Y262*Z262</f>
        <v>119753.10400000001</v>
      </c>
      <c r="AB262">
        <f>IF(O262&gt;0,0,AA262+V262*Z262)*Z262</f>
        <v>119753.10400000001</v>
      </c>
      <c r="AC262">
        <f>IF(O262&gt;0,(N262-AA262)/2,IF(AD262&gt;=AG262,(((N262*U262)*Z262)-AB262)/2,((((N262*U262)*Z262)-AA262)+(((N262*U262)*Z262)-AB262))/2))</f>
        <v>29938.275999999998</v>
      </c>
      <c r="AD262">
        <f t="shared" si="165"/>
        <v>2000.4166666666667</v>
      </c>
      <c r="AE262">
        <f t="shared" si="166"/>
        <v>2018.0833333333333</v>
      </c>
      <c r="AF262">
        <f t="shared" si="167"/>
        <v>2007.4166666666667</v>
      </c>
      <c r="AG262">
        <f t="shared" si="168"/>
        <v>2017.0833333333333</v>
      </c>
      <c r="AH262">
        <f t="shared" si="169"/>
        <v>-8.3333333333333329E-2</v>
      </c>
    </row>
    <row r="264" spans="1:34">
      <c r="D264" t="s">
        <v>609</v>
      </c>
    </row>
    <row r="265" spans="1:34">
      <c r="A265" t="s">
        <v>155</v>
      </c>
      <c r="B265">
        <v>61066</v>
      </c>
      <c r="C265">
        <v>3552</v>
      </c>
      <c r="D265" t="s">
        <v>169</v>
      </c>
      <c r="E265">
        <v>1999</v>
      </c>
      <c r="F265">
        <v>10</v>
      </c>
      <c r="G265">
        <v>0.2</v>
      </c>
      <c r="I265" t="s">
        <v>78</v>
      </c>
      <c r="J265">
        <v>7</v>
      </c>
      <c r="K265">
        <f t="shared" ref="K265:K272" si="170">E265+J265</f>
        <v>2006</v>
      </c>
      <c r="N265">
        <v>85471.71</v>
      </c>
      <c r="P265">
        <f t="shared" ref="P265:P272" si="171">N265-N265*G265</f>
        <v>68377.368000000002</v>
      </c>
      <c r="Q265">
        <f t="shared" ref="Q265:Q272" si="172">P265/J265/12</f>
        <v>814.0162857142858</v>
      </c>
      <c r="R265">
        <f t="shared" ref="R265:R272" si="173">IF(O265&gt;0,0,IF(OR(AD265&gt;AE265,AF265&lt;AG265),0,IF(AND(AF265&gt;=AG265,AF265&lt;=AE265),Q265*((AF265-AG265)*12),IF(AND(AG265&lt;=AD265,AE265&gt;=AD265),((AE265-AD265)*12)*Q265,IF(AF265&gt;AE265,12*Q265,0)))))</f>
        <v>0</v>
      </c>
      <c r="S265">
        <f t="shared" ref="S265:S272" si="174">IF(O265=0,0,IF(AND(AH265&gt;=AG265,AH265&lt;=AF265),((AH265-AG265)*12)*Q265,0))</f>
        <v>0</v>
      </c>
      <c r="T265">
        <f t="shared" ref="T265:T272" si="175">IF(S265&gt;0,S265,R265)</f>
        <v>0</v>
      </c>
      <c r="U265">
        <v>1</v>
      </c>
      <c r="V265">
        <f t="shared" ref="V265:V272" si="176">U265*SUM(R265:S265)</f>
        <v>0</v>
      </c>
      <c r="X265">
        <f t="shared" ref="X265:X272" si="177">IF(AD265&gt;AE265,0,IF(AF265&lt;AG265,P265,IF(AND(AF265&gt;=AG265,AF265&lt;=AE265),(P265-T265),IF(AND(AG265&lt;=AD265,AE265&gt;=AD265),0,IF(AF265&gt;AE265,((AG265-AD265)*12)*Q265,0)))))</f>
        <v>68377.368000000002</v>
      </c>
      <c r="Y265">
        <f t="shared" ref="Y265:Y272" si="178">X265*U265</f>
        <v>68377.368000000002</v>
      </c>
      <c r="Z265">
        <v>1</v>
      </c>
      <c r="AA265">
        <f t="shared" ref="AA265:AA272" si="179">Y265*Z265</f>
        <v>68377.368000000002</v>
      </c>
      <c r="AB265">
        <f t="shared" ref="AB265:AB272" si="180">IF(O265&gt;0,0,AA265+V265*Z265)*Z265</f>
        <v>68377.368000000002</v>
      </c>
      <c r="AC265">
        <f t="shared" ref="AC265:AC272" si="181">IF(O265&gt;0,(N265-AA265)/2,IF(AD265&gt;=AG265,(((N265*U265)*Z265)-AB265)/2,((((N265*U265)*Z265)-AA265)+(((N265*U265)*Z265)-AB265))/2))</f>
        <v>17094.342000000004</v>
      </c>
      <c r="AD265">
        <f t="shared" ref="AD265:AD272" si="182">$E265+(($F265-1)/12)</f>
        <v>1999.75</v>
      </c>
      <c r="AE265">
        <f t="shared" ref="AE265:AE272" si="183">($P$5+1)-($P$2/12)</f>
        <v>2018.0833333333333</v>
      </c>
      <c r="AF265">
        <f t="shared" ref="AF265:AF272" si="184">$K265+(($F265-1)/12)</f>
        <v>2006.75</v>
      </c>
      <c r="AG265">
        <f t="shared" ref="AG265:AG272" si="185">$P$4+($P$3/12)</f>
        <v>2017.0833333333333</v>
      </c>
      <c r="AH265">
        <f t="shared" ref="AH265:AH272" si="186">$L265+(($M265-1)/12)</f>
        <v>-8.3333333333333329E-2</v>
      </c>
    </row>
    <row r="266" spans="1:34">
      <c r="A266" t="s">
        <v>155</v>
      </c>
      <c r="B266">
        <v>79325</v>
      </c>
      <c r="C266">
        <v>3552</v>
      </c>
      <c r="D266" t="s">
        <v>389</v>
      </c>
      <c r="E266">
        <v>2010</v>
      </c>
      <c r="F266">
        <v>10</v>
      </c>
      <c r="G266">
        <v>0</v>
      </c>
      <c r="I266" t="s">
        <v>78</v>
      </c>
      <c r="J266">
        <v>3</v>
      </c>
      <c r="K266">
        <f t="shared" si="170"/>
        <v>2013</v>
      </c>
      <c r="N266">
        <v>14337.43</v>
      </c>
      <c r="P266">
        <f t="shared" si="171"/>
        <v>14337.43</v>
      </c>
      <c r="Q266">
        <f t="shared" si="172"/>
        <v>398.26194444444445</v>
      </c>
      <c r="R266">
        <f t="shared" si="173"/>
        <v>0</v>
      </c>
      <c r="S266">
        <f t="shared" si="174"/>
        <v>0</v>
      </c>
      <c r="T266">
        <f t="shared" si="175"/>
        <v>0</v>
      </c>
      <c r="U266">
        <v>1</v>
      </c>
      <c r="V266">
        <f t="shared" si="176"/>
        <v>0</v>
      </c>
      <c r="X266">
        <f t="shared" si="177"/>
        <v>14337.43</v>
      </c>
      <c r="Y266">
        <f t="shared" si="178"/>
        <v>14337.43</v>
      </c>
      <c r="Z266">
        <v>1</v>
      </c>
      <c r="AA266">
        <f t="shared" si="179"/>
        <v>14337.43</v>
      </c>
      <c r="AB266">
        <f t="shared" si="180"/>
        <v>14337.43</v>
      </c>
      <c r="AC266">
        <f t="shared" si="181"/>
        <v>0</v>
      </c>
      <c r="AD266">
        <f t="shared" si="182"/>
        <v>2010.75</v>
      </c>
      <c r="AE266">
        <f t="shared" si="183"/>
        <v>2018.0833333333333</v>
      </c>
      <c r="AF266">
        <f t="shared" si="184"/>
        <v>2013.75</v>
      </c>
      <c r="AG266">
        <f t="shared" si="185"/>
        <v>2017.0833333333333</v>
      </c>
      <c r="AH266">
        <f t="shared" si="186"/>
        <v>-8.3333333333333329E-2</v>
      </c>
    </row>
    <row r="267" spans="1:34">
      <c r="A267" t="s">
        <v>463</v>
      </c>
      <c r="B267">
        <v>114547</v>
      </c>
      <c r="C267">
        <v>3552</v>
      </c>
      <c r="D267" t="s">
        <v>510</v>
      </c>
      <c r="E267">
        <v>2014</v>
      </c>
      <c r="F267">
        <v>7</v>
      </c>
      <c r="G267">
        <v>0</v>
      </c>
      <c r="I267" t="s">
        <v>78</v>
      </c>
      <c r="J267">
        <v>3</v>
      </c>
      <c r="K267">
        <f t="shared" si="170"/>
        <v>2017</v>
      </c>
      <c r="N267">
        <v>6550.26</v>
      </c>
      <c r="P267">
        <f t="shared" si="171"/>
        <v>6550.26</v>
      </c>
      <c r="Q267">
        <f t="shared" si="172"/>
        <v>181.95166666666668</v>
      </c>
      <c r="R267">
        <f t="shared" si="173"/>
        <v>909.75833333349885</v>
      </c>
      <c r="S267">
        <f t="shared" si="174"/>
        <v>0</v>
      </c>
      <c r="T267">
        <f t="shared" si="175"/>
        <v>909.75833333349885</v>
      </c>
      <c r="U267">
        <v>1</v>
      </c>
      <c r="V267">
        <f t="shared" si="176"/>
        <v>909.75833333349885</v>
      </c>
      <c r="X267">
        <f t="shared" si="177"/>
        <v>5640.5016666665015</v>
      </c>
      <c r="Y267">
        <f t="shared" si="178"/>
        <v>5640.5016666665015</v>
      </c>
      <c r="Z267">
        <v>1</v>
      </c>
      <c r="AA267">
        <f t="shared" si="179"/>
        <v>5640.5016666665015</v>
      </c>
      <c r="AB267">
        <f t="shared" si="180"/>
        <v>6550.26</v>
      </c>
      <c r="AC267">
        <f t="shared" si="181"/>
        <v>454.87916666674937</v>
      </c>
      <c r="AD267">
        <f t="shared" si="182"/>
        <v>2014.5</v>
      </c>
      <c r="AE267">
        <f t="shared" si="183"/>
        <v>2018.0833333333333</v>
      </c>
      <c r="AF267">
        <f t="shared" si="184"/>
        <v>2017.5</v>
      </c>
      <c r="AG267">
        <f t="shared" si="185"/>
        <v>2017.0833333333333</v>
      </c>
      <c r="AH267">
        <f t="shared" si="186"/>
        <v>-8.3333333333333329E-2</v>
      </c>
    </row>
    <row r="268" spans="1:34">
      <c r="A268" t="s">
        <v>155</v>
      </c>
      <c r="C268">
        <v>3552</v>
      </c>
      <c r="D268" t="s">
        <v>142</v>
      </c>
      <c r="E268">
        <v>1999</v>
      </c>
      <c r="F268">
        <v>10</v>
      </c>
      <c r="G268">
        <v>0.2</v>
      </c>
      <c r="I268" t="s">
        <v>78</v>
      </c>
      <c r="J268">
        <v>7</v>
      </c>
      <c r="K268">
        <f t="shared" si="170"/>
        <v>2006</v>
      </c>
      <c r="N268">
        <v>1532.03</v>
      </c>
      <c r="P268">
        <f t="shared" si="171"/>
        <v>1225.624</v>
      </c>
      <c r="Q268">
        <f t="shared" si="172"/>
        <v>14.590761904761905</v>
      </c>
      <c r="R268">
        <f t="shared" si="173"/>
        <v>0</v>
      </c>
      <c r="S268">
        <f t="shared" si="174"/>
        <v>0</v>
      </c>
      <c r="T268">
        <f t="shared" si="175"/>
        <v>0</v>
      </c>
      <c r="U268">
        <v>1</v>
      </c>
      <c r="V268">
        <f t="shared" si="176"/>
        <v>0</v>
      </c>
      <c r="X268">
        <f t="shared" si="177"/>
        <v>1225.624</v>
      </c>
      <c r="Y268">
        <f t="shared" si="178"/>
        <v>1225.624</v>
      </c>
      <c r="Z268">
        <v>1</v>
      </c>
      <c r="AA268">
        <f t="shared" si="179"/>
        <v>1225.624</v>
      </c>
      <c r="AB268">
        <f t="shared" si="180"/>
        <v>1225.624</v>
      </c>
      <c r="AC268">
        <f t="shared" si="181"/>
        <v>306.40599999999995</v>
      </c>
      <c r="AD268">
        <f t="shared" si="182"/>
        <v>1999.75</v>
      </c>
      <c r="AE268">
        <f t="shared" si="183"/>
        <v>2018.0833333333333</v>
      </c>
      <c r="AF268">
        <f t="shared" si="184"/>
        <v>2006.75</v>
      </c>
      <c r="AG268">
        <f t="shared" si="185"/>
        <v>2017.0833333333333</v>
      </c>
      <c r="AH268">
        <f t="shared" si="186"/>
        <v>-8.3333333333333329E-2</v>
      </c>
    </row>
    <row r="269" spans="1:34">
      <c r="A269" t="s">
        <v>155</v>
      </c>
      <c r="C269">
        <v>3552</v>
      </c>
      <c r="D269" t="s">
        <v>92</v>
      </c>
      <c r="E269">
        <v>1999</v>
      </c>
      <c r="F269">
        <v>11</v>
      </c>
      <c r="G269">
        <v>0.2</v>
      </c>
      <c r="I269" t="s">
        <v>78</v>
      </c>
      <c r="J269">
        <v>7</v>
      </c>
      <c r="K269">
        <f t="shared" si="170"/>
        <v>2006</v>
      </c>
      <c r="N269">
        <v>63738.66</v>
      </c>
      <c r="P269">
        <f t="shared" si="171"/>
        <v>50990.928</v>
      </c>
      <c r="Q269">
        <f t="shared" si="172"/>
        <v>607.03485714285716</v>
      </c>
      <c r="R269">
        <f t="shared" si="173"/>
        <v>0</v>
      </c>
      <c r="S269">
        <f t="shared" si="174"/>
        <v>0</v>
      </c>
      <c r="T269">
        <f t="shared" si="175"/>
        <v>0</v>
      </c>
      <c r="U269">
        <v>1</v>
      </c>
      <c r="V269">
        <f t="shared" si="176"/>
        <v>0</v>
      </c>
      <c r="X269">
        <f t="shared" si="177"/>
        <v>50990.928</v>
      </c>
      <c r="Y269">
        <f t="shared" si="178"/>
        <v>50990.928</v>
      </c>
      <c r="Z269">
        <v>1</v>
      </c>
      <c r="AA269">
        <f t="shared" si="179"/>
        <v>50990.928</v>
      </c>
      <c r="AB269">
        <f t="shared" si="180"/>
        <v>50990.928</v>
      </c>
      <c r="AC269">
        <f t="shared" si="181"/>
        <v>12747.732000000004</v>
      </c>
      <c r="AD269">
        <f t="shared" si="182"/>
        <v>1999.8333333333333</v>
      </c>
      <c r="AE269">
        <f t="shared" si="183"/>
        <v>2018.0833333333333</v>
      </c>
      <c r="AF269">
        <f t="shared" si="184"/>
        <v>2006.8333333333333</v>
      </c>
      <c r="AG269">
        <f t="shared" si="185"/>
        <v>2017.0833333333333</v>
      </c>
      <c r="AH269">
        <f t="shared" si="186"/>
        <v>-8.3333333333333329E-2</v>
      </c>
    </row>
    <row r="270" spans="1:34">
      <c r="A270" t="s">
        <v>155</v>
      </c>
      <c r="C270">
        <v>3552</v>
      </c>
      <c r="D270" t="s">
        <v>90</v>
      </c>
      <c r="E270">
        <v>1999</v>
      </c>
      <c r="F270">
        <v>11</v>
      </c>
      <c r="G270">
        <v>0.2</v>
      </c>
      <c r="I270" t="s">
        <v>78</v>
      </c>
      <c r="J270">
        <v>7</v>
      </c>
      <c r="K270">
        <f t="shared" si="170"/>
        <v>2006</v>
      </c>
      <c r="N270">
        <v>550.87</v>
      </c>
      <c r="P270">
        <f t="shared" si="171"/>
        <v>440.69600000000003</v>
      </c>
      <c r="Q270">
        <f t="shared" si="172"/>
        <v>5.2463809523809521</v>
      </c>
      <c r="R270">
        <f t="shared" si="173"/>
        <v>0</v>
      </c>
      <c r="S270">
        <f t="shared" si="174"/>
        <v>0</v>
      </c>
      <c r="T270">
        <f t="shared" si="175"/>
        <v>0</v>
      </c>
      <c r="U270">
        <v>1</v>
      </c>
      <c r="V270">
        <f t="shared" si="176"/>
        <v>0</v>
      </c>
      <c r="X270">
        <f t="shared" si="177"/>
        <v>440.69600000000003</v>
      </c>
      <c r="Y270">
        <f t="shared" si="178"/>
        <v>440.69600000000003</v>
      </c>
      <c r="Z270">
        <v>1</v>
      </c>
      <c r="AA270">
        <f t="shared" si="179"/>
        <v>440.69600000000003</v>
      </c>
      <c r="AB270">
        <f t="shared" si="180"/>
        <v>440.69600000000003</v>
      </c>
      <c r="AC270">
        <f t="shared" si="181"/>
        <v>110.17399999999998</v>
      </c>
      <c r="AD270">
        <f t="shared" si="182"/>
        <v>1999.8333333333333</v>
      </c>
      <c r="AE270">
        <f t="shared" si="183"/>
        <v>2018.0833333333333</v>
      </c>
      <c r="AF270">
        <f t="shared" si="184"/>
        <v>2006.8333333333333</v>
      </c>
      <c r="AG270">
        <f t="shared" si="185"/>
        <v>2017.0833333333333</v>
      </c>
      <c r="AH270">
        <f t="shared" si="186"/>
        <v>-8.3333333333333329E-2</v>
      </c>
    </row>
    <row r="271" spans="1:34">
      <c r="A271" t="s">
        <v>155</v>
      </c>
      <c r="C271">
        <v>3552</v>
      </c>
      <c r="D271" t="s">
        <v>89</v>
      </c>
      <c r="E271">
        <v>1999</v>
      </c>
      <c r="F271">
        <v>11</v>
      </c>
      <c r="G271">
        <v>0.2</v>
      </c>
      <c r="I271" t="s">
        <v>78</v>
      </c>
      <c r="J271">
        <v>7</v>
      </c>
      <c r="K271">
        <f t="shared" si="170"/>
        <v>2006</v>
      </c>
      <c r="N271">
        <v>1118.51</v>
      </c>
      <c r="P271">
        <f t="shared" si="171"/>
        <v>894.80799999999999</v>
      </c>
      <c r="Q271">
        <f t="shared" si="172"/>
        <v>10.652476190476191</v>
      </c>
      <c r="R271">
        <f t="shared" si="173"/>
        <v>0</v>
      </c>
      <c r="S271">
        <f t="shared" si="174"/>
        <v>0</v>
      </c>
      <c r="T271">
        <f t="shared" si="175"/>
        <v>0</v>
      </c>
      <c r="U271">
        <v>1</v>
      </c>
      <c r="V271">
        <f t="shared" si="176"/>
        <v>0</v>
      </c>
      <c r="X271">
        <f t="shared" si="177"/>
        <v>894.80799999999999</v>
      </c>
      <c r="Y271">
        <f t="shared" si="178"/>
        <v>894.80799999999999</v>
      </c>
      <c r="Z271">
        <v>1</v>
      </c>
      <c r="AA271">
        <f t="shared" si="179"/>
        <v>894.80799999999999</v>
      </c>
      <c r="AB271">
        <f t="shared" si="180"/>
        <v>894.80799999999999</v>
      </c>
      <c r="AC271">
        <f t="shared" si="181"/>
        <v>223.702</v>
      </c>
      <c r="AD271">
        <f t="shared" si="182"/>
        <v>1999.8333333333333</v>
      </c>
      <c r="AE271">
        <f t="shared" si="183"/>
        <v>2018.0833333333333</v>
      </c>
      <c r="AF271">
        <f t="shared" si="184"/>
        <v>2006.8333333333333</v>
      </c>
      <c r="AG271">
        <f t="shared" si="185"/>
        <v>2017.0833333333333</v>
      </c>
      <c r="AH271">
        <f t="shared" si="186"/>
        <v>-8.3333333333333329E-2</v>
      </c>
    </row>
    <row r="272" spans="1:34">
      <c r="A272" t="s">
        <v>284</v>
      </c>
      <c r="C272">
        <v>3552</v>
      </c>
      <c r="D272" t="s">
        <v>91</v>
      </c>
      <c r="E272">
        <v>2000</v>
      </c>
      <c r="F272">
        <v>1</v>
      </c>
      <c r="G272">
        <v>0.2</v>
      </c>
      <c r="I272" t="s">
        <v>78</v>
      </c>
      <c r="J272">
        <v>7</v>
      </c>
      <c r="K272">
        <f t="shared" si="170"/>
        <v>2007</v>
      </c>
      <c r="N272">
        <v>3143.6</v>
      </c>
      <c r="P272">
        <f t="shared" si="171"/>
        <v>2514.88</v>
      </c>
      <c r="Q272">
        <f t="shared" si="172"/>
        <v>29.939047619047617</v>
      </c>
      <c r="R272">
        <f t="shared" si="173"/>
        <v>0</v>
      </c>
      <c r="S272">
        <f t="shared" si="174"/>
        <v>0</v>
      </c>
      <c r="T272">
        <f t="shared" si="175"/>
        <v>0</v>
      </c>
      <c r="U272">
        <v>1</v>
      </c>
      <c r="V272">
        <f t="shared" si="176"/>
        <v>0</v>
      </c>
      <c r="X272">
        <f t="shared" si="177"/>
        <v>2514.88</v>
      </c>
      <c r="Y272">
        <f t="shared" si="178"/>
        <v>2514.88</v>
      </c>
      <c r="Z272">
        <v>1</v>
      </c>
      <c r="AA272">
        <f t="shared" si="179"/>
        <v>2514.88</v>
      </c>
      <c r="AB272">
        <f t="shared" si="180"/>
        <v>2514.88</v>
      </c>
      <c r="AC272">
        <f t="shared" si="181"/>
        <v>628.7199999999998</v>
      </c>
      <c r="AD272">
        <f t="shared" si="182"/>
        <v>2000</v>
      </c>
      <c r="AE272">
        <f t="shared" si="183"/>
        <v>2018.0833333333333</v>
      </c>
      <c r="AF272">
        <f t="shared" si="184"/>
        <v>2007</v>
      </c>
      <c r="AG272">
        <f t="shared" si="185"/>
        <v>2017.0833333333333</v>
      </c>
      <c r="AH272">
        <f t="shared" si="186"/>
        <v>-8.3333333333333329E-2</v>
      </c>
    </row>
    <row r="276" spans="1:34">
      <c r="D276" t="s">
        <v>610</v>
      </c>
    </row>
    <row r="277" spans="1:34">
      <c r="A277" t="s">
        <v>286</v>
      </c>
      <c r="B277">
        <v>61106</v>
      </c>
      <c r="C277">
        <v>2029</v>
      </c>
      <c r="D277" t="s">
        <v>153</v>
      </c>
      <c r="E277">
        <v>2007</v>
      </c>
      <c r="F277">
        <v>6</v>
      </c>
      <c r="G277">
        <v>0.2</v>
      </c>
      <c r="I277" t="s">
        <v>78</v>
      </c>
      <c r="J277">
        <v>7</v>
      </c>
      <c r="K277">
        <f>E277+J277</f>
        <v>2014</v>
      </c>
      <c r="N277">
        <v>215572.54</v>
      </c>
      <c r="P277">
        <f>N277-N277*G277</f>
        <v>172458.03200000001</v>
      </c>
      <c r="Q277">
        <f>P277/J277/12</f>
        <v>2053.0718095238094</v>
      </c>
      <c r="R277">
        <f>IF(O277&gt;0,0,IF(OR(AD277&gt;AE277,AF277&lt;AG277),0,IF(AND(AF277&gt;=AG277,AF277&lt;=AE277),Q277*((AF277-AG277)*12),IF(AND(AG277&lt;=AD277,AE277&gt;=AD277),((AE277-AD277)*12)*Q277,IF(AF277&gt;AE277,12*Q277,0)))))</f>
        <v>0</v>
      </c>
      <c r="S277">
        <f>IF(O277=0,0,IF(AND(AH277&gt;=AG277,AH277&lt;=AF277),((AH277-AG277)*12)*Q277,0))</f>
        <v>0</v>
      </c>
      <c r="T277">
        <f>IF(S277&gt;0,S277,R277)</f>
        <v>0</v>
      </c>
      <c r="U277">
        <v>1</v>
      </c>
      <c r="V277">
        <f>U277*SUM(R277:S277)</f>
        <v>0</v>
      </c>
      <c r="X277">
        <f>IF(AD277&gt;AE277,0,IF(AF277&lt;AG277,P277,IF(AND(AF277&gt;=AG277,AF277&lt;=AE277),(P277-T277),IF(AND(AG277&lt;=AD277,AE277&gt;=AD277),0,IF(AF277&gt;AE277,((AG277-AD277)*12)*Q277,0)))))</f>
        <v>172458.03200000001</v>
      </c>
      <c r="Y277">
        <f>X277*U277</f>
        <v>172458.03200000001</v>
      </c>
      <c r="Z277">
        <v>1</v>
      </c>
      <c r="AA277">
        <f>Y277*Z277</f>
        <v>172458.03200000001</v>
      </c>
      <c r="AB277">
        <f>IF(O277&gt;0,0,AA277+V277*Z277)*Z277</f>
        <v>172458.03200000001</v>
      </c>
      <c r="AC277">
        <f>IF(O277&gt;0,(N277-AA277)/2,IF(AD277&gt;=AG277,(((N277*U277)*Z277)-AB277)/2,((((N277*U277)*Z277)-AA277)+(((N277*U277)*Z277)-AB277))/2))</f>
        <v>43114.508000000002</v>
      </c>
      <c r="AD277">
        <f>$E277+(($F277-1)/12)</f>
        <v>2007.4166666666667</v>
      </c>
      <c r="AE277">
        <f>($P$5+1)-($P$2/12)</f>
        <v>2018.0833333333333</v>
      </c>
      <c r="AF277">
        <f>$K277+(($F277-1)/12)</f>
        <v>2014.4166666666667</v>
      </c>
      <c r="AG277">
        <f>$P$4+($P$3/12)</f>
        <v>2017.0833333333333</v>
      </c>
      <c r="AH277">
        <f>$L277+(($M277-1)/12)</f>
        <v>-8.3333333333333329E-2</v>
      </c>
    </row>
  </sheetData>
  <autoFilter ref="B1:B5553"/>
  <mergeCells count="1">
    <mergeCell ref="AJ5:AR6"/>
  </mergeCells>
  <hyperlinks>
    <hyperlink ref="I196" r:id="rId1" display="\\sacinf05\DistShares\Fixed Assets\2013"/>
  </hyperlinks>
  <pageMargins left="0" right="0" top="0" bottom="0" header="0.5" footer="0.5"/>
  <pageSetup scale="62" fitToHeight="0" orientation="portrait" r:id="rId2"/>
  <headerFooter alignWithMargins="0"/>
  <rowBreaks count="1" manualBreakCount="1">
    <brk id="325" min="2" max="28" man="1"/>
  </rowBreak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14"/>
  <sheetViews>
    <sheetView zoomScaleNormal="100" zoomScaleSheetLayoutView="75" workbookViewId="0">
      <pane xSplit="1" ySplit="11" topLeftCell="B83" activePane="bottomRight" state="frozen"/>
      <selection activeCell="D461" sqref="D461"/>
      <selection pane="topRight" activeCell="D461" sqref="D461"/>
      <selection pane="bottomLeft" activeCell="D461" sqref="D461"/>
      <selection pane="bottomRight" activeCell="B99" sqref="B99"/>
    </sheetView>
  </sheetViews>
  <sheetFormatPr defaultColWidth="11.42578125" defaultRowHeight="12.75"/>
  <cols>
    <col min="1" max="1" width="7" customWidth="1"/>
    <col min="2" max="2" width="6.7109375" customWidth="1"/>
    <col min="3" max="3" width="44.7109375" bestFit="1" customWidth="1"/>
    <col min="4" max="4" width="11.28515625" bestFit="1" customWidth="1"/>
    <col min="5" max="5" width="7.28515625" bestFit="1" customWidth="1"/>
    <col min="6" max="6" width="3.42578125" bestFit="1" customWidth="1"/>
    <col min="7" max="7" width="7" bestFit="1" customWidth="1"/>
    <col min="8" max="8" width="1.28515625" customWidth="1"/>
    <col min="9" max="9" width="7" bestFit="1" customWidth="1"/>
    <col min="10" max="10" width="5.5703125" bestFit="1" customWidth="1"/>
    <col min="11" max="11" width="5" bestFit="1" customWidth="1"/>
    <col min="12" max="12" width="5.7109375" customWidth="1"/>
    <col min="13" max="13" width="4.28515625" customWidth="1"/>
    <col min="14" max="14" width="9.140625" bestFit="1" customWidth="1"/>
    <col min="15" max="15" width="7.7109375" customWidth="1"/>
    <col min="16" max="16" width="9" bestFit="1" customWidth="1"/>
    <col min="17" max="17" width="7" customWidth="1"/>
    <col min="18" max="18" width="7.7109375" bestFit="1" customWidth="1"/>
    <col min="19" max="20" width="7.7109375" customWidth="1"/>
    <col min="21" max="21" width="4.42578125" customWidth="1"/>
    <col min="22" max="22" width="8.42578125" bestFit="1" customWidth="1"/>
    <col min="23" max="23" width="4.42578125" customWidth="1"/>
    <col min="24" max="25" width="9" customWidth="1"/>
    <col min="26" max="26" width="6.42578125" customWidth="1"/>
    <col min="27" max="27" width="9.28515625" bestFit="1" customWidth="1"/>
    <col min="28" max="28" width="9" bestFit="1" customWidth="1"/>
    <col min="29" max="29" width="10" bestFit="1" customWidth="1"/>
    <col min="30" max="30" width="7.85546875" bestFit="1" customWidth="1"/>
    <col min="31" max="31" width="8.28515625" customWidth="1"/>
    <col min="32" max="32" width="8" customWidth="1"/>
    <col min="33" max="33" width="7.85546875" bestFit="1" customWidth="1"/>
    <col min="34" max="34" width="7" bestFit="1" customWidth="1"/>
    <col min="35" max="35" width="11.42578125" customWidth="1"/>
    <col min="36" max="36" width="13.42578125" bestFit="1" customWidth="1"/>
    <col min="37" max="37" width="3.7109375" customWidth="1"/>
    <col min="38" max="38" width="17.5703125" bestFit="1" customWidth="1"/>
    <col min="39" max="39" width="3.7109375" customWidth="1"/>
    <col min="40" max="40" width="17.85546875" bestFit="1" customWidth="1"/>
    <col min="41" max="41" width="3.7109375" customWidth="1"/>
    <col min="42" max="42" width="18.28515625" bestFit="1" customWidth="1"/>
    <col min="43" max="43" width="3.42578125" customWidth="1"/>
    <col min="44" max="44" width="13.42578125" bestFit="1" customWidth="1"/>
  </cols>
  <sheetData>
    <row r="1" spans="1:44">
      <c r="C1" t="s">
        <v>343</v>
      </c>
    </row>
    <row r="2" spans="1:44">
      <c r="C2" t="s">
        <v>26</v>
      </c>
      <c r="P2">
        <f>'Trucks 2183'!M2</f>
        <v>8</v>
      </c>
      <c r="Q2" t="s">
        <v>27</v>
      </c>
    </row>
    <row r="3" spans="1:44">
      <c r="C3">
        <f>'Summary 2183'!H7</f>
        <v>43585</v>
      </c>
      <c r="P3">
        <f>'Trucks 2183'!M3</f>
        <v>2018</v>
      </c>
      <c r="Q3" t="s">
        <v>28</v>
      </c>
      <c r="AE3" t="s">
        <v>29</v>
      </c>
      <c r="AF3" t="s">
        <v>30</v>
      </c>
    </row>
    <row r="4" spans="1:44">
      <c r="P4">
        <f>'Trucks 2183'!M4</f>
        <v>2019</v>
      </c>
      <c r="Q4" t="s">
        <v>31</v>
      </c>
      <c r="AE4" t="s">
        <v>32</v>
      </c>
      <c r="AF4" t="s">
        <v>33</v>
      </c>
    </row>
    <row r="5" spans="1:44">
      <c r="P5">
        <f>'Trucks 2183'!M5</f>
        <v>2019.6666666666667</v>
      </c>
      <c r="Q5" t="s">
        <v>34</v>
      </c>
      <c r="AE5" t="s">
        <v>35</v>
      </c>
      <c r="AF5" t="s">
        <v>36</v>
      </c>
      <c r="AJ5" s="117" t="s">
        <v>634</v>
      </c>
      <c r="AK5" s="117"/>
      <c r="AL5" s="117"/>
      <c r="AM5" s="117"/>
      <c r="AN5" s="117"/>
      <c r="AO5" s="117"/>
      <c r="AP5" s="117"/>
      <c r="AQ5" s="117"/>
      <c r="AR5" s="117"/>
    </row>
    <row r="6" spans="1:44">
      <c r="AE6" t="s">
        <v>37</v>
      </c>
      <c r="AF6" t="s">
        <v>38</v>
      </c>
      <c r="AJ6" s="117"/>
      <c r="AK6" s="117"/>
      <c r="AL6" s="117"/>
      <c r="AM6" s="117"/>
      <c r="AN6" s="117"/>
      <c r="AO6" s="117"/>
      <c r="AP6" s="117"/>
      <c r="AQ6" s="117"/>
      <c r="AR6" s="117"/>
    </row>
    <row r="7" spans="1:44">
      <c r="AE7" t="s">
        <v>39</v>
      </c>
      <c r="AF7" t="s">
        <v>40</v>
      </c>
    </row>
    <row r="8" spans="1:44">
      <c r="S8" t="s">
        <v>41</v>
      </c>
      <c r="V8" t="s">
        <v>42</v>
      </c>
      <c r="X8" t="s">
        <v>44</v>
      </c>
      <c r="Y8" t="s">
        <v>44</v>
      </c>
      <c r="AA8" t="s">
        <v>25</v>
      </c>
      <c r="AB8" t="s">
        <v>43</v>
      </c>
      <c r="AN8" t="s">
        <v>635</v>
      </c>
      <c r="AP8" t="s">
        <v>635</v>
      </c>
    </row>
    <row r="9" spans="1:44">
      <c r="B9" t="s">
        <v>45</v>
      </c>
      <c r="E9" t="s">
        <v>46</v>
      </c>
      <c r="G9" t="s">
        <v>47</v>
      </c>
      <c r="I9" t="s">
        <v>45</v>
      </c>
      <c r="K9" t="s">
        <v>48</v>
      </c>
      <c r="L9" t="s">
        <v>45</v>
      </c>
      <c r="N9" t="s">
        <v>45</v>
      </c>
      <c r="O9" t="s">
        <v>49</v>
      </c>
      <c r="P9" t="s">
        <v>45</v>
      </c>
      <c r="R9" t="s">
        <v>50</v>
      </c>
      <c r="S9" t="s">
        <v>48</v>
      </c>
      <c r="T9" t="s">
        <v>42</v>
      </c>
      <c r="U9" t="s">
        <v>51</v>
      </c>
      <c r="V9" t="s">
        <v>44</v>
      </c>
      <c r="X9" t="s">
        <v>52</v>
      </c>
      <c r="Y9" t="s">
        <v>52</v>
      </c>
      <c r="Z9" t="s">
        <v>53</v>
      </c>
      <c r="AA9" t="s">
        <v>54</v>
      </c>
      <c r="AB9" t="s">
        <v>54</v>
      </c>
      <c r="AC9" t="s">
        <v>55</v>
      </c>
      <c r="AJ9" t="s">
        <v>636</v>
      </c>
      <c r="AL9" t="s">
        <v>637</v>
      </c>
      <c r="AN9" t="s">
        <v>638</v>
      </c>
      <c r="AP9" t="s">
        <v>638</v>
      </c>
      <c r="AR9" t="s">
        <v>639</v>
      </c>
    </row>
    <row r="10" spans="1:44">
      <c r="C10" t="s">
        <v>56</v>
      </c>
      <c r="E10" t="s">
        <v>57</v>
      </c>
      <c r="G10" t="s">
        <v>58</v>
      </c>
      <c r="I10" t="s">
        <v>100</v>
      </c>
      <c r="J10" t="s">
        <v>59</v>
      </c>
      <c r="K10" t="s">
        <v>60</v>
      </c>
      <c r="L10" t="s">
        <v>49</v>
      </c>
      <c r="M10" t="s">
        <v>61</v>
      </c>
      <c r="N10" t="s">
        <v>49</v>
      </c>
      <c r="O10" t="s">
        <v>41</v>
      </c>
      <c r="P10" t="s">
        <v>62</v>
      </c>
      <c r="Q10" t="s">
        <v>63</v>
      </c>
      <c r="R10" t="s">
        <v>48</v>
      </c>
      <c r="S10" t="s">
        <v>64</v>
      </c>
      <c r="T10" t="s">
        <v>65</v>
      </c>
      <c r="U10" t="s">
        <v>66</v>
      </c>
      <c r="V10" t="s">
        <v>67</v>
      </c>
      <c r="X10" t="s">
        <v>62</v>
      </c>
      <c r="Y10" t="s">
        <v>62</v>
      </c>
      <c r="Z10" t="s">
        <v>66</v>
      </c>
      <c r="AA10" t="s">
        <v>68</v>
      </c>
      <c r="AB10" t="s">
        <v>68</v>
      </c>
      <c r="AC10" t="s">
        <v>6</v>
      </c>
      <c r="AD10" t="s">
        <v>29</v>
      </c>
      <c r="AE10" t="s">
        <v>69</v>
      </c>
      <c r="AF10" t="s">
        <v>70</v>
      </c>
      <c r="AG10" t="s">
        <v>37</v>
      </c>
      <c r="AH10" t="s">
        <v>39</v>
      </c>
      <c r="AJ10" t="s">
        <v>640</v>
      </c>
      <c r="AL10" t="s">
        <v>641</v>
      </c>
      <c r="AN10" t="s">
        <v>642</v>
      </c>
      <c r="AP10" t="s">
        <v>643</v>
      </c>
      <c r="AR10" t="s">
        <v>6</v>
      </c>
    </row>
    <row r="11" spans="1:44">
      <c r="A11" t="s">
        <v>71</v>
      </c>
      <c r="B11" t="s">
        <v>72</v>
      </c>
      <c r="C11" t="s">
        <v>73</v>
      </c>
      <c r="D11" t="s">
        <v>433</v>
      </c>
      <c r="E11" t="s">
        <v>48</v>
      </c>
      <c r="F11" t="s">
        <v>74</v>
      </c>
      <c r="G11" t="s">
        <v>51</v>
      </c>
      <c r="H11" t="s">
        <v>99</v>
      </c>
      <c r="I11" t="s">
        <v>75</v>
      </c>
      <c r="J11" t="s">
        <v>76</v>
      </c>
      <c r="K11" t="s">
        <v>62</v>
      </c>
      <c r="L11" t="s">
        <v>173</v>
      </c>
      <c r="M11" t="s">
        <v>99</v>
      </c>
      <c r="N11" t="s">
        <v>173</v>
      </c>
      <c r="O11" t="s">
        <v>99</v>
      </c>
      <c r="P11" t="s">
        <v>173</v>
      </c>
      <c r="Q11" t="s">
        <v>62</v>
      </c>
      <c r="R11" t="s">
        <v>62</v>
      </c>
      <c r="S11" t="s">
        <v>99</v>
      </c>
      <c r="T11" t="s">
        <v>77</v>
      </c>
      <c r="U11" t="s">
        <v>99</v>
      </c>
      <c r="V11" t="s">
        <v>68</v>
      </c>
      <c r="X11">
        <f>'Summary 2183'!F7</f>
        <v>43221</v>
      </c>
      <c r="Y11">
        <f>+C3</f>
        <v>43585</v>
      </c>
      <c r="Z11" t="s">
        <v>51</v>
      </c>
      <c r="AA11">
        <f>+X11</f>
        <v>43221</v>
      </c>
      <c r="AB11">
        <f>+C3</f>
        <v>43585</v>
      </c>
      <c r="AC11">
        <f>AB11</f>
        <v>43585</v>
      </c>
    </row>
    <row r="12" spans="1:44">
      <c r="C12" t="s">
        <v>17</v>
      </c>
      <c r="E12">
        <v>2000</v>
      </c>
      <c r="F12">
        <v>7</v>
      </c>
      <c r="G12">
        <v>0</v>
      </c>
      <c r="I12" t="s">
        <v>78</v>
      </c>
      <c r="J12" t="s">
        <v>10</v>
      </c>
      <c r="K12">
        <f t="shared" ref="K12:K20" si="0">E12+J12</f>
        <v>2039</v>
      </c>
      <c r="N12">
        <v>157653.60999999999</v>
      </c>
      <c r="O12">
        <v>0</v>
      </c>
      <c r="P12">
        <f t="shared" ref="P12:P20" si="1">N12-N12*G12</f>
        <v>157653.60999999999</v>
      </c>
      <c r="Q12">
        <f t="shared" ref="Q12:Q20" si="2">P12/J12/12</f>
        <v>336.86668803418803</v>
      </c>
      <c r="R12">
        <f t="shared" ref="R12:R20" si="3">IF(O12&gt;0,0,IF(OR(AD12&gt;AE12,AF12&lt;AG12),0,IF(AND(AF12&gt;=AG12,AF12&lt;=AE12),Q12*((AF12-AG12)*12),IF(AND(AG12&lt;=AD12,AE12&gt;=AD12),((AE12-AD12)*12)*Q12,IF(AF12&gt;AE12,12*Q12,0)))))</f>
        <v>0</v>
      </c>
      <c r="S12">
        <f t="shared" ref="S12:S20" si="4">IF(O12=0,0,IF(AND(AH12&gt;=AG12,AH12&lt;=AF12),((AH12-AG12)*12)*Q12,0))</f>
        <v>0</v>
      </c>
      <c r="T12">
        <f t="shared" ref="T12:T20" si="5">IF(S12&gt;0,S12,R12)</f>
        <v>0</v>
      </c>
      <c r="U12">
        <v>1</v>
      </c>
      <c r="V12">
        <f t="shared" ref="V12:V20" si="6">U12*SUM(R12:S12)</f>
        <v>0</v>
      </c>
      <c r="X12">
        <f t="shared" ref="X12:X20" si="7">IF(AD12&gt;AE12,0,IF(AF12&lt;AG12,P12,IF(AND(AF12&gt;=AG12,AF12&lt;=AE12),(P12-T12),IF(AND(AG12&lt;=AD12,AE12&gt;=AD12),0,IF(AF12&gt;AE12,((AG12-AD12)*12)*Q12,0)))))</f>
        <v>157653.60999999999</v>
      </c>
      <c r="Y12">
        <f t="shared" ref="Y12:Y20" si="8">X12*U12</f>
        <v>157653.60999999999</v>
      </c>
      <c r="Z12">
        <v>1</v>
      </c>
      <c r="AA12">
        <f t="shared" ref="AA12:AA20" si="9">Y12*Z12</f>
        <v>157653.60999999999</v>
      </c>
      <c r="AB12">
        <f t="shared" ref="AB12:AB20" si="10">IF(O12&gt;0,0,AA12+V12*Z12)*Z12</f>
        <v>157653.60999999999</v>
      </c>
      <c r="AC12">
        <f t="shared" ref="AC12:AC20" si="11">IF(O12&gt;0,(N12-AA12)/2,IF(AD12&gt;=AG12,(((N12*U12)*Z12)-AB12)/2,((((N12*U12)*Z12)-AA12)+(((N12*U12)*Z12)-AB12))/2))</f>
        <v>0</v>
      </c>
      <c r="AD12">
        <f t="shared" ref="AD12:AD20" si="12">$E12+(($F12-1)/12)</f>
        <v>2000.5</v>
      </c>
      <c r="AE12">
        <f t="shared" ref="AE12:AE20" si="13">($P$5+1)-($P$2/12)</f>
        <v>2020</v>
      </c>
      <c r="AF12">
        <f t="shared" ref="AF12:AF20" si="14">$K12+(($F12-1)/12)</f>
        <v>2039.5</v>
      </c>
      <c r="AG12">
        <f t="shared" ref="AG12:AG20" si="15">$P$4+($P$3/12)</f>
        <v>2187.1666666666665</v>
      </c>
      <c r="AH12">
        <f t="shared" ref="AH12:AH20" si="16">$L12+(($M12-1)/12)</f>
        <v>-8.3333333333333329E-2</v>
      </c>
      <c r="AJ12">
        <f>+IF((AF12-AG12)&gt;3,((N12-P12)/(AF12-AG12)),(N12-P12)/3)</f>
        <v>0</v>
      </c>
      <c r="AL12">
        <f>+AJ12+V12</f>
        <v>0</v>
      </c>
      <c r="AN12">
        <f>+IF(AF12&lt;AG12,-AC12,0)</f>
        <v>0</v>
      </c>
      <c r="AP12">
        <f>IF(AF12&gt;AG12,IF(AJ12&gt;0,IF(O12&gt;0,(N12-AA12)/2,IF(AD12&gt;=AG12,(((N12*U12)*Z12)-(AB12+AJ12))/2,((((N12*U12)*Z12)-AA12)+(((N12*U12)*Z12)-(AB12+AJ12)))/2)),0),0)</f>
        <v>0</v>
      </c>
      <c r="AR12">
        <f>+AC12+AN12+(IF(AP12&gt;0,(AP12-AC12),0))</f>
        <v>0</v>
      </c>
    </row>
    <row r="13" spans="1:44">
      <c r="C13" t="s">
        <v>18</v>
      </c>
      <c r="E13">
        <v>2000</v>
      </c>
      <c r="F13">
        <v>7</v>
      </c>
      <c r="G13">
        <v>0</v>
      </c>
      <c r="I13" t="s">
        <v>78</v>
      </c>
      <c r="J13" t="s">
        <v>10</v>
      </c>
      <c r="K13">
        <f t="shared" si="0"/>
        <v>2039</v>
      </c>
      <c r="N13">
        <v>749055.76</v>
      </c>
      <c r="O13">
        <v>0</v>
      </c>
      <c r="P13">
        <f t="shared" si="1"/>
        <v>749055.76</v>
      </c>
      <c r="Q13">
        <f t="shared" si="2"/>
        <v>1600.5464957264958</v>
      </c>
      <c r="R13">
        <f t="shared" si="3"/>
        <v>0</v>
      </c>
      <c r="S13">
        <f t="shared" si="4"/>
        <v>0</v>
      </c>
      <c r="T13">
        <f t="shared" si="5"/>
        <v>0</v>
      </c>
      <c r="U13">
        <v>1</v>
      </c>
      <c r="V13">
        <f t="shared" si="6"/>
        <v>0</v>
      </c>
      <c r="X13">
        <f t="shared" si="7"/>
        <v>749055.76</v>
      </c>
      <c r="Y13">
        <f t="shared" si="8"/>
        <v>749055.76</v>
      </c>
      <c r="Z13">
        <v>1</v>
      </c>
      <c r="AA13">
        <f t="shared" si="9"/>
        <v>749055.76</v>
      </c>
      <c r="AB13">
        <f t="shared" si="10"/>
        <v>749055.76</v>
      </c>
      <c r="AC13">
        <f t="shared" si="11"/>
        <v>0</v>
      </c>
      <c r="AD13">
        <f t="shared" si="12"/>
        <v>2000.5</v>
      </c>
      <c r="AE13">
        <f t="shared" si="13"/>
        <v>2020</v>
      </c>
      <c r="AF13">
        <f t="shared" si="14"/>
        <v>2039.5</v>
      </c>
      <c r="AG13">
        <f t="shared" si="15"/>
        <v>2187.1666666666665</v>
      </c>
      <c r="AH13">
        <f t="shared" si="16"/>
        <v>-8.3333333333333329E-2</v>
      </c>
      <c r="AJ13">
        <f t="shared" ref="AJ13:AJ20" si="17">+IF((AF13-AG13)&gt;3,((N13-P13)/(AF13-AG13)),(N13-P13)/3)</f>
        <v>0</v>
      </c>
      <c r="AL13">
        <f t="shared" ref="AL13:AL20" si="18">+AJ13+V13</f>
        <v>0</v>
      </c>
      <c r="AN13">
        <f t="shared" ref="AN13:AN20" si="19">+IF(AF13&lt;AG13,-AC13,0)</f>
        <v>0</v>
      </c>
      <c r="AP13">
        <f t="shared" ref="AP13:AP20" si="20">IF(AF13&gt;AG13,IF(AJ13&gt;0,IF(O13&gt;0,(N13-AA13)/2,IF(AD13&gt;=AG13,(((N13*U13)*Z13)-(AB13+AJ13))/2,((((N13*U13)*Z13)-AA13)+(((N13*U13)*Z13)-(AB13+AJ13)))/2)),0),0)</f>
        <v>0</v>
      </c>
      <c r="AR13">
        <f t="shared" ref="AR13:AR20" si="21">+AC13+AN13+(IF(AP13&gt;0,(AP13-AC13),0))</f>
        <v>0</v>
      </c>
    </row>
    <row r="14" spans="1:44">
      <c r="C14" t="s">
        <v>19</v>
      </c>
      <c r="E14">
        <v>2000</v>
      </c>
      <c r="F14">
        <v>7</v>
      </c>
      <c r="G14">
        <v>0</v>
      </c>
      <c r="I14" t="s">
        <v>78</v>
      </c>
      <c r="J14" t="s">
        <v>10</v>
      </c>
      <c r="K14">
        <f t="shared" si="0"/>
        <v>2039</v>
      </c>
      <c r="N14">
        <v>1278030.99</v>
      </c>
      <c r="O14">
        <v>0</v>
      </c>
      <c r="P14">
        <f t="shared" si="1"/>
        <v>1278030.99</v>
      </c>
      <c r="Q14">
        <f t="shared" si="2"/>
        <v>2730.835448717949</v>
      </c>
      <c r="R14">
        <f t="shared" si="3"/>
        <v>0</v>
      </c>
      <c r="S14">
        <f t="shared" si="4"/>
        <v>0</v>
      </c>
      <c r="T14">
        <f t="shared" si="5"/>
        <v>0</v>
      </c>
      <c r="U14">
        <v>1</v>
      </c>
      <c r="V14">
        <f t="shared" si="6"/>
        <v>0</v>
      </c>
      <c r="X14">
        <f t="shared" si="7"/>
        <v>1278030.99</v>
      </c>
      <c r="Y14">
        <f t="shared" si="8"/>
        <v>1278030.99</v>
      </c>
      <c r="Z14">
        <v>1</v>
      </c>
      <c r="AA14">
        <f t="shared" si="9"/>
        <v>1278030.99</v>
      </c>
      <c r="AB14">
        <f t="shared" si="10"/>
        <v>1278030.99</v>
      </c>
      <c r="AC14">
        <f t="shared" si="11"/>
        <v>0</v>
      </c>
      <c r="AD14">
        <f t="shared" si="12"/>
        <v>2000.5</v>
      </c>
      <c r="AE14">
        <f t="shared" si="13"/>
        <v>2020</v>
      </c>
      <c r="AF14">
        <f t="shared" si="14"/>
        <v>2039.5</v>
      </c>
      <c r="AG14">
        <f t="shared" si="15"/>
        <v>2187.1666666666665</v>
      </c>
      <c r="AH14">
        <f t="shared" si="16"/>
        <v>-8.3333333333333329E-2</v>
      </c>
      <c r="AJ14">
        <f t="shared" si="17"/>
        <v>0</v>
      </c>
      <c r="AL14">
        <f t="shared" si="18"/>
        <v>0</v>
      </c>
      <c r="AN14">
        <f t="shared" si="19"/>
        <v>0</v>
      </c>
      <c r="AP14">
        <f t="shared" si="20"/>
        <v>0</v>
      </c>
      <c r="AR14">
        <f t="shared" si="21"/>
        <v>0</v>
      </c>
    </row>
    <row r="15" spans="1:44">
      <c r="C15" t="s">
        <v>349</v>
      </c>
      <c r="E15">
        <v>2001</v>
      </c>
      <c r="F15">
        <v>1</v>
      </c>
      <c r="G15">
        <v>0</v>
      </c>
      <c r="I15" t="s">
        <v>78</v>
      </c>
      <c r="J15" t="s">
        <v>10</v>
      </c>
      <c r="K15">
        <f t="shared" si="0"/>
        <v>2040</v>
      </c>
      <c r="N15">
        <v>26815.63</v>
      </c>
      <c r="O15">
        <v>0</v>
      </c>
      <c r="P15">
        <f t="shared" si="1"/>
        <v>26815.63</v>
      </c>
      <c r="Q15">
        <f t="shared" si="2"/>
        <v>57.298354700854702</v>
      </c>
      <c r="R15">
        <f t="shared" si="3"/>
        <v>0</v>
      </c>
      <c r="S15">
        <f t="shared" si="4"/>
        <v>0</v>
      </c>
      <c r="T15">
        <f t="shared" si="5"/>
        <v>0</v>
      </c>
      <c r="U15">
        <v>1</v>
      </c>
      <c r="V15">
        <f t="shared" si="6"/>
        <v>0</v>
      </c>
      <c r="X15">
        <f t="shared" si="7"/>
        <v>26815.63</v>
      </c>
      <c r="Y15">
        <f t="shared" si="8"/>
        <v>26815.63</v>
      </c>
      <c r="Z15">
        <v>1</v>
      </c>
      <c r="AA15">
        <f t="shared" si="9"/>
        <v>26815.63</v>
      </c>
      <c r="AB15">
        <f t="shared" si="10"/>
        <v>26815.63</v>
      </c>
      <c r="AC15">
        <f t="shared" si="11"/>
        <v>0</v>
      </c>
      <c r="AD15">
        <f t="shared" si="12"/>
        <v>2001</v>
      </c>
      <c r="AE15">
        <f t="shared" si="13"/>
        <v>2020</v>
      </c>
      <c r="AF15">
        <f t="shared" si="14"/>
        <v>2040</v>
      </c>
      <c r="AG15">
        <f t="shared" si="15"/>
        <v>2187.1666666666665</v>
      </c>
      <c r="AH15">
        <f t="shared" si="16"/>
        <v>-8.3333333333333329E-2</v>
      </c>
      <c r="AJ15">
        <f t="shared" si="17"/>
        <v>0</v>
      </c>
      <c r="AL15">
        <f t="shared" si="18"/>
        <v>0</v>
      </c>
      <c r="AN15">
        <f t="shared" si="19"/>
        <v>0</v>
      </c>
      <c r="AP15">
        <f t="shared" si="20"/>
        <v>0</v>
      </c>
      <c r="AR15">
        <f t="shared" si="21"/>
        <v>0</v>
      </c>
    </row>
    <row r="16" spans="1:44">
      <c r="C16" t="s">
        <v>14</v>
      </c>
      <c r="E16">
        <v>2004</v>
      </c>
      <c r="F16">
        <v>7</v>
      </c>
      <c r="G16">
        <v>0</v>
      </c>
      <c r="I16" t="s">
        <v>78</v>
      </c>
      <c r="J16" t="s">
        <v>102</v>
      </c>
      <c r="K16">
        <f t="shared" si="0"/>
        <v>2019</v>
      </c>
      <c r="N16">
        <v>4936.42</v>
      </c>
      <c r="O16">
        <v>0</v>
      </c>
      <c r="P16">
        <f t="shared" si="1"/>
        <v>4936.42</v>
      </c>
      <c r="Q16">
        <f t="shared" si="2"/>
        <v>27.424555555555557</v>
      </c>
      <c r="R16">
        <f t="shared" si="3"/>
        <v>0</v>
      </c>
      <c r="S16">
        <f t="shared" si="4"/>
        <v>0</v>
      </c>
      <c r="T16">
        <f t="shared" si="5"/>
        <v>0</v>
      </c>
      <c r="U16">
        <v>1</v>
      </c>
      <c r="V16">
        <f t="shared" si="6"/>
        <v>0</v>
      </c>
      <c r="X16">
        <f t="shared" si="7"/>
        <v>4936.42</v>
      </c>
      <c r="Y16">
        <f t="shared" si="8"/>
        <v>4936.42</v>
      </c>
      <c r="Z16">
        <v>1</v>
      </c>
      <c r="AA16">
        <f t="shared" si="9"/>
        <v>4936.42</v>
      </c>
      <c r="AB16">
        <f t="shared" si="10"/>
        <v>4936.42</v>
      </c>
      <c r="AC16">
        <f t="shared" si="11"/>
        <v>0</v>
      </c>
      <c r="AD16">
        <f t="shared" si="12"/>
        <v>2004.5</v>
      </c>
      <c r="AE16">
        <f t="shared" si="13"/>
        <v>2020</v>
      </c>
      <c r="AF16">
        <f t="shared" si="14"/>
        <v>2019.5</v>
      </c>
      <c r="AG16">
        <f t="shared" si="15"/>
        <v>2187.1666666666665</v>
      </c>
      <c r="AH16">
        <f t="shared" si="16"/>
        <v>-8.3333333333333329E-2</v>
      </c>
      <c r="AJ16">
        <f t="shared" si="17"/>
        <v>0</v>
      </c>
      <c r="AL16">
        <f t="shared" si="18"/>
        <v>0</v>
      </c>
      <c r="AN16">
        <f t="shared" si="19"/>
        <v>0</v>
      </c>
      <c r="AP16">
        <f t="shared" si="20"/>
        <v>0</v>
      </c>
      <c r="AR16">
        <f t="shared" si="21"/>
        <v>0</v>
      </c>
    </row>
    <row r="17" spans="3:44">
      <c r="C17" t="s">
        <v>344</v>
      </c>
      <c r="E17">
        <v>2006</v>
      </c>
      <c r="F17">
        <v>8</v>
      </c>
      <c r="G17">
        <v>0</v>
      </c>
      <c r="I17" t="s">
        <v>78</v>
      </c>
      <c r="J17" t="s">
        <v>10</v>
      </c>
      <c r="K17">
        <f t="shared" si="0"/>
        <v>2045</v>
      </c>
      <c r="N17">
        <v>32833.279999999999</v>
      </c>
      <c r="O17">
        <v>0</v>
      </c>
      <c r="P17">
        <f t="shared" si="1"/>
        <v>32833.279999999999</v>
      </c>
      <c r="Q17">
        <f t="shared" si="2"/>
        <v>70.1565811965812</v>
      </c>
      <c r="R17">
        <f t="shared" si="3"/>
        <v>0</v>
      </c>
      <c r="S17">
        <f t="shared" si="4"/>
        <v>0</v>
      </c>
      <c r="T17">
        <f t="shared" si="5"/>
        <v>0</v>
      </c>
      <c r="U17">
        <v>1</v>
      </c>
      <c r="V17">
        <f t="shared" si="6"/>
        <v>0</v>
      </c>
      <c r="X17">
        <f t="shared" si="7"/>
        <v>32833.279999999999</v>
      </c>
      <c r="Y17">
        <f t="shared" si="8"/>
        <v>32833.279999999999</v>
      </c>
      <c r="Z17">
        <v>1</v>
      </c>
      <c r="AA17">
        <f t="shared" si="9"/>
        <v>32833.279999999999</v>
      </c>
      <c r="AB17">
        <f t="shared" si="10"/>
        <v>32833.279999999999</v>
      </c>
      <c r="AC17">
        <f t="shared" si="11"/>
        <v>0</v>
      </c>
      <c r="AD17">
        <f t="shared" si="12"/>
        <v>2006.5833333333333</v>
      </c>
      <c r="AE17">
        <f t="shared" si="13"/>
        <v>2020</v>
      </c>
      <c r="AF17">
        <f t="shared" si="14"/>
        <v>2045.5833333333333</v>
      </c>
      <c r="AG17">
        <f t="shared" si="15"/>
        <v>2187.1666666666665</v>
      </c>
      <c r="AH17">
        <f t="shared" si="16"/>
        <v>-8.3333333333333329E-2</v>
      </c>
      <c r="AJ17">
        <f t="shared" si="17"/>
        <v>0</v>
      </c>
      <c r="AL17">
        <f t="shared" si="18"/>
        <v>0</v>
      </c>
      <c r="AN17">
        <f t="shared" si="19"/>
        <v>0</v>
      </c>
      <c r="AP17">
        <f t="shared" si="20"/>
        <v>0</v>
      </c>
      <c r="AR17">
        <f t="shared" si="21"/>
        <v>0</v>
      </c>
    </row>
    <row r="18" spans="3:44">
      <c r="C18" t="s">
        <v>301</v>
      </c>
      <c r="E18">
        <v>2006</v>
      </c>
      <c r="F18">
        <v>4</v>
      </c>
      <c r="G18">
        <v>0</v>
      </c>
      <c r="I18" t="s">
        <v>78</v>
      </c>
      <c r="J18" t="s">
        <v>10</v>
      </c>
      <c r="K18">
        <f t="shared" si="0"/>
        <v>2045</v>
      </c>
      <c r="N18">
        <v>8226.42</v>
      </c>
      <c r="O18">
        <v>0</v>
      </c>
      <c r="P18">
        <f t="shared" si="1"/>
        <v>8226.42</v>
      </c>
      <c r="Q18">
        <f t="shared" si="2"/>
        <v>17.577820512820512</v>
      </c>
      <c r="R18">
        <f t="shared" si="3"/>
        <v>0</v>
      </c>
      <c r="S18">
        <f t="shared" si="4"/>
        <v>0</v>
      </c>
      <c r="T18">
        <f t="shared" si="5"/>
        <v>0</v>
      </c>
      <c r="U18">
        <v>1</v>
      </c>
      <c r="V18">
        <f t="shared" si="6"/>
        <v>0</v>
      </c>
      <c r="X18">
        <f t="shared" si="7"/>
        <v>8226.42</v>
      </c>
      <c r="Y18">
        <f t="shared" si="8"/>
        <v>8226.42</v>
      </c>
      <c r="Z18">
        <v>1</v>
      </c>
      <c r="AA18">
        <f t="shared" si="9"/>
        <v>8226.42</v>
      </c>
      <c r="AB18">
        <f t="shared" si="10"/>
        <v>8226.42</v>
      </c>
      <c r="AC18">
        <f t="shared" si="11"/>
        <v>0</v>
      </c>
      <c r="AD18">
        <f t="shared" si="12"/>
        <v>2006.25</v>
      </c>
      <c r="AE18">
        <f t="shared" si="13"/>
        <v>2020</v>
      </c>
      <c r="AF18">
        <f t="shared" si="14"/>
        <v>2045.25</v>
      </c>
      <c r="AG18">
        <f t="shared" si="15"/>
        <v>2187.1666666666665</v>
      </c>
      <c r="AH18">
        <f t="shared" si="16"/>
        <v>-8.3333333333333329E-2</v>
      </c>
      <c r="AJ18">
        <f t="shared" si="17"/>
        <v>0</v>
      </c>
      <c r="AL18">
        <f t="shared" si="18"/>
        <v>0</v>
      </c>
      <c r="AN18">
        <f t="shared" si="19"/>
        <v>0</v>
      </c>
      <c r="AP18">
        <f t="shared" si="20"/>
        <v>0</v>
      </c>
      <c r="AR18">
        <f t="shared" si="21"/>
        <v>0</v>
      </c>
    </row>
    <row r="19" spans="3:44">
      <c r="C19" t="s">
        <v>15</v>
      </c>
      <c r="E19">
        <v>2006</v>
      </c>
      <c r="F19">
        <v>1</v>
      </c>
      <c r="G19">
        <v>0</v>
      </c>
      <c r="I19" t="s">
        <v>78</v>
      </c>
      <c r="J19" t="s">
        <v>10</v>
      </c>
      <c r="K19">
        <f t="shared" si="0"/>
        <v>2045</v>
      </c>
      <c r="N19">
        <v>16082.22</v>
      </c>
      <c r="O19">
        <v>0</v>
      </c>
      <c r="P19">
        <f t="shared" si="1"/>
        <v>16082.22</v>
      </c>
      <c r="Q19">
        <f t="shared" si="2"/>
        <v>34.363717948717948</v>
      </c>
      <c r="R19">
        <f t="shared" si="3"/>
        <v>0</v>
      </c>
      <c r="S19">
        <f t="shared" si="4"/>
        <v>0</v>
      </c>
      <c r="T19">
        <f t="shared" si="5"/>
        <v>0</v>
      </c>
      <c r="U19">
        <v>1</v>
      </c>
      <c r="V19">
        <f t="shared" si="6"/>
        <v>0</v>
      </c>
      <c r="X19">
        <f t="shared" si="7"/>
        <v>16082.22</v>
      </c>
      <c r="Y19">
        <f t="shared" si="8"/>
        <v>16082.22</v>
      </c>
      <c r="Z19">
        <v>1</v>
      </c>
      <c r="AA19">
        <f t="shared" si="9"/>
        <v>16082.22</v>
      </c>
      <c r="AB19">
        <f t="shared" si="10"/>
        <v>16082.22</v>
      </c>
      <c r="AC19">
        <f t="shared" si="11"/>
        <v>0</v>
      </c>
      <c r="AD19">
        <f t="shared" si="12"/>
        <v>2006</v>
      </c>
      <c r="AE19">
        <f t="shared" si="13"/>
        <v>2020</v>
      </c>
      <c r="AF19">
        <f t="shared" si="14"/>
        <v>2045</v>
      </c>
      <c r="AG19">
        <f t="shared" si="15"/>
        <v>2187.1666666666665</v>
      </c>
      <c r="AH19">
        <f t="shared" si="16"/>
        <v>-8.3333333333333329E-2</v>
      </c>
      <c r="AJ19">
        <f t="shared" si="17"/>
        <v>0</v>
      </c>
      <c r="AL19">
        <f t="shared" si="18"/>
        <v>0</v>
      </c>
      <c r="AN19">
        <f t="shared" si="19"/>
        <v>0</v>
      </c>
      <c r="AP19">
        <f t="shared" si="20"/>
        <v>0</v>
      </c>
      <c r="AR19">
        <f t="shared" si="21"/>
        <v>0</v>
      </c>
    </row>
    <row r="20" spans="3:44">
      <c r="C20" t="s">
        <v>110</v>
      </c>
      <c r="E20">
        <v>2007</v>
      </c>
      <c r="F20">
        <v>5</v>
      </c>
      <c r="G20">
        <v>0</v>
      </c>
      <c r="I20" t="s">
        <v>78</v>
      </c>
      <c r="J20" t="s">
        <v>102</v>
      </c>
      <c r="K20">
        <f t="shared" si="0"/>
        <v>2022</v>
      </c>
      <c r="N20">
        <v>6504</v>
      </c>
      <c r="O20">
        <v>0</v>
      </c>
      <c r="P20">
        <f t="shared" si="1"/>
        <v>6504</v>
      </c>
      <c r="Q20">
        <f t="shared" si="2"/>
        <v>36.133333333333333</v>
      </c>
      <c r="R20">
        <f t="shared" si="3"/>
        <v>0</v>
      </c>
      <c r="S20">
        <f t="shared" si="4"/>
        <v>0</v>
      </c>
      <c r="T20">
        <f t="shared" si="5"/>
        <v>0</v>
      </c>
      <c r="U20">
        <v>1</v>
      </c>
      <c r="V20">
        <f t="shared" si="6"/>
        <v>0</v>
      </c>
      <c r="X20">
        <f t="shared" si="7"/>
        <v>6504</v>
      </c>
      <c r="Y20">
        <f t="shared" si="8"/>
        <v>6504</v>
      </c>
      <c r="Z20">
        <v>1</v>
      </c>
      <c r="AA20">
        <f t="shared" si="9"/>
        <v>6504</v>
      </c>
      <c r="AB20">
        <f t="shared" si="10"/>
        <v>6504</v>
      </c>
      <c r="AC20">
        <f t="shared" si="11"/>
        <v>0</v>
      </c>
      <c r="AD20">
        <f t="shared" si="12"/>
        <v>2007.3333333333333</v>
      </c>
      <c r="AE20">
        <f t="shared" si="13"/>
        <v>2020</v>
      </c>
      <c r="AF20">
        <f t="shared" si="14"/>
        <v>2022.3333333333333</v>
      </c>
      <c r="AG20">
        <f t="shared" si="15"/>
        <v>2187.1666666666665</v>
      </c>
      <c r="AH20">
        <f t="shared" si="16"/>
        <v>-8.3333333333333329E-2</v>
      </c>
      <c r="AJ20">
        <f t="shared" si="17"/>
        <v>0</v>
      </c>
      <c r="AL20">
        <f t="shared" si="18"/>
        <v>0</v>
      </c>
      <c r="AN20">
        <f t="shared" si="19"/>
        <v>0</v>
      </c>
      <c r="AP20">
        <f t="shared" si="20"/>
        <v>0</v>
      </c>
      <c r="AR20">
        <f t="shared" si="21"/>
        <v>0</v>
      </c>
    </row>
    <row r="21" spans="3:44">
      <c r="C21" t="s">
        <v>316</v>
      </c>
    </row>
    <row r="22" spans="3:44">
      <c r="C22" t="s">
        <v>79</v>
      </c>
      <c r="M22">
        <f>SUM(M21:M21)</f>
        <v>0</v>
      </c>
      <c r="N22">
        <f>SUM(N12:N20)</f>
        <v>2280138.3299999996</v>
      </c>
      <c r="O22">
        <f>SUM(O21:O21)</f>
        <v>0</v>
      </c>
      <c r="P22">
        <f>SUM(P12:P20)</f>
        <v>2280138.3299999996</v>
      </c>
      <c r="Q22">
        <f>SUM(Q12:Q20)</f>
        <v>4911.2029957264958</v>
      </c>
      <c r="R22">
        <f>SUM(R12:R20)</f>
        <v>0</v>
      </c>
      <c r="S22">
        <f>SUM(S21:S21)</f>
        <v>0</v>
      </c>
      <c r="T22">
        <f>SUM(T21:T21)</f>
        <v>0</v>
      </c>
      <c r="U22">
        <f>SUM(U21:U21)</f>
        <v>0</v>
      </c>
      <c r="V22">
        <f>SUM(V12:V20)</f>
        <v>0</v>
      </c>
      <c r="W22">
        <f>SUM(W21:W21)</f>
        <v>0</v>
      </c>
      <c r="X22">
        <f>SUM(X12:X20)</f>
        <v>2280138.3299999996</v>
      </c>
      <c r="Y22">
        <f>SUM(Y12:Y20)</f>
        <v>2280138.3299999996</v>
      </c>
      <c r="Z22">
        <f>SUM(Z21:Z21)</f>
        <v>0</v>
      </c>
      <c r="AA22">
        <f>SUM(AA12:AA20)</f>
        <v>2280138.3299999996</v>
      </c>
      <c r="AB22">
        <f>SUM(AB12:AB20)</f>
        <v>2280138.3299999996</v>
      </c>
      <c r="AC22">
        <f>SUM(AC12:AC20)</f>
        <v>0</v>
      </c>
      <c r="AJ22">
        <f t="shared" ref="AJ22:AR22" si="22">SUM(AJ12:AJ20)</f>
        <v>0</v>
      </c>
      <c r="AK22">
        <f t="shared" si="22"/>
        <v>0</v>
      </c>
      <c r="AL22">
        <f t="shared" si="22"/>
        <v>0</v>
      </c>
      <c r="AM22">
        <f t="shared" si="22"/>
        <v>0</v>
      </c>
      <c r="AN22">
        <f t="shared" si="22"/>
        <v>0</v>
      </c>
      <c r="AO22">
        <f t="shared" si="22"/>
        <v>0</v>
      </c>
      <c r="AP22">
        <f t="shared" si="22"/>
        <v>0</v>
      </c>
      <c r="AQ22">
        <f t="shared" si="22"/>
        <v>0</v>
      </c>
      <c r="AR22">
        <f t="shared" si="22"/>
        <v>0</v>
      </c>
    </row>
    <row r="23" spans="3:44">
      <c r="C23" t="s">
        <v>316</v>
      </c>
    </row>
    <row r="24" spans="3:44">
      <c r="C24" t="s">
        <v>316</v>
      </c>
    </row>
    <row r="25" spans="3:44">
      <c r="C25" t="s">
        <v>264</v>
      </c>
    </row>
    <row r="26" spans="3:44">
      <c r="C26" t="s">
        <v>316</v>
      </c>
    </row>
    <row r="27" spans="3:44">
      <c r="C27" t="s">
        <v>347</v>
      </c>
      <c r="E27">
        <v>1982</v>
      </c>
      <c r="F27">
        <v>4</v>
      </c>
      <c r="G27">
        <v>0</v>
      </c>
      <c r="I27" t="s">
        <v>78</v>
      </c>
      <c r="J27" t="s">
        <v>176</v>
      </c>
      <c r="K27">
        <f t="shared" ref="K27:K45" si="23">E27+J27</f>
        <v>2032</v>
      </c>
      <c r="N27">
        <v>3500</v>
      </c>
      <c r="O27">
        <v>0</v>
      </c>
      <c r="P27">
        <f t="shared" ref="P27:P45" si="24">N27-N27*G27</f>
        <v>3500</v>
      </c>
      <c r="Q27">
        <f t="shared" ref="Q27:Q45" si="25">P27/J27/12</f>
        <v>5.833333333333333</v>
      </c>
      <c r="R27">
        <f t="shared" ref="R27:R44" si="26">IF(O27&gt;0,0,IF(OR(AD27&gt;AE27,AF27&lt;AG27),0,IF(AND(AF27&gt;=AG27,AF27&lt;=AE27),Q27*((AF27-AG27)*12),IF(AND(AG27&lt;=AD27,AE27&gt;=AD27),((AE27-AD27)*12)*Q27,IF(AF27&gt;AE27,12*Q27,0)))))</f>
        <v>0</v>
      </c>
      <c r="S27">
        <f t="shared" ref="S27:S44" si="27">IF(O27=0,0,IF(AND(AH27&gt;=AG27,AH27&lt;=AF27),((AH27-AG27)*12)*Q27,0))</f>
        <v>0</v>
      </c>
      <c r="T27">
        <f t="shared" ref="T27:T44" si="28">IF(S27&gt;0,S27,R27)</f>
        <v>0</v>
      </c>
      <c r="U27">
        <v>1</v>
      </c>
      <c r="V27">
        <f t="shared" ref="V27:V44" si="29">U27*SUM(R27:S27)</f>
        <v>0</v>
      </c>
      <c r="X27">
        <f t="shared" ref="X27:X44" si="30">IF(AD27&gt;AE27,0,IF(AF27&lt;AG27,P27,IF(AND(AF27&gt;=AG27,AF27&lt;=AE27),(P27-T27),IF(AND(AG27&lt;=AD27,AE27&gt;=AD27),0,IF(AF27&gt;AE27,((AG27-AD27)*12)*Q27,0)))))</f>
        <v>3500</v>
      </c>
      <c r="Y27">
        <f t="shared" ref="Y27:Y44" si="31">X27*U27</f>
        <v>3500</v>
      </c>
      <c r="Z27">
        <v>1</v>
      </c>
      <c r="AA27">
        <f t="shared" ref="AA27:AA44" si="32">Y27*Z27</f>
        <v>3500</v>
      </c>
      <c r="AB27">
        <f t="shared" ref="AB27:AB44" si="33">IF(O27&gt;0,0,AA27+V27*Z27)*Z27</f>
        <v>3500</v>
      </c>
      <c r="AC27">
        <f t="shared" ref="AC27:AC44" si="34">IF(O27&gt;0,(N27-AA27)/2,IF(AD27&gt;=AG27,(((N27*U27)*Z27)-AB27)/2,((((N27*U27)*Z27)-AA27)+(((N27*U27)*Z27)-AB27))/2))</f>
        <v>0</v>
      </c>
      <c r="AD27">
        <f t="shared" ref="AD27:AD46" si="35">$E27+(($F27-1)/12)</f>
        <v>1982.25</v>
      </c>
      <c r="AE27">
        <f t="shared" ref="AE27:AE46" si="36">($P$5+1)-($P$2/12)</f>
        <v>2020</v>
      </c>
      <c r="AF27">
        <f t="shared" ref="AF27:AF46" si="37">$K27+(($F27-1)/12)</f>
        <v>2032.25</v>
      </c>
      <c r="AG27">
        <f t="shared" ref="AG27:AG46" si="38">$P$4+($P$3/12)</f>
        <v>2187.1666666666665</v>
      </c>
      <c r="AH27">
        <f t="shared" ref="AH27:AH46" si="39">$L27+(($M27-1)/12)</f>
        <v>-8.3333333333333329E-2</v>
      </c>
      <c r="AJ27">
        <f>+IF((AF27-AG27)&gt;3,((N27-P27)/(AF27-AG27)),(N27-P27)/3)</f>
        <v>0</v>
      </c>
      <c r="AL27">
        <f>+AJ27+V27</f>
        <v>0</v>
      </c>
      <c r="AN27">
        <f>+IF(AF27&lt;AG27,-AC27,0)</f>
        <v>0</v>
      </c>
      <c r="AP27">
        <f>IF(AF27&gt;AG27,IF(AJ27&gt;0,IF(O27&gt;0,(N27-AA27)/2,IF(AD27&gt;=AG27,(((N27*U27)*Z27)-(AB27+AJ27))/2,((((N27*U27)*Z27)-AA27)+(((N27*U27)*Z27)-(AB27+AJ27)))/2)),0),0)</f>
        <v>0</v>
      </c>
      <c r="AR27">
        <f>+AC27+AN27+(IF(AP27&gt;0,(AP27-AC27),0))</f>
        <v>0</v>
      </c>
    </row>
    <row r="28" spans="3:44">
      <c r="C28" t="s">
        <v>347</v>
      </c>
      <c r="E28">
        <v>1982</v>
      </c>
      <c r="F28">
        <v>4</v>
      </c>
      <c r="G28">
        <v>0</v>
      </c>
      <c r="I28" t="s">
        <v>78</v>
      </c>
      <c r="J28" t="s">
        <v>102</v>
      </c>
      <c r="K28">
        <f t="shared" si="23"/>
        <v>1997</v>
      </c>
      <c r="N28">
        <v>25135</v>
      </c>
      <c r="O28">
        <v>0</v>
      </c>
      <c r="P28">
        <f t="shared" si="24"/>
        <v>25135</v>
      </c>
      <c r="Q28">
        <f t="shared" si="25"/>
        <v>139.63888888888889</v>
      </c>
      <c r="R28">
        <f t="shared" si="26"/>
        <v>0</v>
      </c>
      <c r="S28">
        <f t="shared" si="27"/>
        <v>0</v>
      </c>
      <c r="T28">
        <f t="shared" si="28"/>
        <v>0</v>
      </c>
      <c r="U28">
        <v>1</v>
      </c>
      <c r="V28">
        <f t="shared" si="29"/>
        <v>0</v>
      </c>
      <c r="X28">
        <f t="shared" si="30"/>
        <v>25135</v>
      </c>
      <c r="Y28">
        <f t="shared" si="31"/>
        <v>25135</v>
      </c>
      <c r="Z28">
        <v>1</v>
      </c>
      <c r="AA28">
        <f t="shared" si="32"/>
        <v>25135</v>
      </c>
      <c r="AB28">
        <f t="shared" si="33"/>
        <v>25135</v>
      </c>
      <c r="AC28">
        <f t="shared" si="34"/>
        <v>0</v>
      </c>
      <c r="AD28">
        <f t="shared" si="35"/>
        <v>1982.25</v>
      </c>
      <c r="AE28">
        <f t="shared" si="36"/>
        <v>2020</v>
      </c>
      <c r="AF28">
        <f t="shared" si="37"/>
        <v>1997.25</v>
      </c>
      <c r="AG28">
        <f t="shared" si="38"/>
        <v>2187.1666666666665</v>
      </c>
      <c r="AH28">
        <f t="shared" si="39"/>
        <v>-8.3333333333333329E-2</v>
      </c>
      <c r="AJ28">
        <f t="shared" ref="AJ28:AJ46" si="40">+IF((AF28-AG28)&gt;3,((N28-P28)/(AF28-AG28)),(N28-P28)/3)</f>
        <v>0</v>
      </c>
      <c r="AL28">
        <f t="shared" ref="AL28:AL46" si="41">+AJ28+V28</f>
        <v>0</v>
      </c>
      <c r="AN28">
        <f t="shared" ref="AN28:AN46" si="42">+IF(AF28&lt;AG28,-AC28,0)</f>
        <v>0</v>
      </c>
      <c r="AP28">
        <f t="shared" ref="AP28:AP46" si="43">IF(AF28&gt;AG28,IF(AJ28&gt;0,IF(O28&gt;0,(N28-AA28)/2,IF(AD28&gt;=AG28,(((N28*U28)*Z28)-(AB28+AJ28))/2,((((N28*U28)*Z28)-AA28)+(((N28*U28)*Z28)-(AB28+AJ28)))/2)),0),0)</f>
        <v>0</v>
      </c>
      <c r="AR28">
        <f t="shared" ref="AR28:AR46" si="44">+AC28+AN28+(IF(AP28&gt;0,(AP28-AC28),0))</f>
        <v>0</v>
      </c>
    </row>
    <row r="29" spans="3:44">
      <c r="C29" t="s">
        <v>16</v>
      </c>
      <c r="E29">
        <v>2000</v>
      </c>
      <c r="F29">
        <v>7</v>
      </c>
      <c r="G29">
        <v>0</v>
      </c>
      <c r="I29" t="s">
        <v>78</v>
      </c>
      <c r="J29" t="s">
        <v>102</v>
      </c>
      <c r="K29">
        <f t="shared" si="23"/>
        <v>2015</v>
      </c>
      <c r="N29">
        <v>1338603.97</v>
      </c>
      <c r="O29">
        <v>0</v>
      </c>
      <c r="P29">
        <f t="shared" si="24"/>
        <v>1338603.97</v>
      </c>
      <c r="Q29">
        <f t="shared" si="25"/>
        <v>7436.6887222222222</v>
      </c>
      <c r="R29">
        <f t="shared" si="26"/>
        <v>0</v>
      </c>
      <c r="S29">
        <f t="shared" si="27"/>
        <v>0</v>
      </c>
      <c r="T29">
        <f t="shared" si="28"/>
        <v>0</v>
      </c>
      <c r="U29">
        <v>1</v>
      </c>
      <c r="V29">
        <f t="shared" si="29"/>
        <v>0</v>
      </c>
      <c r="X29">
        <f t="shared" si="30"/>
        <v>1338603.97</v>
      </c>
      <c r="Y29">
        <f t="shared" si="31"/>
        <v>1338603.97</v>
      </c>
      <c r="Z29">
        <v>1</v>
      </c>
      <c r="AA29">
        <f t="shared" si="32"/>
        <v>1338603.97</v>
      </c>
      <c r="AB29">
        <f t="shared" si="33"/>
        <v>1338603.97</v>
      </c>
      <c r="AC29">
        <f t="shared" si="34"/>
        <v>0</v>
      </c>
      <c r="AD29">
        <f t="shared" si="35"/>
        <v>2000.5</v>
      </c>
      <c r="AE29">
        <f t="shared" si="36"/>
        <v>2020</v>
      </c>
      <c r="AF29">
        <f t="shared" si="37"/>
        <v>2015.5</v>
      </c>
      <c r="AG29">
        <f t="shared" si="38"/>
        <v>2187.1666666666665</v>
      </c>
      <c r="AH29">
        <f t="shared" si="39"/>
        <v>-8.3333333333333329E-2</v>
      </c>
      <c r="AJ29">
        <f t="shared" si="40"/>
        <v>0</v>
      </c>
      <c r="AL29">
        <f t="shared" si="41"/>
        <v>0</v>
      </c>
      <c r="AN29">
        <f t="shared" si="42"/>
        <v>0</v>
      </c>
      <c r="AP29">
        <f t="shared" si="43"/>
        <v>0</v>
      </c>
      <c r="AR29">
        <f t="shared" si="44"/>
        <v>0</v>
      </c>
    </row>
    <row r="30" spans="3:44">
      <c r="C30" t="s">
        <v>350</v>
      </c>
      <c r="E30">
        <v>2001</v>
      </c>
      <c r="F30">
        <v>12</v>
      </c>
      <c r="G30">
        <v>0</v>
      </c>
      <c r="I30" t="s">
        <v>78</v>
      </c>
      <c r="J30" t="s">
        <v>7</v>
      </c>
      <c r="K30">
        <f t="shared" si="23"/>
        <v>2021</v>
      </c>
      <c r="N30">
        <v>16629.8</v>
      </c>
      <c r="O30">
        <v>0</v>
      </c>
      <c r="P30">
        <f t="shared" si="24"/>
        <v>16629.8</v>
      </c>
      <c r="Q30">
        <f t="shared" si="25"/>
        <v>69.290833333333339</v>
      </c>
      <c r="R30">
        <f t="shared" si="26"/>
        <v>0</v>
      </c>
      <c r="S30">
        <f t="shared" si="27"/>
        <v>0</v>
      </c>
      <c r="T30">
        <f t="shared" si="28"/>
        <v>0</v>
      </c>
      <c r="U30">
        <v>1</v>
      </c>
      <c r="V30">
        <f t="shared" si="29"/>
        <v>0</v>
      </c>
      <c r="X30">
        <f t="shared" si="30"/>
        <v>16629.8</v>
      </c>
      <c r="Y30">
        <f t="shared" si="31"/>
        <v>16629.8</v>
      </c>
      <c r="Z30">
        <v>1</v>
      </c>
      <c r="AA30">
        <f t="shared" si="32"/>
        <v>16629.8</v>
      </c>
      <c r="AB30">
        <f t="shared" si="33"/>
        <v>16629.8</v>
      </c>
      <c r="AC30">
        <f t="shared" si="34"/>
        <v>0</v>
      </c>
      <c r="AD30">
        <f t="shared" si="35"/>
        <v>2001.9166666666667</v>
      </c>
      <c r="AE30">
        <f t="shared" si="36"/>
        <v>2020</v>
      </c>
      <c r="AF30">
        <f t="shared" si="37"/>
        <v>2021.9166666666667</v>
      </c>
      <c r="AG30">
        <f t="shared" si="38"/>
        <v>2187.1666666666665</v>
      </c>
      <c r="AH30">
        <f t="shared" si="39"/>
        <v>-8.3333333333333329E-2</v>
      </c>
      <c r="AJ30">
        <f t="shared" si="40"/>
        <v>0</v>
      </c>
      <c r="AL30">
        <f t="shared" si="41"/>
        <v>0</v>
      </c>
      <c r="AN30">
        <f t="shared" si="42"/>
        <v>0</v>
      </c>
      <c r="AP30">
        <f t="shared" si="43"/>
        <v>0</v>
      </c>
      <c r="AR30">
        <f t="shared" si="44"/>
        <v>0</v>
      </c>
    </row>
    <row r="31" spans="3:44">
      <c r="C31" t="s">
        <v>351</v>
      </c>
      <c r="E31">
        <v>2001</v>
      </c>
      <c r="F31">
        <v>11</v>
      </c>
      <c r="G31">
        <v>0</v>
      </c>
      <c r="I31" t="s">
        <v>78</v>
      </c>
      <c r="J31" t="s">
        <v>7</v>
      </c>
      <c r="K31">
        <f t="shared" si="23"/>
        <v>2021</v>
      </c>
      <c r="N31">
        <v>944175.96</v>
      </c>
      <c r="O31">
        <v>0</v>
      </c>
      <c r="P31">
        <f t="shared" si="24"/>
        <v>944175.96</v>
      </c>
      <c r="Q31">
        <f t="shared" si="25"/>
        <v>3934.0664999999995</v>
      </c>
      <c r="R31">
        <f t="shared" si="26"/>
        <v>0</v>
      </c>
      <c r="S31">
        <f t="shared" si="27"/>
        <v>0</v>
      </c>
      <c r="T31">
        <f t="shared" si="28"/>
        <v>0</v>
      </c>
      <c r="U31">
        <v>1</v>
      </c>
      <c r="V31">
        <f t="shared" si="29"/>
        <v>0</v>
      </c>
      <c r="X31">
        <f t="shared" si="30"/>
        <v>944175.96</v>
      </c>
      <c r="Y31">
        <f t="shared" si="31"/>
        <v>944175.96</v>
      </c>
      <c r="Z31">
        <v>1</v>
      </c>
      <c r="AA31">
        <f t="shared" si="32"/>
        <v>944175.96</v>
      </c>
      <c r="AB31">
        <f t="shared" si="33"/>
        <v>944175.96</v>
      </c>
      <c r="AC31">
        <f t="shared" si="34"/>
        <v>0</v>
      </c>
      <c r="AD31">
        <f t="shared" si="35"/>
        <v>2001.8333333333333</v>
      </c>
      <c r="AE31">
        <f t="shared" si="36"/>
        <v>2020</v>
      </c>
      <c r="AF31">
        <f t="shared" si="37"/>
        <v>2021.8333333333333</v>
      </c>
      <c r="AG31">
        <f t="shared" si="38"/>
        <v>2187.1666666666665</v>
      </c>
      <c r="AH31">
        <f t="shared" si="39"/>
        <v>-8.3333333333333329E-2</v>
      </c>
      <c r="AJ31">
        <f t="shared" si="40"/>
        <v>0</v>
      </c>
      <c r="AL31">
        <f t="shared" si="41"/>
        <v>0</v>
      </c>
      <c r="AN31">
        <f t="shared" si="42"/>
        <v>0</v>
      </c>
      <c r="AP31">
        <f t="shared" si="43"/>
        <v>0</v>
      </c>
      <c r="AR31">
        <f t="shared" si="44"/>
        <v>0</v>
      </c>
    </row>
    <row r="32" spans="3:44">
      <c r="C32" t="s">
        <v>13</v>
      </c>
      <c r="E32">
        <v>2001</v>
      </c>
      <c r="F32">
        <v>7</v>
      </c>
      <c r="G32">
        <v>0</v>
      </c>
      <c r="I32" t="s">
        <v>78</v>
      </c>
      <c r="J32" t="s">
        <v>7</v>
      </c>
      <c r="K32">
        <f t="shared" si="23"/>
        <v>2021</v>
      </c>
      <c r="N32">
        <v>46855</v>
      </c>
      <c r="O32">
        <v>0</v>
      </c>
      <c r="P32">
        <f t="shared" si="24"/>
        <v>46855</v>
      </c>
      <c r="Q32">
        <f t="shared" si="25"/>
        <v>195.22916666666666</v>
      </c>
      <c r="R32">
        <f t="shared" si="26"/>
        <v>0</v>
      </c>
      <c r="S32">
        <f t="shared" si="27"/>
        <v>0</v>
      </c>
      <c r="T32">
        <f t="shared" si="28"/>
        <v>0</v>
      </c>
      <c r="U32">
        <v>1</v>
      </c>
      <c r="V32">
        <f t="shared" si="29"/>
        <v>0</v>
      </c>
      <c r="X32">
        <f t="shared" si="30"/>
        <v>46855</v>
      </c>
      <c r="Y32">
        <f t="shared" si="31"/>
        <v>46855</v>
      </c>
      <c r="Z32">
        <v>1</v>
      </c>
      <c r="AA32">
        <f t="shared" si="32"/>
        <v>46855</v>
      </c>
      <c r="AB32">
        <f t="shared" si="33"/>
        <v>46855</v>
      </c>
      <c r="AC32">
        <f t="shared" si="34"/>
        <v>0</v>
      </c>
      <c r="AD32">
        <f t="shared" si="35"/>
        <v>2001.5</v>
      </c>
      <c r="AE32">
        <f t="shared" si="36"/>
        <v>2020</v>
      </c>
      <c r="AF32">
        <f t="shared" si="37"/>
        <v>2021.5</v>
      </c>
      <c r="AG32">
        <f t="shared" si="38"/>
        <v>2187.1666666666665</v>
      </c>
      <c r="AH32">
        <f t="shared" si="39"/>
        <v>-8.3333333333333329E-2</v>
      </c>
      <c r="AJ32">
        <f t="shared" si="40"/>
        <v>0</v>
      </c>
      <c r="AL32">
        <f t="shared" si="41"/>
        <v>0</v>
      </c>
      <c r="AN32">
        <f t="shared" si="42"/>
        <v>0</v>
      </c>
      <c r="AP32">
        <f t="shared" si="43"/>
        <v>0</v>
      </c>
      <c r="AR32">
        <f t="shared" si="44"/>
        <v>0</v>
      </c>
    </row>
    <row r="33" spans="3:44">
      <c r="C33" t="s">
        <v>86</v>
      </c>
      <c r="E33">
        <v>2002</v>
      </c>
      <c r="F33">
        <v>9</v>
      </c>
      <c r="G33">
        <v>0</v>
      </c>
      <c r="I33" t="s">
        <v>78</v>
      </c>
      <c r="J33" t="s">
        <v>10</v>
      </c>
      <c r="K33">
        <f t="shared" si="23"/>
        <v>2041</v>
      </c>
      <c r="N33">
        <v>17566.23</v>
      </c>
      <c r="O33">
        <v>0</v>
      </c>
      <c r="P33">
        <f t="shared" si="24"/>
        <v>17566.23</v>
      </c>
      <c r="Q33">
        <f t="shared" si="25"/>
        <v>37.534679487179488</v>
      </c>
      <c r="R33">
        <f t="shared" si="26"/>
        <v>0</v>
      </c>
      <c r="S33">
        <f t="shared" si="27"/>
        <v>0</v>
      </c>
      <c r="T33">
        <f t="shared" si="28"/>
        <v>0</v>
      </c>
      <c r="U33">
        <v>1</v>
      </c>
      <c r="V33">
        <f t="shared" si="29"/>
        <v>0</v>
      </c>
      <c r="X33">
        <f t="shared" si="30"/>
        <v>17566.23</v>
      </c>
      <c r="Y33">
        <f t="shared" si="31"/>
        <v>17566.23</v>
      </c>
      <c r="Z33">
        <v>1</v>
      </c>
      <c r="AA33">
        <f t="shared" si="32"/>
        <v>17566.23</v>
      </c>
      <c r="AB33">
        <f t="shared" si="33"/>
        <v>17566.23</v>
      </c>
      <c r="AC33">
        <f t="shared" si="34"/>
        <v>0</v>
      </c>
      <c r="AD33">
        <f t="shared" si="35"/>
        <v>2002.6666666666667</v>
      </c>
      <c r="AE33">
        <f t="shared" si="36"/>
        <v>2020</v>
      </c>
      <c r="AF33">
        <f t="shared" si="37"/>
        <v>2041.6666666666667</v>
      </c>
      <c r="AG33">
        <f t="shared" si="38"/>
        <v>2187.1666666666665</v>
      </c>
      <c r="AH33">
        <f t="shared" si="39"/>
        <v>-8.3333333333333329E-2</v>
      </c>
      <c r="AJ33">
        <f t="shared" si="40"/>
        <v>0</v>
      </c>
      <c r="AL33">
        <f t="shared" si="41"/>
        <v>0</v>
      </c>
      <c r="AN33">
        <f t="shared" si="42"/>
        <v>0</v>
      </c>
      <c r="AP33">
        <f t="shared" si="43"/>
        <v>0</v>
      </c>
      <c r="AR33">
        <f t="shared" si="44"/>
        <v>0</v>
      </c>
    </row>
    <row r="34" spans="3:44">
      <c r="C34" t="s">
        <v>267</v>
      </c>
      <c r="E34">
        <v>2002</v>
      </c>
      <c r="F34">
        <v>11</v>
      </c>
      <c r="G34">
        <v>0</v>
      </c>
      <c r="I34" t="s">
        <v>78</v>
      </c>
      <c r="J34" t="s">
        <v>102</v>
      </c>
      <c r="K34">
        <f t="shared" si="23"/>
        <v>2017</v>
      </c>
      <c r="N34">
        <v>4096.84</v>
      </c>
      <c r="O34">
        <v>0</v>
      </c>
      <c r="P34">
        <f t="shared" si="24"/>
        <v>4096.84</v>
      </c>
      <c r="Q34">
        <f t="shared" si="25"/>
        <v>22.760222222222225</v>
      </c>
      <c r="R34">
        <f t="shared" si="26"/>
        <v>0</v>
      </c>
      <c r="S34">
        <f t="shared" si="27"/>
        <v>0</v>
      </c>
      <c r="T34">
        <f t="shared" si="28"/>
        <v>0</v>
      </c>
      <c r="U34">
        <v>1</v>
      </c>
      <c r="V34">
        <f t="shared" si="29"/>
        <v>0</v>
      </c>
      <c r="X34">
        <f t="shared" si="30"/>
        <v>4096.84</v>
      </c>
      <c r="Y34">
        <f t="shared" si="31"/>
        <v>4096.84</v>
      </c>
      <c r="Z34">
        <v>1</v>
      </c>
      <c r="AA34">
        <f t="shared" si="32"/>
        <v>4096.84</v>
      </c>
      <c r="AB34">
        <f t="shared" si="33"/>
        <v>4096.84</v>
      </c>
      <c r="AC34">
        <f t="shared" si="34"/>
        <v>0</v>
      </c>
      <c r="AD34">
        <f t="shared" si="35"/>
        <v>2002.8333333333333</v>
      </c>
      <c r="AE34">
        <f t="shared" si="36"/>
        <v>2020</v>
      </c>
      <c r="AF34">
        <f t="shared" si="37"/>
        <v>2017.8333333333333</v>
      </c>
      <c r="AG34">
        <f t="shared" si="38"/>
        <v>2187.1666666666665</v>
      </c>
      <c r="AH34">
        <f t="shared" si="39"/>
        <v>-8.3333333333333329E-2</v>
      </c>
      <c r="AJ34">
        <f t="shared" si="40"/>
        <v>0</v>
      </c>
      <c r="AL34">
        <f t="shared" si="41"/>
        <v>0</v>
      </c>
      <c r="AN34">
        <f t="shared" si="42"/>
        <v>0</v>
      </c>
      <c r="AP34">
        <f t="shared" si="43"/>
        <v>0</v>
      </c>
      <c r="AR34">
        <f t="shared" si="44"/>
        <v>0</v>
      </c>
    </row>
    <row r="35" spans="3:44">
      <c r="C35" t="s">
        <v>12</v>
      </c>
      <c r="E35">
        <v>2004</v>
      </c>
      <c r="F35">
        <v>7</v>
      </c>
      <c r="G35">
        <v>0</v>
      </c>
      <c r="I35" t="s">
        <v>78</v>
      </c>
      <c r="J35" t="s">
        <v>102</v>
      </c>
      <c r="K35">
        <f t="shared" si="23"/>
        <v>2019</v>
      </c>
      <c r="N35">
        <v>24008.400000000001</v>
      </c>
      <c r="O35">
        <v>0</v>
      </c>
      <c r="P35">
        <f t="shared" si="24"/>
        <v>24008.400000000001</v>
      </c>
      <c r="Q35">
        <f t="shared" si="25"/>
        <v>133.38000000000002</v>
      </c>
      <c r="R35">
        <f t="shared" si="26"/>
        <v>0</v>
      </c>
      <c r="S35">
        <f t="shared" si="27"/>
        <v>0</v>
      </c>
      <c r="T35">
        <f t="shared" si="28"/>
        <v>0</v>
      </c>
      <c r="U35">
        <v>1</v>
      </c>
      <c r="V35">
        <f t="shared" si="29"/>
        <v>0</v>
      </c>
      <c r="X35">
        <f t="shared" si="30"/>
        <v>24008.400000000001</v>
      </c>
      <c r="Y35">
        <f t="shared" si="31"/>
        <v>24008.400000000001</v>
      </c>
      <c r="Z35">
        <v>1</v>
      </c>
      <c r="AA35">
        <f t="shared" si="32"/>
        <v>24008.400000000001</v>
      </c>
      <c r="AB35">
        <f t="shared" si="33"/>
        <v>24008.400000000001</v>
      </c>
      <c r="AC35">
        <f t="shared" si="34"/>
        <v>0</v>
      </c>
      <c r="AD35">
        <f t="shared" si="35"/>
        <v>2004.5</v>
      </c>
      <c r="AE35">
        <f t="shared" si="36"/>
        <v>2020</v>
      </c>
      <c r="AF35">
        <f t="shared" si="37"/>
        <v>2019.5</v>
      </c>
      <c r="AG35">
        <f t="shared" si="38"/>
        <v>2187.1666666666665</v>
      </c>
      <c r="AH35">
        <f t="shared" si="39"/>
        <v>-8.3333333333333329E-2</v>
      </c>
      <c r="AJ35">
        <f t="shared" si="40"/>
        <v>0</v>
      </c>
      <c r="AL35">
        <f t="shared" si="41"/>
        <v>0</v>
      </c>
      <c r="AN35">
        <f t="shared" si="42"/>
        <v>0</v>
      </c>
      <c r="AP35">
        <f t="shared" si="43"/>
        <v>0</v>
      </c>
      <c r="AR35">
        <f t="shared" si="44"/>
        <v>0</v>
      </c>
    </row>
    <row r="36" spans="3:44">
      <c r="C36" t="s">
        <v>109</v>
      </c>
      <c r="E36">
        <v>2007</v>
      </c>
      <c r="F36">
        <v>3</v>
      </c>
      <c r="G36">
        <v>0</v>
      </c>
      <c r="I36" t="s">
        <v>78</v>
      </c>
      <c r="J36" t="s">
        <v>102</v>
      </c>
      <c r="K36">
        <f t="shared" si="23"/>
        <v>2022</v>
      </c>
      <c r="N36">
        <v>163426.01999999999</v>
      </c>
      <c r="O36">
        <v>0</v>
      </c>
      <c r="P36">
        <f t="shared" si="24"/>
        <v>163426.01999999999</v>
      </c>
      <c r="Q36">
        <f t="shared" si="25"/>
        <v>907.92233333333331</v>
      </c>
      <c r="R36">
        <f t="shared" si="26"/>
        <v>0</v>
      </c>
      <c r="S36">
        <f t="shared" si="27"/>
        <v>0</v>
      </c>
      <c r="T36">
        <f t="shared" si="28"/>
        <v>0</v>
      </c>
      <c r="U36">
        <v>1</v>
      </c>
      <c r="V36">
        <f t="shared" si="29"/>
        <v>0</v>
      </c>
      <c r="X36">
        <f t="shared" si="30"/>
        <v>163426.01999999999</v>
      </c>
      <c r="Y36">
        <f t="shared" si="31"/>
        <v>163426.01999999999</v>
      </c>
      <c r="Z36">
        <v>1</v>
      </c>
      <c r="AA36">
        <f t="shared" si="32"/>
        <v>163426.01999999999</v>
      </c>
      <c r="AB36">
        <f t="shared" si="33"/>
        <v>163426.01999999999</v>
      </c>
      <c r="AC36">
        <f t="shared" si="34"/>
        <v>0</v>
      </c>
      <c r="AD36">
        <f t="shared" si="35"/>
        <v>2007.1666666666667</v>
      </c>
      <c r="AE36">
        <f t="shared" si="36"/>
        <v>2020</v>
      </c>
      <c r="AF36">
        <f t="shared" si="37"/>
        <v>2022.1666666666667</v>
      </c>
      <c r="AG36">
        <f t="shared" si="38"/>
        <v>2187.1666666666665</v>
      </c>
      <c r="AH36">
        <f t="shared" si="39"/>
        <v>-8.3333333333333329E-2</v>
      </c>
      <c r="AJ36">
        <f t="shared" si="40"/>
        <v>0</v>
      </c>
      <c r="AL36">
        <f t="shared" si="41"/>
        <v>0</v>
      </c>
      <c r="AN36">
        <f t="shared" si="42"/>
        <v>0</v>
      </c>
      <c r="AP36">
        <f t="shared" si="43"/>
        <v>0</v>
      </c>
      <c r="AR36">
        <f t="shared" si="44"/>
        <v>0</v>
      </c>
    </row>
    <row r="37" spans="3:44">
      <c r="C37" t="s">
        <v>111</v>
      </c>
      <c r="E37">
        <v>2008</v>
      </c>
      <c r="F37">
        <v>1</v>
      </c>
      <c r="G37">
        <v>0</v>
      </c>
      <c r="I37" t="s">
        <v>78</v>
      </c>
      <c r="J37" t="s">
        <v>102</v>
      </c>
      <c r="K37">
        <f t="shared" si="23"/>
        <v>2023</v>
      </c>
      <c r="N37">
        <v>3824.1</v>
      </c>
      <c r="O37">
        <v>0</v>
      </c>
      <c r="P37">
        <f t="shared" si="24"/>
        <v>3824.1</v>
      </c>
      <c r="Q37">
        <f t="shared" si="25"/>
        <v>21.245000000000001</v>
      </c>
      <c r="R37">
        <f t="shared" si="26"/>
        <v>0</v>
      </c>
      <c r="S37">
        <f t="shared" si="27"/>
        <v>0</v>
      </c>
      <c r="T37">
        <f t="shared" si="28"/>
        <v>0</v>
      </c>
      <c r="U37">
        <v>1</v>
      </c>
      <c r="V37">
        <f t="shared" si="29"/>
        <v>0</v>
      </c>
      <c r="X37">
        <f t="shared" si="30"/>
        <v>3824.1</v>
      </c>
      <c r="Y37">
        <f t="shared" si="31"/>
        <v>3824.1</v>
      </c>
      <c r="Z37">
        <v>1</v>
      </c>
      <c r="AA37">
        <f t="shared" si="32"/>
        <v>3824.1</v>
      </c>
      <c r="AB37">
        <f t="shared" si="33"/>
        <v>3824.1</v>
      </c>
      <c r="AC37">
        <f t="shared" si="34"/>
        <v>0</v>
      </c>
      <c r="AD37">
        <f t="shared" si="35"/>
        <v>2008</v>
      </c>
      <c r="AE37">
        <f t="shared" si="36"/>
        <v>2020</v>
      </c>
      <c r="AF37">
        <f t="shared" si="37"/>
        <v>2023</v>
      </c>
      <c r="AG37">
        <f t="shared" si="38"/>
        <v>2187.1666666666665</v>
      </c>
      <c r="AH37">
        <f t="shared" si="39"/>
        <v>-8.3333333333333329E-2</v>
      </c>
      <c r="AJ37">
        <f t="shared" si="40"/>
        <v>0</v>
      </c>
      <c r="AL37">
        <f t="shared" si="41"/>
        <v>0</v>
      </c>
      <c r="AN37">
        <f t="shared" si="42"/>
        <v>0</v>
      </c>
      <c r="AP37">
        <f t="shared" si="43"/>
        <v>0</v>
      </c>
      <c r="AR37">
        <f t="shared" si="44"/>
        <v>0</v>
      </c>
    </row>
    <row r="38" spans="3:44">
      <c r="C38" t="s">
        <v>413</v>
      </c>
      <c r="D38">
        <v>77321</v>
      </c>
      <c r="E38">
        <v>2010</v>
      </c>
      <c r="F38">
        <v>8</v>
      </c>
      <c r="G38">
        <v>0</v>
      </c>
      <c r="I38" t="s">
        <v>78</v>
      </c>
      <c r="J38">
        <v>10</v>
      </c>
      <c r="K38">
        <f t="shared" si="23"/>
        <v>2020</v>
      </c>
      <c r="N38">
        <v>790.01</v>
      </c>
      <c r="O38">
        <v>0</v>
      </c>
      <c r="P38">
        <f t="shared" si="24"/>
        <v>790.01</v>
      </c>
      <c r="Q38">
        <f t="shared" si="25"/>
        <v>6.5834166666666674</v>
      </c>
      <c r="R38">
        <f t="shared" si="26"/>
        <v>0</v>
      </c>
      <c r="S38">
        <f t="shared" si="27"/>
        <v>0</v>
      </c>
      <c r="T38">
        <f t="shared" si="28"/>
        <v>0</v>
      </c>
      <c r="U38">
        <v>1</v>
      </c>
      <c r="V38">
        <f t="shared" si="29"/>
        <v>0</v>
      </c>
      <c r="X38">
        <f t="shared" si="30"/>
        <v>790.01</v>
      </c>
      <c r="Y38">
        <f t="shared" si="31"/>
        <v>790.01</v>
      </c>
      <c r="Z38">
        <v>1</v>
      </c>
      <c r="AA38">
        <f t="shared" si="32"/>
        <v>790.01</v>
      </c>
      <c r="AB38">
        <f t="shared" si="33"/>
        <v>790.01</v>
      </c>
      <c r="AC38">
        <f t="shared" si="34"/>
        <v>0</v>
      </c>
      <c r="AD38">
        <f t="shared" si="35"/>
        <v>2010.5833333333333</v>
      </c>
      <c r="AE38">
        <f t="shared" si="36"/>
        <v>2020</v>
      </c>
      <c r="AF38">
        <f t="shared" si="37"/>
        <v>2020.5833333333333</v>
      </c>
      <c r="AG38">
        <f t="shared" si="38"/>
        <v>2187.1666666666665</v>
      </c>
      <c r="AH38">
        <f t="shared" si="39"/>
        <v>-8.3333333333333329E-2</v>
      </c>
      <c r="AJ38">
        <f t="shared" si="40"/>
        <v>0</v>
      </c>
      <c r="AL38">
        <f t="shared" si="41"/>
        <v>0</v>
      </c>
      <c r="AN38">
        <f t="shared" si="42"/>
        <v>0</v>
      </c>
      <c r="AP38">
        <f t="shared" si="43"/>
        <v>0</v>
      </c>
      <c r="AR38">
        <f t="shared" si="44"/>
        <v>0</v>
      </c>
    </row>
    <row r="39" spans="3:44">
      <c r="C39" t="s">
        <v>414</v>
      </c>
      <c r="D39">
        <v>76639</v>
      </c>
      <c r="E39">
        <v>2010</v>
      </c>
      <c r="F39">
        <v>8</v>
      </c>
      <c r="G39">
        <v>0</v>
      </c>
      <c r="I39" t="s">
        <v>78</v>
      </c>
      <c r="J39">
        <v>10</v>
      </c>
      <c r="K39">
        <f t="shared" si="23"/>
        <v>2020</v>
      </c>
      <c r="N39">
        <v>7000</v>
      </c>
      <c r="O39">
        <v>0</v>
      </c>
      <c r="P39">
        <f t="shared" si="24"/>
        <v>7000</v>
      </c>
      <c r="Q39">
        <f t="shared" si="25"/>
        <v>58.333333333333336</v>
      </c>
      <c r="R39">
        <f t="shared" si="26"/>
        <v>0</v>
      </c>
      <c r="S39">
        <f t="shared" si="27"/>
        <v>0</v>
      </c>
      <c r="T39">
        <f t="shared" si="28"/>
        <v>0</v>
      </c>
      <c r="U39">
        <v>1</v>
      </c>
      <c r="V39">
        <f t="shared" si="29"/>
        <v>0</v>
      </c>
      <c r="X39">
        <f t="shared" si="30"/>
        <v>7000</v>
      </c>
      <c r="Y39">
        <f t="shared" si="31"/>
        <v>7000</v>
      </c>
      <c r="Z39">
        <v>1</v>
      </c>
      <c r="AA39">
        <f t="shared" si="32"/>
        <v>7000</v>
      </c>
      <c r="AB39">
        <f t="shared" si="33"/>
        <v>7000</v>
      </c>
      <c r="AC39">
        <f t="shared" si="34"/>
        <v>0</v>
      </c>
      <c r="AD39">
        <f t="shared" si="35"/>
        <v>2010.5833333333333</v>
      </c>
      <c r="AE39">
        <f t="shared" si="36"/>
        <v>2020</v>
      </c>
      <c r="AF39">
        <f t="shared" si="37"/>
        <v>2020.5833333333333</v>
      </c>
      <c r="AG39">
        <f t="shared" si="38"/>
        <v>2187.1666666666665</v>
      </c>
      <c r="AH39">
        <f t="shared" si="39"/>
        <v>-8.3333333333333329E-2</v>
      </c>
      <c r="AJ39">
        <f t="shared" si="40"/>
        <v>0</v>
      </c>
      <c r="AL39">
        <f t="shared" si="41"/>
        <v>0</v>
      </c>
      <c r="AN39">
        <f t="shared" si="42"/>
        <v>0</v>
      </c>
      <c r="AP39">
        <f t="shared" si="43"/>
        <v>0</v>
      </c>
      <c r="AR39">
        <f t="shared" si="44"/>
        <v>0</v>
      </c>
    </row>
    <row r="40" spans="3:44">
      <c r="C40" t="s">
        <v>415</v>
      </c>
      <c r="D40">
        <v>77322</v>
      </c>
      <c r="E40">
        <v>2010</v>
      </c>
      <c r="F40">
        <v>8</v>
      </c>
      <c r="G40">
        <v>0</v>
      </c>
      <c r="I40" t="s">
        <v>78</v>
      </c>
      <c r="J40">
        <v>10</v>
      </c>
      <c r="K40">
        <f t="shared" si="23"/>
        <v>2020</v>
      </c>
      <c r="N40">
        <v>1127.8399999999999</v>
      </c>
      <c r="O40">
        <v>0</v>
      </c>
      <c r="P40">
        <f t="shared" si="24"/>
        <v>1127.8399999999999</v>
      </c>
      <c r="Q40">
        <f t="shared" si="25"/>
        <v>9.3986666666666654</v>
      </c>
      <c r="R40">
        <f t="shared" si="26"/>
        <v>0</v>
      </c>
      <c r="S40">
        <f t="shared" si="27"/>
        <v>0</v>
      </c>
      <c r="T40">
        <f t="shared" si="28"/>
        <v>0</v>
      </c>
      <c r="U40">
        <v>1</v>
      </c>
      <c r="V40">
        <f t="shared" si="29"/>
        <v>0</v>
      </c>
      <c r="X40">
        <f t="shared" si="30"/>
        <v>1127.8399999999999</v>
      </c>
      <c r="Y40">
        <f t="shared" si="31"/>
        <v>1127.8399999999999</v>
      </c>
      <c r="Z40">
        <v>1</v>
      </c>
      <c r="AA40">
        <f t="shared" si="32"/>
        <v>1127.8399999999999</v>
      </c>
      <c r="AB40">
        <f t="shared" si="33"/>
        <v>1127.8399999999999</v>
      </c>
      <c r="AC40">
        <f t="shared" si="34"/>
        <v>0</v>
      </c>
      <c r="AD40">
        <f t="shared" si="35"/>
        <v>2010.5833333333333</v>
      </c>
      <c r="AE40">
        <f t="shared" si="36"/>
        <v>2020</v>
      </c>
      <c r="AF40">
        <f t="shared" si="37"/>
        <v>2020.5833333333333</v>
      </c>
      <c r="AG40">
        <f t="shared" si="38"/>
        <v>2187.1666666666665</v>
      </c>
      <c r="AH40">
        <f t="shared" si="39"/>
        <v>-8.3333333333333329E-2</v>
      </c>
      <c r="AJ40">
        <f t="shared" si="40"/>
        <v>0</v>
      </c>
      <c r="AL40">
        <f t="shared" si="41"/>
        <v>0</v>
      </c>
      <c r="AN40">
        <f t="shared" si="42"/>
        <v>0</v>
      </c>
      <c r="AP40">
        <f t="shared" si="43"/>
        <v>0</v>
      </c>
      <c r="AR40">
        <f t="shared" si="44"/>
        <v>0</v>
      </c>
    </row>
    <row r="41" spans="3:44">
      <c r="C41" t="s">
        <v>416</v>
      </c>
      <c r="D41">
        <v>76800</v>
      </c>
      <c r="E41">
        <v>2010</v>
      </c>
      <c r="F41">
        <v>8</v>
      </c>
      <c r="G41">
        <v>0</v>
      </c>
      <c r="I41" t="s">
        <v>78</v>
      </c>
      <c r="J41">
        <v>10</v>
      </c>
      <c r="K41">
        <f t="shared" si="23"/>
        <v>2020</v>
      </c>
      <c r="N41">
        <v>8574.6</v>
      </c>
      <c r="O41">
        <v>0</v>
      </c>
      <c r="P41">
        <f t="shared" si="24"/>
        <v>8574.6</v>
      </c>
      <c r="Q41">
        <f t="shared" si="25"/>
        <v>71.454999999999998</v>
      </c>
      <c r="R41">
        <f t="shared" si="26"/>
        <v>0</v>
      </c>
      <c r="S41">
        <f t="shared" si="27"/>
        <v>0</v>
      </c>
      <c r="T41">
        <f t="shared" si="28"/>
        <v>0</v>
      </c>
      <c r="U41">
        <v>1</v>
      </c>
      <c r="V41">
        <f t="shared" si="29"/>
        <v>0</v>
      </c>
      <c r="X41">
        <f t="shared" si="30"/>
        <v>8574.6</v>
      </c>
      <c r="Y41">
        <f t="shared" si="31"/>
        <v>8574.6</v>
      </c>
      <c r="Z41">
        <v>1</v>
      </c>
      <c r="AA41">
        <f t="shared" si="32"/>
        <v>8574.6</v>
      </c>
      <c r="AB41">
        <f t="shared" si="33"/>
        <v>8574.6</v>
      </c>
      <c r="AC41">
        <f t="shared" si="34"/>
        <v>0</v>
      </c>
      <c r="AD41">
        <f t="shared" si="35"/>
        <v>2010.5833333333333</v>
      </c>
      <c r="AE41">
        <f t="shared" si="36"/>
        <v>2020</v>
      </c>
      <c r="AF41">
        <f t="shared" si="37"/>
        <v>2020.5833333333333</v>
      </c>
      <c r="AG41">
        <f t="shared" si="38"/>
        <v>2187.1666666666665</v>
      </c>
      <c r="AH41">
        <f t="shared" si="39"/>
        <v>-8.3333333333333329E-2</v>
      </c>
      <c r="AJ41">
        <f t="shared" si="40"/>
        <v>0</v>
      </c>
      <c r="AL41">
        <f t="shared" si="41"/>
        <v>0</v>
      </c>
      <c r="AN41">
        <f t="shared" si="42"/>
        <v>0</v>
      </c>
      <c r="AP41">
        <f t="shared" si="43"/>
        <v>0</v>
      </c>
      <c r="AR41">
        <f t="shared" si="44"/>
        <v>0</v>
      </c>
    </row>
    <row r="42" spans="3:44">
      <c r="C42" t="s">
        <v>411</v>
      </c>
      <c r="D42">
        <v>76648</v>
      </c>
      <c r="E42">
        <v>2010</v>
      </c>
      <c r="F42">
        <v>9</v>
      </c>
      <c r="G42">
        <v>0</v>
      </c>
      <c r="I42" t="s">
        <v>78</v>
      </c>
      <c r="J42">
        <v>10</v>
      </c>
      <c r="K42">
        <f t="shared" si="23"/>
        <v>2020</v>
      </c>
      <c r="N42">
        <v>19869.22</v>
      </c>
      <c r="O42">
        <v>0</v>
      </c>
      <c r="P42">
        <f t="shared" si="24"/>
        <v>19869.22</v>
      </c>
      <c r="Q42">
        <f t="shared" si="25"/>
        <v>165.57683333333333</v>
      </c>
      <c r="R42">
        <f t="shared" si="26"/>
        <v>0</v>
      </c>
      <c r="S42">
        <f t="shared" si="27"/>
        <v>0</v>
      </c>
      <c r="T42">
        <f t="shared" si="28"/>
        <v>0</v>
      </c>
      <c r="U42">
        <v>1</v>
      </c>
      <c r="V42">
        <f t="shared" si="29"/>
        <v>0</v>
      </c>
      <c r="X42">
        <f t="shared" si="30"/>
        <v>19869.22</v>
      </c>
      <c r="Y42">
        <f t="shared" si="31"/>
        <v>19869.22</v>
      </c>
      <c r="Z42">
        <v>1</v>
      </c>
      <c r="AA42">
        <f t="shared" si="32"/>
        <v>19869.22</v>
      </c>
      <c r="AB42">
        <f t="shared" si="33"/>
        <v>19869.22</v>
      </c>
      <c r="AC42">
        <f t="shared" si="34"/>
        <v>0</v>
      </c>
      <c r="AD42">
        <f t="shared" si="35"/>
        <v>2010.6666666666667</v>
      </c>
      <c r="AE42">
        <f t="shared" si="36"/>
        <v>2020</v>
      </c>
      <c r="AF42">
        <f t="shared" si="37"/>
        <v>2020.6666666666667</v>
      </c>
      <c r="AG42">
        <f t="shared" si="38"/>
        <v>2187.1666666666665</v>
      </c>
      <c r="AH42">
        <f t="shared" si="39"/>
        <v>-8.3333333333333329E-2</v>
      </c>
      <c r="AJ42">
        <f t="shared" si="40"/>
        <v>0</v>
      </c>
      <c r="AL42">
        <f t="shared" si="41"/>
        <v>0</v>
      </c>
      <c r="AN42">
        <f t="shared" si="42"/>
        <v>0</v>
      </c>
      <c r="AP42">
        <f t="shared" si="43"/>
        <v>0</v>
      </c>
      <c r="AR42">
        <f t="shared" si="44"/>
        <v>0</v>
      </c>
    </row>
    <row r="43" spans="3:44">
      <c r="C43" t="s">
        <v>412</v>
      </c>
      <c r="D43">
        <v>77100</v>
      </c>
      <c r="E43">
        <v>2010</v>
      </c>
      <c r="F43">
        <v>9</v>
      </c>
      <c r="G43">
        <v>0</v>
      </c>
      <c r="I43" t="s">
        <v>78</v>
      </c>
      <c r="J43">
        <v>10</v>
      </c>
      <c r="K43">
        <f t="shared" si="23"/>
        <v>2020</v>
      </c>
      <c r="N43">
        <v>932.5</v>
      </c>
      <c r="O43">
        <v>0</v>
      </c>
      <c r="P43">
        <f t="shared" si="24"/>
        <v>932.5</v>
      </c>
      <c r="Q43">
        <f t="shared" si="25"/>
        <v>7.770833333333333</v>
      </c>
      <c r="R43">
        <f t="shared" si="26"/>
        <v>0</v>
      </c>
      <c r="S43">
        <f t="shared" si="27"/>
        <v>0</v>
      </c>
      <c r="T43">
        <f t="shared" si="28"/>
        <v>0</v>
      </c>
      <c r="U43">
        <v>1</v>
      </c>
      <c r="V43">
        <f t="shared" si="29"/>
        <v>0</v>
      </c>
      <c r="X43">
        <f t="shared" si="30"/>
        <v>932.5</v>
      </c>
      <c r="Y43">
        <f t="shared" si="31"/>
        <v>932.5</v>
      </c>
      <c r="Z43">
        <v>1</v>
      </c>
      <c r="AA43">
        <f t="shared" si="32"/>
        <v>932.5</v>
      </c>
      <c r="AB43">
        <f t="shared" si="33"/>
        <v>932.5</v>
      </c>
      <c r="AC43">
        <f t="shared" si="34"/>
        <v>0</v>
      </c>
      <c r="AD43">
        <f t="shared" si="35"/>
        <v>2010.6666666666667</v>
      </c>
      <c r="AE43">
        <f t="shared" si="36"/>
        <v>2020</v>
      </c>
      <c r="AF43">
        <f t="shared" si="37"/>
        <v>2020.6666666666667</v>
      </c>
      <c r="AG43">
        <f t="shared" si="38"/>
        <v>2187.1666666666665</v>
      </c>
      <c r="AH43">
        <f t="shared" si="39"/>
        <v>-8.3333333333333329E-2</v>
      </c>
      <c r="AJ43">
        <f t="shared" si="40"/>
        <v>0</v>
      </c>
      <c r="AL43">
        <f t="shared" si="41"/>
        <v>0</v>
      </c>
      <c r="AN43">
        <f t="shared" si="42"/>
        <v>0</v>
      </c>
      <c r="AP43">
        <f t="shared" si="43"/>
        <v>0</v>
      </c>
      <c r="AR43">
        <f t="shared" si="44"/>
        <v>0</v>
      </c>
    </row>
    <row r="44" spans="3:44">
      <c r="C44" t="s">
        <v>412</v>
      </c>
      <c r="D44">
        <v>77791</v>
      </c>
      <c r="E44">
        <v>2010</v>
      </c>
      <c r="F44">
        <v>9</v>
      </c>
      <c r="G44">
        <v>0</v>
      </c>
      <c r="I44" t="s">
        <v>78</v>
      </c>
      <c r="J44">
        <v>10</v>
      </c>
      <c r="K44">
        <f t="shared" si="23"/>
        <v>2020</v>
      </c>
      <c r="N44">
        <v>1098.69</v>
      </c>
      <c r="O44">
        <v>0</v>
      </c>
      <c r="P44">
        <f t="shared" si="24"/>
        <v>1098.69</v>
      </c>
      <c r="Q44">
        <f t="shared" si="25"/>
        <v>9.1557499999999994</v>
      </c>
      <c r="R44">
        <f t="shared" si="26"/>
        <v>0</v>
      </c>
      <c r="S44">
        <f t="shared" si="27"/>
        <v>0</v>
      </c>
      <c r="T44">
        <f t="shared" si="28"/>
        <v>0</v>
      </c>
      <c r="U44">
        <v>1</v>
      </c>
      <c r="V44">
        <f t="shared" si="29"/>
        <v>0</v>
      </c>
      <c r="X44">
        <f t="shared" si="30"/>
        <v>1098.69</v>
      </c>
      <c r="Y44">
        <f t="shared" si="31"/>
        <v>1098.69</v>
      </c>
      <c r="Z44">
        <v>1</v>
      </c>
      <c r="AA44">
        <f t="shared" si="32"/>
        <v>1098.69</v>
      </c>
      <c r="AB44">
        <f t="shared" si="33"/>
        <v>1098.69</v>
      </c>
      <c r="AC44">
        <f t="shared" si="34"/>
        <v>0</v>
      </c>
      <c r="AD44">
        <f t="shared" si="35"/>
        <v>2010.6666666666667</v>
      </c>
      <c r="AE44">
        <f t="shared" si="36"/>
        <v>2020</v>
      </c>
      <c r="AF44">
        <f t="shared" si="37"/>
        <v>2020.6666666666667</v>
      </c>
      <c r="AG44">
        <f t="shared" si="38"/>
        <v>2187.1666666666665</v>
      </c>
      <c r="AH44">
        <f t="shared" si="39"/>
        <v>-8.3333333333333329E-2</v>
      </c>
      <c r="AJ44">
        <f t="shared" si="40"/>
        <v>0</v>
      </c>
      <c r="AL44">
        <f t="shared" si="41"/>
        <v>0</v>
      </c>
      <c r="AN44">
        <f t="shared" si="42"/>
        <v>0</v>
      </c>
      <c r="AP44">
        <f t="shared" si="43"/>
        <v>0</v>
      </c>
      <c r="AR44">
        <f t="shared" si="44"/>
        <v>0</v>
      </c>
    </row>
    <row r="45" spans="3:44">
      <c r="C45" t="s">
        <v>580</v>
      </c>
      <c r="D45">
        <v>125074</v>
      </c>
      <c r="E45">
        <v>2015</v>
      </c>
      <c r="F45">
        <v>7</v>
      </c>
      <c r="G45">
        <v>0</v>
      </c>
      <c r="I45" t="s">
        <v>78</v>
      </c>
      <c r="J45">
        <v>10</v>
      </c>
      <c r="K45">
        <f t="shared" si="23"/>
        <v>2025</v>
      </c>
      <c r="N45">
        <v>5978.5</v>
      </c>
      <c r="P45">
        <f t="shared" si="24"/>
        <v>5978.5</v>
      </c>
      <c r="Q45">
        <f t="shared" si="25"/>
        <v>49.820833333333333</v>
      </c>
      <c r="R45">
        <f>IF(O45&gt;0,0,IF(OR(AD45&gt;AE45,AF45&lt;AG45),0,IF(AND(AF45&gt;=AG45,AF45&lt;=AE45),Q45*((AF45-AG45)*12),IF(AND(AG45&lt;=AD45,AE45&gt;=AD45),((AE45-AD45)*12)*Q45,IF(AF45&gt;AE45,12*Q45,0)))))</f>
        <v>0</v>
      </c>
      <c r="S45">
        <f>IF(O45=0,0,IF(AND(AH45&gt;=AG45,AH45&lt;=AF45),((AH45-AG45)*12)*Q45,0))</f>
        <v>0</v>
      </c>
      <c r="T45">
        <f>IF(S45&gt;0,S45,R45)</f>
        <v>0</v>
      </c>
      <c r="U45">
        <v>1</v>
      </c>
      <c r="V45">
        <f>U45*SUM(R45:S45)</f>
        <v>0</v>
      </c>
      <c r="X45">
        <f>IF(AD45&gt;AE45,0,IF(AF45&lt;AG45,P45,IF(AND(AF45&gt;=AG45,AF45&lt;=AE45),(P45-T45),IF(AND(AG45&lt;=AD45,AE45&gt;=AD45),0,IF(AF45&gt;AE45,((AG45-AD45)*12)*Q45,0)))))</f>
        <v>5978.5</v>
      </c>
      <c r="Y45">
        <f>X45*U45</f>
        <v>5978.5</v>
      </c>
      <c r="Z45">
        <v>1</v>
      </c>
      <c r="AA45">
        <f>Y45*Z45</f>
        <v>5978.5</v>
      </c>
      <c r="AB45">
        <f>IF(O45&gt;0,0,AA45+V45*Z45)*Z45</f>
        <v>5978.5</v>
      </c>
      <c r="AC45">
        <f>IF(O45&gt;0,(N45-AA45)/2,IF(AD45&gt;=AG45,(((N45*U45)*Z45)-AB45)/2,((((N45*U45)*Z45)-AA45)+(((N45*U45)*Z45)-AB45))/2))</f>
        <v>0</v>
      </c>
      <c r="AD45">
        <f t="shared" si="35"/>
        <v>2015.5</v>
      </c>
      <c r="AE45">
        <f t="shared" si="36"/>
        <v>2020</v>
      </c>
      <c r="AF45">
        <f t="shared" si="37"/>
        <v>2025.5</v>
      </c>
      <c r="AG45">
        <f t="shared" si="38"/>
        <v>2187.1666666666665</v>
      </c>
      <c r="AH45">
        <f t="shared" si="39"/>
        <v>-8.3333333333333329E-2</v>
      </c>
      <c r="AJ45">
        <f t="shared" si="40"/>
        <v>0</v>
      </c>
      <c r="AL45">
        <f t="shared" si="41"/>
        <v>0</v>
      </c>
      <c r="AN45">
        <f t="shared" si="42"/>
        <v>0</v>
      </c>
      <c r="AP45">
        <f t="shared" si="43"/>
        <v>0</v>
      </c>
      <c r="AR45">
        <f t="shared" si="44"/>
        <v>0</v>
      </c>
    </row>
    <row r="46" spans="3:44">
      <c r="C46" t="s">
        <v>607</v>
      </c>
      <c r="D46">
        <v>169402</v>
      </c>
      <c r="E46">
        <v>2016</v>
      </c>
      <c r="F46">
        <v>8</v>
      </c>
      <c r="G46">
        <v>0</v>
      </c>
      <c r="I46" t="s">
        <v>78</v>
      </c>
      <c r="J46">
        <v>10</v>
      </c>
      <c r="K46">
        <f>E46+J46</f>
        <v>2026</v>
      </c>
      <c r="N46">
        <v>27577.19</v>
      </c>
      <c r="P46">
        <f>N46-N46*G46</f>
        <v>27577.19</v>
      </c>
      <c r="Q46">
        <f>P46/J46/12</f>
        <v>229.80991666666668</v>
      </c>
      <c r="R46">
        <f>IF(O46&gt;0,0,IF(OR(AD46&gt;AE46,AF46&lt;AG46),0,IF(AND(AF46&gt;=AG46,AF46&lt;=AE46),Q46*((AF46-AG46)*12),IF(AND(AG46&lt;=AD46,AE46&gt;=AD46),((AE46-AD46)*12)*Q46,IF(AF46&gt;AE46,12*Q46,0)))))</f>
        <v>0</v>
      </c>
      <c r="S46">
        <f>IF(O46=0,0,IF(AND(AH46&gt;=AG46,AH46&lt;=AF46),((AH46-AG46)*12)*Q46,0))</f>
        <v>0</v>
      </c>
      <c r="T46">
        <f>IF(S46&gt;0,S46,R46)</f>
        <v>0</v>
      </c>
      <c r="U46">
        <v>1</v>
      </c>
      <c r="V46">
        <f>U46*SUM(R46:S46)</f>
        <v>0</v>
      </c>
      <c r="X46">
        <f>IF(AD46&gt;AE46,0,IF(AF46&lt;AG46,P46,IF(AND(AF46&gt;=AG46,AF46&lt;=AE46),(P46-T46),IF(AND(AG46&lt;=AD46,AE46&gt;=AD46),0,IF(AF46&gt;AE46,((AG46-AD46)*12)*Q46,0)))))</f>
        <v>27577.19</v>
      </c>
      <c r="Y46">
        <f>X46*U46</f>
        <v>27577.19</v>
      </c>
      <c r="Z46">
        <v>1</v>
      </c>
      <c r="AA46">
        <f>Y46*Z46</f>
        <v>27577.19</v>
      </c>
      <c r="AB46">
        <f>IF(O46&gt;0,0,AA46+V46*Z46)*Z46</f>
        <v>27577.19</v>
      </c>
      <c r="AC46">
        <f>IF(O46&gt;0,(N46-AA46)/2,IF(AD46&gt;=AG46,(((N46*U46)*Z46)-AB46)/2,((((N46*U46)*Z46)-AA46)+(((N46*U46)*Z46)-AB46))/2))</f>
        <v>0</v>
      </c>
      <c r="AD46">
        <f t="shared" si="35"/>
        <v>2016.5833333333333</v>
      </c>
      <c r="AE46">
        <f t="shared" si="36"/>
        <v>2020</v>
      </c>
      <c r="AF46">
        <f t="shared" si="37"/>
        <v>2026.5833333333333</v>
      </c>
      <c r="AG46">
        <f t="shared" si="38"/>
        <v>2187.1666666666665</v>
      </c>
      <c r="AH46">
        <f t="shared" si="39"/>
        <v>-8.3333333333333329E-2</v>
      </c>
      <c r="AJ46">
        <f t="shared" si="40"/>
        <v>0</v>
      </c>
      <c r="AL46">
        <f t="shared" si="41"/>
        <v>0</v>
      </c>
      <c r="AN46">
        <f t="shared" si="42"/>
        <v>0</v>
      </c>
      <c r="AP46">
        <f t="shared" si="43"/>
        <v>0</v>
      </c>
      <c r="AR46">
        <f t="shared" si="44"/>
        <v>0</v>
      </c>
    </row>
    <row r="47" spans="3:44">
      <c r="C47" t="s">
        <v>316</v>
      </c>
    </row>
    <row r="48" spans="3:44">
      <c r="C48" t="s">
        <v>177</v>
      </c>
      <c r="N48">
        <f>SUM(N27:N47)</f>
        <v>2660769.8699999996</v>
      </c>
      <c r="O48">
        <f t="shared" ref="O48:AB48" si="45">SUM(O27:O47)</f>
        <v>0</v>
      </c>
      <c r="P48">
        <f t="shared" si="45"/>
        <v>2660769.8699999996</v>
      </c>
      <c r="Q48">
        <f t="shared" si="45"/>
        <v>13511.494262820514</v>
      </c>
      <c r="R48">
        <f t="shared" si="45"/>
        <v>0</v>
      </c>
      <c r="T48">
        <f t="shared" si="45"/>
        <v>0</v>
      </c>
      <c r="V48">
        <f t="shared" si="45"/>
        <v>0</v>
      </c>
      <c r="X48">
        <f>SUM(X27:X47)</f>
        <v>2660769.8699999996</v>
      </c>
      <c r="Y48">
        <f t="shared" si="45"/>
        <v>2660769.8699999996</v>
      </c>
      <c r="AA48">
        <f t="shared" si="45"/>
        <v>2660769.8699999996</v>
      </c>
      <c r="AB48">
        <f t="shared" si="45"/>
        <v>2660769.8699999996</v>
      </c>
      <c r="AC48">
        <f>SUM(AC27:AC47)</f>
        <v>0</v>
      </c>
      <c r="AJ48">
        <f t="shared" ref="AJ48:AR48" si="46">SUM(AJ27:AJ47)</f>
        <v>0</v>
      </c>
      <c r="AK48">
        <f t="shared" si="46"/>
        <v>0</v>
      </c>
      <c r="AL48">
        <f t="shared" si="46"/>
        <v>0</v>
      </c>
      <c r="AM48">
        <f t="shared" si="46"/>
        <v>0</v>
      </c>
      <c r="AN48">
        <f t="shared" si="46"/>
        <v>0</v>
      </c>
      <c r="AO48">
        <f t="shared" si="46"/>
        <v>0</v>
      </c>
      <c r="AP48">
        <f t="shared" si="46"/>
        <v>0</v>
      </c>
      <c r="AQ48">
        <f t="shared" si="46"/>
        <v>0</v>
      </c>
      <c r="AR48">
        <f t="shared" si="46"/>
        <v>0</v>
      </c>
    </row>
    <row r="49" spans="2:44">
      <c r="C49" t="s">
        <v>316</v>
      </c>
    </row>
    <row r="50" spans="2:44">
      <c r="C50" t="s">
        <v>316</v>
      </c>
    </row>
    <row r="51" spans="2:44">
      <c r="C51" t="s">
        <v>265</v>
      </c>
    </row>
    <row r="52" spans="2:44">
      <c r="C52" t="s">
        <v>316</v>
      </c>
    </row>
    <row r="53" spans="2:44">
      <c r="C53" t="s">
        <v>359</v>
      </c>
      <c r="E53">
        <v>1992</v>
      </c>
      <c r="F53">
        <v>1</v>
      </c>
      <c r="G53">
        <v>0</v>
      </c>
      <c r="I53" t="s">
        <v>78</v>
      </c>
      <c r="J53" t="s">
        <v>9</v>
      </c>
      <c r="K53">
        <f t="shared" ref="K53:K104" si="47">E53+J53</f>
        <v>2002</v>
      </c>
      <c r="N53">
        <v>10411</v>
      </c>
      <c r="O53">
        <v>0</v>
      </c>
      <c r="P53">
        <f t="shared" ref="P53:P102" si="48">N53-N53*G53</f>
        <v>10411</v>
      </c>
      <c r="Q53">
        <f t="shared" ref="Q53:Q102" si="49">P53/J53/12</f>
        <v>86.758333333333326</v>
      </c>
      <c r="R53">
        <f t="shared" ref="R53:R102" si="50">IF(O53&gt;0,0,IF(OR(AD53&gt;AE53,AF53&lt;AG53),0,IF(AND(AF53&gt;=AG53,AF53&lt;=AE53),Q53*((AF53-AG53)*12),IF(AND(AG53&lt;=AD53,AE53&gt;=AD53),((AE53-AD53)*12)*Q53,IF(AF53&gt;AE53,12*Q53,0)))))</f>
        <v>0</v>
      </c>
      <c r="S53">
        <f t="shared" ref="S53:S102" si="51">IF(O53=0,0,IF(AND(AH53&gt;=AG53,AH53&lt;=AF53),((AH53-AG53)*12)*Q53,0))</f>
        <v>0</v>
      </c>
      <c r="T53">
        <f t="shared" ref="T53:T102" si="52">IF(S53&gt;0,S53,R53)</f>
        <v>0</v>
      </c>
      <c r="U53">
        <v>1</v>
      </c>
      <c r="V53">
        <f t="shared" ref="V53:V102" si="53">U53*SUM(R53:S53)</f>
        <v>0</v>
      </c>
      <c r="X53">
        <f t="shared" ref="X53:X102" si="54">IF(AD53&gt;AE53,0,IF(AF53&lt;AG53,P53,IF(AND(AF53&gt;=AG53,AF53&lt;=AE53),(P53-T53),IF(AND(AG53&lt;=AD53,AE53&gt;=AD53),0,IF(AF53&gt;AE53,((AG53-AD53)*12)*Q53,0)))))</f>
        <v>10411</v>
      </c>
      <c r="Y53">
        <f t="shared" ref="Y53:Y102" si="55">X53*U53</f>
        <v>10411</v>
      </c>
      <c r="Z53">
        <v>1</v>
      </c>
      <c r="AA53">
        <f t="shared" ref="AA53:AA102" si="56">Y53*Z53</f>
        <v>10411</v>
      </c>
      <c r="AB53">
        <f t="shared" ref="AB53:AB102" si="57">IF(O53&gt;0,0,AA53+V53*Z53)*Z53</f>
        <v>10411</v>
      </c>
      <c r="AC53">
        <f t="shared" ref="AC53:AC102" si="58">IF(O53&gt;0,(N53-AA53)/2,IF(AD53&gt;=AG53,(((N53*U53)*Z53)-AB53)/2,((((N53*U53)*Z53)-AA53)+(((N53*U53)*Z53)-AB53))/2))</f>
        <v>0</v>
      </c>
      <c r="AD53">
        <f t="shared" ref="AD53:AD105" si="59">$E53+(($F53-1)/12)</f>
        <v>1992</v>
      </c>
      <c r="AE53">
        <f t="shared" ref="AE53:AE105" si="60">($P$5+1)-($P$2/12)</f>
        <v>2020</v>
      </c>
      <c r="AF53">
        <f t="shared" ref="AF53:AF105" si="61">$K53+(($F53-1)/12)</f>
        <v>2002</v>
      </c>
      <c r="AG53">
        <f t="shared" ref="AG53:AG105" si="62">$P$4+($P$3/12)</f>
        <v>2187.1666666666665</v>
      </c>
      <c r="AH53">
        <f t="shared" ref="AH53:AH105" si="63">$L53+(($M53-1)/12)</f>
        <v>-8.3333333333333329E-2</v>
      </c>
      <c r="AJ53">
        <f>+IF((AF53-AG53)&gt;3,((N53-P53)/(AF53-AG53)),(N53-P53)/3)</f>
        <v>0</v>
      </c>
      <c r="AL53">
        <f>+AJ53+V53</f>
        <v>0</v>
      </c>
      <c r="AN53">
        <f>+IF(AF53&lt;AG53,-AC53,0)</f>
        <v>0</v>
      </c>
      <c r="AP53">
        <f>IF(AF53&gt;AG53,IF(AJ53&gt;0,IF(O53&gt;0,(N53-AA53)/2,IF(AD53&gt;=AG53,(((N53*U53)*Z53)-(AB53+AJ53))/2,((((N53*U53)*Z53)-AA53)+(((N53*U53)*Z53)-(AB53+AJ53)))/2)),0),0)</f>
        <v>0</v>
      </c>
      <c r="AR53">
        <f>+AC53+AN53+(IF(AP53&gt;0,(AP53-AC53),0))</f>
        <v>0</v>
      </c>
    </row>
    <row r="54" spans="2:44">
      <c r="C54" t="s">
        <v>113</v>
      </c>
      <c r="E54">
        <v>1992</v>
      </c>
      <c r="F54">
        <v>6</v>
      </c>
      <c r="G54">
        <v>0</v>
      </c>
      <c r="I54" t="s">
        <v>78</v>
      </c>
      <c r="J54">
        <v>5</v>
      </c>
      <c r="K54">
        <f t="shared" si="47"/>
        <v>1997</v>
      </c>
      <c r="N54">
        <v>179873</v>
      </c>
      <c r="O54">
        <v>0</v>
      </c>
      <c r="P54">
        <f t="shared" si="48"/>
        <v>179873</v>
      </c>
      <c r="Q54">
        <f t="shared" si="49"/>
        <v>2997.8833333333332</v>
      </c>
      <c r="R54">
        <f t="shared" si="50"/>
        <v>0</v>
      </c>
      <c r="S54">
        <f t="shared" si="51"/>
        <v>0</v>
      </c>
      <c r="T54">
        <f t="shared" si="52"/>
        <v>0</v>
      </c>
      <c r="U54">
        <v>1</v>
      </c>
      <c r="V54">
        <f t="shared" si="53"/>
        <v>0</v>
      </c>
      <c r="X54">
        <f t="shared" si="54"/>
        <v>179873</v>
      </c>
      <c r="Y54">
        <f t="shared" si="55"/>
        <v>179873</v>
      </c>
      <c r="Z54">
        <v>1</v>
      </c>
      <c r="AA54">
        <f t="shared" si="56"/>
        <v>179873</v>
      </c>
      <c r="AB54">
        <f t="shared" si="57"/>
        <v>179873</v>
      </c>
      <c r="AC54">
        <f t="shared" si="58"/>
        <v>0</v>
      </c>
      <c r="AD54">
        <f t="shared" si="59"/>
        <v>1992.4166666666667</v>
      </c>
      <c r="AE54">
        <f t="shared" si="60"/>
        <v>2020</v>
      </c>
      <c r="AF54">
        <f t="shared" si="61"/>
        <v>1997.4166666666667</v>
      </c>
      <c r="AG54">
        <f t="shared" si="62"/>
        <v>2187.1666666666665</v>
      </c>
      <c r="AH54">
        <f t="shared" si="63"/>
        <v>-8.3333333333333329E-2</v>
      </c>
      <c r="AJ54">
        <f t="shared" ref="AJ54:AJ105" si="64">+IF((AF54-AG54)&gt;3,((N54-P54)/(AF54-AG54)),(N54-P54)/3)</f>
        <v>0</v>
      </c>
      <c r="AL54">
        <f t="shared" ref="AL54:AL105" si="65">+AJ54+V54</f>
        <v>0</v>
      </c>
      <c r="AN54">
        <f t="shared" ref="AN54:AN105" si="66">+IF(AF54&lt;AG54,-AC54,0)</f>
        <v>0</v>
      </c>
      <c r="AP54">
        <f t="shared" ref="AP54:AP105" si="67">IF(AF54&gt;AG54,IF(AJ54&gt;0,IF(O54&gt;0,(N54-AA54)/2,IF(AD54&gt;=AG54,(((N54*U54)*Z54)-(AB54+AJ54))/2,((((N54*U54)*Z54)-AA54)+(((N54*U54)*Z54)-(AB54+AJ54)))/2)),0),0)</f>
        <v>0</v>
      </c>
      <c r="AR54">
        <f t="shared" ref="AR54:AR105" si="68">+AC54+AN54+(IF(AP54&gt;0,(AP54-AC54),0))</f>
        <v>0</v>
      </c>
    </row>
    <row r="55" spans="2:44">
      <c r="B55">
        <v>9243</v>
      </c>
      <c r="C55" t="s">
        <v>345</v>
      </c>
      <c r="E55">
        <v>1995</v>
      </c>
      <c r="F55">
        <v>8</v>
      </c>
      <c r="G55">
        <v>0.2</v>
      </c>
      <c r="I55" t="s">
        <v>78</v>
      </c>
      <c r="J55">
        <v>7</v>
      </c>
      <c r="K55">
        <f>E55+J55</f>
        <v>2002</v>
      </c>
      <c r="N55">
        <v>11060</v>
      </c>
      <c r="O55">
        <v>0</v>
      </c>
      <c r="P55">
        <f>N55-N55*G55</f>
        <v>8848</v>
      </c>
      <c r="Q55">
        <f>P55/J55/12</f>
        <v>105.33333333333333</v>
      </c>
      <c r="R55">
        <f>IF(O55&gt;0,0,IF(OR(AD55&gt;AE55,AF55&lt;AG55),0,IF(AND(AF55&gt;=AG55,AF55&lt;=AE55),Q55*((AF55-AG55)*12),IF(AND(AG55&lt;=AD55,AE55&gt;=AD55),((AE55-AD55)*12)*Q55,IF(AF55&gt;AE55,12*Q55,0)))))</f>
        <v>0</v>
      </c>
      <c r="S55">
        <f>IF(O55=0,0,IF(AND(AH55&gt;=AG55,AH55&lt;=AF55),((AH55-AG55)*12)*Q55,0))</f>
        <v>0</v>
      </c>
      <c r="T55">
        <f>IF(S55&gt;0,S55,R55)</f>
        <v>0</v>
      </c>
      <c r="U55">
        <v>1</v>
      </c>
      <c r="V55">
        <f>U55*SUM(R55:S55)</f>
        <v>0</v>
      </c>
      <c r="X55">
        <f>IF(AD55&gt;AE55,0,IF(AF55&lt;AG55,P55,IF(AND(AF55&gt;=AG55,AF55&lt;=AE55),(P55-T55),IF(AND(AG55&lt;=AD55,AE55&gt;=AD55),0,IF(AF55&gt;AE55,((AG55-AD55)*12)*Q55,0)))))</f>
        <v>8848</v>
      </c>
      <c r="Y55">
        <f>X55*U55</f>
        <v>8848</v>
      </c>
      <c r="Z55">
        <v>1</v>
      </c>
      <c r="AA55">
        <f>Y55*Z55</f>
        <v>8848</v>
      </c>
      <c r="AB55">
        <f>IF(O55&gt;0,0,AA55+V55*Z55)*Z55</f>
        <v>8848</v>
      </c>
      <c r="AC55">
        <f>IF(O55&gt;0,(N55-AA55)/2,IF(AD55&gt;=AG55,(((N55*U55)*Z55)-AB55)/2,((((N55*U55)*Z55)-AA55)+(((N55*U55)*Z55)-AB55))/2))</f>
        <v>2212</v>
      </c>
      <c r="AD55">
        <f>$E55+(($F55-1)/12)</f>
        <v>1995.5833333333333</v>
      </c>
      <c r="AE55">
        <f>($P$5+1)-($P$2/12)</f>
        <v>2020</v>
      </c>
      <c r="AF55">
        <f>$K55+(($F55-1)/12)</f>
        <v>2002.5833333333333</v>
      </c>
      <c r="AG55">
        <f>$P$4+($P$3/12)</f>
        <v>2187.1666666666665</v>
      </c>
      <c r="AH55">
        <f>$L55+(($M55-1)/12)</f>
        <v>-8.3333333333333329E-2</v>
      </c>
      <c r="AJ55">
        <f t="shared" si="64"/>
        <v>737.33333333333337</v>
      </c>
      <c r="AL55">
        <f t="shared" si="65"/>
        <v>737.33333333333337</v>
      </c>
      <c r="AN55">
        <f t="shared" si="66"/>
        <v>-2212</v>
      </c>
      <c r="AP55">
        <f t="shared" si="67"/>
        <v>0</v>
      </c>
      <c r="AR55">
        <f t="shared" si="68"/>
        <v>0</v>
      </c>
    </row>
    <row r="56" spans="2:44">
      <c r="C56" t="s">
        <v>360</v>
      </c>
      <c r="E56">
        <v>1996</v>
      </c>
      <c r="F56">
        <v>11</v>
      </c>
      <c r="G56">
        <v>0</v>
      </c>
      <c r="I56" t="s">
        <v>78</v>
      </c>
      <c r="J56">
        <v>5</v>
      </c>
      <c r="K56">
        <f t="shared" si="47"/>
        <v>2001</v>
      </c>
      <c r="N56">
        <v>14553</v>
      </c>
      <c r="O56">
        <v>0</v>
      </c>
      <c r="P56">
        <f t="shared" si="48"/>
        <v>14553</v>
      </c>
      <c r="Q56">
        <f t="shared" si="49"/>
        <v>242.54999999999998</v>
      </c>
      <c r="R56">
        <f t="shared" si="50"/>
        <v>0</v>
      </c>
      <c r="S56">
        <f t="shared" si="51"/>
        <v>0</v>
      </c>
      <c r="T56">
        <f t="shared" si="52"/>
        <v>0</v>
      </c>
      <c r="U56">
        <v>1</v>
      </c>
      <c r="V56">
        <f t="shared" si="53"/>
        <v>0</v>
      </c>
      <c r="X56">
        <f t="shared" si="54"/>
        <v>14553</v>
      </c>
      <c r="Y56">
        <f t="shared" si="55"/>
        <v>14553</v>
      </c>
      <c r="Z56">
        <v>1</v>
      </c>
      <c r="AA56">
        <f t="shared" si="56"/>
        <v>14553</v>
      </c>
      <c r="AB56">
        <f t="shared" si="57"/>
        <v>14553</v>
      </c>
      <c r="AC56">
        <f t="shared" si="58"/>
        <v>0</v>
      </c>
      <c r="AD56">
        <f t="shared" si="59"/>
        <v>1996.8333333333333</v>
      </c>
      <c r="AE56">
        <f t="shared" si="60"/>
        <v>2020</v>
      </c>
      <c r="AF56">
        <f t="shared" si="61"/>
        <v>2001.8333333333333</v>
      </c>
      <c r="AG56">
        <f t="shared" si="62"/>
        <v>2187.1666666666665</v>
      </c>
      <c r="AH56">
        <f t="shared" si="63"/>
        <v>-8.3333333333333329E-2</v>
      </c>
      <c r="AJ56">
        <f t="shared" si="64"/>
        <v>0</v>
      </c>
      <c r="AL56">
        <f t="shared" si="65"/>
        <v>0</v>
      </c>
      <c r="AN56">
        <f t="shared" si="66"/>
        <v>0</v>
      </c>
      <c r="AP56">
        <f t="shared" si="67"/>
        <v>0</v>
      </c>
      <c r="AR56">
        <f t="shared" si="68"/>
        <v>0</v>
      </c>
    </row>
    <row r="57" spans="2:44">
      <c r="C57" t="s">
        <v>116</v>
      </c>
      <c r="E57">
        <v>1997</v>
      </c>
      <c r="F57">
        <v>10</v>
      </c>
      <c r="G57">
        <v>0</v>
      </c>
      <c r="I57" t="s">
        <v>78</v>
      </c>
      <c r="J57">
        <v>5</v>
      </c>
      <c r="K57">
        <f t="shared" si="47"/>
        <v>2002</v>
      </c>
      <c r="N57">
        <v>4035.74</v>
      </c>
      <c r="O57">
        <v>0</v>
      </c>
      <c r="P57">
        <f t="shared" si="48"/>
        <v>4035.74</v>
      </c>
      <c r="Q57">
        <f t="shared" si="49"/>
        <v>67.262333333333331</v>
      </c>
      <c r="R57">
        <f t="shared" si="50"/>
        <v>0</v>
      </c>
      <c r="S57">
        <f t="shared" si="51"/>
        <v>0</v>
      </c>
      <c r="T57">
        <f t="shared" si="52"/>
        <v>0</v>
      </c>
      <c r="U57">
        <v>1</v>
      </c>
      <c r="V57">
        <f t="shared" si="53"/>
        <v>0</v>
      </c>
      <c r="X57">
        <f t="shared" si="54"/>
        <v>4035.74</v>
      </c>
      <c r="Y57">
        <f t="shared" si="55"/>
        <v>4035.74</v>
      </c>
      <c r="Z57">
        <v>1</v>
      </c>
      <c r="AA57">
        <f t="shared" si="56"/>
        <v>4035.74</v>
      </c>
      <c r="AB57">
        <f t="shared" si="57"/>
        <v>4035.74</v>
      </c>
      <c r="AC57">
        <f t="shared" si="58"/>
        <v>0</v>
      </c>
      <c r="AD57">
        <f t="shared" si="59"/>
        <v>1997.75</v>
      </c>
      <c r="AE57">
        <f t="shared" si="60"/>
        <v>2020</v>
      </c>
      <c r="AF57">
        <f t="shared" si="61"/>
        <v>2002.75</v>
      </c>
      <c r="AG57">
        <f t="shared" si="62"/>
        <v>2187.1666666666665</v>
      </c>
      <c r="AH57">
        <f t="shared" si="63"/>
        <v>-8.3333333333333329E-2</v>
      </c>
      <c r="AJ57">
        <f t="shared" si="64"/>
        <v>0</v>
      </c>
      <c r="AL57">
        <f t="shared" si="65"/>
        <v>0</v>
      </c>
      <c r="AN57">
        <f t="shared" si="66"/>
        <v>0</v>
      </c>
      <c r="AP57">
        <f t="shared" si="67"/>
        <v>0</v>
      </c>
      <c r="AR57">
        <f t="shared" si="68"/>
        <v>0</v>
      </c>
    </row>
    <row r="58" spans="2:44">
      <c r="C58" t="s">
        <v>358</v>
      </c>
      <c r="E58">
        <v>1997</v>
      </c>
      <c r="F58">
        <v>3</v>
      </c>
      <c r="G58">
        <v>0</v>
      </c>
      <c r="I58" t="s">
        <v>78</v>
      </c>
      <c r="J58">
        <v>5</v>
      </c>
      <c r="K58">
        <f t="shared" si="47"/>
        <v>2002</v>
      </c>
      <c r="N58">
        <v>1188</v>
      </c>
      <c r="O58">
        <v>0</v>
      </c>
      <c r="P58">
        <f t="shared" si="48"/>
        <v>1188</v>
      </c>
      <c r="Q58">
        <f t="shared" si="49"/>
        <v>19.8</v>
      </c>
      <c r="R58">
        <f t="shared" si="50"/>
        <v>0</v>
      </c>
      <c r="S58">
        <f t="shared" si="51"/>
        <v>0</v>
      </c>
      <c r="T58">
        <f t="shared" si="52"/>
        <v>0</v>
      </c>
      <c r="U58">
        <v>1</v>
      </c>
      <c r="V58">
        <f t="shared" si="53"/>
        <v>0</v>
      </c>
      <c r="X58">
        <f t="shared" si="54"/>
        <v>1188</v>
      </c>
      <c r="Y58">
        <f t="shared" si="55"/>
        <v>1188</v>
      </c>
      <c r="Z58">
        <v>1</v>
      </c>
      <c r="AA58">
        <f t="shared" si="56"/>
        <v>1188</v>
      </c>
      <c r="AB58">
        <f t="shared" si="57"/>
        <v>1188</v>
      </c>
      <c r="AC58">
        <f t="shared" si="58"/>
        <v>0</v>
      </c>
      <c r="AD58">
        <f t="shared" si="59"/>
        <v>1997.1666666666667</v>
      </c>
      <c r="AE58">
        <f t="shared" si="60"/>
        <v>2020</v>
      </c>
      <c r="AF58">
        <f t="shared" si="61"/>
        <v>2002.1666666666667</v>
      </c>
      <c r="AG58">
        <f t="shared" si="62"/>
        <v>2187.1666666666665</v>
      </c>
      <c r="AH58">
        <f t="shared" si="63"/>
        <v>-8.3333333333333329E-2</v>
      </c>
      <c r="AJ58">
        <f t="shared" si="64"/>
        <v>0</v>
      </c>
      <c r="AL58">
        <f t="shared" si="65"/>
        <v>0</v>
      </c>
      <c r="AN58">
        <f t="shared" si="66"/>
        <v>0</v>
      </c>
      <c r="AP58">
        <f t="shared" si="67"/>
        <v>0</v>
      </c>
      <c r="AR58">
        <f t="shared" si="68"/>
        <v>0</v>
      </c>
    </row>
    <row r="59" spans="2:44">
      <c r="C59" t="s">
        <v>220</v>
      </c>
      <c r="E59">
        <v>1998</v>
      </c>
      <c r="F59">
        <v>3</v>
      </c>
      <c r="G59">
        <v>0</v>
      </c>
      <c r="I59" t="s">
        <v>78</v>
      </c>
      <c r="J59">
        <v>5</v>
      </c>
      <c r="K59">
        <f t="shared" si="47"/>
        <v>2003</v>
      </c>
      <c r="N59">
        <v>6910.5</v>
      </c>
      <c r="O59">
        <v>0</v>
      </c>
      <c r="P59">
        <f t="shared" si="48"/>
        <v>6910.5</v>
      </c>
      <c r="Q59">
        <f t="shared" si="49"/>
        <v>115.175</v>
      </c>
      <c r="R59">
        <f t="shared" si="50"/>
        <v>0</v>
      </c>
      <c r="S59">
        <f t="shared" si="51"/>
        <v>0</v>
      </c>
      <c r="T59">
        <f t="shared" si="52"/>
        <v>0</v>
      </c>
      <c r="U59">
        <v>1</v>
      </c>
      <c r="V59">
        <f t="shared" si="53"/>
        <v>0</v>
      </c>
      <c r="X59">
        <f t="shared" si="54"/>
        <v>6910.5</v>
      </c>
      <c r="Y59">
        <f t="shared" si="55"/>
        <v>6910.5</v>
      </c>
      <c r="Z59">
        <v>1</v>
      </c>
      <c r="AA59">
        <f t="shared" si="56"/>
        <v>6910.5</v>
      </c>
      <c r="AB59">
        <f t="shared" si="57"/>
        <v>6910.5</v>
      </c>
      <c r="AC59">
        <f t="shared" si="58"/>
        <v>0</v>
      </c>
      <c r="AD59">
        <f t="shared" si="59"/>
        <v>1998.1666666666667</v>
      </c>
      <c r="AE59">
        <f t="shared" si="60"/>
        <v>2020</v>
      </c>
      <c r="AF59">
        <f t="shared" si="61"/>
        <v>2003.1666666666667</v>
      </c>
      <c r="AG59">
        <f t="shared" si="62"/>
        <v>2187.1666666666665</v>
      </c>
      <c r="AH59">
        <f t="shared" si="63"/>
        <v>-8.3333333333333329E-2</v>
      </c>
      <c r="AJ59">
        <f t="shared" si="64"/>
        <v>0</v>
      </c>
      <c r="AL59">
        <f t="shared" si="65"/>
        <v>0</v>
      </c>
      <c r="AN59">
        <f t="shared" si="66"/>
        <v>0</v>
      </c>
      <c r="AP59">
        <f t="shared" si="67"/>
        <v>0</v>
      </c>
      <c r="AR59">
        <f t="shared" si="68"/>
        <v>0</v>
      </c>
    </row>
    <row r="60" spans="2:44">
      <c r="C60" t="s">
        <v>357</v>
      </c>
      <c r="E60">
        <v>1998</v>
      </c>
      <c r="F60">
        <v>2</v>
      </c>
      <c r="G60">
        <v>0</v>
      </c>
      <c r="I60" t="s">
        <v>78</v>
      </c>
      <c r="J60">
        <v>5</v>
      </c>
      <c r="K60">
        <f t="shared" si="47"/>
        <v>2003</v>
      </c>
      <c r="N60">
        <v>130000</v>
      </c>
      <c r="O60">
        <v>0</v>
      </c>
      <c r="P60">
        <f t="shared" si="48"/>
        <v>130000</v>
      </c>
      <c r="Q60">
        <f t="shared" si="49"/>
        <v>2166.6666666666665</v>
      </c>
      <c r="R60">
        <f t="shared" si="50"/>
        <v>0</v>
      </c>
      <c r="S60">
        <f t="shared" si="51"/>
        <v>0</v>
      </c>
      <c r="T60">
        <f t="shared" si="52"/>
        <v>0</v>
      </c>
      <c r="U60">
        <v>1</v>
      </c>
      <c r="V60">
        <f t="shared" si="53"/>
        <v>0</v>
      </c>
      <c r="X60">
        <f t="shared" si="54"/>
        <v>130000</v>
      </c>
      <c r="Y60">
        <f t="shared" si="55"/>
        <v>130000</v>
      </c>
      <c r="Z60">
        <v>1</v>
      </c>
      <c r="AA60">
        <f t="shared" si="56"/>
        <v>130000</v>
      </c>
      <c r="AB60">
        <f t="shared" si="57"/>
        <v>130000</v>
      </c>
      <c r="AC60">
        <f t="shared" si="58"/>
        <v>0</v>
      </c>
      <c r="AD60">
        <f t="shared" si="59"/>
        <v>1998.0833333333333</v>
      </c>
      <c r="AE60">
        <f t="shared" si="60"/>
        <v>2020</v>
      </c>
      <c r="AF60">
        <f t="shared" si="61"/>
        <v>2003.0833333333333</v>
      </c>
      <c r="AG60">
        <f t="shared" si="62"/>
        <v>2187.1666666666665</v>
      </c>
      <c r="AH60">
        <f t="shared" si="63"/>
        <v>-8.3333333333333329E-2</v>
      </c>
      <c r="AJ60">
        <f t="shared" si="64"/>
        <v>0</v>
      </c>
      <c r="AL60">
        <f t="shared" si="65"/>
        <v>0</v>
      </c>
      <c r="AN60">
        <f t="shared" si="66"/>
        <v>0</v>
      </c>
      <c r="AP60">
        <f t="shared" si="67"/>
        <v>0</v>
      </c>
      <c r="AR60">
        <f t="shared" si="68"/>
        <v>0</v>
      </c>
    </row>
    <row r="61" spans="2:44">
      <c r="C61" t="s">
        <v>117</v>
      </c>
      <c r="E61">
        <v>1998</v>
      </c>
      <c r="F61">
        <v>2</v>
      </c>
      <c r="G61">
        <v>0</v>
      </c>
      <c r="I61" t="s">
        <v>78</v>
      </c>
      <c r="J61">
        <v>5</v>
      </c>
      <c r="K61">
        <f t="shared" si="47"/>
        <v>2003</v>
      </c>
      <c r="N61">
        <v>85000</v>
      </c>
      <c r="O61">
        <v>0</v>
      </c>
      <c r="P61">
        <f t="shared" si="48"/>
        <v>85000</v>
      </c>
      <c r="Q61">
        <f t="shared" si="49"/>
        <v>1416.6666666666667</v>
      </c>
      <c r="R61">
        <f t="shared" si="50"/>
        <v>0</v>
      </c>
      <c r="S61">
        <f t="shared" si="51"/>
        <v>0</v>
      </c>
      <c r="T61">
        <f t="shared" si="52"/>
        <v>0</v>
      </c>
      <c r="U61">
        <v>1</v>
      </c>
      <c r="V61">
        <f t="shared" si="53"/>
        <v>0</v>
      </c>
      <c r="X61">
        <f t="shared" si="54"/>
        <v>85000</v>
      </c>
      <c r="Y61">
        <f t="shared" si="55"/>
        <v>85000</v>
      </c>
      <c r="Z61">
        <v>1</v>
      </c>
      <c r="AA61">
        <f t="shared" si="56"/>
        <v>85000</v>
      </c>
      <c r="AB61">
        <f t="shared" si="57"/>
        <v>85000</v>
      </c>
      <c r="AC61">
        <f t="shared" si="58"/>
        <v>0</v>
      </c>
      <c r="AD61">
        <f t="shared" si="59"/>
        <v>1998.0833333333333</v>
      </c>
      <c r="AE61">
        <f t="shared" si="60"/>
        <v>2020</v>
      </c>
      <c r="AF61">
        <f t="shared" si="61"/>
        <v>2003.0833333333333</v>
      </c>
      <c r="AG61">
        <f t="shared" si="62"/>
        <v>2187.1666666666665</v>
      </c>
      <c r="AH61">
        <f t="shared" si="63"/>
        <v>-8.3333333333333329E-2</v>
      </c>
      <c r="AJ61">
        <f t="shared" si="64"/>
        <v>0</v>
      </c>
      <c r="AL61">
        <f t="shared" si="65"/>
        <v>0</v>
      </c>
      <c r="AN61">
        <f t="shared" si="66"/>
        <v>0</v>
      </c>
      <c r="AP61">
        <f t="shared" si="67"/>
        <v>0</v>
      </c>
      <c r="AR61">
        <f t="shared" si="68"/>
        <v>0</v>
      </c>
    </row>
    <row r="62" spans="2:44">
      <c r="C62" t="s">
        <v>118</v>
      </c>
      <c r="E62">
        <v>1998</v>
      </c>
      <c r="F62">
        <v>2</v>
      </c>
      <c r="G62">
        <v>0</v>
      </c>
      <c r="I62" t="s">
        <v>78</v>
      </c>
      <c r="J62">
        <v>5</v>
      </c>
      <c r="K62">
        <f t="shared" si="47"/>
        <v>2003</v>
      </c>
      <c r="N62">
        <v>25000</v>
      </c>
      <c r="O62">
        <v>0</v>
      </c>
      <c r="P62">
        <f t="shared" si="48"/>
        <v>25000</v>
      </c>
      <c r="Q62">
        <f t="shared" si="49"/>
        <v>416.66666666666669</v>
      </c>
      <c r="R62">
        <f t="shared" si="50"/>
        <v>0</v>
      </c>
      <c r="S62">
        <f t="shared" si="51"/>
        <v>0</v>
      </c>
      <c r="T62">
        <f t="shared" si="52"/>
        <v>0</v>
      </c>
      <c r="U62">
        <v>1</v>
      </c>
      <c r="V62">
        <f t="shared" si="53"/>
        <v>0</v>
      </c>
      <c r="X62">
        <f t="shared" si="54"/>
        <v>25000</v>
      </c>
      <c r="Y62">
        <f t="shared" si="55"/>
        <v>25000</v>
      </c>
      <c r="Z62">
        <v>1</v>
      </c>
      <c r="AA62">
        <f t="shared" si="56"/>
        <v>25000</v>
      </c>
      <c r="AB62">
        <f t="shared" si="57"/>
        <v>25000</v>
      </c>
      <c r="AC62">
        <f t="shared" si="58"/>
        <v>0</v>
      </c>
      <c r="AD62">
        <f t="shared" si="59"/>
        <v>1998.0833333333333</v>
      </c>
      <c r="AE62">
        <f t="shared" si="60"/>
        <v>2020</v>
      </c>
      <c r="AF62">
        <f t="shared" si="61"/>
        <v>2003.0833333333333</v>
      </c>
      <c r="AG62">
        <f t="shared" si="62"/>
        <v>2187.1666666666665</v>
      </c>
      <c r="AH62">
        <f t="shared" si="63"/>
        <v>-8.3333333333333329E-2</v>
      </c>
      <c r="AJ62">
        <f t="shared" si="64"/>
        <v>0</v>
      </c>
      <c r="AL62">
        <f t="shared" si="65"/>
        <v>0</v>
      </c>
      <c r="AN62">
        <f t="shared" si="66"/>
        <v>0</v>
      </c>
      <c r="AP62">
        <f t="shared" si="67"/>
        <v>0</v>
      </c>
      <c r="AR62">
        <f t="shared" si="68"/>
        <v>0</v>
      </c>
    </row>
    <row r="63" spans="2:44">
      <c r="B63">
        <v>9206</v>
      </c>
      <c r="C63" t="s">
        <v>364</v>
      </c>
      <c r="E63">
        <v>1999</v>
      </c>
      <c r="F63">
        <v>12</v>
      </c>
      <c r="G63">
        <v>0.33</v>
      </c>
      <c r="I63" t="s">
        <v>78</v>
      </c>
      <c r="J63">
        <v>5</v>
      </c>
      <c r="K63">
        <f t="shared" si="47"/>
        <v>2004</v>
      </c>
      <c r="N63">
        <v>9180</v>
      </c>
      <c r="O63">
        <v>0</v>
      </c>
      <c r="P63">
        <f t="shared" si="48"/>
        <v>6150.6</v>
      </c>
      <c r="Q63">
        <f t="shared" si="49"/>
        <v>102.51</v>
      </c>
      <c r="R63">
        <f t="shared" si="50"/>
        <v>0</v>
      </c>
      <c r="S63">
        <f t="shared" si="51"/>
        <v>0</v>
      </c>
      <c r="T63">
        <f t="shared" si="52"/>
        <v>0</v>
      </c>
      <c r="U63">
        <v>1</v>
      </c>
      <c r="V63">
        <f t="shared" si="53"/>
        <v>0</v>
      </c>
      <c r="X63">
        <f t="shared" si="54"/>
        <v>6150.6</v>
      </c>
      <c r="Y63">
        <f t="shared" si="55"/>
        <v>6150.6</v>
      </c>
      <c r="Z63">
        <v>1</v>
      </c>
      <c r="AA63">
        <f t="shared" si="56"/>
        <v>6150.6</v>
      </c>
      <c r="AB63">
        <f t="shared" si="57"/>
        <v>6150.6</v>
      </c>
      <c r="AC63">
        <f t="shared" si="58"/>
        <v>3029.3999999999996</v>
      </c>
      <c r="AD63">
        <f t="shared" si="59"/>
        <v>1999.9166666666667</v>
      </c>
      <c r="AE63">
        <f t="shared" si="60"/>
        <v>2020</v>
      </c>
      <c r="AF63">
        <f t="shared" si="61"/>
        <v>2004.9166666666667</v>
      </c>
      <c r="AG63">
        <f t="shared" si="62"/>
        <v>2187.1666666666665</v>
      </c>
      <c r="AH63">
        <f t="shared" si="63"/>
        <v>-8.3333333333333329E-2</v>
      </c>
      <c r="AJ63">
        <f t="shared" si="64"/>
        <v>1009.7999999999998</v>
      </c>
      <c r="AL63">
        <f t="shared" si="65"/>
        <v>1009.7999999999998</v>
      </c>
      <c r="AN63">
        <f t="shared" si="66"/>
        <v>-3029.3999999999996</v>
      </c>
      <c r="AP63">
        <f t="shared" si="67"/>
        <v>0</v>
      </c>
      <c r="AR63">
        <f t="shared" si="68"/>
        <v>0</v>
      </c>
    </row>
    <row r="64" spans="2:44">
      <c r="C64" t="s">
        <v>121</v>
      </c>
      <c r="E64">
        <v>2000</v>
      </c>
      <c r="F64">
        <v>7</v>
      </c>
      <c r="G64">
        <v>0</v>
      </c>
      <c r="I64" t="s">
        <v>78</v>
      </c>
      <c r="J64" t="s">
        <v>9</v>
      </c>
      <c r="K64">
        <f t="shared" si="47"/>
        <v>2010</v>
      </c>
      <c r="N64">
        <v>412561.55</v>
      </c>
      <c r="O64">
        <v>0</v>
      </c>
      <c r="P64">
        <f t="shared" si="48"/>
        <v>412561.55</v>
      </c>
      <c r="Q64">
        <f t="shared" si="49"/>
        <v>3438.0129166666666</v>
      </c>
      <c r="R64">
        <f t="shared" si="50"/>
        <v>0</v>
      </c>
      <c r="S64">
        <f t="shared" si="51"/>
        <v>0</v>
      </c>
      <c r="T64">
        <f t="shared" si="52"/>
        <v>0</v>
      </c>
      <c r="U64">
        <v>1</v>
      </c>
      <c r="V64">
        <f t="shared" si="53"/>
        <v>0</v>
      </c>
      <c r="X64">
        <f t="shared" si="54"/>
        <v>412561.55</v>
      </c>
      <c r="Y64">
        <f t="shared" si="55"/>
        <v>412561.55</v>
      </c>
      <c r="Z64">
        <v>1</v>
      </c>
      <c r="AA64">
        <f t="shared" si="56"/>
        <v>412561.55</v>
      </c>
      <c r="AB64">
        <f t="shared" si="57"/>
        <v>412561.55</v>
      </c>
      <c r="AC64">
        <f t="shared" si="58"/>
        <v>0</v>
      </c>
      <c r="AD64">
        <f t="shared" si="59"/>
        <v>2000.5</v>
      </c>
      <c r="AE64">
        <f t="shared" si="60"/>
        <v>2020</v>
      </c>
      <c r="AF64">
        <f t="shared" si="61"/>
        <v>2010.5</v>
      </c>
      <c r="AG64">
        <f t="shared" si="62"/>
        <v>2187.1666666666665</v>
      </c>
      <c r="AH64">
        <f t="shared" si="63"/>
        <v>-8.3333333333333329E-2</v>
      </c>
      <c r="AJ64">
        <f t="shared" si="64"/>
        <v>0</v>
      </c>
      <c r="AL64">
        <f t="shared" si="65"/>
        <v>0</v>
      </c>
      <c r="AN64">
        <f t="shared" si="66"/>
        <v>0</v>
      </c>
      <c r="AP64">
        <f t="shared" si="67"/>
        <v>0</v>
      </c>
      <c r="AR64">
        <f t="shared" si="68"/>
        <v>0</v>
      </c>
    </row>
    <row r="65" spans="3:44">
      <c r="C65" t="s">
        <v>122</v>
      </c>
      <c r="E65">
        <v>2000</v>
      </c>
      <c r="F65">
        <v>7</v>
      </c>
      <c r="G65">
        <v>0</v>
      </c>
      <c r="I65" t="s">
        <v>78</v>
      </c>
      <c r="J65" t="s">
        <v>9</v>
      </c>
      <c r="K65">
        <f t="shared" si="47"/>
        <v>2010</v>
      </c>
      <c r="N65">
        <v>36913.86</v>
      </c>
      <c r="O65">
        <v>0</v>
      </c>
      <c r="P65">
        <f t="shared" si="48"/>
        <v>36913.86</v>
      </c>
      <c r="Q65">
        <f t="shared" si="49"/>
        <v>307.6155</v>
      </c>
      <c r="R65">
        <f t="shared" si="50"/>
        <v>0</v>
      </c>
      <c r="S65">
        <f t="shared" si="51"/>
        <v>0</v>
      </c>
      <c r="T65">
        <f t="shared" si="52"/>
        <v>0</v>
      </c>
      <c r="U65">
        <v>1</v>
      </c>
      <c r="V65">
        <f t="shared" si="53"/>
        <v>0</v>
      </c>
      <c r="X65">
        <f t="shared" si="54"/>
        <v>36913.86</v>
      </c>
      <c r="Y65">
        <f t="shared" si="55"/>
        <v>36913.86</v>
      </c>
      <c r="Z65">
        <v>1</v>
      </c>
      <c r="AA65">
        <f t="shared" si="56"/>
        <v>36913.86</v>
      </c>
      <c r="AB65">
        <f t="shared" si="57"/>
        <v>36913.86</v>
      </c>
      <c r="AC65">
        <f t="shared" si="58"/>
        <v>0</v>
      </c>
      <c r="AD65">
        <f t="shared" si="59"/>
        <v>2000.5</v>
      </c>
      <c r="AE65">
        <f t="shared" si="60"/>
        <v>2020</v>
      </c>
      <c r="AF65">
        <f t="shared" si="61"/>
        <v>2010.5</v>
      </c>
      <c r="AG65">
        <f t="shared" si="62"/>
        <v>2187.1666666666665</v>
      </c>
      <c r="AH65">
        <f t="shared" si="63"/>
        <v>-8.3333333333333329E-2</v>
      </c>
      <c r="AJ65">
        <f t="shared" si="64"/>
        <v>0</v>
      </c>
      <c r="AL65">
        <f t="shared" si="65"/>
        <v>0</v>
      </c>
      <c r="AN65">
        <f t="shared" si="66"/>
        <v>0</v>
      </c>
      <c r="AP65">
        <f t="shared" si="67"/>
        <v>0</v>
      </c>
      <c r="AR65">
        <f t="shared" si="68"/>
        <v>0</v>
      </c>
    </row>
    <row r="66" spans="3:44">
      <c r="C66" t="s">
        <v>123</v>
      </c>
      <c r="E66">
        <v>2000</v>
      </c>
      <c r="F66">
        <v>7</v>
      </c>
      <c r="G66">
        <v>0</v>
      </c>
      <c r="I66" t="s">
        <v>78</v>
      </c>
      <c r="J66" t="s">
        <v>9</v>
      </c>
      <c r="K66">
        <f t="shared" si="47"/>
        <v>2010</v>
      </c>
      <c r="N66">
        <v>92093.69</v>
      </c>
      <c r="O66">
        <v>0</v>
      </c>
      <c r="P66">
        <f t="shared" si="48"/>
        <v>92093.69</v>
      </c>
      <c r="Q66">
        <f t="shared" si="49"/>
        <v>767.44741666666675</v>
      </c>
      <c r="R66">
        <f t="shared" si="50"/>
        <v>0</v>
      </c>
      <c r="S66">
        <f t="shared" si="51"/>
        <v>0</v>
      </c>
      <c r="T66">
        <f t="shared" si="52"/>
        <v>0</v>
      </c>
      <c r="U66">
        <v>1</v>
      </c>
      <c r="V66">
        <f t="shared" si="53"/>
        <v>0</v>
      </c>
      <c r="X66">
        <f t="shared" si="54"/>
        <v>92093.69</v>
      </c>
      <c r="Y66">
        <f t="shared" si="55"/>
        <v>92093.69</v>
      </c>
      <c r="Z66">
        <v>1</v>
      </c>
      <c r="AA66">
        <f t="shared" si="56"/>
        <v>92093.69</v>
      </c>
      <c r="AB66">
        <f t="shared" si="57"/>
        <v>92093.69</v>
      </c>
      <c r="AC66">
        <f t="shared" si="58"/>
        <v>0</v>
      </c>
      <c r="AD66">
        <f t="shared" si="59"/>
        <v>2000.5</v>
      </c>
      <c r="AE66">
        <f t="shared" si="60"/>
        <v>2020</v>
      </c>
      <c r="AF66">
        <f t="shared" si="61"/>
        <v>2010.5</v>
      </c>
      <c r="AG66">
        <f t="shared" si="62"/>
        <v>2187.1666666666665</v>
      </c>
      <c r="AH66">
        <f t="shared" si="63"/>
        <v>-8.3333333333333329E-2</v>
      </c>
      <c r="AJ66">
        <f t="shared" si="64"/>
        <v>0</v>
      </c>
      <c r="AL66">
        <f t="shared" si="65"/>
        <v>0</v>
      </c>
      <c r="AN66">
        <f t="shared" si="66"/>
        <v>0</v>
      </c>
      <c r="AP66">
        <f t="shared" si="67"/>
        <v>0</v>
      </c>
      <c r="AR66">
        <f t="shared" si="68"/>
        <v>0</v>
      </c>
    </row>
    <row r="67" spans="3:44">
      <c r="C67" t="s">
        <v>219</v>
      </c>
      <c r="E67">
        <v>2000</v>
      </c>
      <c r="F67">
        <v>11</v>
      </c>
      <c r="G67">
        <v>0</v>
      </c>
      <c r="I67" t="s">
        <v>78</v>
      </c>
      <c r="J67">
        <v>5</v>
      </c>
      <c r="K67">
        <f t="shared" si="47"/>
        <v>2005</v>
      </c>
      <c r="N67">
        <v>2246.06</v>
      </c>
      <c r="O67">
        <v>0</v>
      </c>
      <c r="P67">
        <f t="shared" si="48"/>
        <v>2246.06</v>
      </c>
      <c r="Q67">
        <f t="shared" si="49"/>
        <v>37.434333333333335</v>
      </c>
      <c r="R67">
        <f t="shared" si="50"/>
        <v>0</v>
      </c>
      <c r="S67">
        <f t="shared" si="51"/>
        <v>0</v>
      </c>
      <c r="T67">
        <f t="shared" si="52"/>
        <v>0</v>
      </c>
      <c r="U67">
        <v>1</v>
      </c>
      <c r="V67">
        <f t="shared" si="53"/>
        <v>0</v>
      </c>
      <c r="X67">
        <f t="shared" si="54"/>
        <v>2246.06</v>
      </c>
      <c r="Y67">
        <f t="shared" si="55"/>
        <v>2246.06</v>
      </c>
      <c r="Z67">
        <v>1</v>
      </c>
      <c r="AA67">
        <f t="shared" si="56"/>
        <v>2246.06</v>
      </c>
      <c r="AB67">
        <f t="shared" si="57"/>
        <v>2246.06</v>
      </c>
      <c r="AC67">
        <f t="shared" si="58"/>
        <v>0</v>
      </c>
      <c r="AD67">
        <f t="shared" si="59"/>
        <v>2000.8333333333333</v>
      </c>
      <c r="AE67">
        <f t="shared" si="60"/>
        <v>2020</v>
      </c>
      <c r="AF67">
        <f t="shared" si="61"/>
        <v>2005.8333333333333</v>
      </c>
      <c r="AG67">
        <f t="shared" si="62"/>
        <v>2187.1666666666665</v>
      </c>
      <c r="AH67">
        <f t="shared" si="63"/>
        <v>-8.3333333333333329E-2</v>
      </c>
      <c r="AJ67">
        <f t="shared" si="64"/>
        <v>0</v>
      </c>
      <c r="AL67">
        <f t="shared" si="65"/>
        <v>0</v>
      </c>
      <c r="AN67">
        <f t="shared" si="66"/>
        <v>0</v>
      </c>
      <c r="AP67">
        <f t="shared" si="67"/>
        <v>0</v>
      </c>
      <c r="AR67">
        <f t="shared" si="68"/>
        <v>0</v>
      </c>
    </row>
    <row r="68" spans="3:44">
      <c r="C68" t="s">
        <v>192</v>
      </c>
      <c r="E68">
        <v>2000</v>
      </c>
      <c r="F68">
        <v>10</v>
      </c>
      <c r="G68">
        <v>0</v>
      </c>
      <c r="I68" t="s">
        <v>78</v>
      </c>
      <c r="J68">
        <v>5</v>
      </c>
      <c r="K68">
        <f t="shared" si="47"/>
        <v>2005</v>
      </c>
      <c r="N68">
        <v>2332.64</v>
      </c>
      <c r="O68">
        <v>0</v>
      </c>
      <c r="P68">
        <f t="shared" si="48"/>
        <v>2332.64</v>
      </c>
      <c r="Q68">
        <f t="shared" si="49"/>
        <v>38.877333333333333</v>
      </c>
      <c r="R68">
        <f t="shared" si="50"/>
        <v>0</v>
      </c>
      <c r="S68">
        <f t="shared" si="51"/>
        <v>0</v>
      </c>
      <c r="T68">
        <f t="shared" si="52"/>
        <v>0</v>
      </c>
      <c r="U68">
        <v>1</v>
      </c>
      <c r="V68">
        <f t="shared" si="53"/>
        <v>0</v>
      </c>
      <c r="X68">
        <f t="shared" si="54"/>
        <v>2332.64</v>
      </c>
      <c r="Y68">
        <f t="shared" si="55"/>
        <v>2332.64</v>
      </c>
      <c r="Z68">
        <v>1</v>
      </c>
      <c r="AA68">
        <f t="shared" si="56"/>
        <v>2332.64</v>
      </c>
      <c r="AB68">
        <f t="shared" si="57"/>
        <v>2332.64</v>
      </c>
      <c r="AC68">
        <f t="shared" si="58"/>
        <v>0</v>
      </c>
      <c r="AD68">
        <f t="shared" si="59"/>
        <v>2000.75</v>
      </c>
      <c r="AE68">
        <f t="shared" si="60"/>
        <v>2020</v>
      </c>
      <c r="AF68">
        <f t="shared" si="61"/>
        <v>2005.75</v>
      </c>
      <c r="AG68">
        <f t="shared" si="62"/>
        <v>2187.1666666666665</v>
      </c>
      <c r="AH68">
        <f t="shared" si="63"/>
        <v>-8.3333333333333329E-2</v>
      </c>
      <c r="AJ68">
        <f t="shared" si="64"/>
        <v>0</v>
      </c>
      <c r="AL68">
        <f t="shared" si="65"/>
        <v>0</v>
      </c>
      <c r="AN68">
        <f t="shared" si="66"/>
        <v>0</v>
      </c>
      <c r="AP68">
        <f t="shared" si="67"/>
        <v>0</v>
      </c>
      <c r="AR68">
        <f t="shared" si="68"/>
        <v>0</v>
      </c>
    </row>
    <row r="69" spans="3:44">
      <c r="C69" t="s">
        <v>112</v>
      </c>
      <c r="E69">
        <v>2000</v>
      </c>
      <c r="F69">
        <v>8</v>
      </c>
      <c r="G69">
        <v>0</v>
      </c>
      <c r="I69" t="s">
        <v>78</v>
      </c>
      <c r="J69">
        <v>5</v>
      </c>
      <c r="K69">
        <f t="shared" si="47"/>
        <v>2005</v>
      </c>
      <c r="N69">
        <v>8228.75</v>
      </c>
      <c r="O69">
        <v>0</v>
      </c>
      <c r="P69">
        <f t="shared" si="48"/>
        <v>8228.75</v>
      </c>
      <c r="Q69">
        <f t="shared" si="49"/>
        <v>137.14583333333334</v>
      </c>
      <c r="R69">
        <f t="shared" si="50"/>
        <v>0</v>
      </c>
      <c r="S69">
        <f t="shared" si="51"/>
        <v>0</v>
      </c>
      <c r="T69">
        <f t="shared" si="52"/>
        <v>0</v>
      </c>
      <c r="U69">
        <v>1</v>
      </c>
      <c r="V69">
        <f t="shared" si="53"/>
        <v>0</v>
      </c>
      <c r="X69">
        <f t="shared" si="54"/>
        <v>8228.75</v>
      </c>
      <c r="Y69">
        <f t="shared" si="55"/>
        <v>8228.75</v>
      </c>
      <c r="Z69">
        <v>1</v>
      </c>
      <c r="AA69">
        <f t="shared" si="56"/>
        <v>8228.75</v>
      </c>
      <c r="AB69">
        <f t="shared" si="57"/>
        <v>8228.75</v>
      </c>
      <c r="AC69">
        <f t="shared" si="58"/>
        <v>0</v>
      </c>
      <c r="AD69">
        <f t="shared" si="59"/>
        <v>2000.5833333333333</v>
      </c>
      <c r="AE69">
        <f t="shared" si="60"/>
        <v>2020</v>
      </c>
      <c r="AF69">
        <f t="shared" si="61"/>
        <v>2005.5833333333333</v>
      </c>
      <c r="AG69">
        <f t="shared" si="62"/>
        <v>2187.1666666666665</v>
      </c>
      <c r="AH69">
        <f t="shared" si="63"/>
        <v>-8.3333333333333329E-2</v>
      </c>
      <c r="AJ69">
        <f t="shared" si="64"/>
        <v>0</v>
      </c>
      <c r="AL69">
        <f t="shared" si="65"/>
        <v>0</v>
      </c>
      <c r="AN69">
        <f t="shared" si="66"/>
        <v>0</v>
      </c>
      <c r="AP69">
        <f t="shared" si="67"/>
        <v>0</v>
      </c>
      <c r="AR69">
        <f t="shared" si="68"/>
        <v>0</v>
      </c>
    </row>
    <row r="70" spans="3:44">
      <c r="C70" t="s">
        <v>125</v>
      </c>
      <c r="E70">
        <v>2001</v>
      </c>
      <c r="F70">
        <v>2</v>
      </c>
      <c r="G70">
        <v>0</v>
      </c>
      <c r="I70" t="s">
        <v>78</v>
      </c>
      <c r="J70" t="s">
        <v>11</v>
      </c>
      <c r="K70">
        <f t="shared" si="47"/>
        <v>2008</v>
      </c>
      <c r="N70">
        <v>152358.79999999999</v>
      </c>
      <c r="O70">
        <v>0</v>
      </c>
      <c r="P70">
        <f t="shared" si="48"/>
        <v>152358.79999999999</v>
      </c>
      <c r="Q70">
        <f t="shared" si="49"/>
        <v>1813.7952380952381</v>
      </c>
      <c r="R70">
        <f t="shared" si="50"/>
        <v>0</v>
      </c>
      <c r="S70">
        <f t="shared" si="51"/>
        <v>0</v>
      </c>
      <c r="T70">
        <f t="shared" si="52"/>
        <v>0</v>
      </c>
      <c r="U70">
        <v>1</v>
      </c>
      <c r="V70">
        <f t="shared" si="53"/>
        <v>0</v>
      </c>
      <c r="X70">
        <f t="shared" si="54"/>
        <v>152358.79999999999</v>
      </c>
      <c r="Y70">
        <f t="shared" si="55"/>
        <v>152358.79999999999</v>
      </c>
      <c r="Z70">
        <v>1</v>
      </c>
      <c r="AA70">
        <f t="shared" si="56"/>
        <v>152358.79999999999</v>
      </c>
      <c r="AB70">
        <f t="shared" si="57"/>
        <v>152358.79999999999</v>
      </c>
      <c r="AC70">
        <f t="shared" si="58"/>
        <v>0</v>
      </c>
      <c r="AD70">
        <f t="shared" si="59"/>
        <v>2001.0833333333333</v>
      </c>
      <c r="AE70">
        <f t="shared" si="60"/>
        <v>2020</v>
      </c>
      <c r="AF70">
        <f t="shared" si="61"/>
        <v>2008.0833333333333</v>
      </c>
      <c r="AG70">
        <f t="shared" si="62"/>
        <v>2187.1666666666665</v>
      </c>
      <c r="AH70">
        <f t="shared" si="63"/>
        <v>-8.3333333333333329E-2</v>
      </c>
      <c r="AJ70">
        <f t="shared" si="64"/>
        <v>0</v>
      </c>
      <c r="AL70">
        <f t="shared" si="65"/>
        <v>0</v>
      </c>
      <c r="AN70">
        <f t="shared" si="66"/>
        <v>0</v>
      </c>
      <c r="AP70">
        <f t="shared" si="67"/>
        <v>0</v>
      </c>
      <c r="AR70">
        <f t="shared" si="68"/>
        <v>0</v>
      </c>
    </row>
    <row r="71" spans="3:44">
      <c r="C71" t="s">
        <v>127</v>
      </c>
      <c r="E71">
        <v>2001</v>
      </c>
      <c r="F71">
        <v>12</v>
      </c>
      <c r="G71">
        <v>0</v>
      </c>
      <c r="I71" t="s">
        <v>78</v>
      </c>
      <c r="J71">
        <v>5</v>
      </c>
      <c r="K71">
        <f t="shared" si="47"/>
        <v>2006</v>
      </c>
      <c r="N71">
        <v>2246.4</v>
      </c>
      <c r="O71">
        <v>0</v>
      </c>
      <c r="P71">
        <f t="shared" si="48"/>
        <v>2246.4</v>
      </c>
      <c r="Q71">
        <f t="shared" si="49"/>
        <v>37.440000000000005</v>
      </c>
      <c r="R71">
        <f t="shared" si="50"/>
        <v>0</v>
      </c>
      <c r="S71">
        <f t="shared" si="51"/>
        <v>0</v>
      </c>
      <c r="T71">
        <f t="shared" si="52"/>
        <v>0</v>
      </c>
      <c r="U71">
        <v>1</v>
      </c>
      <c r="V71">
        <f t="shared" si="53"/>
        <v>0</v>
      </c>
      <c r="X71">
        <f t="shared" si="54"/>
        <v>2246.4</v>
      </c>
      <c r="Y71">
        <f t="shared" si="55"/>
        <v>2246.4</v>
      </c>
      <c r="Z71">
        <v>1</v>
      </c>
      <c r="AA71">
        <f t="shared" si="56"/>
        <v>2246.4</v>
      </c>
      <c r="AB71">
        <f t="shared" si="57"/>
        <v>2246.4</v>
      </c>
      <c r="AC71">
        <f t="shared" si="58"/>
        <v>0</v>
      </c>
      <c r="AD71">
        <f t="shared" si="59"/>
        <v>2001.9166666666667</v>
      </c>
      <c r="AE71">
        <f t="shared" si="60"/>
        <v>2020</v>
      </c>
      <c r="AF71">
        <f t="shared" si="61"/>
        <v>2006.9166666666667</v>
      </c>
      <c r="AG71">
        <f t="shared" si="62"/>
        <v>2187.1666666666665</v>
      </c>
      <c r="AH71">
        <f t="shared" si="63"/>
        <v>-8.3333333333333329E-2</v>
      </c>
      <c r="AJ71">
        <f t="shared" si="64"/>
        <v>0</v>
      </c>
      <c r="AL71">
        <f t="shared" si="65"/>
        <v>0</v>
      </c>
      <c r="AN71">
        <f t="shared" si="66"/>
        <v>0</v>
      </c>
      <c r="AP71">
        <f t="shared" si="67"/>
        <v>0</v>
      </c>
      <c r="AR71">
        <f t="shared" si="68"/>
        <v>0</v>
      </c>
    </row>
    <row r="72" spans="3:44">
      <c r="C72" t="s">
        <v>126</v>
      </c>
      <c r="E72">
        <v>2001</v>
      </c>
      <c r="F72">
        <v>12</v>
      </c>
      <c r="G72">
        <v>0</v>
      </c>
      <c r="I72" t="s">
        <v>78</v>
      </c>
      <c r="J72">
        <v>5</v>
      </c>
      <c r="K72">
        <f t="shared" si="47"/>
        <v>2006</v>
      </c>
      <c r="N72">
        <v>1938.6</v>
      </c>
      <c r="O72">
        <v>0</v>
      </c>
      <c r="P72">
        <f t="shared" si="48"/>
        <v>1938.6</v>
      </c>
      <c r="Q72">
        <f t="shared" si="49"/>
        <v>32.309999999999995</v>
      </c>
      <c r="R72">
        <f t="shared" si="50"/>
        <v>0</v>
      </c>
      <c r="S72">
        <f t="shared" si="51"/>
        <v>0</v>
      </c>
      <c r="T72">
        <f t="shared" si="52"/>
        <v>0</v>
      </c>
      <c r="U72">
        <v>1</v>
      </c>
      <c r="V72">
        <f t="shared" si="53"/>
        <v>0</v>
      </c>
      <c r="X72">
        <f t="shared" si="54"/>
        <v>1938.6</v>
      </c>
      <c r="Y72">
        <f t="shared" si="55"/>
        <v>1938.6</v>
      </c>
      <c r="Z72">
        <v>1</v>
      </c>
      <c r="AA72">
        <f t="shared" si="56"/>
        <v>1938.6</v>
      </c>
      <c r="AB72">
        <f t="shared" si="57"/>
        <v>1938.6</v>
      </c>
      <c r="AC72">
        <f t="shared" si="58"/>
        <v>0</v>
      </c>
      <c r="AD72">
        <f t="shared" si="59"/>
        <v>2001.9166666666667</v>
      </c>
      <c r="AE72">
        <f t="shared" si="60"/>
        <v>2020</v>
      </c>
      <c r="AF72">
        <f t="shared" si="61"/>
        <v>2006.9166666666667</v>
      </c>
      <c r="AG72">
        <f t="shared" si="62"/>
        <v>2187.1666666666665</v>
      </c>
      <c r="AH72">
        <f t="shared" si="63"/>
        <v>-8.3333333333333329E-2</v>
      </c>
      <c r="AJ72">
        <f t="shared" si="64"/>
        <v>0</v>
      </c>
      <c r="AL72">
        <f t="shared" si="65"/>
        <v>0</v>
      </c>
      <c r="AN72">
        <f t="shared" si="66"/>
        <v>0</v>
      </c>
      <c r="AP72">
        <f t="shared" si="67"/>
        <v>0</v>
      </c>
      <c r="AR72">
        <f t="shared" si="68"/>
        <v>0</v>
      </c>
    </row>
    <row r="73" spans="3:44">
      <c r="C73" t="s">
        <v>106</v>
      </c>
      <c r="E73">
        <v>2001</v>
      </c>
      <c r="F73">
        <v>11</v>
      </c>
      <c r="G73">
        <v>0</v>
      </c>
      <c r="I73" t="s">
        <v>78</v>
      </c>
      <c r="J73">
        <v>5</v>
      </c>
      <c r="K73">
        <f t="shared" si="47"/>
        <v>2006</v>
      </c>
      <c r="N73">
        <v>2079</v>
      </c>
      <c r="O73">
        <v>0</v>
      </c>
      <c r="P73">
        <f t="shared" si="48"/>
        <v>2079</v>
      </c>
      <c r="Q73">
        <f t="shared" si="49"/>
        <v>34.65</v>
      </c>
      <c r="R73">
        <f t="shared" si="50"/>
        <v>0</v>
      </c>
      <c r="S73">
        <f t="shared" si="51"/>
        <v>0</v>
      </c>
      <c r="T73">
        <f t="shared" si="52"/>
        <v>0</v>
      </c>
      <c r="U73">
        <v>1</v>
      </c>
      <c r="V73">
        <f t="shared" si="53"/>
        <v>0</v>
      </c>
      <c r="X73">
        <f t="shared" si="54"/>
        <v>2079</v>
      </c>
      <c r="Y73">
        <f t="shared" si="55"/>
        <v>2079</v>
      </c>
      <c r="Z73">
        <v>1</v>
      </c>
      <c r="AA73">
        <f t="shared" si="56"/>
        <v>2079</v>
      </c>
      <c r="AB73">
        <f t="shared" si="57"/>
        <v>2079</v>
      </c>
      <c r="AC73">
        <f t="shared" si="58"/>
        <v>0</v>
      </c>
      <c r="AD73">
        <f t="shared" si="59"/>
        <v>2001.8333333333333</v>
      </c>
      <c r="AE73">
        <f t="shared" si="60"/>
        <v>2020</v>
      </c>
      <c r="AF73">
        <f t="shared" si="61"/>
        <v>2006.8333333333333</v>
      </c>
      <c r="AG73">
        <f t="shared" si="62"/>
        <v>2187.1666666666665</v>
      </c>
      <c r="AH73">
        <f t="shared" si="63"/>
        <v>-8.3333333333333329E-2</v>
      </c>
      <c r="AJ73">
        <f t="shared" si="64"/>
        <v>0</v>
      </c>
      <c r="AL73">
        <f t="shared" si="65"/>
        <v>0</v>
      </c>
      <c r="AN73">
        <f t="shared" si="66"/>
        <v>0</v>
      </c>
      <c r="AP73">
        <f t="shared" si="67"/>
        <v>0</v>
      </c>
      <c r="AR73">
        <f t="shared" si="68"/>
        <v>0</v>
      </c>
    </row>
    <row r="74" spans="3:44">
      <c r="C74" t="s">
        <v>124</v>
      </c>
      <c r="E74">
        <v>2001</v>
      </c>
      <c r="F74">
        <v>2</v>
      </c>
      <c r="G74">
        <v>0</v>
      </c>
      <c r="I74" t="s">
        <v>78</v>
      </c>
      <c r="J74">
        <v>5</v>
      </c>
      <c r="K74">
        <f t="shared" si="47"/>
        <v>2006</v>
      </c>
      <c r="N74">
        <v>4266</v>
      </c>
      <c r="O74">
        <v>0</v>
      </c>
      <c r="P74">
        <f t="shared" si="48"/>
        <v>4266</v>
      </c>
      <c r="Q74">
        <f t="shared" si="49"/>
        <v>71.100000000000009</v>
      </c>
      <c r="R74">
        <f t="shared" si="50"/>
        <v>0</v>
      </c>
      <c r="S74">
        <f t="shared" si="51"/>
        <v>0</v>
      </c>
      <c r="T74">
        <f t="shared" si="52"/>
        <v>0</v>
      </c>
      <c r="U74">
        <v>1</v>
      </c>
      <c r="V74">
        <f t="shared" si="53"/>
        <v>0</v>
      </c>
      <c r="X74">
        <f t="shared" si="54"/>
        <v>4266</v>
      </c>
      <c r="Y74">
        <f t="shared" si="55"/>
        <v>4266</v>
      </c>
      <c r="Z74">
        <v>1</v>
      </c>
      <c r="AA74">
        <f t="shared" si="56"/>
        <v>4266</v>
      </c>
      <c r="AB74">
        <f t="shared" si="57"/>
        <v>4266</v>
      </c>
      <c r="AC74">
        <f t="shared" si="58"/>
        <v>0</v>
      </c>
      <c r="AD74">
        <f t="shared" si="59"/>
        <v>2001.0833333333333</v>
      </c>
      <c r="AE74">
        <f t="shared" si="60"/>
        <v>2020</v>
      </c>
      <c r="AF74">
        <f t="shared" si="61"/>
        <v>2006.0833333333333</v>
      </c>
      <c r="AG74">
        <f t="shared" si="62"/>
        <v>2187.1666666666665</v>
      </c>
      <c r="AH74">
        <f t="shared" si="63"/>
        <v>-8.3333333333333329E-2</v>
      </c>
      <c r="AJ74">
        <f t="shared" si="64"/>
        <v>0</v>
      </c>
      <c r="AL74">
        <f t="shared" si="65"/>
        <v>0</v>
      </c>
      <c r="AN74">
        <f t="shared" si="66"/>
        <v>0</v>
      </c>
      <c r="AP74">
        <f t="shared" si="67"/>
        <v>0</v>
      </c>
      <c r="AR74">
        <f t="shared" si="68"/>
        <v>0</v>
      </c>
    </row>
    <row r="75" spans="3:44">
      <c r="C75" t="s">
        <v>128</v>
      </c>
      <c r="E75">
        <v>2003</v>
      </c>
      <c r="F75">
        <v>1</v>
      </c>
      <c r="G75">
        <v>0</v>
      </c>
      <c r="I75" t="s">
        <v>78</v>
      </c>
      <c r="J75" t="s">
        <v>9</v>
      </c>
      <c r="K75">
        <f t="shared" si="47"/>
        <v>2013</v>
      </c>
      <c r="N75">
        <v>96517.97</v>
      </c>
      <c r="O75">
        <v>0</v>
      </c>
      <c r="P75">
        <f t="shared" si="48"/>
        <v>96517.97</v>
      </c>
      <c r="Q75">
        <f t="shared" si="49"/>
        <v>804.31641666666667</v>
      </c>
      <c r="R75">
        <f t="shared" si="50"/>
        <v>0</v>
      </c>
      <c r="S75">
        <f t="shared" si="51"/>
        <v>0</v>
      </c>
      <c r="T75">
        <f t="shared" si="52"/>
        <v>0</v>
      </c>
      <c r="U75">
        <v>1</v>
      </c>
      <c r="V75">
        <f t="shared" si="53"/>
        <v>0</v>
      </c>
      <c r="X75">
        <f t="shared" si="54"/>
        <v>96517.97</v>
      </c>
      <c r="Y75">
        <f t="shared" si="55"/>
        <v>96517.97</v>
      </c>
      <c r="Z75">
        <v>1</v>
      </c>
      <c r="AA75">
        <f t="shared" si="56"/>
        <v>96517.97</v>
      </c>
      <c r="AB75">
        <f t="shared" si="57"/>
        <v>96517.97</v>
      </c>
      <c r="AC75">
        <f t="shared" si="58"/>
        <v>0</v>
      </c>
      <c r="AD75">
        <f t="shared" si="59"/>
        <v>2003</v>
      </c>
      <c r="AE75">
        <f t="shared" si="60"/>
        <v>2020</v>
      </c>
      <c r="AF75">
        <f t="shared" si="61"/>
        <v>2013</v>
      </c>
      <c r="AG75">
        <f t="shared" si="62"/>
        <v>2187.1666666666665</v>
      </c>
      <c r="AH75">
        <f t="shared" si="63"/>
        <v>-8.3333333333333329E-2</v>
      </c>
      <c r="AJ75">
        <f t="shared" si="64"/>
        <v>0</v>
      </c>
      <c r="AL75">
        <f t="shared" si="65"/>
        <v>0</v>
      </c>
      <c r="AN75">
        <f t="shared" si="66"/>
        <v>0</v>
      </c>
      <c r="AP75">
        <f t="shared" si="67"/>
        <v>0</v>
      </c>
      <c r="AR75">
        <f t="shared" si="68"/>
        <v>0</v>
      </c>
    </row>
    <row r="76" spans="3:44">
      <c r="C76" t="s">
        <v>130</v>
      </c>
      <c r="E76">
        <v>2003</v>
      </c>
      <c r="F76">
        <v>4</v>
      </c>
      <c r="G76">
        <v>0</v>
      </c>
      <c r="I76" t="s">
        <v>78</v>
      </c>
      <c r="J76">
        <v>5</v>
      </c>
      <c r="K76">
        <f t="shared" si="47"/>
        <v>2008</v>
      </c>
      <c r="N76">
        <v>1513.26</v>
      </c>
      <c r="O76">
        <v>0</v>
      </c>
      <c r="P76">
        <f t="shared" si="48"/>
        <v>1513.26</v>
      </c>
      <c r="Q76">
        <f t="shared" si="49"/>
        <v>25.221</v>
      </c>
      <c r="R76">
        <f t="shared" si="50"/>
        <v>0</v>
      </c>
      <c r="S76">
        <f t="shared" si="51"/>
        <v>0</v>
      </c>
      <c r="T76">
        <f t="shared" si="52"/>
        <v>0</v>
      </c>
      <c r="U76">
        <v>1</v>
      </c>
      <c r="V76">
        <f t="shared" si="53"/>
        <v>0</v>
      </c>
      <c r="X76">
        <f t="shared" si="54"/>
        <v>1513.26</v>
      </c>
      <c r="Y76">
        <f t="shared" si="55"/>
        <v>1513.26</v>
      </c>
      <c r="Z76">
        <v>1</v>
      </c>
      <c r="AA76">
        <f t="shared" si="56"/>
        <v>1513.26</v>
      </c>
      <c r="AB76">
        <f t="shared" si="57"/>
        <v>1513.26</v>
      </c>
      <c r="AC76">
        <f t="shared" si="58"/>
        <v>0</v>
      </c>
      <c r="AD76">
        <f t="shared" si="59"/>
        <v>2003.25</v>
      </c>
      <c r="AE76">
        <f t="shared" si="60"/>
        <v>2020</v>
      </c>
      <c r="AF76">
        <f t="shared" si="61"/>
        <v>2008.25</v>
      </c>
      <c r="AG76">
        <f t="shared" si="62"/>
        <v>2187.1666666666665</v>
      </c>
      <c r="AH76">
        <f t="shared" si="63"/>
        <v>-8.3333333333333329E-2</v>
      </c>
      <c r="AJ76">
        <f t="shared" si="64"/>
        <v>0</v>
      </c>
      <c r="AL76">
        <f t="shared" si="65"/>
        <v>0</v>
      </c>
      <c r="AN76">
        <f t="shared" si="66"/>
        <v>0</v>
      </c>
      <c r="AP76">
        <f t="shared" si="67"/>
        <v>0</v>
      </c>
      <c r="AR76">
        <f t="shared" si="68"/>
        <v>0</v>
      </c>
    </row>
    <row r="77" spans="3:44">
      <c r="C77" t="s">
        <v>129</v>
      </c>
      <c r="E77">
        <v>2003</v>
      </c>
      <c r="F77">
        <v>2</v>
      </c>
      <c r="G77">
        <v>0</v>
      </c>
      <c r="I77" t="s">
        <v>78</v>
      </c>
      <c r="J77">
        <v>5</v>
      </c>
      <c r="K77">
        <f t="shared" si="47"/>
        <v>2008</v>
      </c>
      <c r="N77">
        <v>3468.8</v>
      </c>
      <c r="O77">
        <v>0</v>
      </c>
      <c r="P77">
        <f t="shared" si="48"/>
        <v>3468.8</v>
      </c>
      <c r="Q77">
        <f t="shared" si="49"/>
        <v>57.813333333333333</v>
      </c>
      <c r="R77">
        <f t="shared" si="50"/>
        <v>0</v>
      </c>
      <c r="S77">
        <f t="shared" si="51"/>
        <v>0</v>
      </c>
      <c r="T77">
        <f t="shared" si="52"/>
        <v>0</v>
      </c>
      <c r="U77">
        <v>1</v>
      </c>
      <c r="V77">
        <f t="shared" si="53"/>
        <v>0</v>
      </c>
      <c r="X77">
        <f t="shared" si="54"/>
        <v>3468.8</v>
      </c>
      <c r="Y77">
        <f t="shared" si="55"/>
        <v>3468.8</v>
      </c>
      <c r="Z77">
        <v>1</v>
      </c>
      <c r="AA77">
        <f t="shared" si="56"/>
        <v>3468.8</v>
      </c>
      <c r="AB77">
        <f t="shared" si="57"/>
        <v>3468.8</v>
      </c>
      <c r="AC77">
        <f t="shared" si="58"/>
        <v>0</v>
      </c>
      <c r="AD77">
        <f t="shared" si="59"/>
        <v>2003.0833333333333</v>
      </c>
      <c r="AE77">
        <f t="shared" si="60"/>
        <v>2020</v>
      </c>
      <c r="AF77">
        <f t="shared" si="61"/>
        <v>2008.0833333333333</v>
      </c>
      <c r="AG77">
        <f t="shared" si="62"/>
        <v>2187.1666666666665</v>
      </c>
      <c r="AH77">
        <f t="shared" si="63"/>
        <v>-8.3333333333333329E-2</v>
      </c>
      <c r="AJ77">
        <f t="shared" si="64"/>
        <v>0</v>
      </c>
      <c r="AL77">
        <f t="shared" si="65"/>
        <v>0</v>
      </c>
      <c r="AN77">
        <f t="shared" si="66"/>
        <v>0</v>
      </c>
      <c r="AP77">
        <f t="shared" si="67"/>
        <v>0</v>
      </c>
      <c r="AR77">
        <f t="shared" si="68"/>
        <v>0</v>
      </c>
    </row>
    <row r="78" spans="3:44">
      <c r="C78" t="s">
        <v>20</v>
      </c>
      <c r="E78">
        <v>2004</v>
      </c>
      <c r="F78">
        <v>5</v>
      </c>
      <c r="G78">
        <v>0</v>
      </c>
      <c r="I78" t="s">
        <v>78</v>
      </c>
      <c r="J78">
        <v>5</v>
      </c>
      <c r="K78">
        <f t="shared" si="47"/>
        <v>2009</v>
      </c>
      <c r="N78">
        <v>2174.9</v>
      </c>
      <c r="O78">
        <v>0</v>
      </c>
      <c r="P78">
        <f t="shared" si="48"/>
        <v>2174.9</v>
      </c>
      <c r="Q78">
        <f t="shared" si="49"/>
        <v>36.248333333333335</v>
      </c>
      <c r="R78">
        <f t="shared" si="50"/>
        <v>0</v>
      </c>
      <c r="S78">
        <f t="shared" si="51"/>
        <v>0</v>
      </c>
      <c r="T78">
        <f t="shared" si="52"/>
        <v>0</v>
      </c>
      <c r="U78">
        <v>1</v>
      </c>
      <c r="V78">
        <f t="shared" si="53"/>
        <v>0</v>
      </c>
      <c r="X78">
        <f t="shared" si="54"/>
        <v>2174.9</v>
      </c>
      <c r="Y78">
        <f t="shared" si="55"/>
        <v>2174.9</v>
      </c>
      <c r="Z78">
        <v>1</v>
      </c>
      <c r="AA78">
        <f t="shared" si="56"/>
        <v>2174.9</v>
      </c>
      <c r="AB78">
        <f t="shared" si="57"/>
        <v>2174.9</v>
      </c>
      <c r="AC78">
        <f t="shared" si="58"/>
        <v>0</v>
      </c>
      <c r="AD78">
        <f t="shared" si="59"/>
        <v>2004.3333333333333</v>
      </c>
      <c r="AE78">
        <f t="shared" si="60"/>
        <v>2020</v>
      </c>
      <c r="AF78">
        <f t="shared" si="61"/>
        <v>2009.3333333333333</v>
      </c>
      <c r="AG78">
        <f t="shared" si="62"/>
        <v>2187.1666666666665</v>
      </c>
      <c r="AH78">
        <f t="shared" si="63"/>
        <v>-8.3333333333333329E-2</v>
      </c>
      <c r="AJ78">
        <f t="shared" si="64"/>
        <v>0</v>
      </c>
      <c r="AL78">
        <f t="shared" si="65"/>
        <v>0</v>
      </c>
      <c r="AN78">
        <f t="shared" si="66"/>
        <v>0</v>
      </c>
      <c r="AP78">
        <f t="shared" si="67"/>
        <v>0</v>
      </c>
      <c r="AR78">
        <f t="shared" si="68"/>
        <v>0</v>
      </c>
    </row>
    <row r="79" spans="3:44">
      <c r="C79" t="s">
        <v>131</v>
      </c>
      <c r="E79">
        <v>2004</v>
      </c>
      <c r="F79">
        <v>3</v>
      </c>
      <c r="G79">
        <v>0</v>
      </c>
      <c r="I79" t="s">
        <v>78</v>
      </c>
      <c r="J79">
        <v>5</v>
      </c>
      <c r="K79">
        <f t="shared" si="47"/>
        <v>2009</v>
      </c>
      <c r="N79">
        <v>7050.34</v>
      </c>
      <c r="O79">
        <v>0</v>
      </c>
      <c r="P79">
        <f t="shared" si="48"/>
        <v>7050.34</v>
      </c>
      <c r="Q79">
        <f t="shared" si="49"/>
        <v>117.50566666666667</v>
      </c>
      <c r="R79">
        <f t="shared" si="50"/>
        <v>0</v>
      </c>
      <c r="S79">
        <f t="shared" si="51"/>
        <v>0</v>
      </c>
      <c r="T79">
        <f t="shared" si="52"/>
        <v>0</v>
      </c>
      <c r="U79">
        <v>1</v>
      </c>
      <c r="V79">
        <f t="shared" si="53"/>
        <v>0</v>
      </c>
      <c r="X79">
        <f t="shared" si="54"/>
        <v>7050.34</v>
      </c>
      <c r="Y79">
        <f t="shared" si="55"/>
        <v>7050.34</v>
      </c>
      <c r="Z79">
        <v>1</v>
      </c>
      <c r="AA79">
        <f t="shared" si="56"/>
        <v>7050.34</v>
      </c>
      <c r="AB79">
        <f t="shared" si="57"/>
        <v>7050.34</v>
      </c>
      <c r="AC79">
        <f t="shared" si="58"/>
        <v>0</v>
      </c>
      <c r="AD79">
        <f t="shared" si="59"/>
        <v>2004.1666666666667</v>
      </c>
      <c r="AE79">
        <f t="shared" si="60"/>
        <v>2020</v>
      </c>
      <c r="AF79">
        <f t="shared" si="61"/>
        <v>2009.1666666666667</v>
      </c>
      <c r="AG79">
        <f t="shared" si="62"/>
        <v>2187.1666666666665</v>
      </c>
      <c r="AH79">
        <f t="shared" si="63"/>
        <v>-8.3333333333333329E-2</v>
      </c>
      <c r="AJ79">
        <f t="shared" si="64"/>
        <v>0</v>
      </c>
      <c r="AL79">
        <f t="shared" si="65"/>
        <v>0</v>
      </c>
      <c r="AN79">
        <f t="shared" si="66"/>
        <v>0</v>
      </c>
      <c r="AP79">
        <f t="shared" si="67"/>
        <v>0</v>
      </c>
      <c r="AR79">
        <f t="shared" si="68"/>
        <v>0</v>
      </c>
    </row>
    <row r="80" spans="3:44">
      <c r="C80" t="s">
        <v>131</v>
      </c>
      <c r="E80">
        <v>2004</v>
      </c>
      <c r="F80">
        <v>2</v>
      </c>
      <c r="G80">
        <v>0</v>
      </c>
      <c r="I80" t="s">
        <v>78</v>
      </c>
      <c r="J80">
        <v>5</v>
      </c>
      <c r="K80">
        <f t="shared" si="47"/>
        <v>2009</v>
      </c>
      <c r="N80">
        <v>2541.98</v>
      </c>
      <c r="O80">
        <v>0</v>
      </c>
      <c r="P80">
        <f t="shared" si="48"/>
        <v>2541.98</v>
      </c>
      <c r="Q80">
        <f t="shared" si="49"/>
        <v>42.366333333333337</v>
      </c>
      <c r="R80">
        <f t="shared" si="50"/>
        <v>0</v>
      </c>
      <c r="S80">
        <f t="shared" si="51"/>
        <v>0</v>
      </c>
      <c r="T80">
        <f t="shared" si="52"/>
        <v>0</v>
      </c>
      <c r="U80">
        <v>1</v>
      </c>
      <c r="V80">
        <f t="shared" si="53"/>
        <v>0</v>
      </c>
      <c r="X80">
        <f t="shared" si="54"/>
        <v>2541.98</v>
      </c>
      <c r="Y80">
        <f t="shared" si="55"/>
        <v>2541.98</v>
      </c>
      <c r="Z80">
        <v>1</v>
      </c>
      <c r="AA80">
        <f t="shared" si="56"/>
        <v>2541.98</v>
      </c>
      <c r="AB80">
        <f t="shared" si="57"/>
        <v>2541.98</v>
      </c>
      <c r="AC80">
        <f t="shared" si="58"/>
        <v>0</v>
      </c>
      <c r="AD80">
        <f t="shared" si="59"/>
        <v>2004.0833333333333</v>
      </c>
      <c r="AE80">
        <f t="shared" si="60"/>
        <v>2020</v>
      </c>
      <c r="AF80">
        <f t="shared" si="61"/>
        <v>2009.0833333333333</v>
      </c>
      <c r="AG80">
        <f t="shared" si="62"/>
        <v>2187.1666666666665</v>
      </c>
      <c r="AH80">
        <f t="shared" si="63"/>
        <v>-8.3333333333333329E-2</v>
      </c>
      <c r="AJ80">
        <f t="shared" si="64"/>
        <v>0</v>
      </c>
      <c r="AL80">
        <f t="shared" si="65"/>
        <v>0</v>
      </c>
      <c r="AN80">
        <f t="shared" si="66"/>
        <v>0</v>
      </c>
      <c r="AP80">
        <f t="shared" si="67"/>
        <v>0</v>
      </c>
      <c r="AR80">
        <f t="shared" si="68"/>
        <v>0</v>
      </c>
    </row>
    <row r="81" spans="1:44">
      <c r="C81" t="s">
        <v>356</v>
      </c>
      <c r="E81">
        <v>2006</v>
      </c>
      <c r="F81">
        <v>11</v>
      </c>
      <c r="G81">
        <v>0</v>
      </c>
      <c r="I81" t="s">
        <v>78</v>
      </c>
      <c r="J81">
        <v>5</v>
      </c>
      <c r="K81">
        <f t="shared" si="47"/>
        <v>2011</v>
      </c>
      <c r="N81">
        <v>1955.81</v>
      </c>
      <c r="O81">
        <v>0</v>
      </c>
      <c r="P81">
        <f t="shared" si="48"/>
        <v>1955.81</v>
      </c>
      <c r="Q81">
        <f t="shared" si="49"/>
        <v>32.596833333333329</v>
      </c>
      <c r="R81">
        <f t="shared" si="50"/>
        <v>0</v>
      </c>
      <c r="S81">
        <f t="shared" si="51"/>
        <v>0</v>
      </c>
      <c r="T81">
        <f t="shared" si="52"/>
        <v>0</v>
      </c>
      <c r="U81">
        <v>1</v>
      </c>
      <c r="V81">
        <f t="shared" si="53"/>
        <v>0</v>
      </c>
      <c r="X81">
        <f t="shared" si="54"/>
        <v>1955.81</v>
      </c>
      <c r="Y81">
        <f t="shared" si="55"/>
        <v>1955.81</v>
      </c>
      <c r="Z81">
        <v>1</v>
      </c>
      <c r="AA81">
        <f t="shared" si="56"/>
        <v>1955.81</v>
      </c>
      <c r="AB81">
        <f t="shared" si="57"/>
        <v>1955.81</v>
      </c>
      <c r="AC81">
        <f t="shared" si="58"/>
        <v>0</v>
      </c>
      <c r="AD81">
        <f t="shared" si="59"/>
        <v>2006.8333333333333</v>
      </c>
      <c r="AE81">
        <f t="shared" si="60"/>
        <v>2020</v>
      </c>
      <c r="AF81">
        <f t="shared" si="61"/>
        <v>2011.8333333333333</v>
      </c>
      <c r="AG81">
        <f t="shared" si="62"/>
        <v>2187.1666666666665</v>
      </c>
      <c r="AH81">
        <f t="shared" si="63"/>
        <v>-8.3333333333333329E-2</v>
      </c>
      <c r="AJ81">
        <f t="shared" si="64"/>
        <v>0</v>
      </c>
      <c r="AL81">
        <f t="shared" si="65"/>
        <v>0</v>
      </c>
      <c r="AN81">
        <f t="shared" si="66"/>
        <v>0</v>
      </c>
      <c r="AP81">
        <f t="shared" si="67"/>
        <v>0</v>
      </c>
      <c r="AR81">
        <f t="shared" si="68"/>
        <v>0</v>
      </c>
    </row>
    <row r="82" spans="1:44">
      <c r="C82" t="s">
        <v>105</v>
      </c>
      <c r="E82">
        <v>2006</v>
      </c>
      <c r="F82">
        <v>6</v>
      </c>
      <c r="G82">
        <v>0</v>
      </c>
      <c r="I82" t="s">
        <v>78</v>
      </c>
      <c r="J82">
        <v>5</v>
      </c>
      <c r="K82">
        <f t="shared" si="47"/>
        <v>2011</v>
      </c>
      <c r="N82">
        <v>3059.68</v>
      </c>
      <c r="O82">
        <v>0</v>
      </c>
      <c r="P82">
        <f t="shared" si="48"/>
        <v>3059.68</v>
      </c>
      <c r="Q82">
        <f t="shared" si="49"/>
        <v>50.99466666666666</v>
      </c>
      <c r="R82">
        <f t="shared" si="50"/>
        <v>0</v>
      </c>
      <c r="S82">
        <f t="shared" si="51"/>
        <v>0</v>
      </c>
      <c r="T82">
        <f t="shared" si="52"/>
        <v>0</v>
      </c>
      <c r="U82">
        <v>1</v>
      </c>
      <c r="V82">
        <f t="shared" si="53"/>
        <v>0</v>
      </c>
      <c r="X82">
        <f t="shared" si="54"/>
        <v>3059.68</v>
      </c>
      <c r="Y82">
        <f t="shared" si="55"/>
        <v>3059.68</v>
      </c>
      <c r="Z82">
        <v>1</v>
      </c>
      <c r="AA82">
        <f t="shared" si="56"/>
        <v>3059.68</v>
      </c>
      <c r="AB82">
        <f t="shared" si="57"/>
        <v>3059.68</v>
      </c>
      <c r="AC82">
        <f t="shared" si="58"/>
        <v>0</v>
      </c>
      <c r="AD82">
        <f t="shared" si="59"/>
        <v>2006.4166666666667</v>
      </c>
      <c r="AE82">
        <f t="shared" si="60"/>
        <v>2020</v>
      </c>
      <c r="AF82">
        <f t="shared" si="61"/>
        <v>2011.4166666666667</v>
      </c>
      <c r="AG82">
        <f t="shared" si="62"/>
        <v>2187.1666666666665</v>
      </c>
      <c r="AH82">
        <f t="shared" si="63"/>
        <v>-8.3333333333333329E-2</v>
      </c>
      <c r="AJ82">
        <f t="shared" si="64"/>
        <v>0</v>
      </c>
      <c r="AL82">
        <f t="shared" si="65"/>
        <v>0</v>
      </c>
      <c r="AN82">
        <f t="shared" si="66"/>
        <v>0</v>
      </c>
      <c r="AP82">
        <f t="shared" si="67"/>
        <v>0</v>
      </c>
      <c r="AR82">
        <f t="shared" si="68"/>
        <v>0</v>
      </c>
    </row>
    <row r="83" spans="1:44">
      <c r="C83" t="s">
        <v>352</v>
      </c>
      <c r="E83">
        <v>2007</v>
      </c>
      <c r="F83">
        <v>10</v>
      </c>
      <c r="G83">
        <v>0</v>
      </c>
      <c r="I83" t="s">
        <v>78</v>
      </c>
      <c r="J83">
        <v>5</v>
      </c>
      <c r="K83">
        <f t="shared" si="47"/>
        <v>2012</v>
      </c>
      <c r="N83">
        <v>1867.45</v>
      </c>
      <c r="O83">
        <v>0</v>
      </c>
      <c r="P83">
        <f t="shared" si="48"/>
        <v>1867.45</v>
      </c>
      <c r="Q83">
        <f t="shared" si="49"/>
        <v>31.124166666666667</v>
      </c>
      <c r="R83">
        <f t="shared" si="50"/>
        <v>0</v>
      </c>
      <c r="S83">
        <f t="shared" si="51"/>
        <v>0</v>
      </c>
      <c r="T83">
        <f t="shared" si="52"/>
        <v>0</v>
      </c>
      <c r="U83">
        <v>1</v>
      </c>
      <c r="V83">
        <f t="shared" si="53"/>
        <v>0</v>
      </c>
      <c r="X83">
        <f t="shared" si="54"/>
        <v>1867.45</v>
      </c>
      <c r="Y83">
        <f t="shared" si="55"/>
        <v>1867.45</v>
      </c>
      <c r="Z83">
        <v>1</v>
      </c>
      <c r="AA83">
        <f t="shared" si="56"/>
        <v>1867.45</v>
      </c>
      <c r="AB83">
        <f t="shared" si="57"/>
        <v>1867.45</v>
      </c>
      <c r="AC83">
        <f t="shared" si="58"/>
        <v>0</v>
      </c>
      <c r="AD83">
        <f t="shared" si="59"/>
        <v>2007.75</v>
      </c>
      <c r="AE83">
        <f t="shared" si="60"/>
        <v>2020</v>
      </c>
      <c r="AF83">
        <f t="shared" si="61"/>
        <v>2012.75</v>
      </c>
      <c r="AG83">
        <f t="shared" si="62"/>
        <v>2187.1666666666665</v>
      </c>
      <c r="AH83">
        <f t="shared" si="63"/>
        <v>-8.3333333333333329E-2</v>
      </c>
      <c r="AJ83">
        <f t="shared" si="64"/>
        <v>0</v>
      </c>
      <c r="AL83">
        <f t="shared" si="65"/>
        <v>0</v>
      </c>
      <c r="AN83">
        <f t="shared" si="66"/>
        <v>0</v>
      </c>
      <c r="AP83">
        <f t="shared" si="67"/>
        <v>0</v>
      </c>
      <c r="AR83">
        <f t="shared" si="68"/>
        <v>0</v>
      </c>
    </row>
    <row r="84" spans="1:44">
      <c r="C84" t="s">
        <v>353</v>
      </c>
      <c r="E84">
        <v>2007</v>
      </c>
      <c r="F84">
        <v>9</v>
      </c>
      <c r="G84">
        <v>0</v>
      </c>
      <c r="I84" t="s">
        <v>78</v>
      </c>
      <c r="J84">
        <v>5</v>
      </c>
      <c r="K84">
        <f t="shared" si="47"/>
        <v>2012</v>
      </c>
      <c r="N84">
        <v>1447.14</v>
      </c>
      <c r="O84">
        <v>0</v>
      </c>
      <c r="P84">
        <f t="shared" si="48"/>
        <v>1447.14</v>
      </c>
      <c r="Q84">
        <f t="shared" si="49"/>
        <v>24.119</v>
      </c>
      <c r="R84">
        <f t="shared" si="50"/>
        <v>0</v>
      </c>
      <c r="S84">
        <f t="shared" si="51"/>
        <v>0</v>
      </c>
      <c r="T84">
        <f t="shared" si="52"/>
        <v>0</v>
      </c>
      <c r="U84">
        <v>1</v>
      </c>
      <c r="V84">
        <f t="shared" si="53"/>
        <v>0</v>
      </c>
      <c r="X84">
        <f t="shared" si="54"/>
        <v>1447.14</v>
      </c>
      <c r="Y84">
        <f t="shared" si="55"/>
        <v>1447.14</v>
      </c>
      <c r="Z84">
        <v>1</v>
      </c>
      <c r="AA84">
        <f t="shared" si="56"/>
        <v>1447.14</v>
      </c>
      <c r="AB84">
        <f t="shared" si="57"/>
        <v>1447.14</v>
      </c>
      <c r="AC84">
        <f t="shared" si="58"/>
        <v>0</v>
      </c>
      <c r="AD84">
        <f t="shared" si="59"/>
        <v>2007.6666666666667</v>
      </c>
      <c r="AE84">
        <f t="shared" si="60"/>
        <v>2020</v>
      </c>
      <c r="AF84">
        <f t="shared" si="61"/>
        <v>2012.6666666666667</v>
      </c>
      <c r="AG84">
        <f t="shared" si="62"/>
        <v>2187.1666666666665</v>
      </c>
      <c r="AH84">
        <f t="shared" si="63"/>
        <v>-8.3333333333333329E-2</v>
      </c>
      <c r="AJ84">
        <f t="shared" si="64"/>
        <v>0</v>
      </c>
      <c r="AL84">
        <f t="shared" si="65"/>
        <v>0</v>
      </c>
      <c r="AN84">
        <f t="shared" si="66"/>
        <v>0</v>
      </c>
      <c r="AP84">
        <f t="shared" si="67"/>
        <v>0</v>
      </c>
      <c r="AR84">
        <f t="shared" si="68"/>
        <v>0</v>
      </c>
    </row>
    <row r="85" spans="1:44">
      <c r="C85" t="s">
        <v>354</v>
      </c>
      <c r="E85">
        <v>2007</v>
      </c>
      <c r="F85">
        <v>8</v>
      </c>
      <c r="G85">
        <v>0</v>
      </c>
      <c r="I85" t="s">
        <v>78</v>
      </c>
      <c r="J85">
        <v>5</v>
      </c>
      <c r="K85">
        <f t="shared" si="47"/>
        <v>2012</v>
      </c>
      <c r="N85">
        <v>1863.93</v>
      </c>
      <c r="O85">
        <v>0</v>
      </c>
      <c r="P85">
        <f t="shared" si="48"/>
        <v>1863.93</v>
      </c>
      <c r="Q85">
        <f t="shared" si="49"/>
        <v>31.0655</v>
      </c>
      <c r="R85">
        <f t="shared" si="50"/>
        <v>0</v>
      </c>
      <c r="S85">
        <f t="shared" si="51"/>
        <v>0</v>
      </c>
      <c r="T85">
        <f t="shared" si="52"/>
        <v>0</v>
      </c>
      <c r="U85">
        <v>1</v>
      </c>
      <c r="V85">
        <f t="shared" si="53"/>
        <v>0</v>
      </c>
      <c r="X85">
        <f t="shared" si="54"/>
        <v>1863.93</v>
      </c>
      <c r="Y85">
        <f t="shared" si="55"/>
        <v>1863.93</v>
      </c>
      <c r="Z85">
        <v>1</v>
      </c>
      <c r="AA85">
        <f t="shared" si="56"/>
        <v>1863.93</v>
      </c>
      <c r="AB85">
        <f t="shared" si="57"/>
        <v>1863.93</v>
      </c>
      <c r="AC85">
        <f t="shared" si="58"/>
        <v>0</v>
      </c>
      <c r="AD85">
        <f t="shared" si="59"/>
        <v>2007.5833333333333</v>
      </c>
      <c r="AE85">
        <f t="shared" si="60"/>
        <v>2020</v>
      </c>
      <c r="AF85">
        <f t="shared" si="61"/>
        <v>2012.5833333333333</v>
      </c>
      <c r="AG85">
        <f t="shared" si="62"/>
        <v>2187.1666666666665</v>
      </c>
      <c r="AH85">
        <f t="shared" si="63"/>
        <v>-8.3333333333333329E-2</v>
      </c>
      <c r="AJ85">
        <f t="shared" si="64"/>
        <v>0</v>
      </c>
      <c r="AL85">
        <f t="shared" si="65"/>
        <v>0</v>
      </c>
      <c r="AN85">
        <f t="shared" si="66"/>
        <v>0</v>
      </c>
      <c r="AP85">
        <f t="shared" si="67"/>
        <v>0</v>
      </c>
      <c r="AR85">
        <f t="shared" si="68"/>
        <v>0</v>
      </c>
    </row>
    <row r="86" spans="1:44">
      <c r="C86" t="s">
        <v>355</v>
      </c>
      <c r="E86">
        <v>2007</v>
      </c>
      <c r="F86">
        <v>5</v>
      </c>
      <c r="G86">
        <v>0</v>
      </c>
      <c r="I86" t="s">
        <v>78</v>
      </c>
      <c r="J86">
        <v>5</v>
      </c>
      <c r="K86">
        <f t="shared" si="47"/>
        <v>2012</v>
      </c>
      <c r="N86">
        <v>1702.15</v>
      </c>
      <c r="O86">
        <v>0</v>
      </c>
      <c r="P86">
        <f t="shared" si="48"/>
        <v>1702.15</v>
      </c>
      <c r="Q86">
        <f t="shared" si="49"/>
        <v>28.369166666666668</v>
      </c>
      <c r="R86">
        <f t="shared" si="50"/>
        <v>0</v>
      </c>
      <c r="S86">
        <f t="shared" si="51"/>
        <v>0</v>
      </c>
      <c r="T86">
        <f t="shared" si="52"/>
        <v>0</v>
      </c>
      <c r="U86">
        <v>1</v>
      </c>
      <c r="V86">
        <f t="shared" si="53"/>
        <v>0</v>
      </c>
      <c r="X86">
        <f t="shared" si="54"/>
        <v>1702.15</v>
      </c>
      <c r="Y86">
        <f t="shared" si="55"/>
        <v>1702.15</v>
      </c>
      <c r="Z86">
        <v>1</v>
      </c>
      <c r="AA86">
        <f t="shared" si="56"/>
        <v>1702.15</v>
      </c>
      <c r="AB86">
        <f t="shared" si="57"/>
        <v>1702.15</v>
      </c>
      <c r="AC86">
        <f t="shared" si="58"/>
        <v>0</v>
      </c>
      <c r="AD86">
        <f t="shared" si="59"/>
        <v>2007.3333333333333</v>
      </c>
      <c r="AE86">
        <f t="shared" si="60"/>
        <v>2020</v>
      </c>
      <c r="AF86">
        <f t="shared" si="61"/>
        <v>2012.3333333333333</v>
      </c>
      <c r="AG86">
        <f t="shared" si="62"/>
        <v>2187.1666666666665</v>
      </c>
      <c r="AH86">
        <f t="shared" si="63"/>
        <v>-8.3333333333333329E-2</v>
      </c>
      <c r="AJ86">
        <f t="shared" si="64"/>
        <v>0</v>
      </c>
      <c r="AL86">
        <f t="shared" si="65"/>
        <v>0</v>
      </c>
      <c r="AN86">
        <f t="shared" si="66"/>
        <v>0</v>
      </c>
      <c r="AP86">
        <f t="shared" si="67"/>
        <v>0</v>
      </c>
      <c r="AR86">
        <f t="shared" si="68"/>
        <v>0</v>
      </c>
    </row>
    <row r="87" spans="1:44">
      <c r="C87" t="s">
        <v>104</v>
      </c>
      <c r="E87">
        <v>2007</v>
      </c>
      <c r="F87">
        <v>5</v>
      </c>
      <c r="G87">
        <v>0</v>
      </c>
      <c r="I87" t="s">
        <v>78</v>
      </c>
      <c r="J87">
        <v>5</v>
      </c>
      <c r="K87">
        <f t="shared" si="47"/>
        <v>2012</v>
      </c>
      <c r="N87">
        <v>9925.1</v>
      </c>
      <c r="O87">
        <v>0</v>
      </c>
      <c r="P87">
        <f t="shared" si="48"/>
        <v>9925.1</v>
      </c>
      <c r="Q87">
        <f t="shared" si="49"/>
        <v>165.41833333333332</v>
      </c>
      <c r="R87">
        <f t="shared" si="50"/>
        <v>0</v>
      </c>
      <c r="S87">
        <f t="shared" si="51"/>
        <v>0</v>
      </c>
      <c r="T87">
        <f t="shared" si="52"/>
        <v>0</v>
      </c>
      <c r="U87">
        <v>1</v>
      </c>
      <c r="V87">
        <f t="shared" si="53"/>
        <v>0</v>
      </c>
      <c r="X87">
        <f t="shared" si="54"/>
        <v>9925.1</v>
      </c>
      <c r="Y87">
        <f t="shared" si="55"/>
        <v>9925.1</v>
      </c>
      <c r="Z87">
        <v>1</v>
      </c>
      <c r="AA87">
        <f t="shared" si="56"/>
        <v>9925.1</v>
      </c>
      <c r="AB87">
        <f t="shared" si="57"/>
        <v>9925.1</v>
      </c>
      <c r="AC87">
        <f t="shared" si="58"/>
        <v>0</v>
      </c>
      <c r="AD87">
        <f t="shared" si="59"/>
        <v>2007.3333333333333</v>
      </c>
      <c r="AE87">
        <f t="shared" si="60"/>
        <v>2020</v>
      </c>
      <c r="AF87">
        <f t="shared" si="61"/>
        <v>2012.3333333333333</v>
      </c>
      <c r="AG87">
        <f t="shared" si="62"/>
        <v>2187.1666666666665</v>
      </c>
      <c r="AH87">
        <f t="shared" si="63"/>
        <v>-8.3333333333333329E-2</v>
      </c>
      <c r="AJ87">
        <f t="shared" si="64"/>
        <v>0</v>
      </c>
      <c r="AL87">
        <f t="shared" si="65"/>
        <v>0</v>
      </c>
      <c r="AN87">
        <f t="shared" si="66"/>
        <v>0</v>
      </c>
      <c r="AP87">
        <f t="shared" si="67"/>
        <v>0</v>
      </c>
      <c r="AR87">
        <f t="shared" si="68"/>
        <v>0</v>
      </c>
    </row>
    <row r="88" spans="1:44">
      <c r="C88" t="s">
        <v>132</v>
      </c>
      <c r="E88">
        <v>2007</v>
      </c>
      <c r="F88">
        <v>4</v>
      </c>
      <c r="G88">
        <v>0</v>
      </c>
      <c r="I88" t="s">
        <v>78</v>
      </c>
      <c r="J88">
        <v>5</v>
      </c>
      <c r="K88">
        <f t="shared" si="47"/>
        <v>2012</v>
      </c>
      <c r="N88">
        <v>2346.86</v>
      </c>
      <c r="O88">
        <v>0</v>
      </c>
      <c r="P88">
        <f t="shared" si="48"/>
        <v>2346.86</v>
      </c>
      <c r="Q88">
        <f t="shared" si="49"/>
        <v>39.114333333333335</v>
      </c>
      <c r="R88">
        <f t="shared" si="50"/>
        <v>0</v>
      </c>
      <c r="S88">
        <f t="shared" si="51"/>
        <v>0</v>
      </c>
      <c r="T88">
        <f t="shared" si="52"/>
        <v>0</v>
      </c>
      <c r="U88">
        <v>1</v>
      </c>
      <c r="V88">
        <f t="shared" si="53"/>
        <v>0</v>
      </c>
      <c r="X88">
        <f t="shared" si="54"/>
        <v>2346.86</v>
      </c>
      <c r="Y88">
        <f t="shared" si="55"/>
        <v>2346.86</v>
      </c>
      <c r="Z88">
        <v>1</v>
      </c>
      <c r="AA88">
        <f t="shared" si="56"/>
        <v>2346.86</v>
      </c>
      <c r="AB88">
        <f t="shared" si="57"/>
        <v>2346.86</v>
      </c>
      <c r="AC88">
        <f t="shared" si="58"/>
        <v>0</v>
      </c>
      <c r="AD88">
        <f t="shared" si="59"/>
        <v>2007.25</v>
      </c>
      <c r="AE88">
        <f t="shared" si="60"/>
        <v>2020</v>
      </c>
      <c r="AF88">
        <f t="shared" si="61"/>
        <v>2012.25</v>
      </c>
      <c r="AG88">
        <f t="shared" si="62"/>
        <v>2187.1666666666665</v>
      </c>
      <c r="AH88">
        <f t="shared" si="63"/>
        <v>-8.3333333333333329E-2</v>
      </c>
      <c r="AJ88">
        <f t="shared" si="64"/>
        <v>0</v>
      </c>
      <c r="AL88">
        <f t="shared" si="65"/>
        <v>0</v>
      </c>
      <c r="AN88">
        <f t="shared" si="66"/>
        <v>0</v>
      </c>
      <c r="AP88">
        <f t="shared" si="67"/>
        <v>0</v>
      </c>
      <c r="AR88">
        <f t="shared" si="68"/>
        <v>0</v>
      </c>
    </row>
    <row r="89" spans="1:44">
      <c r="C89" t="s">
        <v>107</v>
      </c>
      <c r="E89">
        <v>2007</v>
      </c>
      <c r="F89">
        <v>4</v>
      </c>
      <c r="G89">
        <v>0</v>
      </c>
      <c r="I89" t="s">
        <v>78</v>
      </c>
      <c r="J89">
        <v>5</v>
      </c>
      <c r="K89">
        <f t="shared" si="47"/>
        <v>2012</v>
      </c>
      <c r="N89">
        <v>1699.29</v>
      </c>
      <c r="O89">
        <v>0</v>
      </c>
      <c r="P89">
        <f t="shared" si="48"/>
        <v>1699.29</v>
      </c>
      <c r="Q89">
        <f t="shared" si="49"/>
        <v>28.3215</v>
      </c>
      <c r="R89">
        <f t="shared" si="50"/>
        <v>0</v>
      </c>
      <c r="S89">
        <f t="shared" si="51"/>
        <v>0</v>
      </c>
      <c r="T89">
        <f t="shared" si="52"/>
        <v>0</v>
      </c>
      <c r="U89">
        <v>1</v>
      </c>
      <c r="V89">
        <f t="shared" si="53"/>
        <v>0</v>
      </c>
      <c r="X89">
        <f t="shared" si="54"/>
        <v>1699.29</v>
      </c>
      <c r="Y89">
        <f t="shared" si="55"/>
        <v>1699.29</v>
      </c>
      <c r="Z89">
        <v>1</v>
      </c>
      <c r="AA89">
        <f t="shared" si="56"/>
        <v>1699.29</v>
      </c>
      <c r="AB89">
        <f t="shared" si="57"/>
        <v>1699.29</v>
      </c>
      <c r="AC89">
        <f t="shared" si="58"/>
        <v>0</v>
      </c>
      <c r="AD89">
        <f t="shared" si="59"/>
        <v>2007.25</v>
      </c>
      <c r="AE89">
        <f t="shared" si="60"/>
        <v>2020</v>
      </c>
      <c r="AF89">
        <f t="shared" si="61"/>
        <v>2012.25</v>
      </c>
      <c r="AG89">
        <f t="shared" si="62"/>
        <v>2187.1666666666665</v>
      </c>
      <c r="AH89">
        <f t="shared" si="63"/>
        <v>-8.3333333333333329E-2</v>
      </c>
      <c r="AJ89">
        <f t="shared" si="64"/>
        <v>0</v>
      </c>
      <c r="AL89">
        <f t="shared" si="65"/>
        <v>0</v>
      </c>
      <c r="AN89">
        <f t="shared" si="66"/>
        <v>0</v>
      </c>
      <c r="AP89">
        <f t="shared" si="67"/>
        <v>0</v>
      </c>
      <c r="AR89">
        <f t="shared" si="68"/>
        <v>0</v>
      </c>
    </row>
    <row r="90" spans="1:44">
      <c r="C90" t="s">
        <v>108</v>
      </c>
      <c r="E90">
        <v>2007</v>
      </c>
      <c r="F90">
        <v>3</v>
      </c>
      <c r="G90">
        <v>0</v>
      </c>
      <c r="I90" t="s">
        <v>78</v>
      </c>
      <c r="J90">
        <v>5</v>
      </c>
      <c r="K90">
        <f t="shared" si="47"/>
        <v>2012</v>
      </c>
      <c r="N90">
        <v>1078</v>
      </c>
      <c r="O90">
        <v>0</v>
      </c>
      <c r="P90">
        <f t="shared" si="48"/>
        <v>1078</v>
      </c>
      <c r="Q90">
        <f t="shared" si="49"/>
        <v>17.966666666666665</v>
      </c>
      <c r="R90">
        <f t="shared" si="50"/>
        <v>0</v>
      </c>
      <c r="S90">
        <f t="shared" si="51"/>
        <v>0</v>
      </c>
      <c r="T90">
        <f t="shared" si="52"/>
        <v>0</v>
      </c>
      <c r="U90">
        <v>1</v>
      </c>
      <c r="V90">
        <f t="shared" si="53"/>
        <v>0</v>
      </c>
      <c r="X90">
        <f t="shared" si="54"/>
        <v>1078</v>
      </c>
      <c r="Y90">
        <f t="shared" si="55"/>
        <v>1078</v>
      </c>
      <c r="Z90">
        <v>1</v>
      </c>
      <c r="AA90">
        <f t="shared" si="56"/>
        <v>1078</v>
      </c>
      <c r="AB90">
        <f t="shared" si="57"/>
        <v>1078</v>
      </c>
      <c r="AC90">
        <f t="shared" si="58"/>
        <v>0</v>
      </c>
      <c r="AD90">
        <f t="shared" si="59"/>
        <v>2007.1666666666667</v>
      </c>
      <c r="AE90">
        <f t="shared" si="60"/>
        <v>2020</v>
      </c>
      <c r="AF90">
        <f t="shared" si="61"/>
        <v>2012.1666666666667</v>
      </c>
      <c r="AG90">
        <f t="shared" si="62"/>
        <v>2187.1666666666665</v>
      </c>
      <c r="AH90">
        <f t="shared" si="63"/>
        <v>-8.3333333333333329E-2</v>
      </c>
      <c r="AJ90">
        <f t="shared" si="64"/>
        <v>0</v>
      </c>
      <c r="AL90">
        <f t="shared" si="65"/>
        <v>0</v>
      </c>
      <c r="AN90">
        <f t="shared" si="66"/>
        <v>0</v>
      </c>
      <c r="AP90">
        <f t="shared" si="67"/>
        <v>0</v>
      </c>
      <c r="AR90">
        <f t="shared" si="68"/>
        <v>0</v>
      </c>
    </row>
    <row r="91" spans="1:44">
      <c r="A91" t="s">
        <v>288</v>
      </c>
      <c r="B91">
        <v>6042</v>
      </c>
      <c r="C91" t="s">
        <v>450</v>
      </c>
      <c r="D91">
        <v>61091</v>
      </c>
      <c r="E91">
        <v>2008</v>
      </c>
      <c r="F91">
        <v>3</v>
      </c>
      <c r="G91">
        <v>0.33</v>
      </c>
      <c r="I91" t="s">
        <v>78</v>
      </c>
      <c r="J91">
        <v>5</v>
      </c>
      <c r="K91">
        <f>E91+J91</f>
        <v>2013</v>
      </c>
      <c r="N91">
        <v>15294.09</v>
      </c>
      <c r="O91">
        <v>0</v>
      </c>
      <c r="P91">
        <f>N91-N91*G91</f>
        <v>10247.040300000001</v>
      </c>
      <c r="Q91">
        <f>P91/J91/12</f>
        <v>170.78400500000001</v>
      </c>
      <c r="R91">
        <f>IF(O91&gt;0,0,IF(OR(AD91&gt;AE91,AF91&lt;AG91),0,IF(AND(AF91&gt;=AG91,AF91&lt;=AE91),Q91*((AF91-AG91)*12),IF(AND(AG91&lt;=AD91,AE91&gt;=AD91),((AE91-AD91)*12)*Q91,IF(AF91&gt;AE91,12*Q91,0)))))</f>
        <v>0</v>
      </c>
      <c r="S91">
        <f>IF(O91=0,0,IF(AND(AH91&gt;=AG91,AH91&lt;=AF91),((AH91-AG91)*12)*Q91,0))</f>
        <v>0</v>
      </c>
      <c r="T91">
        <f>IF(S91&gt;0,S91,R91)</f>
        <v>0</v>
      </c>
      <c r="U91">
        <v>1</v>
      </c>
      <c r="V91">
        <f>U91*SUM(R91:S91)</f>
        <v>0</v>
      </c>
      <c r="X91">
        <f>IF(AD91&gt;AE91,0,IF(AF91&lt;AG91,P91,IF(AND(AF91&gt;=AG91,AF91&lt;=AE91),(P91-T91),IF(AND(AG91&lt;=AD91,AE91&gt;=AD91),0,IF(AF91&gt;AE91,((AG91-AD91)*12)*Q91,0)))))</f>
        <v>10247.040300000001</v>
      </c>
      <c r="Y91">
        <f>X91*U91</f>
        <v>10247.040300000001</v>
      </c>
      <c r="Z91">
        <v>1</v>
      </c>
      <c r="AA91">
        <f>Y91*Z91</f>
        <v>10247.040300000001</v>
      </c>
      <c r="AB91">
        <f>IF(O91&gt;0,0,AA91+V91*Z91)*Z91</f>
        <v>10247.040300000001</v>
      </c>
      <c r="AC91">
        <f>IF(O91&gt;0,(N91-AA91)/2,IF(AD91&gt;=AG91,(((N91*U91)*Z91)-AB91)/2,((((N91*U91)*Z91)-AA91)+(((N91*U91)*Z91)-AB91))/2))</f>
        <v>5047.0496999999996</v>
      </c>
      <c r="AD91">
        <f>$E91+(($F91-1)/12)</f>
        <v>2008.1666666666667</v>
      </c>
      <c r="AE91">
        <f>('Trucks 2183'!$M$5+1)-('Trucks 2183'!$M$2/12)</f>
        <v>2020</v>
      </c>
      <c r="AF91">
        <f>$K91+(($F91-1)/12)</f>
        <v>2013.1666666666667</v>
      </c>
      <c r="AG91">
        <f>'Trucks 2183'!$M$4+('Trucks 2183'!$M$3/12)</f>
        <v>2187.1666666666665</v>
      </c>
      <c r="AH91">
        <f>$L91+(($M91-1)/12)</f>
        <v>-8.3333333333333329E-2</v>
      </c>
      <c r="AJ91">
        <f t="shared" si="64"/>
        <v>1682.3498999999999</v>
      </c>
      <c r="AL91">
        <f t="shared" si="65"/>
        <v>1682.3498999999999</v>
      </c>
      <c r="AN91">
        <f t="shared" si="66"/>
        <v>-5047.0496999999996</v>
      </c>
      <c r="AP91">
        <f t="shared" si="67"/>
        <v>0</v>
      </c>
      <c r="AR91">
        <f t="shared" si="68"/>
        <v>0</v>
      </c>
    </row>
    <row r="92" spans="1:44">
      <c r="B92">
        <v>6020</v>
      </c>
      <c r="C92" t="s">
        <v>434</v>
      </c>
      <c r="D92">
        <v>81814</v>
      </c>
      <c r="E92">
        <v>2008</v>
      </c>
      <c r="F92">
        <v>11</v>
      </c>
      <c r="G92">
        <v>0.33</v>
      </c>
      <c r="I92" t="s">
        <v>78</v>
      </c>
      <c r="J92">
        <v>5</v>
      </c>
      <c r="K92">
        <f>E92+J92</f>
        <v>2013</v>
      </c>
      <c r="N92">
        <v>2500</v>
      </c>
      <c r="P92">
        <f>N92-N92*G92</f>
        <v>1675</v>
      </c>
      <c r="Q92">
        <f>P92/J92/12</f>
        <v>27.916666666666668</v>
      </c>
      <c r="R92">
        <f>IF(O92&gt;0,0,IF(OR(AD92&gt;AE92,AF92&lt;AG92),0,IF(AND(AF92&gt;=AG92,AF92&lt;=AE92),Q92*((AF92-AG92)*12),IF(AND(AG92&lt;=AD92,AE92&gt;=AD92),((AE92-AD92)*12)*Q92,IF(AF92&gt;AE92,12*Q92,0)))))</f>
        <v>0</v>
      </c>
      <c r="S92">
        <f>IF(O92=0,0,IF(AND(AH92&gt;=AG92,AH92&lt;=AF92),((AH92-AG92)*12)*Q92,0))</f>
        <v>0</v>
      </c>
      <c r="T92">
        <f>IF(S92&gt;0,S92,R92)</f>
        <v>0</v>
      </c>
      <c r="U92">
        <v>1</v>
      </c>
      <c r="V92">
        <f>U92*SUM(R92:S92)</f>
        <v>0</v>
      </c>
      <c r="X92">
        <f>IF(AD92&gt;AE92,0,IF(AF92&lt;AG92,P92,IF(AND(AF92&gt;=AG92,AF92&lt;=AE92),(P92-T92),IF(AND(AG92&lt;=AD92,AE92&gt;=AD92),0,IF(AF92&gt;AE92,((AG92-AD92)*12)*Q92,0)))))</f>
        <v>1675</v>
      </c>
      <c r="Y92">
        <f>X92*U92</f>
        <v>1675</v>
      </c>
      <c r="Z92">
        <v>1</v>
      </c>
      <c r="AA92">
        <f>Y92*Z92</f>
        <v>1675</v>
      </c>
      <c r="AB92">
        <f>IF(O92&gt;0,0,AA92+V92*Z92)*Z92</f>
        <v>1675</v>
      </c>
      <c r="AC92">
        <f>IF(O92&gt;0,(N92-AA92)/2,IF(AD92&gt;=AG92,(((N92*U92)*Z92)-AB92)/2,((((N92*U92)*Z92)-AA92)+(((N92*U92)*Z92)-AB92))/2))</f>
        <v>825</v>
      </c>
      <c r="AD92">
        <f>$E92+(($F92-1)/12)</f>
        <v>2008.8333333333333</v>
      </c>
      <c r="AE92">
        <f t="shared" si="60"/>
        <v>2020</v>
      </c>
      <c r="AF92">
        <f>$K92+(($F92-1)/12)</f>
        <v>2013.8333333333333</v>
      </c>
      <c r="AG92">
        <f t="shared" si="62"/>
        <v>2187.1666666666665</v>
      </c>
      <c r="AH92">
        <f>$L92+(($M92-1)/12)</f>
        <v>-8.3333333333333329E-2</v>
      </c>
      <c r="AJ92">
        <f t="shared" si="64"/>
        <v>275</v>
      </c>
      <c r="AL92">
        <f t="shared" si="65"/>
        <v>275</v>
      </c>
      <c r="AN92">
        <f t="shared" si="66"/>
        <v>-825</v>
      </c>
      <c r="AP92">
        <f t="shared" si="67"/>
        <v>0</v>
      </c>
      <c r="AR92">
        <f t="shared" si="68"/>
        <v>0</v>
      </c>
    </row>
    <row r="93" spans="1:44">
      <c r="C93" t="s">
        <v>361</v>
      </c>
      <c r="E93">
        <v>2009</v>
      </c>
      <c r="F93">
        <v>7</v>
      </c>
      <c r="G93">
        <v>0</v>
      </c>
      <c r="I93" t="s">
        <v>78</v>
      </c>
      <c r="J93">
        <v>5</v>
      </c>
      <c r="K93">
        <f t="shared" si="47"/>
        <v>2014</v>
      </c>
      <c r="N93">
        <v>2347.9299999999998</v>
      </c>
      <c r="O93">
        <v>0</v>
      </c>
      <c r="P93">
        <f t="shared" si="48"/>
        <v>2347.9299999999998</v>
      </c>
      <c r="Q93">
        <f t="shared" si="49"/>
        <v>39.132166666666663</v>
      </c>
      <c r="R93">
        <f t="shared" si="50"/>
        <v>0</v>
      </c>
      <c r="S93">
        <f t="shared" si="51"/>
        <v>0</v>
      </c>
      <c r="T93">
        <f t="shared" si="52"/>
        <v>0</v>
      </c>
      <c r="U93">
        <v>1</v>
      </c>
      <c r="V93">
        <f t="shared" si="53"/>
        <v>0</v>
      </c>
      <c r="X93">
        <f t="shared" si="54"/>
        <v>2347.9299999999998</v>
      </c>
      <c r="Y93">
        <f t="shared" si="55"/>
        <v>2347.9299999999998</v>
      </c>
      <c r="Z93">
        <v>1</v>
      </c>
      <c r="AA93">
        <f t="shared" si="56"/>
        <v>2347.9299999999998</v>
      </c>
      <c r="AB93">
        <f t="shared" si="57"/>
        <v>2347.9299999999998</v>
      </c>
      <c r="AC93">
        <f t="shared" si="58"/>
        <v>0</v>
      </c>
      <c r="AD93">
        <f t="shared" si="59"/>
        <v>2009.5</v>
      </c>
      <c r="AE93">
        <f t="shared" si="60"/>
        <v>2020</v>
      </c>
      <c r="AF93">
        <f t="shared" si="61"/>
        <v>2014.5</v>
      </c>
      <c r="AG93">
        <f t="shared" si="62"/>
        <v>2187.1666666666665</v>
      </c>
      <c r="AH93">
        <f t="shared" si="63"/>
        <v>-8.3333333333333329E-2</v>
      </c>
      <c r="AJ93">
        <f t="shared" si="64"/>
        <v>0</v>
      </c>
      <c r="AL93">
        <f t="shared" si="65"/>
        <v>0</v>
      </c>
      <c r="AN93">
        <f t="shared" si="66"/>
        <v>0</v>
      </c>
      <c r="AP93">
        <f t="shared" si="67"/>
        <v>0</v>
      </c>
      <c r="AR93">
        <f t="shared" si="68"/>
        <v>0</v>
      </c>
    </row>
    <row r="94" spans="1:44">
      <c r="C94" t="s">
        <v>362</v>
      </c>
      <c r="E94">
        <v>2009</v>
      </c>
      <c r="F94">
        <v>6</v>
      </c>
      <c r="G94">
        <v>0</v>
      </c>
      <c r="I94" t="s">
        <v>78</v>
      </c>
      <c r="J94">
        <v>5</v>
      </c>
      <c r="K94">
        <f t="shared" si="47"/>
        <v>2014</v>
      </c>
      <c r="N94">
        <v>4147.3100000000004</v>
      </c>
      <c r="O94">
        <v>0</v>
      </c>
      <c r="P94">
        <f t="shared" si="48"/>
        <v>4147.3100000000004</v>
      </c>
      <c r="Q94">
        <f t="shared" si="49"/>
        <v>69.121833333333342</v>
      </c>
      <c r="R94">
        <f t="shared" si="50"/>
        <v>0</v>
      </c>
      <c r="S94">
        <f t="shared" si="51"/>
        <v>0</v>
      </c>
      <c r="T94">
        <f t="shared" si="52"/>
        <v>0</v>
      </c>
      <c r="U94">
        <v>1</v>
      </c>
      <c r="V94">
        <f t="shared" si="53"/>
        <v>0</v>
      </c>
      <c r="X94">
        <f t="shared" si="54"/>
        <v>4147.3100000000004</v>
      </c>
      <c r="Y94">
        <f t="shared" si="55"/>
        <v>4147.3100000000004</v>
      </c>
      <c r="Z94">
        <v>1</v>
      </c>
      <c r="AA94">
        <f t="shared" si="56"/>
        <v>4147.3100000000004</v>
      </c>
      <c r="AB94">
        <f t="shared" si="57"/>
        <v>4147.3100000000004</v>
      </c>
      <c r="AC94">
        <f t="shared" si="58"/>
        <v>0</v>
      </c>
      <c r="AD94">
        <f t="shared" si="59"/>
        <v>2009.4166666666667</v>
      </c>
      <c r="AE94">
        <f t="shared" si="60"/>
        <v>2020</v>
      </c>
      <c r="AF94">
        <f t="shared" si="61"/>
        <v>2014.4166666666667</v>
      </c>
      <c r="AG94">
        <f t="shared" si="62"/>
        <v>2187.1666666666665</v>
      </c>
      <c r="AH94">
        <f t="shared" si="63"/>
        <v>-8.3333333333333329E-2</v>
      </c>
      <c r="AJ94">
        <f t="shared" si="64"/>
        <v>0</v>
      </c>
      <c r="AL94">
        <f t="shared" si="65"/>
        <v>0</v>
      </c>
      <c r="AN94">
        <f t="shared" si="66"/>
        <v>0</v>
      </c>
      <c r="AP94">
        <f t="shared" si="67"/>
        <v>0</v>
      </c>
      <c r="AR94">
        <f t="shared" si="68"/>
        <v>0</v>
      </c>
    </row>
    <row r="95" spans="1:44">
      <c r="C95" t="s">
        <v>363</v>
      </c>
      <c r="E95">
        <v>2009</v>
      </c>
      <c r="F95">
        <v>1</v>
      </c>
      <c r="G95">
        <v>0</v>
      </c>
      <c r="I95" t="s">
        <v>78</v>
      </c>
      <c r="J95">
        <v>4.916666666666667</v>
      </c>
      <c r="K95">
        <f t="shared" si="47"/>
        <v>2013.9166666666667</v>
      </c>
      <c r="N95">
        <v>2847</v>
      </c>
      <c r="O95">
        <v>0</v>
      </c>
      <c r="P95">
        <f t="shared" si="48"/>
        <v>2847</v>
      </c>
      <c r="Q95">
        <f t="shared" si="49"/>
        <v>48.254237288135592</v>
      </c>
      <c r="R95">
        <f t="shared" si="50"/>
        <v>0</v>
      </c>
      <c r="S95">
        <f t="shared" si="51"/>
        <v>0</v>
      </c>
      <c r="T95">
        <f t="shared" si="52"/>
        <v>0</v>
      </c>
      <c r="U95">
        <v>1</v>
      </c>
      <c r="V95">
        <f t="shared" si="53"/>
        <v>0</v>
      </c>
      <c r="X95">
        <f t="shared" si="54"/>
        <v>2847</v>
      </c>
      <c r="Y95">
        <f t="shared" si="55"/>
        <v>2847</v>
      </c>
      <c r="Z95">
        <v>1</v>
      </c>
      <c r="AA95">
        <f t="shared" si="56"/>
        <v>2847</v>
      </c>
      <c r="AB95">
        <f t="shared" si="57"/>
        <v>2847</v>
      </c>
      <c r="AC95">
        <f t="shared" si="58"/>
        <v>0</v>
      </c>
      <c r="AD95">
        <f t="shared" si="59"/>
        <v>2009</v>
      </c>
      <c r="AE95">
        <f t="shared" si="60"/>
        <v>2020</v>
      </c>
      <c r="AF95">
        <f t="shared" si="61"/>
        <v>2013.9166666666667</v>
      </c>
      <c r="AG95">
        <f t="shared" si="62"/>
        <v>2187.1666666666665</v>
      </c>
      <c r="AH95">
        <f t="shared" si="63"/>
        <v>-8.3333333333333329E-2</v>
      </c>
      <c r="AJ95">
        <f t="shared" si="64"/>
        <v>0</v>
      </c>
      <c r="AL95">
        <f t="shared" si="65"/>
        <v>0</v>
      </c>
      <c r="AN95">
        <f t="shared" si="66"/>
        <v>0</v>
      </c>
      <c r="AP95">
        <f t="shared" si="67"/>
        <v>0</v>
      </c>
      <c r="AR95">
        <f t="shared" si="68"/>
        <v>0</v>
      </c>
    </row>
    <row r="96" spans="1:44">
      <c r="C96" t="s">
        <v>420</v>
      </c>
      <c r="D96">
        <v>78790</v>
      </c>
      <c r="E96">
        <v>2010</v>
      </c>
      <c r="F96">
        <v>12</v>
      </c>
      <c r="G96">
        <v>0</v>
      </c>
      <c r="I96" t="s">
        <v>78</v>
      </c>
      <c r="J96">
        <v>5</v>
      </c>
      <c r="K96">
        <f t="shared" si="47"/>
        <v>2015</v>
      </c>
      <c r="N96">
        <v>5900.24</v>
      </c>
      <c r="O96">
        <v>0</v>
      </c>
      <c r="P96">
        <f t="shared" si="48"/>
        <v>5900.24</v>
      </c>
      <c r="Q96">
        <f t="shared" si="49"/>
        <v>98.337333333333333</v>
      </c>
      <c r="R96">
        <f t="shared" si="50"/>
        <v>0</v>
      </c>
      <c r="S96">
        <f t="shared" si="51"/>
        <v>0</v>
      </c>
      <c r="T96">
        <f t="shared" si="52"/>
        <v>0</v>
      </c>
      <c r="U96">
        <v>1</v>
      </c>
      <c r="V96">
        <f t="shared" si="53"/>
        <v>0</v>
      </c>
      <c r="X96">
        <f t="shared" si="54"/>
        <v>5900.24</v>
      </c>
      <c r="Y96">
        <f t="shared" si="55"/>
        <v>5900.24</v>
      </c>
      <c r="Z96">
        <v>1</v>
      </c>
      <c r="AA96">
        <f t="shared" si="56"/>
        <v>5900.24</v>
      </c>
      <c r="AB96">
        <f t="shared" si="57"/>
        <v>5900.24</v>
      </c>
      <c r="AC96">
        <f t="shared" si="58"/>
        <v>0</v>
      </c>
      <c r="AD96">
        <f t="shared" si="59"/>
        <v>2010.9166666666667</v>
      </c>
      <c r="AE96">
        <f t="shared" si="60"/>
        <v>2020</v>
      </c>
      <c r="AF96">
        <f t="shared" si="61"/>
        <v>2015.9166666666667</v>
      </c>
      <c r="AG96">
        <f t="shared" si="62"/>
        <v>2187.1666666666665</v>
      </c>
      <c r="AH96">
        <f t="shared" si="63"/>
        <v>-8.3333333333333329E-2</v>
      </c>
      <c r="AJ96">
        <f t="shared" si="64"/>
        <v>0</v>
      </c>
      <c r="AL96">
        <f t="shared" si="65"/>
        <v>0</v>
      </c>
      <c r="AN96">
        <f t="shared" si="66"/>
        <v>0</v>
      </c>
      <c r="AP96">
        <f t="shared" si="67"/>
        <v>0</v>
      </c>
      <c r="AR96">
        <f t="shared" si="68"/>
        <v>0</v>
      </c>
    </row>
    <row r="97" spans="2:44">
      <c r="C97" t="s">
        <v>470</v>
      </c>
      <c r="D97" t="s">
        <v>479</v>
      </c>
      <c r="E97">
        <v>2012</v>
      </c>
      <c r="F97">
        <v>10</v>
      </c>
      <c r="G97">
        <v>0</v>
      </c>
      <c r="I97" t="s">
        <v>78</v>
      </c>
      <c r="J97">
        <v>10</v>
      </c>
      <c r="K97">
        <f t="shared" si="47"/>
        <v>2022</v>
      </c>
      <c r="N97">
        <f>9479+48345.38</f>
        <v>57824.38</v>
      </c>
      <c r="P97">
        <f t="shared" si="48"/>
        <v>57824.38</v>
      </c>
      <c r="Q97">
        <f t="shared" si="49"/>
        <v>481.86983333333336</v>
      </c>
      <c r="R97">
        <f t="shared" si="50"/>
        <v>0</v>
      </c>
      <c r="S97">
        <f t="shared" si="51"/>
        <v>0</v>
      </c>
      <c r="T97">
        <f t="shared" si="52"/>
        <v>0</v>
      </c>
      <c r="U97">
        <v>1</v>
      </c>
      <c r="V97">
        <f t="shared" si="53"/>
        <v>0</v>
      </c>
      <c r="X97">
        <f t="shared" si="54"/>
        <v>57824.38</v>
      </c>
      <c r="Y97">
        <f t="shared" si="55"/>
        <v>57824.38</v>
      </c>
      <c r="Z97">
        <v>1</v>
      </c>
      <c r="AA97">
        <f t="shared" si="56"/>
        <v>57824.38</v>
      </c>
      <c r="AB97">
        <f t="shared" si="57"/>
        <v>57824.38</v>
      </c>
      <c r="AC97">
        <f t="shared" si="58"/>
        <v>0</v>
      </c>
      <c r="AD97">
        <f t="shared" si="59"/>
        <v>2012.75</v>
      </c>
      <c r="AE97">
        <f t="shared" si="60"/>
        <v>2020</v>
      </c>
      <c r="AF97">
        <f t="shared" si="61"/>
        <v>2022.75</v>
      </c>
      <c r="AG97">
        <f t="shared" si="62"/>
        <v>2187.1666666666665</v>
      </c>
      <c r="AH97">
        <f t="shared" si="63"/>
        <v>-8.3333333333333329E-2</v>
      </c>
      <c r="AJ97">
        <f t="shared" si="64"/>
        <v>0</v>
      </c>
      <c r="AL97">
        <f t="shared" si="65"/>
        <v>0</v>
      </c>
      <c r="AN97">
        <f t="shared" si="66"/>
        <v>0</v>
      </c>
      <c r="AP97">
        <f t="shared" si="67"/>
        <v>0</v>
      </c>
      <c r="AR97">
        <f t="shared" si="68"/>
        <v>0</v>
      </c>
    </row>
    <row r="98" spans="2:44">
      <c r="C98" t="s">
        <v>482</v>
      </c>
      <c r="D98">
        <v>106016</v>
      </c>
      <c r="E98">
        <v>2013</v>
      </c>
      <c r="F98">
        <v>7</v>
      </c>
      <c r="G98">
        <v>0</v>
      </c>
      <c r="I98" t="s">
        <v>78</v>
      </c>
      <c r="J98">
        <v>5</v>
      </c>
      <c r="K98">
        <f t="shared" si="47"/>
        <v>2018</v>
      </c>
      <c r="N98">
        <v>14451.45</v>
      </c>
      <c r="P98">
        <f t="shared" si="48"/>
        <v>14451.45</v>
      </c>
      <c r="Q98">
        <f t="shared" si="49"/>
        <v>240.85749999999999</v>
      </c>
      <c r="R98">
        <f t="shared" si="50"/>
        <v>0</v>
      </c>
      <c r="S98">
        <f t="shared" si="51"/>
        <v>0</v>
      </c>
      <c r="T98">
        <f t="shared" si="52"/>
        <v>0</v>
      </c>
      <c r="U98">
        <v>1</v>
      </c>
      <c r="V98">
        <f t="shared" si="53"/>
        <v>0</v>
      </c>
      <c r="X98">
        <f t="shared" si="54"/>
        <v>14451.45</v>
      </c>
      <c r="Y98">
        <f t="shared" si="55"/>
        <v>14451.45</v>
      </c>
      <c r="Z98">
        <v>1</v>
      </c>
      <c r="AA98">
        <f t="shared" si="56"/>
        <v>14451.45</v>
      </c>
      <c r="AB98">
        <f t="shared" si="57"/>
        <v>14451.45</v>
      </c>
      <c r="AC98">
        <f t="shared" si="58"/>
        <v>0</v>
      </c>
      <c r="AD98">
        <f t="shared" si="59"/>
        <v>2013.5</v>
      </c>
      <c r="AE98">
        <f t="shared" si="60"/>
        <v>2020</v>
      </c>
      <c r="AF98">
        <f t="shared" si="61"/>
        <v>2018.5</v>
      </c>
      <c r="AG98">
        <f t="shared" si="62"/>
        <v>2187.1666666666665</v>
      </c>
      <c r="AH98">
        <f t="shared" si="63"/>
        <v>-8.3333333333333329E-2</v>
      </c>
      <c r="AJ98">
        <f t="shared" si="64"/>
        <v>0</v>
      </c>
      <c r="AL98">
        <f t="shared" si="65"/>
        <v>0</v>
      </c>
      <c r="AN98">
        <f t="shared" si="66"/>
        <v>0</v>
      </c>
      <c r="AP98">
        <f t="shared" si="67"/>
        <v>0</v>
      </c>
      <c r="AR98">
        <f t="shared" si="68"/>
        <v>0</v>
      </c>
    </row>
    <row r="99" spans="2:44">
      <c r="B99">
        <v>9226</v>
      </c>
      <c r="C99" t="s">
        <v>501</v>
      </c>
      <c r="D99">
        <v>110366</v>
      </c>
      <c r="E99">
        <v>2014</v>
      </c>
      <c r="F99">
        <v>1</v>
      </c>
      <c r="G99">
        <v>0.33</v>
      </c>
      <c r="I99" t="s">
        <v>78</v>
      </c>
      <c r="J99">
        <v>5</v>
      </c>
      <c r="K99">
        <f t="shared" si="47"/>
        <v>2019</v>
      </c>
      <c r="N99">
        <v>50193</v>
      </c>
      <c r="P99">
        <f t="shared" si="48"/>
        <v>33629.31</v>
      </c>
      <c r="Q99">
        <f t="shared" si="49"/>
        <v>560.48849999999993</v>
      </c>
      <c r="R99">
        <f t="shared" si="50"/>
        <v>0</v>
      </c>
      <c r="S99">
        <f t="shared" si="51"/>
        <v>0</v>
      </c>
      <c r="T99">
        <f t="shared" si="52"/>
        <v>0</v>
      </c>
      <c r="U99">
        <v>1</v>
      </c>
      <c r="V99">
        <f t="shared" si="53"/>
        <v>0</v>
      </c>
      <c r="X99">
        <f t="shared" si="54"/>
        <v>33629.31</v>
      </c>
      <c r="Y99">
        <f t="shared" si="55"/>
        <v>33629.31</v>
      </c>
      <c r="Z99">
        <v>1</v>
      </c>
      <c r="AA99">
        <f t="shared" si="56"/>
        <v>33629.31</v>
      </c>
      <c r="AB99">
        <f t="shared" si="57"/>
        <v>33629.31</v>
      </c>
      <c r="AC99">
        <f t="shared" si="58"/>
        <v>16563.690000000002</v>
      </c>
      <c r="AD99">
        <f t="shared" si="59"/>
        <v>2014</v>
      </c>
      <c r="AE99">
        <f t="shared" si="60"/>
        <v>2020</v>
      </c>
      <c r="AF99">
        <f t="shared" si="61"/>
        <v>2019</v>
      </c>
      <c r="AG99">
        <f t="shared" si="62"/>
        <v>2187.1666666666665</v>
      </c>
      <c r="AH99">
        <f t="shared" si="63"/>
        <v>-8.3333333333333329E-2</v>
      </c>
      <c r="AJ99">
        <f t="shared" si="64"/>
        <v>5521.2300000000005</v>
      </c>
      <c r="AL99">
        <f t="shared" si="65"/>
        <v>5521.2300000000005</v>
      </c>
      <c r="AN99">
        <f t="shared" si="66"/>
        <v>-16563.690000000002</v>
      </c>
      <c r="AP99">
        <f t="shared" si="67"/>
        <v>0</v>
      </c>
      <c r="AR99">
        <f t="shared" si="68"/>
        <v>0</v>
      </c>
    </row>
    <row r="100" spans="2:44">
      <c r="B100">
        <v>9228</v>
      </c>
      <c r="C100" t="s">
        <v>502</v>
      </c>
      <c r="D100">
        <v>110576</v>
      </c>
      <c r="E100">
        <v>2014</v>
      </c>
      <c r="F100">
        <v>1</v>
      </c>
      <c r="G100">
        <v>0.2</v>
      </c>
      <c r="I100" t="s">
        <v>78</v>
      </c>
      <c r="J100">
        <v>7</v>
      </c>
      <c r="K100">
        <f t="shared" si="47"/>
        <v>2021</v>
      </c>
      <c r="N100">
        <v>98824.34</v>
      </c>
      <c r="P100">
        <f t="shared" si="48"/>
        <v>79059.471999999994</v>
      </c>
      <c r="Q100">
        <f t="shared" si="49"/>
        <v>941.18419047619045</v>
      </c>
      <c r="R100">
        <f t="shared" si="50"/>
        <v>0</v>
      </c>
      <c r="S100">
        <f t="shared" si="51"/>
        <v>0</v>
      </c>
      <c r="T100">
        <f t="shared" si="52"/>
        <v>0</v>
      </c>
      <c r="U100">
        <v>1</v>
      </c>
      <c r="V100">
        <f t="shared" si="53"/>
        <v>0</v>
      </c>
      <c r="X100">
        <f t="shared" si="54"/>
        <v>79059.471999999994</v>
      </c>
      <c r="Y100">
        <f t="shared" si="55"/>
        <v>79059.471999999994</v>
      </c>
      <c r="Z100">
        <v>1</v>
      </c>
      <c r="AA100">
        <f t="shared" si="56"/>
        <v>79059.471999999994</v>
      </c>
      <c r="AB100">
        <f t="shared" si="57"/>
        <v>79059.471999999994</v>
      </c>
      <c r="AC100">
        <f t="shared" si="58"/>
        <v>19764.868000000002</v>
      </c>
      <c r="AD100">
        <f t="shared" si="59"/>
        <v>2014</v>
      </c>
      <c r="AE100">
        <f t="shared" si="60"/>
        <v>2020</v>
      </c>
      <c r="AF100">
        <f t="shared" si="61"/>
        <v>2021</v>
      </c>
      <c r="AG100">
        <f t="shared" si="62"/>
        <v>2187.1666666666665</v>
      </c>
      <c r="AH100">
        <f t="shared" si="63"/>
        <v>-8.3333333333333329E-2</v>
      </c>
      <c r="AJ100">
        <f t="shared" si="64"/>
        <v>6588.2893333333341</v>
      </c>
      <c r="AL100">
        <f t="shared" si="65"/>
        <v>6588.2893333333341</v>
      </c>
      <c r="AN100">
        <f t="shared" si="66"/>
        <v>-19764.868000000002</v>
      </c>
      <c r="AP100">
        <f t="shared" si="67"/>
        <v>0</v>
      </c>
      <c r="AR100">
        <f t="shared" si="68"/>
        <v>0</v>
      </c>
    </row>
    <row r="101" spans="2:44">
      <c r="C101" t="s">
        <v>519</v>
      </c>
      <c r="D101">
        <v>116108</v>
      </c>
      <c r="E101">
        <v>2014</v>
      </c>
      <c r="F101">
        <v>8</v>
      </c>
      <c r="G101">
        <v>0</v>
      </c>
      <c r="I101" t="s">
        <v>78</v>
      </c>
      <c r="J101">
        <v>3</v>
      </c>
      <c r="K101">
        <f t="shared" si="47"/>
        <v>2017</v>
      </c>
      <c r="N101">
        <v>1817.83</v>
      </c>
      <c r="P101">
        <f t="shared" si="48"/>
        <v>1817.83</v>
      </c>
      <c r="Q101">
        <f t="shared" si="49"/>
        <v>50.495277777777773</v>
      </c>
      <c r="R101">
        <f t="shared" si="50"/>
        <v>0</v>
      </c>
      <c r="S101">
        <f t="shared" si="51"/>
        <v>0</v>
      </c>
      <c r="T101">
        <f t="shared" si="52"/>
        <v>0</v>
      </c>
      <c r="U101">
        <v>1</v>
      </c>
      <c r="V101">
        <f t="shared" si="53"/>
        <v>0</v>
      </c>
      <c r="X101">
        <f t="shared" si="54"/>
        <v>1817.83</v>
      </c>
      <c r="Y101">
        <f t="shared" si="55"/>
        <v>1817.83</v>
      </c>
      <c r="Z101">
        <v>1</v>
      </c>
      <c r="AA101">
        <f t="shared" si="56"/>
        <v>1817.83</v>
      </c>
      <c r="AB101">
        <f t="shared" si="57"/>
        <v>1817.83</v>
      </c>
      <c r="AC101">
        <f t="shared" si="58"/>
        <v>0</v>
      </c>
      <c r="AD101">
        <f t="shared" si="59"/>
        <v>2014.5833333333333</v>
      </c>
      <c r="AE101">
        <f t="shared" si="60"/>
        <v>2020</v>
      </c>
      <c r="AF101">
        <f t="shared" si="61"/>
        <v>2017.5833333333333</v>
      </c>
      <c r="AG101">
        <f t="shared" si="62"/>
        <v>2187.1666666666665</v>
      </c>
      <c r="AH101">
        <f t="shared" si="63"/>
        <v>-8.3333333333333329E-2</v>
      </c>
      <c r="AJ101">
        <f t="shared" si="64"/>
        <v>0</v>
      </c>
      <c r="AL101">
        <f t="shared" si="65"/>
        <v>0</v>
      </c>
      <c r="AN101">
        <f t="shared" si="66"/>
        <v>0</v>
      </c>
      <c r="AP101">
        <f t="shared" si="67"/>
        <v>0</v>
      </c>
      <c r="AR101">
        <f t="shared" si="68"/>
        <v>0</v>
      </c>
    </row>
    <row r="102" spans="2:44">
      <c r="C102" t="s">
        <v>520</v>
      </c>
      <c r="D102">
        <v>115427</v>
      </c>
      <c r="E102">
        <v>2014</v>
      </c>
      <c r="F102">
        <v>8</v>
      </c>
      <c r="G102">
        <v>0</v>
      </c>
      <c r="I102" t="s">
        <v>78</v>
      </c>
      <c r="J102">
        <v>3</v>
      </c>
      <c r="K102">
        <f t="shared" si="47"/>
        <v>2017</v>
      </c>
      <c r="N102">
        <v>3198.54</v>
      </c>
      <c r="P102">
        <f t="shared" si="48"/>
        <v>3198.54</v>
      </c>
      <c r="Q102">
        <f t="shared" si="49"/>
        <v>88.848333333333343</v>
      </c>
      <c r="R102">
        <f t="shared" si="50"/>
        <v>0</v>
      </c>
      <c r="S102">
        <f t="shared" si="51"/>
        <v>0</v>
      </c>
      <c r="T102">
        <f t="shared" si="52"/>
        <v>0</v>
      </c>
      <c r="U102">
        <v>1</v>
      </c>
      <c r="V102">
        <f t="shared" si="53"/>
        <v>0</v>
      </c>
      <c r="X102">
        <f t="shared" si="54"/>
        <v>3198.54</v>
      </c>
      <c r="Y102">
        <f t="shared" si="55"/>
        <v>3198.54</v>
      </c>
      <c r="Z102">
        <v>1</v>
      </c>
      <c r="AA102">
        <f t="shared" si="56"/>
        <v>3198.54</v>
      </c>
      <c r="AB102">
        <f t="shared" si="57"/>
        <v>3198.54</v>
      </c>
      <c r="AC102">
        <f t="shared" si="58"/>
        <v>0</v>
      </c>
      <c r="AD102">
        <f t="shared" si="59"/>
        <v>2014.5833333333333</v>
      </c>
      <c r="AE102">
        <f t="shared" si="60"/>
        <v>2020</v>
      </c>
      <c r="AF102">
        <f t="shared" si="61"/>
        <v>2017.5833333333333</v>
      </c>
      <c r="AG102">
        <f t="shared" si="62"/>
        <v>2187.1666666666665</v>
      </c>
      <c r="AH102">
        <f t="shared" si="63"/>
        <v>-8.3333333333333329E-2</v>
      </c>
      <c r="AJ102">
        <f t="shared" si="64"/>
        <v>0</v>
      </c>
      <c r="AL102">
        <f t="shared" si="65"/>
        <v>0</v>
      </c>
      <c r="AN102">
        <f t="shared" si="66"/>
        <v>0</v>
      </c>
      <c r="AP102">
        <f t="shared" si="67"/>
        <v>0</v>
      </c>
      <c r="AR102">
        <f t="shared" si="68"/>
        <v>0</v>
      </c>
    </row>
    <row r="103" spans="2:44">
      <c r="C103" t="s">
        <v>524</v>
      </c>
      <c r="D103">
        <v>118278</v>
      </c>
      <c r="E103">
        <v>2014</v>
      </c>
      <c r="F103">
        <v>12</v>
      </c>
      <c r="G103">
        <v>0</v>
      </c>
      <c r="I103" t="s">
        <v>78</v>
      </c>
      <c r="J103">
        <v>5</v>
      </c>
      <c r="K103">
        <f t="shared" si="47"/>
        <v>2019</v>
      </c>
      <c r="N103">
        <f>7879.66+2760.98</f>
        <v>10640.64</v>
      </c>
      <c r="P103">
        <f>N103-N103*G103</f>
        <v>10640.64</v>
      </c>
      <c r="Q103">
        <f>P103/J103/12</f>
        <v>177.34399999999997</v>
      </c>
      <c r="R103">
        <f>IF(O103&gt;0,0,IF(OR(AD103&gt;AE103,AF103&lt;AG103),0,IF(AND(AF103&gt;=AG103,AF103&lt;=AE103),Q103*((AF103-AG103)*12),IF(AND(AG103&lt;=AD103,AE103&gt;=AD103),((AE103-AD103)*12)*Q103,IF(AF103&gt;AE103,12*Q103,0)))))</f>
        <v>0</v>
      </c>
      <c r="S103">
        <f>IF(O103=0,0,IF(AND(AH103&gt;=AG103,AH103&lt;=AF103),((AH103-AG103)*12)*Q103,0))</f>
        <v>0</v>
      </c>
      <c r="T103">
        <f>IF(S103&gt;0,S103,R103)</f>
        <v>0</v>
      </c>
      <c r="U103">
        <v>1</v>
      </c>
      <c r="V103">
        <f>U103*SUM(R103:S103)</f>
        <v>0</v>
      </c>
      <c r="X103">
        <f>IF(AD103&gt;AE103,0,IF(AF103&lt;AG103,P103,IF(AND(AF103&gt;=AG103,AF103&lt;=AE103),(P103-T103),IF(AND(AG103&lt;=AD103,AE103&gt;=AD103),0,IF(AF103&gt;AE103,((AG103-AD103)*12)*Q103,0)))))</f>
        <v>10640.64</v>
      </c>
      <c r="Y103">
        <f>X103*U103</f>
        <v>10640.64</v>
      </c>
      <c r="Z103">
        <v>1</v>
      </c>
      <c r="AA103">
        <f>Y103*Z103</f>
        <v>10640.64</v>
      </c>
      <c r="AB103">
        <f>IF(O103&gt;0,0,AA103+V103*Z103)*Z103</f>
        <v>10640.64</v>
      </c>
      <c r="AC103">
        <f>IF(O103&gt;0,(N103-AA103)/2,IF(AD103&gt;=AG103,(((N103*U103)*Z103)-AB103)/2,((((N103*U103)*Z103)-AA103)+(((N103*U103)*Z103)-AB103))/2))</f>
        <v>0</v>
      </c>
      <c r="AD103">
        <f t="shared" si="59"/>
        <v>2014.9166666666667</v>
      </c>
      <c r="AE103">
        <f t="shared" si="60"/>
        <v>2020</v>
      </c>
      <c r="AF103">
        <f t="shared" si="61"/>
        <v>2019.9166666666667</v>
      </c>
      <c r="AG103">
        <f t="shared" si="62"/>
        <v>2187.1666666666665</v>
      </c>
      <c r="AH103">
        <f t="shared" si="63"/>
        <v>-8.3333333333333329E-2</v>
      </c>
      <c r="AJ103">
        <f t="shared" si="64"/>
        <v>0</v>
      </c>
      <c r="AL103">
        <f t="shared" si="65"/>
        <v>0</v>
      </c>
      <c r="AN103">
        <f t="shared" si="66"/>
        <v>0</v>
      </c>
      <c r="AP103">
        <f t="shared" si="67"/>
        <v>0</v>
      </c>
      <c r="AR103">
        <f t="shared" si="68"/>
        <v>0</v>
      </c>
    </row>
    <row r="104" spans="2:44">
      <c r="C104" t="s">
        <v>579</v>
      </c>
      <c r="D104" t="s">
        <v>578</v>
      </c>
      <c r="E104">
        <v>2015</v>
      </c>
      <c r="F104">
        <v>9</v>
      </c>
      <c r="G104">
        <v>0</v>
      </c>
      <c r="I104" t="s">
        <v>78</v>
      </c>
      <c r="J104">
        <v>5</v>
      </c>
      <c r="K104">
        <f t="shared" si="47"/>
        <v>2020</v>
      </c>
      <c r="N104">
        <f>11499.37+1195.7</f>
        <v>12695.070000000002</v>
      </c>
      <c r="P104">
        <f>N104-N104*G104</f>
        <v>12695.070000000002</v>
      </c>
      <c r="Q104">
        <f>P104/J104/12</f>
        <v>211.58450000000002</v>
      </c>
      <c r="R104">
        <f>IF(O104&gt;0,0,IF(OR(AD104&gt;AE104,AF104&lt;AG104),0,IF(AND(AF104&gt;=AG104,AF104&lt;=AE104),Q104*((AF104-AG104)*12),IF(AND(AG104&lt;=AD104,AE104&gt;=AD104),((AE104-AD104)*12)*Q104,IF(AF104&gt;AE104,12*Q104,0)))))</f>
        <v>0</v>
      </c>
      <c r="S104">
        <f>IF(O104=0,0,IF(AND(AH104&gt;=AG104,AH104&lt;=AF104),((AH104-AG104)*12)*Q104,0))</f>
        <v>0</v>
      </c>
      <c r="T104">
        <f>IF(S104&gt;0,S104,R104)</f>
        <v>0</v>
      </c>
      <c r="U104">
        <v>1</v>
      </c>
      <c r="V104">
        <f>U104*SUM(R104:S104)</f>
        <v>0</v>
      </c>
      <c r="X104">
        <f>IF(AD104&gt;AE104,0,IF(AF104&lt;AG104,P104,IF(AND(AF104&gt;=AG104,AF104&lt;=AE104),(P104-T104),IF(AND(AG104&lt;=AD104,AE104&gt;=AD104),0,IF(AF104&gt;AE104,((AG104-AD104)*12)*Q104,0)))))</f>
        <v>12695.070000000002</v>
      </c>
      <c r="Y104">
        <f>X104*U104</f>
        <v>12695.070000000002</v>
      </c>
      <c r="Z104">
        <v>1</v>
      </c>
      <c r="AA104">
        <f>Y104*Z104</f>
        <v>12695.070000000002</v>
      </c>
      <c r="AB104">
        <f>IF(O104&gt;0,0,AA104+V104*Z104)*Z104</f>
        <v>12695.070000000002</v>
      </c>
      <c r="AC104">
        <f>IF(O104&gt;0,(N104-AA104)/2,IF(AD104&gt;=AG104,(((N104*U104)*Z104)-AB104)/2,((((N104*U104)*Z104)-AA104)+(((N104*U104)*Z104)-AB104))/2))</f>
        <v>0</v>
      </c>
      <c r="AD104">
        <f t="shared" si="59"/>
        <v>2015.6666666666667</v>
      </c>
      <c r="AE104">
        <f t="shared" si="60"/>
        <v>2020</v>
      </c>
      <c r="AF104">
        <f t="shared" si="61"/>
        <v>2020.6666666666667</v>
      </c>
      <c r="AG104">
        <f t="shared" si="62"/>
        <v>2187.1666666666665</v>
      </c>
      <c r="AH104">
        <f t="shared" si="63"/>
        <v>-8.3333333333333329E-2</v>
      </c>
      <c r="AJ104">
        <f t="shared" si="64"/>
        <v>0</v>
      </c>
      <c r="AL104">
        <f t="shared" si="65"/>
        <v>0</v>
      </c>
      <c r="AN104">
        <f t="shared" si="66"/>
        <v>0</v>
      </c>
      <c r="AP104">
        <f t="shared" si="67"/>
        <v>0</v>
      </c>
      <c r="AR104">
        <f t="shared" si="68"/>
        <v>0</v>
      </c>
    </row>
    <row r="105" spans="2:44">
      <c r="C105" t="s">
        <v>606</v>
      </c>
      <c r="D105">
        <v>170171</v>
      </c>
      <c r="E105">
        <v>2016</v>
      </c>
      <c r="F105">
        <v>11</v>
      </c>
      <c r="G105">
        <v>0</v>
      </c>
      <c r="I105" t="s">
        <v>78</v>
      </c>
      <c r="J105">
        <v>5</v>
      </c>
      <c r="K105">
        <f>E105+J105</f>
        <v>2021</v>
      </c>
      <c r="N105">
        <v>44611.57</v>
      </c>
      <c r="P105">
        <f>N105-N105*G105</f>
        <v>44611.57</v>
      </c>
      <c r="Q105">
        <f>P105/J105/12</f>
        <v>743.52616666666665</v>
      </c>
      <c r="R105">
        <f>IF(O105&gt;0,0,IF(OR(AD105&gt;AE105,AF105&lt;AG105),0,IF(AND(AF105&gt;=AG105,AF105&lt;=AE105),Q105*((AF105-AG105)*12),IF(AND(AG105&lt;=AD105,AE105&gt;=AD105),((AE105-AD105)*12)*Q105,IF(AF105&gt;AE105,12*Q105,0)))))</f>
        <v>0</v>
      </c>
      <c r="S105">
        <f>IF(O105=0,0,IF(AND(AH105&gt;=AG105,AH105&lt;=AF105),((AH105-AG105)*12)*Q105,0))</f>
        <v>0</v>
      </c>
      <c r="T105">
        <f>IF(S105&gt;0,S105,R105)</f>
        <v>0</v>
      </c>
      <c r="U105">
        <v>1</v>
      </c>
      <c r="V105">
        <f>U105*SUM(R105:S105)</f>
        <v>0</v>
      </c>
      <c r="X105">
        <f>IF(AD105&gt;AE105,0,IF(AF105&lt;AG105,P105,IF(AND(AF105&gt;=AG105,AF105&lt;=AE105),(P105-T105),IF(AND(AG105&lt;=AD105,AE105&gt;=AD105),0,IF(AF105&gt;AE105,((AG105-AD105)*12)*Q105,0)))))</f>
        <v>44611.57</v>
      </c>
      <c r="Y105">
        <f>X105*U105</f>
        <v>44611.57</v>
      </c>
      <c r="Z105">
        <v>1</v>
      </c>
      <c r="AA105">
        <f>Y105*Z105</f>
        <v>44611.57</v>
      </c>
      <c r="AB105">
        <f>IF(O105&gt;0,0,AA105+V105*Z105)*Z105</f>
        <v>44611.57</v>
      </c>
      <c r="AC105">
        <f>IF(O105&gt;0,(N105-AA105)/2,IF(AD105&gt;=AG105,(((N105*U105)*Z105)-AB105)/2,((((N105*U105)*Z105)-AA105)+(((N105*U105)*Z105)-AB105))/2))</f>
        <v>0</v>
      </c>
      <c r="AD105">
        <f t="shared" si="59"/>
        <v>2016.8333333333333</v>
      </c>
      <c r="AE105">
        <f t="shared" si="60"/>
        <v>2020</v>
      </c>
      <c r="AF105">
        <f t="shared" si="61"/>
        <v>2021.8333333333333</v>
      </c>
      <c r="AG105">
        <f t="shared" si="62"/>
        <v>2187.1666666666665</v>
      </c>
      <c r="AH105">
        <f t="shared" si="63"/>
        <v>-8.3333333333333329E-2</v>
      </c>
      <c r="AJ105">
        <f t="shared" si="64"/>
        <v>0</v>
      </c>
      <c r="AL105">
        <f t="shared" si="65"/>
        <v>0</v>
      </c>
      <c r="AN105">
        <f t="shared" si="66"/>
        <v>0</v>
      </c>
      <c r="AP105">
        <f t="shared" si="67"/>
        <v>0</v>
      </c>
      <c r="AR105">
        <f t="shared" si="68"/>
        <v>0</v>
      </c>
    </row>
    <row r="107" spans="2:44">
      <c r="C107" t="s">
        <v>266</v>
      </c>
      <c r="N107">
        <f>SUM(N53:N106)</f>
        <v>1661982.6400000001</v>
      </c>
      <c r="P107">
        <f>SUM(P53:P106)</f>
        <v>1614540.6322999999</v>
      </c>
      <c r="Q107">
        <f>SUM(Q53:Q106)</f>
        <v>19935.406698637336</v>
      </c>
      <c r="R107">
        <f>SUM(R53:R106)</f>
        <v>0</v>
      </c>
      <c r="T107">
        <f>SUM(T53:T106)</f>
        <v>0</v>
      </c>
      <c r="V107">
        <f>SUM(V53:V106)</f>
        <v>0</v>
      </c>
      <c r="X107">
        <f>SUM(X53:X106)</f>
        <v>1614540.6322999999</v>
      </c>
      <c r="Y107">
        <f>SUM(Y53:Y106)</f>
        <v>1614540.6322999999</v>
      </c>
      <c r="AA107">
        <f>SUM(AA53:AA106)</f>
        <v>1614540.6322999999</v>
      </c>
      <c r="AB107">
        <f>SUM(AB53:AB106)</f>
        <v>1614540.6322999999</v>
      </c>
      <c r="AC107">
        <f>SUM(AC53:AC106)</f>
        <v>47442.007700000002</v>
      </c>
      <c r="AJ107">
        <f t="shared" ref="AJ107:AR107" si="69">SUM(AJ53:AJ106)</f>
        <v>15814.002566666668</v>
      </c>
      <c r="AK107">
        <f t="shared" si="69"/>
        <v>0</v>
      </c>
      <c r="AL107">
        <f t="shared" si="69"/>
        <v>15814.002566666668</v>
      </c>
      <c r="AM107">
        <f t="shared" si="69"/>
        <v>0</v>
      </c>
      <c r="AN107">
        <f t="shared" si="69"/>
        <v>-47442.007700000002</v>
      </c>
      <c r="AO107">
        <f t="shared" si="69"/>
        <v>0</v>
      </c>
      <c r="AP107">
        <f t="shared" si="69"/>
        <v>0</v>
      </c>
      <c r="AQ107">
        <f t="shared" si="69"/>
        <v>0</v>
      </c>
      <c r="AR107">
        <f t="shared" si="69"/>
        <v>0</v>
      </c>
    </row>
    <row r="108" spans="2:44">
      <c r="C108" t="s">
        <v>316</v>
      </c>
    </row>
    <row r="109" spans="2:44">
      <c r="C109" t="s">
        <v>316</v>
      </c>
    </row>
    <row r="110" spans="2:44">
      <c r="C110" t="s">
        <v>278</v>
      </c>
    </row>
    <row r="111" spans="2:44">
      <c r="C111" t="s">
        <v>316</v>
      </c>
    </row>
    <row r="112" spans="2:44">
      <c r="B112">
        <v>6029</v>
      </c>
      <c r="C112" t="s">
        <v>494</v>
      </c>
      <c r="D112">
        <v>105497</v>
      </c>
      <c r="E112">
        <v>2003</v>
      </c>
      <c r="F112">
        <v>3</v>
      </c>
      <c r="G112">
        <v>0.2</v>
      </c>
      <c r="I112" t="s">
        <v>78</v>
      </c>
      <c r="J112">
        <v>5</v>
      </c>
      <c r="K112">
        <f t="shared" ref="K112:K117" si="70">E112+J112</f>
        <v>2008</v>
      </c>
      <c r="N112">
        <v>16108.62</v>
      </c>
      <c r="P112">
        <f t="shared" ref="P112:P117" si="71">N112-N112*G112</f>
        <v>12886.896000000001</v>
      </c>
      <c r="Q112">
        <f t="shared" ref="Q112:Q117" si="72">P112/J112/12</f>
        <v>214.78160000000003</v>
      </c>
      <c r="R112">
        <f t="shared" ref="R112:R117" si="73">IF(O112&gt;0,0,IF(OR(AD112&gt;AE112,AF112&lt;AG112),0,IF(AND(AF112&gt;=AG112,AF112&lt;=AE112),Q112*((AF112-AG112)*12),IF(AND(AG112&lt;=AD112,AE112&gt;=AD112),((AE112-AD112)*12)*Q112,IF(AF112&gt;AE112,12*Q112,0)))))</f>
        <v>0</v>
      </c>
      <c r="S112">
        <f t="shared" ref="S112:S117" si="74">IF(O112=0,0,IF(AND(AH112&gt;=AG112,AH112&lt;=AF112),((AH112-AG112)*12)*Q112,0))</f>
        <v>0</v>
      </c>
      <c r="T112">
        <f t="shared" ref="T112:T117" si="75">IF(S112&gt;0,S112,R112)</f>
        <v>0</v>
      </c>
      <c r="U112">
        <v>1</v>
      </c>
      <c r="V112">
        <f t="shared" ref="V112:V117" si="76">U112*SUM(R112:S112)</f>
        <v>0</v>
      </c>
      <c r="X112">
        <f t="shared" ref="X112:X117" si="77">IF(AD112&gt;AE112,0,IF(AF112&lt;AG112,P112,IF(AND(AF112&gt;=AG112,AF112&lt;=AE112),(P112-T112),IF(AND(AG112&lt;=AD112,AE112&gt;=AD112),0,IF(AF112&gt;AE112,((AG112-AD112)*12)*Q112,0)))))</f>
        <v>12886.896000000001</v>
      </c>
      <c r="Y112">
        <f t="shared" ref="Y112:Y117" si="78">X112*U112</f>
        <v>12886.896000000001</v>
      </c>
      <c r="Z112">
        <v>1</v>
      </c>
      <c r="AA112">
        <f t="shared" ref="AA112:AA117" si="79">Y112*Z112</f>
        <v>12886.896000000001</v>
      </c>
      <c r="AB112">
        <f t="shared" ref="AB112:AB117" si="80">IF(O112&gt;0,0,AA112+V112*Z112)*Z112</f>
        <v>12886.896000000001</v>
      </c>
      <c r="AC112">
        <f t="shared" ref="AC112:AC117" si="81">IF(O112&gt;0,(N112-AA112)/2,IF(AD112&gt;=AG112,(((N112*U112)*Z112)-AB112)/2,((((N112*U112)*Z112)-AA112)+(((N112*U112)*Z112)-AB112))/2))</f>
        <v>3221.7240000000002</v>
      </c>
      <c r="AD112">
        <f t="shared" ref="AD112:AD117" si="82">$E112+(($F112-1)/12)</f>
        <v>2003.1666666666667</v>
      </c>
      <c r="AE112">
        <f t="shared" ref="AE112:AE117" si="83">($P$5+1)-($P$2/12)</f>
        <v>2020</v>
      </c>
      <c r="AF112">
        <f t="shared" ref="AF112:AF117" si="84">$K112+(($F112-1)/12)</f>
        <v>2008.1666666666667</v>
      </c>
      <c r="AG112">
        <f>$P$4+($P$3/12)</f>
        <v>2187.1666666666665</v>
      </c>
      <c r="AH112">
        <f t="shared" ref="AH112:AH117" si="85">$L112+(($M112-1)/12)</f>
        <v>-8.3333333333333329E-2</v>
      </c>
      <c r="AJ112">
        <f t="shared" ref="AJ112:AJ117" si="86">+IF((AF112-AG112)&gt;3,((N112-P112)/(AF112-AG112)),(N112-P112)/3)</f>
        <v>1073.9080000000001</v>
      </c>
      <c r="AL112">
        <f t="shared" ref="AL112:AL117" si="87">+AJ112+V112</f>
        <v>1073.9080000000001</v>
      </c>
      <c r="AN112">
        <f t="shared" ref="AN112:AN117" si="88">+IF(AF112&lt;AG112,-AC112,0)</f>
        <v>-3221.7240000000002</v>
      </c>
      <c r="AP112">
        <f t="shared" ref="AP112:AP117" si="89">IF(AF112&gt;AG112,IF(AJ112&gt;0,IF(O112&gt;0,(N112-AA112)/2,IF(AD112&gt;=AG112,(((N112*U112)*Z112)-(AB112+AJ112))/2,((((N112*U112)*Z112)-AA112)+(((N112*U112)*Z112)-(AB112+AJ112)))/2)),0),0)</f>
        <v>0</v>
      </c>
      <c r="AR112">
        <f t="shared" ref="AR112:AR117" si="90">+AC112+AN112+(IF(AP112&gt;0,(AP112-AC112),0))</f>
        <v>0</v>
      </c>
    </row>
    <row r="113" spans="1:44">
      <c r="B113">
        <v>6050</v>
      </c>
      <c r="C113" t="s">
        <v>455</v>
      </c>
      <c r="D113">
        <v>75671</v>
      </c>
      <c r="E113">
        <v>2010</v>
      </c>
      <c r="F113">
        <v>7</v>
      </c>
      <c r="G113">
        <v>0.33</v>
      </c>
      <c r="I113" t="s">
        <v>78</v>
      </c>
      <c r="J113">
        <v>5</v>
      </c>
      <c r="K113">
        <f t="shared" si="70"/>
        <v>2015</v>
      </c>
      <c r="N113">
        <v>15000</v>
      </c>
      <c r="O113">
        <v>0</v>
      </c>
      <c r="P113">
        <f t="shared" si="71"/>
        <v>10050</v>
      </c>
      <c r="Q113">
        <f t="shared" si="72"/>
        <v>167.5</v>
      </c>
      <c r="R113">
        <f t="shared" si="73"/>
        <v>0</v>
      </c>
      <c r="S113">
        <f t="shared" si="74"/>
        <v>0</v>
      </c>
      <c r="T113">
        <f t="shared" si="75"/>
        <v>0</v>
      </c>
      <c r="U113">
        <v>1</v>
      </c>
      <c r="V113">
        <f t="shared" si="76"/>
        <v>0</v>
      </c>
      <c r="X113">
        <f t="shared" si="77"/>
        <v>10050</v>
      </c>
      <c r="Y113">
        <f t="shared" si="78"/>
        <v>10050</v>
      </c>
      <c r="Z113">
        <v>1</v>
      </c>
      <c r="AA113">
        <f t="shared" si="79"/>
        <v>10050</v>
      </c>
      <c r="AB113">
        <f t="shared" si="80"/>
        <v>10050</v>
      </c>
      <c r="AC113">
        <f t="shared" si="81"/>
        <v>4950</v>
      </c>
      <c r="AD113">
        <f t="shared" si="82"/>
        <v>2010.5</v>
      </c>
      <c r="AE113">
        <f t="shared" si="83"/>
        <v>2020</v>
      </c>
      <c r="AF113">
        <f t="shared" si="84"/>
        <v>2015.5</v>
      </c>
      <c r="AG113">
        <f>$P$4+($P$3/12)</f>
        <v>2187.1666666666665</v>
      </c>
      <c r="AH113">
        <f t="shared" si="85"/>
        <v>-8.3333333333333329E-2</v>
      </c>
      <c r="AJ113">
        <f t="shared" si="86"/>
        <v>1650</v>
      </c>
      <c r="AL113">
        <f t="shared" si="87"/>
        <v>1650</v>
      </c>
      <c r="AN113">
        <f t="shared" si="88"/>
        <v>-4950</v>
      </c>
      <c r="AP113">
        <f t="shared" si="89"/>
        <v>0</v>
      </c>
      <c r="AR113">
        <f t="shared" si="90"/>
        <v>0</v>
      </c>
    </row>
    <row r="114" spans="1:44">
      <c r="C114" t="s">
        <v>421</v>
      </c>
      <c r="D114">
        <v>79336</v>
      </c>
      <c r="E114">
        <v>2010</v>
      </c>
      <c r="F114">
        <v>12</v>
      </c>
      <c r="G114">
        <v>0.33</v>
      </c>
      <c r="I114" t="s">
        <v>78</v>
      </c>
      <c r="J114">
        <v>5</v>
      </c>
      <c r="K114">
        <f t="shared" si="70"/>
        <v>2015</v>
      </c>
      <c r="N114">
        <v>39289.4</v>
      </c>
      <c r="O114">
        <v>0</v>
      </c>
      <c r="P114">
        <f t="shared" si="71"/>
        <v>26323.898000000001</v>
      </c>
      <c r="Q114">
        <f t="shared" si="72"/>
        <v>438.73163333333332</v>
      </c>
      <c r="R114">
        <f t="shared" si="73"/>
        <v>0</v>
      </c>
      <c r="S114">
        <f t="shared" si="74"/>
        <v>0</v>
      </c>
      <c r="T114">
        <f t="shared" si="75"/>
        <v>0</v>
      </c>
      <c r="U114">
        <v>1</v>
      </c>
      <c r="V114">
        <f t="shared" si="76"/>
        <v>0</v>
      </c>
      <c r="X114">
        <f t="shared" si="77"/>
        <v>26323.898000000001</v>
      </c>
      <c r="Y114">
        <f t="shared" si="78"/>
        <v>26323.898000000001</v>
      </c>
      <c r="Z114">
        <v>1</v>
      </c>
      <c r="AA114">
        <f t="shared" si="79"/>
        <v>26323.898000000001</v>
      </c>
      <c r="AB114">
        <f t="shared" si="80"/>
        <v>26323.898000000001</v>
      </c>
      <c r="AC114">
        <f t="shared" si="81"/>
        <v>12965.502</v>
      </c>
      <c r="AD114">
        <f t="shared" si="82"/>
        <v>2010.9166666666667</v>
      </c>
      <c r="AE114">
        <f t="shared" si="83"/>
        <v>2020</v>
      </c>
      <c r="AF114">
        <f t="shared" si="84"/>
        <v>2015.9166666666667</v>
      </c>
      <c r="AG114">
        <f>$P$4+($P$3/12)</f>
        <v>2187.1666666666665</v>
      </c>
      <c r="AH114">
        <f t="shared" si="85"/>
        <v>-8.3333333333333329E-2</v>
      </c>
      <c r="AJ114">
        <f t="shared" si="86"/>
        <v>4321.8339999999998</v>
      </c>
      <c r="AL114">
        <f t="shared" si="87"/>
        <v>4321.8339999999998</v>
      </c>
      <c r="AN114">
        <f t="shared" si="88"/>
        <v>-12965.502</v>
      </c>
      <c r="AP114">
        <f t="shared" si="89"/>
        <v>0</v>
      </c>
      <c r="AR114">
        <f t="shared" si="90"/>
        <v>0</v>
      </c>
    </row>
    <row r="115" spans="1:44">
      <c r="A115" t="s">
        <v>557</v>
      </c>
      <c r="B115">
        <v>6047</v>
      </c>
      <c r="C115" t="s">
        <v>556</v>
      </c>
      <c r="D115">
        <v>114290</v>
      </c>
      <c r="E115">
        <v>2011</v>
      </c>
      <c r="F115">
        <v>5</v>
      </c>
      <c r="G115">
        <v>0.33</v>
      </c>
      <c r="I115" t="s">
        <v>78</v>
      </c>
      <c r="J115">
        <v>5</v>
      </c>
      <c r="K115">
        <f t="shared" si="70"/>
        <v>2016</v>
      </c>
      <c r="N115">
        <v>22311.09</v>
      </c>
      <c r="P115">
        <f t="shared" si="71"/>
        <v>14948.4303</v>
      </c>
      <c r="Q115">
        <f t="shared" si="72"/>
        <v>249.14050499999999</v>
      </c>
      <c r="R115">
        <f t="shared" si="73"/>
        <v>6975.9341399997729</v>
      </c>
      <c r="S115">
        <f t="shared" si="74"/>
        <v>0</v>
      </c>
      <c r="T115">
        <f t="shared" si="75"/>
        <v>6975.9341399997729</v>
      </c>
      <c r="U115">
        <v>1</v>
      </c>
      <c r="V115">
        <f t="shared" si="76"/>
        <v>6975.9341399997729</v>
      </c>
      <c r="X115">
        <f t="shared" si="77"/>
        <v>7972.4961600002271</v>
      </c>
      <c r="Y115">
        <f t="shared" si="78"/>
        <v>7972.4961600002271</v>
      </c>
      <c r="Z115">
        <v>1</v>
      </c>
      <c r="AA115">
        <f t="shared" si="79"/>
        <v>7972.4961600002271</v>
      </c>
      <c r="AB115">
        <f t="shared" si="80"/>
        <v>14948.4303</v>
      </c>
      <c r="AC115">
        <f t="shared" si="81"/>
        <v>10850.626769999886</v>
      </c>
      <c r="AD115">
        <f t="shared" si="82"/>
        <v>2011.3333333333333</v>
      </c>
      <c r="AE115">
        <f t="shared" si="83"/>
        <v>2020</v>
      </c>
      <c r="AF115">
        <f t="shared" si="84"/>
        <v>2016.3333333333333</v>
      </c>
      <c r="AG115">
        <f>'[2]2184 Other Equipment'!$P$4+('[2]2184 Other Equipment'!$P$3/12)</f>
        <v>2014</v>
      </c>
      <c r="AH115">
        <f t="shared" si="85"/>
        <v>-8.3333333333333329E-2</v>
      </c>
      <c r="AJ115">
        <f t="shared" si="86"/>
        <v>2454.2199000000001</v>
      </c>
      <c r="AL115">
        <f t="shared" si="87"/>
        <v>9430.1540399997721</v>
      </c>
      <c r="AN115">
        <f t="shared" si="88"/>
        <v>0</v>
      </c>
      <c r="AP115">
        <f t="shared" si="89"/>
        <v>9623.5168199998861</v>
      </c>
      <c r="AR115">
        <f t="shared" si="90"/>
        <v>9623.5168199998861</v>
      </c>
    </row>
    <row r="116" spans="1:44">
      <c r="B116">
        <v>7699</v>
      </c>
      <c r="C116" t="s">
        <v>583</v>
      </c>
      <c r="D116">
        <v>128432</v>
      </c>
      <c r="E116">
        <v>2015</v>
      </c>
      <c r="F116">
        <v>12</v>
      </c>
      <c r="G116">
        <v>0.2</v>
      </c>
      <c r="I116" t="s">
        <v>78</v>
      </c>
      <c r="J116">
        <v>7</v>
      </c>
      <c r="K116">
        <f t="shared" si="70"/>
        <v>2022</v>
      </c>
      <c r="N116">
        <v>11848.3</v>
      </c>
      <c r="P116">
        <f t="shared" si="71"/>
        <v>9478.64</v>
      </c>
      <c r="Q116">
        <f t="shared" si="72"/>
        <v>112.84095238095237</v>
      </c>
      <c r="R116">
        <f t="shared" si="73"/>
        <v>5529.2066666665633</v>
      </c>
      <c r="S116">
        <f t="shared" si="74"/>
        <v>0</v>
      </c>
      <c r="T116">
        <f t="shared" si="75"/>
        <v>5529.2066666665633</v>
      </c>
      <c r="U116">
        <v>1</v>
      </c>
      <c r="V116">
        <f t="shared" si="76"/>
        <v>5529.2066666665633</v>
      </c>
      <c r="X116">
        <f t="shared" si="77"/>
        <v>0</v>
      </c>
      <c r="Y116">
        <f t="shared" si="78"/>
        <v>0</v>
      </c>
      <c r="Z116">
        <v>1</v>
      </c>
      <c r="AA116">
        <f t="shared" si="79"/>
        <v>0</v>
      </c>
      <c r="AB116">
        <f t="shared" si="80"/>
        <v>5529.2066666665633</v>
      </c>
      <c r="AC116">
        <f t="shared" si="81"/>
        <v>3159.546666666718</v>
      </c>
      <c r="AD116">
        <f t="shared" si="82"/>
        <v>2015.9166666666667</v>
      </c>
      <c r="AE116">
        <f t="shared" si="83"/>
        <v>2020</v>
      </c>
      <c r="AF116">
        <f t="shared" si="84"/>
        <v>2022.9166666666667</v>
      </c>
      <c r="AG116">
        <f>'[2]2184 Other Equipment'!$P$4+('[2]2184 Other Equipment'!$P$3/12)</f>
        <v>2014</v>
      </c>
      <c r="AH116">
        <f t="shared" si="85"/>
        <v>-8.3333333333333329E-2</v>
      </c>
      <c r="AJ116">
        <f t="shared" si="86"/>
        <v>265.75626168224073</v>
      </c>
      <c r="AL116">
        <f t="shared" si="87"/>
        <v>5794.9629283488039</v>
      </c>
      <c r="AN116">
        <f t="shared" si="88"/>
        <v>0</v>
      </c>
      <c r="AP116">
        <f t="shared" si="89"/>
        <v>3026.6685358255977</v>
      </c>
      <c r="AR116">
        <f t="shared" si="90"/>
        <v>3026.6685358255977</v>
      </c>
    </row>
    <row r="117" spans="1:44">
      <c r="B117">
        <v>6056</v>
      </c>
      <c r="C117" t="s">
        <v>604</v>
      </c>
      <c r="D117" t="s">
        <v>605</v>
      </c>
      <c r="E117">
        <v>2016</v>
      </c>
      <c r="F117">
        <v>9</v>
      </c>
      <c r="G117">
        <v>0</v>
      </c>
      <c r="I117" t="s">
        <v>78</v>
      </c>
      <c r="J117">
        <v>4</v>
      </c>
      <c r="K117">
        <f t="shared" si="70"/>
        <v>2020</v>
      </c>
      <c r="N117">
        <f>29202.25+2673.24</f>
        <v>31875.489999999998</v>
      </c>
      <c r="P117">
        <f t="shared" si="71"/>
        <v>31875.489999999998</v>
      </c>
      <c r="Q117">
        <f t="shared" si="72"/>
        <v>664.07270833333325</v>
      </c>
      <c r="R117">
        <f t="shared" si="73"/>
        <v>26562.908333332725</v>
      </c>
      <c r="S117">
        <f t="shared" si="74"/>
        <v>0</v>
      </c>
      <c r="T117">
        <f t="shared" si="75"/>
        <v>26562.908333332725</v>
      </c>
      <c r="U117">
        <v>1</v>
      </c>
      <c r="V117">
        <f t="shared" si="76"/>
        <v>26562.908333332725</v>
      </c>
      <c r="X117">
        <f t="shared" si="77"/>
        <v>0</v>
      </c>
      <c r="Y117">
        <f t="shared" si="78"/>
        <v>0</v>
      </c>
      <c r="Z117">
        <v>1</v>
      </c>
      <c r="AA117">
        <f t="shared" si="79"/>
        <v>0</v>
      </c>
      <c r="AB117">
        <f t="shared" si="80"/>
        <v>26562.908333332725</v>
      </c>
      <c r="AC117">
        <f t="shared" si="81"/>
        <v>2656.2908333336363</v>
      </c>
      <c r="AD117">
        <f t="shared" si="82"/>
        <v>2016.6666666666667</v>
      </c>
      <c r="AE117">
        <f t="shared" si="83"/>
        <v>2020</v>
      </c>
      <c r="AF117">
        <f t="shared" si="84"/>
        <v>2020.6666666666667</v>
      </c>
      <c r="AG117">
        <f>'[2]2184 Other Equipment'!$P$4+('[2]2184 Other Equipment'!$P$3/12)</f>
        <v>2014</v>
      </c>
      <c r="AH117">
        <f t="shared" si="85"/>
        <v>-8.3333333333333329E-2</v>
      </c>
      <c r="AJ117">
        <f t="shared" si="86"/>
        <v>0</v>
      </c>
      <c r="AL117">
        <f t="shared" si="87"/>
        <v>26562.908333332725</v>
      </c>
      <c r="AN117">
        <f t="shared" si="88"/>
        <v>0</v>
      </c>
      <c r="AP117">
        <f t="shared" si="89"/>
        <v>0</v>
      </c>
      <c r="AR117">
        <f t="shared" si="90"/>
        <v>2656.2908333336363</v>
      </c>
    </row>
    <row r="118" spans="1:44">
      <c r="C118" t="s">
        <v>316</v>
      </c>
    </row>
    <row r="119" spans="1:44">
      <c r="C119" t="s">
        <v>2</v>
      </c>
      <c r="N119">
        <f>SUM(N112:N118)</f>
        <v>136432.9</v>
      </c>
      <c r="P119">
        <f>SUM(P112:P118)</f>
        <v>105563.35430000001</v>
      </c>
      <c r="Q119">
        <f>SUM(Q112:Q118)</f>
        <v>1847.0673990476189</v>
      </c>
      <c r="R119">
        <f>SUM(R112:R118)</f>
        <v>39068.049139999057</v>
      </c>
      <c r="S119">
        <f>SUM(S55:S118)</f>
        <v>0</v>
      </c>
      <c r="T119">
        <f>SUM(T112:T118)</f>
        <v>39068.049139999057</v>
      </c>
      <c r="V119">
        <f>SUM(V112:V118)</f>
        <v>39068.049139999057</v>
      </c>
      <c r="X119">
        <f>SUM(X112:X118)</f>
        <v>57233.29016000023</v>
      </c>
      <c r="Y119">
        <f>SUM(Y112:Y118)</f>
        <v>57233.29016000023</v>
      </c>
      <c r="AA119">
        <f>SUM(AA112:AA118)</f>
        <v>57233.29016000023</v>
      </c>
      <c r="AB119">
        <f>SUM(AB112:AB118)</f>
        <v>96301.339299999294</v>
      </c>
      <c r="AC119">
        <f>SUM(AC112:AC118)</f>
        <v>37803.690270000247</v>
      </c>
      <c r="AJ119">
        <f t="shared" ref="AJ119:AR119" si="91">SUM(AJ112:AJ118)</f>
        <v>9765.7181616822418</v>
      </c>
      <c r="AK119">
        <f t="shared" si="91"/>
        <v>0</v>
      </c>
      <c r="AL119">
        <f t="shared" si="91"/>
        <v>48833.767301681306</v>
      </c>
      <c r="AM119">
        <f t="shared" si="91"/>
        <v>0</v>
      </c>
      <c r="AN119">
        <f t="shared" si="91"/>
        <v>-21137.226000000002</v>
      </c>
      <c r="AO119">
        <f t="shared" si="91"/>
        <v>0</v>
      </c>
      <c r="AP119">
        <f t="shared" si="91"/>
        <v>12650.185355825484</v>
      </c>
      <c r="AQ119">
        <f t="shared" si="91"/>
        <v>0</v>
      </c>
      <c r="AR119">
        <f t="shared" si="91"/>
        <v>15306.476189159121</v>
      </c>
    </row>
    <row r="120" spans="1:44">
      <c r="C120" t="s">
        <v>316</v>
      </c>
    </row>
    <row r="121" spans="1:44">
      <c r="C121" t="s">
        <v>316</v>
      </c>
    </row>
    <row r="122" spans="1:44">
      <c r="C122" t="s">
        <v>409</v>
      </c>
    </row>
    <row r="123" spans="1:44">
      <c r="C123" t="s">
        <v>316</v>
      </c>
    </row>
    <row r="124" spans="1:44">
      <c r="C124" t="s">
        <v>211</v>
      </c>
      <c r="E124">
        <v>2000</v>
      </c>
      <c r="F124">
        <v>6</v>
      </c>
      <c r="G124">
        <v>0</v>
      </c>
      <c r="I124" t="s">
        <v>78</v>
      </c>
      <c r="J124">
        <v>5</v>
      </c>
      <c r="K124">
        <f>E124+J124</f>
        <v>2005</v>
      </c>
      <c r="N124">
        <v>1538.86</v>
      </c>
      <c r="O124">
        <v>0</v>
      </c>
      <c r="P124">
        <f>N124-N124*G124</f>
        <v>1538.86</v>
      </c>
      <c r="Q124">
        <f>P124/J124/12</f>
        <v>25.647666666666666</v>
      </c>
      <c r="R124">
        <f>IF(O124&gt;0,0,IF(OR(AD124&gt;AE124,AF124&lt;AG124),0,IF(AND(AF124&gt;=AG124,AF124&lt;=AE124),Q124*((AF124-AG124)*12),IF(AND(AG124&lt;=AD124,AE124&gt;=AD124),((AE124-AD124)*12)*Q124,IF(AF124&gt;AE124,12*Q124,0)))))</f>
        <v>0</v>
      </c>
      <c r="S124">
        <f>IF(O124=0,0,IF(AND(AH124&gt;=AG124,AH124&lt;=AF124),((AH124-AG124)*12)*Q124,0))</f>
        <v>0</v>
      </c>
      <c r="T124">
        <f>IF(S124&gt;0,S124,R124)</f>
        <v>0</v>
      </c>
      <c r="U124">
        <v>1</v>
      </c>
      <c r="V124">
        <f>U124*SUM(R124:S124)</f>
        <v>0</v>
      </c>
      <c r="X124">
        <f>IF(AD124&gt;AE124,0,IF(AF124&lt;AG124,P124,IF(AND(AF124&gt;=AG124,AF124&lt;=AE124),(P124-T124),IF(AND(AG124&lt;=AD124,AE124&gt;=AD124),0,IF(AF124&gt;AE124,((AG124-AD124)*12)*Q124,0)))))</f>
        <v>1538.86</v>
      </c>
      <c r="Y124">
        <f>X124*U124</f>
        <v>1538.86</v>
      </c>
      <c r="Z124">
        <v>1</v>
      </c>
      <c r="AA124">
        <f>Y124*Z124</f>
        <v>1538.86</v>
      </c>
      <c r="AB124">
        <f>IF(O124&gt;0,0,AA124+V124*Z124)*Z124</f>
        <v>1538.86</v>
      </c>
      <c r="AC124">
        <f>IF(O124&gt;0,(N124-AA124)/2,IF(AD124&gt;=AG124,(((N124*U124)*Z124)-AB124)/2,((((N124*U124)*Z124)-AA124)+(((N124*U124)*Z124)-AB124))/2))</f>
        <v>0</v>
      </c>
      <c r="AD124">
        <f t="shared" ref="AD124:AD153" si="92">$E124+(($F124-1)/12)</f>
        <v>2000.4166666666667</v>
      </c>
      <c r="AE124">
        <f t="shared" ref="AE124:AE210" si="93">($P$5+1)-($P$2/12)</f>
        <v>2020</v>
      </c>
      <c r="AF124">
        <f t="shared" ref="AF124:AF153" si="94">$K124+(($F124-1)/12)</f>
        <v>2005.4166666666667</v>
      </c>
      <c r="AG124">
        <f t="shared" ref="AG124:AG210" si="95">$P$4+($P$3/12)</f>
        <v>2187.1666666666665</v>
      </c>
      <c r="AH124">
        <f t="shared" ref="AH124:AH153" si="96">$L124+(($M124-1)/12)</f>
        <v>-8.3333333333333329E-2</v>
      </c>
      <c r="AJ124">
        <f>+IF((AF124-AG124)&gt;3,((N124-P124)/(AF124-AG124)),(N124-P124)/3)</f>
        <v>0</v>
      </c>
      <c r="AL124">
        <f>+AJ124+V124</f>
        <v>0</v>
      </c>
      <c r="AN124">
        <f>+IF(AF124&lt;AG124,-AC124,0)</f>
        <v>0</v>
      </c>
      <c r="AP124">
        <f>IF(AF124&gt;AG124,IF(AJ124&gt;0,IF(O124&gt;0,(N124-AA124)/2,IF(AD124&gt;=AG124,(((N124*U124)*Z124)-(AB124+AJ124))/2,((((N124*U124)*Z124)-AA124)+(((N124*U124)*Z124)-(AB124+AJ124)))/2)),0),0)</f>
        <v>0</v>
      </c>
      <c r="AR124">
        <f>+AC124+AN124+(IF(AP124&gt;0,(AP124-AC124),0))</f>
        <v>0</v>
      </c>
    </row>
    <row r="125" spans="1:44">
      <c r="C125" t="s">
        <v>210</v>
      </c>
      <c r="E125">
        <v>2000</v>
      </c>
      <c r="F125">
        <v>6</v>
      </c>
      <c r="G125">
        <v>0</v>
      </c>
      <c r="I125" t="s">
        <v>78</v>
      </c>
      <c r="J125">
        <v>5</v>
      </c>
      <c r="K125">
        <f>E125+J125</f>
        <v>2005</v>
      </c>
      <c r="N125">
        <v>12191.81</v>
      </c>
      <c r="O125">
        <v>0</v>
      </c>
      <c r="P125">
        <f>N125-N125*G125</f>
        <v>12191.81</v>
      </c>
      <c r="Q125">
        <f>P125/J125/12</f>
        <v>203.19683333333333</v>
      </c>
      <c r="R125">
        <f>IF(O125&gt;0,0,IF(OR(AD125&gt;AE125,AF125&lt;AG125),0,IF(AND(AF125&gt;=AG125,AF125&lt;=AE125),Q125*((AF125-AG125)*12),IF(AND(AG125&lt;=AD125,AE125&gt;=AD125),((AE125-AD125)*12)*Q125,IF(AF125&gt;AE125,12*Q125,0)))))</f>
        <v>0</v>
      </c>
      <c r="S125">
        <f>IF(O125=0,0,IF(AND(AH125&gt;=AG125,AH125&lt;=AF125),((AH125-AG125)*12)*Q125,0))</f>
        <v>0</v>
      </c>
      <c r="T125">
        <f>IF(S125&gt;0,S125,R125)</f>
        <v>0</v>
      </c>
      <c r="U125">
        <v>1</v>
      </c>
      <c r="V125">
        <f>U125*SUM(R125:S125)</f>
        <v>0</v>
      </c>
      <c r="X125">
        <f>IF(AD125&gt;AE125,0,IF(AF125&lt;AG125,P125,IF(AND(AF125&gt;=AG125,AF125&lt;=AE125),(P125-T125),IF(AND(AG125&lt;=AD125,AE125&gt;=AD125),0,IF(AF125&gt;AE125,((AG125-AD125)*12)*Q125,0)))))</f>
        <v>12191.81</v>
      </c>
      <c r="Y125">
        <f>X125*U125</f>
        <v>12191.81</v>
      </c>
      <c r="Z125">
        <v>1</v>
      </c>
      <c r="AA125">
        <f>Y125*Z125</f>
        <v>12191.81</v>
      </c>
      <c r="AB125">
        <f>IF(O125&gt;0,0,AA125+V125*Z125)*Z125</f>
        <v>12191.81</v>
      </c>
      <c r="AC125">
        <f>IF(O125&gt;0,(N125-AA125)/2,IF(AD125&gt;=AG125,(((N125*U125)*Z125)-AB125)/2,((((N125*U125)*Z125)-AA125)+(((N125*U125)*Z125)-AB125))/2))</f>
        <v>0</v>
      </c>
      <c r="AD125">
        <f t="shared" si="92"/>
        <v>2000.4166666666667</v>
      </c>
      <c r="AE125">
        <f t="shared" si="93"/>
        <v>2020</v>
      </c>
      <c r="AF125">
        <f t="shared" si="94"/>
        <v>2005.4166666666667</v>
      </c>
      <c r="AG125">
        <f t="shared" si="95"/>
        <v>2187.1666666666665</v>
      </c>
      <c r="AH125">
        <f t="shared" si="96"/>
        <v>-8.3333333333333329E-2</v>
      </c>
      <c r="AJ125">
        <f t="shared" ref="AJ125:AJ152" si="97">+IF((AF125-AG125)&gt;3,((N125-P125)/(AF125-AG125)),(N125-P125)/3)</f>
        <v>0</v>
      </c>
      <c r="AL125">
        <f t="shared" ref="AL125:AL152" si="98">+AJ125+V125</f>
        <v>0</v>
      </c>
      <c r="AN125">
        <f t="shared" ref="AN125:AN152" si="99">+IF(AF125&lt;AG125,-AC125,0)</f>
        <v>0</v>
      </c>
      <c r="AP125">
        <f t="shared" ref="AP125:AP152" si="100">IF(AF125&gt;AG125,IF(AJ125&gt;0,IF(O125&gt;0,(N125-AA125)/2,IF(AD125&gt;=AG125,(((N125*U125)*Z125)-(AB125+AJ125))/2,((((N125*U125)*Z125)-AA125)+(((N125*U125)*Z125)-(AB125+AJ125)))/2)),0),0)</f>
        <v>0</v>
      </c>
      <c r="AR125">
        <f t="shared" ref="AR125:AR152" si="101">+AC125+AN125+(IF(AP125&gt;0,(AP125-AC125),0))</f>
        <v>0</v>
      </c>
    </row>
    <row r="126" spans="1:44">
      <c r="C126" t="s">
        <v>309</v>
      </c>
      <c r="E126">
        <v>2004</v>
      </c>
      <c r="F126">
        <v>6</v>
      </c>
      <c r="G126">
        <v>0</v>
      </c>
      <c r="I126" t="s">
        <v>78</v>
      </c>
      <c r="J126">
        <v>5</v>
      </c>
      <c r="K126">
        <f>E126+J126</f>
        <v>2009</v>
      </c>
      <c r="N126">
        <v>7911.04</v>
      </c>
      <c r="O126">
        <v>0</v>
      </c>
      <c r="P126">
        <f>N126-N126*G126</f>
        <v>7911.04</v>
      </c>
      <c r="Q126">
        <f>P126/J126/12</f>
        <v>131.85066666666668</v>
      </c>
      <c r="R126">
        <f>IF(O126&gt;0,0,IF(OR(AD126&gt;AE126,AF126&lt;AG126),0,IF(AND(AF126&gt;=AG126,AF126&lt;=AE126),Q126*((AF126-AG126)*12),IF(AND(AG126&lt;=AD126,AE126&gt;=AD126),((AE126-AD126)*12)*Q126,IF(AF126&gt;AE126,12*Q126,0)))))</f>
        <v>0</v>
      </c>
      <c r="S126">
        <f>IF(O126=0,0,IF(AND(AH126&gt;=AG126,AH126&lt;=AF126),((AH126-AG126)*12)*Q126,0))</f>
        <v>0</v>
      </c>
      <c r="T126">
        <f>IF(S126&gt;0,S126,R126)</f>
        <v>0</v>
      </c>
      <c r="U126">
        <v>1</v>
      </c>
      <c r="V126">
        <f>U126*SUM(R126:S126)</f>
        <v>0</v>
      </c>
      <c r="X126">
        <f>IF(AD126&gt;AE126,0,IF(AF126&lt;AG126,P126,IF(AND(AF126&gt;=AG126,AF126&lt;=AE126),(P126-T126),IF(AND(AG126&lt;=AD126,AE126&gt;=AD126),0,IF(AF126&gt;AE126,((AG126-AD126)*12)*Q126,0)))))</f>
        <v>7911.04</v>
      </c>
      <c r="Y126">
        <f>X126*U126</f>
        <v>7911.04</v>
      </c>
      <c r="Z126">
        <v>1</v>
      </c>
      <c r="AA126">
        <f>Y126*Z126</f>
        <v>7911.04</v>
      </c>
      <c r="AB126">
        <f>IF(O126&gt;0,0,AA126+V126*Z126)*Z126</f>
        <v>7911.04</v>
      </c>
      <c r="AC126">
        <f>IF(O126&gt;0,(N126-AA126)/2,IF(AD126&gt;=AG126,(((N126*U126)*Z126)-AB126)/2,((((N126*U126)*Z126)-AA126)+(((N126*U126)*Z126)-AB126))/2))</f>
        <v>0</v>
      </c>
      <c r="AD126">
        <f t="shared" si="92"/>
        <v>2004.4166666666667</v>
      </c>
      <c r="AE126">
        <f t="shared" si="93"/>
        <v>2020</v>
      </c>
      <c r="AF126">
        <f t="shared" si="94"/>
        <v>2009.4166666666667</v>
      </c>
      <c r="AG126">
        <f t="shared" si="95"/>
        <v>2187.1666666666665</v>
      </c>
      <c r="AH126">
        <f t="shared" si="96"/>
        <v>-8.3333333333333329E-2</v>
      </c>
      <c r="AJ126">
        <f t="shared" si="97"/>
        <v>0</v>
      </c>
      <c r="AL126">
        <f t="shared" si="98"/>
        <v>0</v>
      </c>
      <c r="AN126">
        <f t="shared" si="99"/>
        <v>0</v>
      </c>
      <c r="AP126">
        <f t="shared" si="100"/>
        <v>0</v>
      </c>
      <c r="AR126">
        <f t="shared" si="101"/>
        <v>0</v>
      </c>
    </row>
    <row r="127" spans="1:44">
      <c r="C127" t="s">
        <v>310</v>
      </c>
      <c r="E127">
        <v>2006</v>
      </c>
      <c r="F127">
        <v>3</v>
      </c>
      <c r="G127">
        <v>0</v>
      </c>
      <c r="I127" t="s">
        <v>78</v>
      </c>
      <c r="J127">
        <v>5</v>
      </c>
      <c r="K127">
        <f>E127+J127</f>
        <v>2011</v>
      </c>
      <c r="N127">
        <v>3359.32</v>
      </c>
      <c r="O127">
        <v>0</v>
      </c>
      <c r="P127">
        <f>N127-N127*G127</f>
        <v>3359.32</v>
      </c>
      <c r="Q127">
        <f>P127/J127/12</f>
        <v>55.988666666666667</v>
      </c>
      <c r="R127">
        <f>IF(O127&gt;0,0,IF(OR(AD127&gt;AE127,AF127&lt;AG127),0,IF(AND(AF127&gt;=AG127,AF127&lt;=AE127),Q127*((AF127-AG127)*12),IF(AND(AG127&lt;=AD127,AE127&gt;=AD127),((AE127-AD127)*12)*Q127,IF(AF127&gt;AE127,12*Q127,0)))))</f>
        <v>0</v>
      </c>
      <c r="S127">
        <f>IF(O127=0,0,IF(AND(AH127&gt;=AG127,AH127&lt;=AF127),((AH127-AG127)*12)*Q127,0))</f>
        <v>0</v>
      </c>
      <c r="T127">
        <f>IF(S127&gt;0,S127,R127)</f>
        <v>0</v>
      </c>
      <c r="U127">
        <v>1</v>
      </c>
      <c r="V127">
        <f>U127*SUM(R127:S127)</f>
        <v>0</v>
      </c>
      <c r="X127">
        <f>IF(AD127&gt;AE127,0,IF(AF127&lt;AG127,P127,IF(AND(AF127&gt;=AG127,AF127&lt;=AE127),(P127-T127),IF(AND(AG127&lt;=AD127,AE127&gt;=AD127),0,IF(AF127&gt;AE127,((AG127-AD127)*12)*Q127,0)))))</f>
        <v>3359.32</v>
      </c>
      <c r="Y127">
        <f>X127*U127</f>
        <v>3359.32</v>
      </c>
      <c r="Z127">
        <v>1</v>
      </c>
      <c r="AA127">
        <f>Y127*Z127</f>
        <v>3359.32</v>
      </c>
      <c r="AB127">
        <f>IF(O127&gt;0,0,AA127+V127*Z127)*Z127</f>
        <v>3359.32</v>
      </c>
      <c r="AC127">
        <f>IF(O127&gt;0,(N127-AA127)/2,IF(AD127&gt;=AG127,(((N127*U127)*Z127)-AB127)/2,((((N127*U127)*Z127)-AA127)+(((N127*U127)*Z127)-AB127))/2))</f>
        <v>0</v>
      </c>
      <c r="AD127">
        <f t="shared" si="92"/>
        <v>2006.1666666666667</v>
      </c>
      <c r="AE127">
        <f t="shared" si="93"/>
        <v>2020</v>
      </c>
      <c r="AF127">
        <f t="shared" si="94"/>
        <v>2011.1666666666667</v>
      </c>
      <c r="AG127">
        <f t="shared" si="95"/>
        <v>2187.1666666666665</v>
      </c>
      <c r="AH127">
        <f t="shared" si="96"/>
        <v>-8.3333333333333329E-2</v>
      </c>
      <c r="AJ127">
        <f t="shared" si="97"/>
        <v>0</v>
      </c>
      <c r="AL127">
        <f t="shared" si="98"/>
        <v>0</v>
      </c>
      <c r="AN127">
        <f t="shared" si="99"/>
        <v>0</v>
      </c>
      <c r="AP127">
        <f t="shared" si="100"/>
        <v>0</v>
      </c>
      <c r="AR127">
        <f t="shared" si="101"/>
        <v>0</v>
      </c>
    </row>
    <row r="128" spans="1:44">
      <c r="C128" t="s">
        <v>88</v>
      </c>
      <c r="E128">
        <v>2007</v>
      </c>
      <c r="F128">
        <v>4</v>
      </c>
      <c r="G128">
        <v>0</v>
      </c>
      <c r="I128" t="s">
        <v>78</v>
      </c>
      <c r="J128">
        <v>5</v>
      </c>
      <c r="K128">
        <f t="shared" ref="K128:K153" si="102">E128+J128</f>
        <v>2012</v>
      </c>
      <c r="N128">
        <v>8029.33</v>
      </c>
      <c r="O128">
        <v>0</v>
      </c>
      <c r="P128">
        <f>N128-N128*G128</f>
        <v>8029.33</v>
      </c>
      <c r="Q128">
        <f>P128/J128/12</f>
        <v>133.82216666666667</v>
      </c>
      <c r="R128">
        <f>IF(O128&gt;0,0,IF(OR(AD128&gt;AE128,AF128&lt;AG128),0,IF(AND(AF128&gt;=AG128,AF128&lt;=AE128),Q128*((AF128-AG128)*12),IF(AND(AG128&lt;=AD128,AE128&gt;=AD128),((AE128-AD128)*12)*Q128,IF(AF128&gt;AE128,12*Q128,0)))))</f>
        <v>0</v>
      </c>
      <c r="S128">
        <f>IF(O128=0,0,IF(AND(AH128&gt;=AG128,AH128&lt;=AF128),((AH128-AG128)*12)*Q128,0))</f>
        <v>0</v>
      </c>
      <c r="T128">
        <f>IF(S128&gt;0,S128,R128)</f>
        <v>0</v>
      </c>
      <c r="U128">
        <v>1</v>
      </c>
      <c r="V128">
        <f>U128*SUM(R128:S128)</f>
        <v>0</v>
      </c>
      <c r="X128">
        <f>IF(AD128&gt;AE128,0,IF(AF128&lt;AG128,P128,IF(AND(AF128&gt;=AG128,AF128&lt;=AE128),(P128-T128),IF(AND(AG128&lt;=AD128,AE128&gt;=AD128),0,IF(AF128&gt;AE128,((AG128-AD128)*12)*Q128,0)))))</f>
        <v>8029.33</v>
      </c>
      <c r="Y128">
        <f>X128*U128</f>
        <v>8029.33</v>
      </c>
      <c r="Z128">
        <v>1</v>
      </c>
      <c r="AA128">
        <f>Y128*Z128</f>
        <v>8029.33</v>
      </c>
      <c r="AB128">
        <f>IF(O128&gt;0,0,AA128+V128*Z128)*Z128</f>
        <v>8029.33</v>
      </c>
      <c r="AC128">
        <f>IF(O128&gt;0,(N128-AA128)/2,IF(AD128&gt;=AG128,(((N128*U128)*Z128)-AB128)/2,((((N128*U128)*Z128)-AA128)+(((N128*U128)*Z128)-AB128))/2))</f>
        <v>0</v>
      </c>
      <c r="AD128">
        <f t="shared" si="92"/>
        <v>2007.25</v>
      </c>
      <c r="AE128">
        <f t="shared" si="93"/>
        <v>2020</v>
      </c>
      <c r="AF128">
        <f t="shared" si="94"/>
        <v>2012.25</v>
      </c>
      <c r="AG128">
        <f t="shared" si="95"/>
        <v>2187.1666666666665</v>
      </c>
      <c r="AH128">
        <f t="shared" si="96"/>
        <v>-8.3333333333333329E-2</v>
      </c>
      <c r="AJ128">
        <f t="shared" si="97"/>
        <v>0</v>
      </c>
      <c r="AL128">
        <f t="shared" si="98"/>
        <v>0</v>
      </c>
      <c r="AN128">
        <f t="shared" si="99"/>
        <v>0</v>
      </c>
      <c r="AP128">
        <f t="shared" si="100"/>
        <v>0</v>
      </c>
      <c r="AR128">
        <f t="shared" si="101"/>
        <v>0</v>
      </c>
    </row>
    <row r="129" spans="2:44">
      <c r="B129">
        <v>7</v>
      </c>
      <c r="C129" t="s">
        <v>417</v>
      </c>
      <c r="D129">
        <v>76066</v>
      </c>
      <c r="E129">
        <v>2010</v>
      </c>
      <c r="F129">
        <v>7</v>
      </c>
      <c r="G129">
        <v>0</v>
      </c>
      <c r="I129" t="s">
        <v>78</v>
      </c>
      <c r="J129">
        <v>3</v>
      </c>
      <c r="K129">
        <f t="shared" si="102"/>
        <v>2013</v>
      </c>
      <c r="N129">
        <v>1808.47</v>
      </c>
      <c r="O129">
        <v>0</v>
      </c>
      <c r="P129">
        <f t="shared" ref="P129:P153" si="103">N129-N129*G129</f>
        <v>1808.47</v>
      </c>
      <c r="Q129">
        <f t="shared" ref="Q129:Q153" si="104">P129/J129/12</f>
        <v>50.235277777777782</v>
      </c>
      <c r="R129">
        <f t="shared" ref="R129:R150" si="105">IF(O129&gt;0,0,IF(OR(AD129&gt;AE129,AF129&lt;AG129),0,IF(AND(AF129&gt;=AG129,AF129&lt;=AE129),Q129*((AF129-AG129)*12),IF(AND(AG129&lt;=AD129,AE129&gt;=AD129),((AE129-AD129)*12)*Q129,IF(AF129&gt;AE129,12*Q129,0)))))</f>
        <v>0</v>
      </c>
      <c r="S129">
        <f t="shared" ref="S129:S150" si="106">IF(O129=0,0,IF(AND(AH129&gt;=AG129,AH129&lt;=AF129),((AH129-AG129)*12)*Q129,0))</f>
        <v>0</v>
      </c>
      <c r="T129">
        <f t="shared" ref="T129:T150" si="107">IF(S129&gt;0,S129,R129)</f>
        <v>0</v>
      </c>
      <c r="U129">
        <v>1</v>
      </c>
      <c r="V129">
        <f t="shared" ref="V129:V150" si="108">U129*SUM(R129:S129)</f>
        <v>0</v>
      </c>
      <c r="X129">
        <f t="shared" ref="X129:X150" si="109">IF(AD129&gt;AE129,0,IF(AF129&lt;AG129,P129,IF(AND(AF129&gt;=AG129,AF129&lt;=AE129),(P129-T129),IF(AND(AG129&lt;=AD129,AE129&gt;=AD129),0,IF(AF129&gt;AE129,((AG129-AD129)*12)*Q129,0)))))</f>
        <v>1808.47</v>
      </c>
      <c r="Y129">
        <f t="shared" ref="Y129:Y150" si="110">X129*U129</f>
        <v>1808.47</v>
      </c>
      <c r="Z129">
        <v>1</v>
      </c>
      <c r="AA129">
        <f t="shared" ref="AA129:AA150" si="111">Y129*Z129</f>
        <v>1808.47</v>
      </c>
      <c r="AB129">
        <f t="shared" ref="AB129:AB150" si="112">IF(O129&gt;0,0,AA129+V129*Z129)*Z129</f>
        <v>1808.47</v>
      </c>
      <c r="AC129">
        <f t="shared" ref="AC129:AC150" si="113">IF(O129&gt;0,(N129-AA129)/2,IF(AD129&gt;=AG129,(((N129*U129)*Z129)-AB129)/2,((((N129*U129)*Z129)-AA129)+(((N129*U129)*Z129)-AB129))/2))</f>
        <v>0</v>
      </c>
      <c r="AD129">
        <f t="shared" si="92"/>
        <v>2010.5</v>
      </c>
      <c r="AE129">
        <f t="shared" si="93"/>
        <v>2020</v>
      </c>
      <c r="AF129">
        <f t="shared" si="94"/>
        <v>2013.5</v>
      </c>
      <c r="AG129">
        <f t="shared" si="95"/>
        <v>2187.1666666666665</v>
      </c>
      <c r="AH129">
        <f t="shared" si="96"/>
        <v>-8.3333333333333329E-2</v>
      </c>
      <c r="AJ129">
        <f t="shared" si="97"/>
        <v>0</v>
      </c>
      <c r="AL129">
        <f t="shared" si="98"/>
        <v>0</v>
      </c>
      <c r="AN129">
        <f t="shared" si="99"/>
        <v>0</v>
      </c>
      <c r="AP129">
        <f t="shared" si="100"/>
        <v>0</v>
      </c>
      <c r="AR129">
        <f t="shared" si="101"/>
        <v>0</v>
      </c>
    </row>
    <row r="130" spans="2:44">
      <c r="C130" t="s">
        <v>418</v>
      </c>
      <c r="D130">
        <v>78978</v>
      </c>
      <c r="E130">
        <v>2010</v>
      </c>
      <c r="F130">
        <v>12</v>
      </c>
      <c r="G130">
        <v>0</v>
      </c>
      <c r="I130" t="s">
        <v>78</v>
      </c>
      <c r="J130">
        <v>5</v>
      </c>
      <c r="K130">
        <f t="shared" si="102"/>
        <v>2015</v>
      </c>
      <c r="N130">
        <v>92323.91</v>
      </c>
      <c r="O130">
        <v>0</v>
      </c>
      <c r="P130">
        <f t="shared" si="103"/>
        <v>92323.91</v>
      </c>
      <c r="Q130">
        <f t="shared" si="104"/>
        <v>1538.7318333333333</v>
      </c>
      <c r="R130">
        <f t="shared" si="105"/>
        <v>0</v>
      </c>
      <c r="S130">
        <f t="shared" si="106"/>
        <v>0</v>
      </c>
      <c r="T130">
        <f t="shared" si="107"/>
        <v>0</v>
      </c>
      <c r="U130">
        <v>1</v>
      </c>
      <c r="V130">
        <f t="shared" si="108"/>
        <v>0</v>
      </c>
      <c r="X130">
        <f t="shared" si="109"/>
        <v>92323.91</v>
      </c>
      <c r="Y130">
        <f t="shared" si="110"/>
        <v>92323.91</v>
      </c>
      <c r="Z130">
        <v>1</v>
      </c>
      <c r="AA130">
        <f t="shared" si="111"/>
        <v>92323.91</v>
      </c>
      <c r="AB130">
        <f t="shared" si="112"/>
        <v>92323.91</v>
      </c>
      <c r="AC130">
        <f t="shared" si="113"/>
        <v>0</v>
      </c>
      <c r="AD130">
        <f t="shared" si="92"/>
        <v>2010.9166666666667</v>
      </c>
      <c r="AE130">
        <f t="shared" si="93"/>
        <v>2020</v>
      </c>
      <c r="AF130">
        <f t="shared" si="94"/>
        <v>2015.9166666666667</v>
      </c>
      <c r="AG130">
        <f t="shared" si="95"/>
        <v>2187.1666666666665</v>
      </c>
      <c r="AH130">
        <f t="shared" si="96"/>
        <v>-8.3333333333333329E-2</v>
      </c>
      <c r="AJ130">
        <f t="shared" si="97"/>
        <v>0</v>
      </c>
      <c r="AL130">
        <f t="shared" si="98"/>
        <v>0</v>
      </c>
      <c r="AN130">
        <f t="shared" si="99"/>
        <v>0</v>
      </c>
      <c r="AP130">
        <f t="shared" si="100"/>
        <v>0</v>
      </c>
      <c r="AR130">
        <f t="shared" si="101"/>
        <v>0</v>
      </c>
    </row>
    <row r="131" spans="2:44">
      <c r="B131">
        <v>26</v>
      </c>
      <c r="C131" t="s">
        <v>419</v>
      </c>
      <c r="D131">
        <v>79676</v>
      </c>
      <c r="E131">
        <v>2010</v>
      </c>
      <c r="F131">
        <v>12</v>
      </c>
      <c r="G131">
        <v>0</v>
      </c>
      <c r="I131" t="s">
        <v>78</v>
      </c>
      <c r="J131">
        <v>5</v>
      </c>
      <c r="K131">
        <f t="shared" si="102"/>
        <v>2015</v>
      </c>
      <c r="N131">
        <v>6347.25</v>
      </c>
      <c r="O131">
        <v>0</v>
      </c>
      <c r="P131">
        <f t="shared" si="103"/>
        <v>6347.25</v>
      </c>
      <c r="Q131">
        <f t="shared" si="104"/>
        <v>105.78750000000001</v>
      </c>
      <c r="R131">
        <f t="shared" si="105"/>
        <v>0</v>
      </c>
      <c r="S131">
        <f t="shared" si="106"/>
        <v>0</v>
      </c>
      <c r="T131">
        <f t="shared" si="107"/>
        <v>0</v>
      </c>
      <c r="U131">
        <v>1</v>
      </c>
      <c r="V131">
        <f t="shared" si="108"/>
        <v>0</v>
      </c>
      <c r="X131">
        <f t="shared" si="109"/>
        <v>6347.25</v>
      </c>
      <c r="Y131">
        <f t="shared" si="110"/>
        <v>6347.25</v>
      </c>
      <c r="Z131">
        <v>1</v>
      </c>
      <c r="AA131">
        <f t="shared" si="111"/>
        <v>6347.25</v>
      </c>
      <c r="AB131">
        <f t="shared" si="112"/>
        <v>6347.25</v>
      </c>
      <c r="AC131">
        <f t="shared" si="113"/>
        <v>0</v>
      </c>
      <c r="AD131">
        <f t="shared" si="92"/>
        <v>2010.9166666666667</v>
      </c>
      <c r="AE131">
        <f t="shared" si="93"/>
        <v>2020</v>
      </c>
      <c r="AF131">
        <f t="shared" si="94"/>
        <v>2015.9166666666667</v>
      </c>
      <c r="AG131">
        <f t="shared" si="95"/>
        <v>2187.1666666666665</v>
      </c>
      <c r="AH131">
        <f t="shared" si="96"/>
        <v>-8.3333333333333329E-2</v>
      </c>
      <c r="AJ131">
        <f t="shared" si="97"/>
        <v>0</v>
      </c>
      <c r="AL131">
        <f t="shared" si="98"/>
        <v>0</v>
      </c>
      <c r="AN131">
        <f t="shared" si="99"/>
        <v>0</v>
      </c>
      <c r="AP131">
        <f t="shared" si="100"/>
        <v>0</v>
      </c>
      <c r="AR131">
        <f t="shared" si="101"/>
        <v>0</v>
      </c>
    </row>
    <row r="132" spans="2:44">
      <c r="C132" t="s">
        <v>422</v>
      </c>
      <c r="D132">
        <v>77561</v>
      </c>
      <c r="E132">
        <v>2010</v>
      </c>
      <c r="F132">
        <v>10</v>
      </c>
      <c r="G132">
        <v>0</v>
      </c>
      <c r="I132" t="s">
        <v>78</v>
      </c>
      <c r="J132">
        <v>5</v>
      </c>
      <c r="K132">
        <f t="shared" si="102"/>
        <v>2015</v>
      </c>
      <c r="N132">
        <v>20775</v>
      </c>
      <c r="O132">
        <v>0</v>
      </c>
      <c r="P132">
        <f t="shared" si="103"/>
        <v>20775</v>
      </c>
      <c r="Q132">
        <f t="shared" si="104"/>
        <v>346.25</v>
      </c>
      <c r="R132">
        <f t="shared" si="105"/>
        <v>0</v>
      </c>
      <c r="S132">
        <f t="shared" si="106"/>
        <v>0</v>
      </c>
      <c r="T132">
        <f t="shared" si="107"/>
        <v>0</v>
      </c>
      <c r="U132">
        <v>1</v>
      </c>
      <c r="V132">
        <f t="shared" si="108"/>
        <v>0</v>
      </c>
      <c r="X132">
        <f t="shared" si="109"/>
        <v>20775</v>
      </c>
      <c r="Y132">
        <f t="shared" si="110"/>
        <v>20775</v>
      </c>
      <c r="Z132">
        <v>1</v>
      </c>
      <c r="AA132">
        <f t="shared" si="111"/>
        <v>20775</v>
      </c>
      <c r="AB132">
        <f t="shared" si="112"/>
        <v>20775</v>
      </c>
      <c r="AC132">
        <f t="shared" si="113"/>
        <v>0</v>
      </c>
      <c r="AD132">
        <f t="shared" si="92"/>
        <v>2010.75</v>
      </c>
      <c r="AE132">
        <f t="shared" si="93"/>
        <v>2020</v>
      </c>
      <c r="AF132">
        <f t="shared" si="94"/>
        <v>2015.75</v>
      </c>
      <c r="AG132">
        <f t="shared" si="95"/>
        <v>2187.1666666666665</v>
      </c>
      <c r="AH132">
        <f t="shared" si="96"/>
        <v>-8.3333333333333329E-2</v>
      </c>
      <c r="AJ132">
        <f t="shared" si="97"/>
        <v>0</v>
      </c>
      <c r="AL132">
        <f t="shared" si="98"/>
        <v>0</v>
      </c>
      <c r="AN132">
        <f t="shared" si="99"/>
        <v>0</v>
      </c>
      <c r="AP132">
        <f t="shared" si="100"/>
        <v>0</v>
      </c>
      <c r="AR132">
        <f t="shared" si="101"/>
        <v>0</v>
      </c>
    </row>
    <row r="133" spans="2:44">
      <c r="B133">
        <v>3</v>
      </c>
      <c r="C133" t="s">
        <v>428</v>
      </c>
      <c r="D133">
        <v>80385</v>
      </c>
      <c r="E133">
        <v>2011</v>
      </c>
      <c r="F133">
        <v>3</v>
      </c>
      <c r="G133">
        <v>0</v>
      </c>
      <c r="I133" t="s">
        <v>78</v>
      </c>
      <c r="J133">
        <v>5</v>
      </c>
      <c r="K133">
        <f t="shared" si="102"/>
        <v>2016</v>
      </c>
      <c r="N133">
        <v>2625</v>
      </c>
      <c r="O133">
        <v>0</v>
      </c>
      <c r="P133">
        <f t="shared" si="103"/>
        <v>2625</v>
      </c>
      <c r="Q133">
        <f t="shared" si="104"/>
        <v>43.75</v>
      </c>
      <c r="R133">
        <f t="shared" si="105"/>
        <v>0</v>
      </c>
      <c r="S133">
        <f t="shared" si="106"/>
        <v>0</v>
      </c>
      <c r="T133">
        <f t="shared" si="107"/>
        <v>0</v>
      </c>
      <c r="U133">
        <v>1</v>
      </c>
      <c r="V133">
        <f t="shared" si="108"/>
        <v>0</v>
      </c>
      <c r="X133">
        <f t="shared" si="109"/>
        <v>2625</v>
      </c>
      <c r="Y133">
        <f t="shared" si="110"/>
        <v>2625</v>
      </c>
      <c r="Z133">
        <v>1</v>
      </c>
      <c r="AA133">
        <f t="shared" si="111"/>
        <v>2625</v>
      </c>
      <c r="AB133">
        <f t="shared" si="112"/>
        <v>2625</v>
      </c>
      <c r="AC133">
        <f t="shared" si="113"/>
        <v>0</v>
      </c>
      <c r="AD133">
        <f t="shared" si="92"/>
        <v>2011.1666666666667</v>
      </c>
      <c r="AE133">
        <f t="shared" si="93"/>
        <v>2020</v>
      </c>
      <c r="AF133">
        <f t="shared" si="94"/>
        <v>2016.1666666666667</v>
      </c>
      <c r="AG133">
        <f t="shared" si="95"/>
        <v>2187.1666666666665</v>
      </c>
      <c r="AH133">
        <f t="shared" si="96"/>
        <v>-8.3333333333333329E-2</v>
      </c>
      <c r="AJ133">
        <f t="shared" si="97"/>
        <v>0</v>
      </c>
      <c r="AL133">
        <f t="shared" si="98"/>
        <v>0</v>
      </c>
      <c r="AN133">
        <f t="shared" si="99"/>
        <v>0</v>
      </c>
      <c r="AP133">
        <f t="shared" si="100"/>
        <v>0</v>
      </c>
      <c r="AR133">
        <f t="shared" si="101"/>
        <v>0</v>
      </c>
    </row>
    <row r="134" spans="2:44">
      <c r="B134">
        <v>2</v>
      </c>
      <c r="C134" t="s">
        <v>428</v>
      </c>
      <c r="D134">
        <v>85655</v>
      </c>
      <c r="E134">
        <v>2011</v>
      </c>
      <c r="F134">
        <v>8</v>
      </c>
      <c r="G134">
        <v>0</v>
      </c>
      <c r="I134" t="s">
        <v>78</v>
      </c>
      <c r="J134">
        <v>5</v>
      </c>
      <c r="K134">
        <f t="shared" si="102"/>
        <v>2016</v>
      </c>
      <c r="N134">
        <v>1750</v>
      </c>
      <c r="O134">
        <v>0</v>
      </c>
      <c r="P134">
        <f t="shared" si="103"/>
        <v>1750</v>
      </c>
      <c r="Q134">
        <f t="shared" si="104"/>
        <v>29.166666666666668</v>
      </c>
      <c r="R134">
        <f t="shared" si="105"/>
        <v>0</v>
      </c>
      <c r="S134">
        <f t="shared" si="106"/>
        <v>0</v>
      </c>
      <c r="T134">
        <f t="shared" si="107"/>
        <v>0</v>
      </c>
      <c r="U134">
        <v>1</v>
      </c>
      <c r="V134">
        <f t="shared" si="108"/>
        <v>0</v>
      </c>
      <c r="X134">
        <f t="shared" si="109"/>
        <v>1750</v>
      </c>
      <c r="Y134">
        <f t="shared" si="110"/>
        <v>1750</v>
      </c>
      <c r="Z134">
        <v>1</v>
      </c>
      <c r="AA134">
        <f t="shared" si="111"/>
        <v>1750</v>
      </c>
      <c r="AB134">
        <f t="shared" si="112"/>
        <v>1750</v>
      </c>
      <c r="AC134">
        <f t="shared" si="113"/>
        <v>0</v>
      </c>
      <c r="AD134">
        <f t="shared" si="92"/>
        <v>2011.5833333333333</v>
      </c>
      <c r="AE134">
        <f t="shared" si="93"/>
        <v>2020</v>
      </c>
      <c r="AF134">
        <f t="shared" si="94"/>
        <v>2016.5833333333333</v>
      </c>
      <c r="AG134">
        <f t="shared" si="95"/>
        <v>2187.1666666666665</v>
      </c>
      <c r="AH134">
        <f t="shared" si="96"/>
        <v>-8.3333333333333329E-2</v>
      </c>
      <c r="AJ134">
        <f t="shared" si="97"/>
        <v>0</v>
      </c>
      <c r="AL134">
        <f t="shared" si="98"/>
        <v>0</v>
      </c>
      <c r="AN134">
        <f t="shared" si="99"/>
        <v>0</v>
      </c>
      <c r="AP134">
        <f t="shared" si="100"/>
        <v>0</v>
      </c>
      <c r="AR134">
        <f t="shared" si="101"/>
        <v>0</v>
      </c>
    </row>
    <row r="135" spans="2:44">
      <c r="B135">
        <v>3</v>
      </c>
      <c r="C135" t="s">
        <v>428</v>
      </c>
      <c r="D135">
        <v>88651</v>
      </c>
      <c r="E135">
        <v>2011</v>
      </c>
      <c r="F135">
        <v>12</v>
      </c>
      <c r="G135">
        <v>0</v>
      </c>
      <c r="I135" t="s">
        <v>78</v>
      </c>
      <c r="J135">
        <v>5</v>
      </c>
      <c r="K135">
        <f>E135+J135</f>
        <v>2016</v>
      </c>
      <c r="N135">
        <v>2625</v>
      </c>
      <c r="O135">
        <v>0</v>
      </c>
      <c r="P135">
        <f t="shared" si="103"/>
        <v>2625</v>
      </c>
      <c r="Q135">
        <f t="shared" si="104"/>
        <v>43.75</v>
      </c>
      <c r="R135">
        <f t="shared" si="105"/>
        <v>0</v>
      </c>
      <c r="S135">
        <f t="shared" si="106"/>
        <v>0</v>
      </c>
      <c r="T135">
        <f t="shared" si="107"/>
        <v>0</v>
      </c>
      <c r="U135">
        <v>1</v>
      </c>
      <c r="V135">
        <f t="shared" si="108"/>
        <v>0</v>
      </c>
      <c r="X135">
        <f t="shared" si="109"/>
        <v>2625</v>
      </c>
      <c r="Y135">
        <f t="shared" si="110"/>
        <v>2625</v>
      </c>
      <c r="Z135">
        <v>1</v>
      </c>
      <c r="AA135">
        <f t="shared" si="111"/>
        <v>2625</v>
      </c>
      <c r="AB135">
        <f t="shared" si="112"/>
        <v>2625</v>
      </c>
      <c r="AC135">
        <f t="shared" si="113"/>
        <v>0</v>
      </c>
      <c r="AD135">
        <f t="shared" si="92"/>
        <v>2011.9166666666667</v>
      </c>
      <c r="AE135">
        <f t="shared" si="93"/>
        <v>2020</v>
      </c>
      <c r="AF135">
        <f t="shared" si="94"/>
        <v>2016.9166666666667</v>
      </c>
      <c r="AG135">
        <f t="shared" si="95"/>
        <v>2187.1666666666665</v>
      </c>
      <c r="AH135">
        <f t="shared" si="96"/>
        <v>-8.3333333333333329E-2</v>
      </c>
      <c r="AJ135">
        <f t="shared" si="97"/>
        <v>0</v>
      </c>
      <c r="AL135">
        <f t="shared" si="98"/>
        <v>0</v>
      </c>
      <c r="AN135">
        <f t="shared" si="99"/>
        <v>0</v>
      </c>
      <c r="AP135">
        <f t="shared" si="100"/>
        <v>0</v>
      </c>
      <c r="AR135">
        <f t="shared" si="101"/>
        <v>0</v>
      </c>
    </row>
    <row r="136" spans="2:44">
      <c r="B136">
        <v>12</v>
      </c>
      <c r="C136" t="s">
        <v>435</v>
      </c>
      <c r="D136" t="s">
        <v>436</v>
      </c>
      <c r="E136">
        <v>2011</v>
      </c>
      <c r="F136">
        <v>12</v>
      </c>
      <c r="G136">
        <v>0</v>
      </c>
      <c r="I136" t="s">
        <v>78</v>
      </c>
      <c r="J136">
        <v>5</v>
      </c>
      <c r="K136">
        <f t="shared" si="102"/>
        <v>2016</v>
      </c>
      <c r="N136">
        <f>(487.65*12)+61493.04</f>
        <v>67344.84</v>
      </c>
      <c r="O136">
        <v>0</v>
      </c>
      <c r="P136">
        <f t="shared" si="103"/>
        <v>67344.84</v>
      </c>
      <c r="Q136">
        <f t="shared" si="104"/>
        <v>1122.414</v>
      </c>
      <c r="R136">
        <f t="shared" si="105"/>
        <v>0</v>
      </c>
      <c r="S136">
        <f t="shared" si="106"/>
        <v>0</v>
      </c>
      <c r="T136">
        <f t="shared" si="107"/>
        <v>0</v>
      </c>
      <c r="U136">
        <v>1</v>
      </c>
      <c r="V136">
        <f t="shared" si="108"/>
        <v>0</v>
      </c>
      <c r="X136">
        <f t="shared" si="109"/>
        <v>67344.84</v>
      </c>
      <c r="Y136">
        <f t="shared" si="110"/>
        <v>67344.84</v>
      </c>
      <c r="Z136">
        <v>1</v>
      </c>
      <c r="AA136">
        <f t="shared" si="111"/>
        <v>67344.84</v>
      </c>
      <c r="AB136">
        <f t="shared" si="112"/>
        <v>67344.84</v>
      </c>
      <c r="AC136">
        <f t="shared" si="113"/>
        <v>0</v>
      </c>
      <c r="AD136">
        <f t="shared" si="92"/>
        <v>2011.9166666666667</v>
      </c>
      <c r="AE136">
        <f t="shared" si="93"/>
        <v>2020</v>
      </c>
      <c r="AF136">
        <f t="shared" si="94"/>
        <v>2016.9166666666667</v>
      </c>
      <c r="AG136">
        <f t="shared" si="95"/>
        <v>2187.1666666666665</v>
      </c>
      <c r="AH136">
        <f t="shared" si="96"/>
        <v>-8.3333333333333329E-2</v>
      </c>
      <c r="AJ136">
        <f t="shared" si="97"/>
        <v>0</v>
      </c>
      <c r="AL136">
        <f t="shared" si="98"/>
        <v>0</v>
      </c>
      <c r="AN136">
        <f t="shared" si="99"/>
        <v>0</v>
      </c>
      <c r="AP136">
        <f t="shared" si="100"/>
        <v>0</v>
      </c>
      <c r="AR136">
        <f t="shared" si="101"/>
        <v>0</v>
      </c>
    </row>
    <row r="137" spans="2:44">
      <c r="C137" t="s">
        <v>443</v>
      </c>
      <c r="D137">
        <v>90470</v>
      </c>
      <c r="E137">
        <v>2012</v>
      </c>
      <c r="F137">
        <v>1</v>
      </c>
      <c r="G137">
        <v>0</v>
      </c>
      <c r="I137" t="s">
        <v>78</v>
      </c>
      <c r="J137">
        <v>5</v>
      </c>
      <c r="K137">
        <f t="shared" si="102"/>
        <v>2017</v>
      </c>
      <c r="N137">
        <v>561.34</v>
      </c>
      <c r="P137">
        <f t="shared" si="103"/>
        <v>561.34</v>
      </c>
      <c r="Q137">
        <f t="shared" si="104"/>
        <v>9.3556666666666661</v>
      </c>
      <c r="R137">
        <f t="shared" si="105"/>
        <v>0</v>
      </c>
      <c r="S137">
        <f t="shared" si="106"/>
        <v>0</v>
      </c>
      <c r="T137">
        <f t="shared" si="107"/>
        <v>0</v>
      </c>
      <c r="U137">
        <v>1</v>
      </c>
      <c r="V137">
        <f t="shared" si="108"/>
        <v>0</v>
      </c>
      <c r="X137">
        <f t="shared" si="109"/>
        <v>561.34</v>
      </c>
      <c r="Y137">
        <f t="shared" si="110"/>
        <v>561.34</v>
      </c>
      <c r="Z137">
        <v>1</v>
      </c>
      <c r="AA137">
        <f t="shared" si="111"/>
        <v>561.34</v>
      </c>
      <c r="AB137">
        <f t="shared" si="112"/>
        <v>561.34</v>
      </c>
      <c r="AC137">
        <f t="shared" si="113"/>
        <v>0</v>
      </c>
      <c r="AD137">
        <f t="shared" si="92"/>
        <v>2012</v>
      </c>
      <c r="AE137">
        <f t="shared" si="93"/>
        <v>2020</v>
      </c>
      <c r="AF137">
        <f t="shared" si="94"/>
        <v>2017</v>
      </c>
      <c r="AG137">
        <f t="shared" si="95"/>
        <v>2187.1666666666665</v>
      </c>
      <c r="AH137">
        <f t="shared" si="96"/>
        <v>-8.3333333333333329E-2</v>
      </c>
      <c r="AJ137">
        <f t="shared" si="97"/>
        <v>0</v>
      </c>
      <c r="AL137">
        <f t="shared" si="98"/>
        <v>0</v>
      </c>
      <c r="AN137">
        <f t="shared" si="99"/>
        <v>0</v>
      </c>
      <c r="AP137">
        <f t="shared" si="100"/>
        <v>0</v>
      </c>
      <c r="AR137">
        <f t="shared" si="101"/>
        <v>0</v>
      </c>
    </row>
    <row r="138" spans="2:44">
      <c r="C138" t="s">
        <v>446</v>
      </c>
      <c r="D138">
        <v>92581</v>
      </c>
      <c r="E138">
        <v>2012</v>
      </c>
      <c r="F138">
        <v>3</v>
      </c>
      <c r="G138">
        <v>0</v>
      </c>
      <c r="I138" t="s">
        <v>78</v>
      </c>
      <c r="J138">
        <v>3</v>
      </c>
      <c r="K138">
        <f t="shared" si="102"/>
        <v>2015</v>
      </c>
      <c r="N138">
        <v>947.94</v>
      </c>
      <c r="P138">
        <f t="shared" si="103"/>
        <v>947.94</v>
      </c>
      <c r="Q138">
        <f t="shared" si="104"/>
        <v>26.331666666666667</v>
      </c>
      <c r="R138">
        <f t="shared" si="105"/>
        <v>0</v>
      </c>
      <c r="S138">
        <f t="shared" si="106"/>
        <v>0</v>
      </c>
      <c r="T138">
        <f t="shared" si="107"/>
        <v>0</v>
      </c>
      <c r="U138">
        <v>1</v>
      </c>
      <c r="V138">
        <f t="shared" si="108"/>
        <v>0</v>
      </c>
      <c r="X138">
        <f t="shared" si="109"/>
        <v>947.94</v>
      </c>
      <c r="Y138">
        <f t="shared" si="110"/>
        <v>947.94</v>
      </c>
      <c r="Z138">
        <v>1</v>
      </c>
      <c r="AA138">
        <f t="shared" si="111"/>
        <v>947.94</v>
      </c>
      <c r="AB138">
        <f t="shared" si="112"/>
        <v>947.94</v>
      </c>
      <c r="AC138">
        <f t="shared" si="113"/>
        <v>0</v>
      </c>
      <c r="AD138">
        <f t="shared" si="92"/>
        <v>2012.1666666666667</v>
      </c>
      <c r="AE138">
        <f t="shared" si="93"/>
        <v>2020</v>
      </c>
      <c r="AF138">
        <f t="shared" si="94"/>
        <v>2015.1666666666667</v>
      </c>
      <c r="AG138">
        <f t="shared" si="95"/>
        <v>2187.1666666666665</v>
      </c>
      <c r="AH138">
        <f t="shared" si="96"/>
        <v>-8.3333333333333329E-2</v>
      </c>
      <c r="AJ138">
        <f t="shared" si="97"/>
        <v>0</v>
      </c>
      <c r="AL138">
        <f t="shared" si="98"/>
        <v>0</v>
      </c>
      <c r="AN138">
        <f t="shared" si="99"/>
        <v>0</v>
      </c>
      <c r="AP138">
        <f t="shared" si="100"/>
        <v>0</v>
      </c>
      <c r="AR138">
        <f t="shared" si="101"/>
        <v>0</v>
      </c>
    </row>
    <row r="139" spans="2:44">
      <c r="C139" t="s">
        <v>446</v>
      </c>
      <c r="D139">
        <v>93959</v>
      </c>
      <c r="E139">
        <v>2012</v>
      </c>
      <c r="F139">
        <v>5</v>
      </c>
      <c r="G139">
        <v>0</v>
      </c>
      <c r="I139" t="s">
        <v>78</v>
      </c>
      <c r="J139">
        <v>3</v>
      </c>
      <c r="K139">
        <f t="shared" si="102"/>
        <v>2015</v>
      </c>
      <c r="N139">
        <v>950</v>
      </c>
      <c r="P139">
        <f t="shared" si="103"/>
        <v>950</v>
      </c>
      <c r="Q139">
        <f t="shared" si="104"/>
        <v>26.388888888888889</v>
      </c>
      <c r="R139">
        <f t="shared" si="105"/>
        <v>0</v>
      </c>
      <c r="S139">
        <f t="shared" si="106"/>
        <v>0</v>
      </c>
      <c r="T139">
        <f t="shared" si="107"/>
        <v>0</v>
      </c>
      <c r="U139">
        <v>1</v>
      </c>
      <c r="V139">
        <f t="shared" si="108"/>
        <v>0</v>
      </c>
      <c r="X139">
        <f t="shared" si="109"/>
        <v>950</v>
      </c>
      <c r="Y139">
        <f t="shared" si="110"/>
        <v>950</v>
      </c>
      <c r="Z139">
        <v>1</v>
      </c>
      <c r="AA139">
        <f t="shared" si="111"/>
        <v>950</v>
      </c>
      <c r="AB139">
        <f t="shared" si="112"/>
        <v>950</v>
      </c>
      <c r="AC139">
        <f t="shared" si="113"/>
        <v>0</v>
      </c>
      <c r="AD139">
        <f t="shared" si="92"/>
        <v>2012.3333333333333</v>
      </c>
      <c r="AE139">
        <f t="shared" si="93"/>
        <v>2020</v>
      </c>
      <c r="AF139">
        <f t="shared" si="94"/>
        <v>2015.3333333333333</v>
      </c>
      <c r="AG139">
        <f t="shared" si="95"/>
        <v>2187.1666666666665</v>
      </c>
      <c r="AH139">
        <f t="shared" si="96"/>
        <v>-8.3333333333333329E-2</v>
      </c>
      <c r="AJ139">
        <f t="shared" si="97"/>
        <v>0</v>
      </c>
      <c r="AL139">
        <f t="shared" si="98"/>
        <v>0</v>
      </c>
      <c r="AN139">
        <f t="shared" si="99"/>
        <v>0</v>
      </c>
      <c r="AP139">
        <f t="shared" si="100"/>
        <v>0</v>
      </c>
      <c r="AR139">
        <f t="shared" si="101"/>
        <v>0</v>
      </c>
    </row>
    <row r="140" spans="2:44">
      <c r="C140" t="s">
        <v>446</v>
      </c>
      <c r="D140" t="s">
        <v>471</v>
      </c>
      <c r="E140">
        <v>2012</v>
      </c>
      <c r="F140">
        <v>10</v>
      </c>
      <c r="G140">
        <v>0</v>
      </c>
      <c r="I140" t="s">
        <v>78</v>
      </c>
      <c r="J140">
        <v>3</v>
      </c>
      <c r="K140">
        <f t="shared" si="102"/>
        <v>2015</v>
      </c>
      <c r="N140">
        <v>947</v>
      </c>
      <c r="P140">
        <f t="shared" si="103"/>
        <v>947</v>
      </c>
      <c r="Q140">
        <f t="shared" si="104"/>
        <v>26.305555555555557</v>
      </c>
      <c r="R140">
        <f t="shared" si="105"/>
        <v>0</v>
      </c>
      <c r="S140">
        <f t="shared" si="106"/>
        <v>0</v>
      </c>
      <c r="T140">
        <f t="shared" si="107"/>
        <v>0</v>
      </c>
      <c r="U140">
        <v>1</v>
      </c>
      <c r="V140">
        <f t="shared" si="108"/>
        <v>0</v>
      </c>
      <c r="X140">
        <f t="shared" si="109"/>
        <v>947</v>
      </c>
      <c r="Y140">
        <f t="shared" si="110"/>
        <v>947</v>
      </c>
      <c r="Z140">
        <v>1</v>
      </c>
      <c r="AA140">
        <f t="shared" si="111"/>
        <v>947</v>
      </c>
      <c r="AB140">
        <f t="shared" si="112"/>
        <v>947</v>
      </c>
      <c r="AC140">
        <f t="shared" si="113"/>
        <v>0</v>
      </c>
      <c r="AD140">
        <f t="shared" si="92"/>
        <v>2012.75</v>
      </c>
      <c r="AE140">
        <f t="shared" si="93"/>
        <v>2020</v>
      </c>
      <c r="AF140">
        <f t="shared" si="94"/>
        <v>2015.75</v>
      </c>
      <c r="AG140">
        <f t="shared" si="95"/>
        <v>2187.1666666666665</v>
      </c>
      <c r="AH140">
        <f t="shared" si="96"/>
        <v>-8.3333333333333329E-2</v>
      </c>
      <c r="AJ140">
        <f t="shared" si="97"/>
        <v>0</v>
      </c>
      <c r="AL140">
        <f t="shared" si="98"/>
        <v>0</v>
      </c>
      <c r="AN140">
        <f t="shared" si="99"/>
        <v>0</v>
      </c>
      <c r="AP140">
        <f t="shared" si="100"/>
        <v>0</v>
      </c>
      <c r="AR140">
        <f t="shared" si="101"/>
        <v>0</v>
      </c>
    </row>
    <row r="141" spans="2:44">
      <c r="B141">
        <v>3</v>
      </c>
      <c r="C141" t="s">
        <v>472</v>
      </c>
      <c r="D141">
        <v>98282</v>
      </c>
      <c r="E141">
        <v>2012</v>
      </c>
      <c r="F141">
        <v>10</v>
      </c>
      <c r="G141">
        <v>0</v>
      </c>
      <c r="I141" t="s">
        <v>78</v>
      </c>
      <c r="J141">
        <v>5</v>
      </c>
      <c r="K141">
        <f t="shared" si="102"/>
        <v>2017</v>
      </c>
      <c r="N141">
        <v>2625</v>
      </c>
      <c r="P141">
        <f t="shared" si="103"/>
        <v>2625</v>
      </c>
      <c r="Q141">
        <f t="shared" si="104"/>
        <v>43.75</v>
      </c>
      <c r="R141">
        <f t="shared" si="105"/>
        <v>0</v>
      </c>
      <c r="S141">
        <f t="shared" si="106"/>
        <v>0</v>
      </c>
      <c r="T141">
        <f t="shared" si="107"/>
        <v>0</v>
      </c>
      <c r="U141">
        <v>1</v>
      </c>
      <c r="V141">
        <f t="shared" si="108"/>
        <v>0</v>
      </c>
      <c r="X141">
        <f t="shared" si="109"/>
        <v>2625</v>
      </c>
      <c r="Y141">
        <f t="shared" si="110"/>
        <v>2625</v>
      </c>
      <c r="Z141">
        <v>1</v>
      </c>
      <c r="AA141">
        <f t="shared" si="111"/>
        <v>2625</v>
      </c>
      <c r="AB141">
        <f t="shared" si="112"/>
        <v>2625</v>
      </c>
      <c r="AC141">
        <f t="shared" si="113"/>
        <v>0</v>
      </c>
      <c r="AD141">
        <f t="shared" si="92"/>
        <v>2012.75</v>
      </c>
      <c r="AE141">
        <f t="shared" si="93"/>
        <v>2020</v>
      </c>
      <c r="AF141">
        <f t="shared" si="94"/>
        <v>2017.75</v>
      </c>
      <c r="AG141">
        <f t="shared" si="95"/>
        <v>2187.1666666666665</v>
      </c>
      <c r="AH141">
        <f t="shared" si="96"/>
        <v>-8.3333333333333329E-2</v>
      </c>
      <c r="AJ141">
        <f t="shared" si="97"/>
        <v>0</v>
      </c>
      <c r="AL141">
        <f t="shared" si="98"/>
        <v>0</v>
      </c>
      <c r="AN141">
        <f t="shared" si="99"/>
        <v>0</v>
      </c>
      <c r="AP141">
        <f t="shared" si="100"/>
        <v>0</v>
      </c>
      <c r="AR141">
        <f t="shared" si="101"/>
        <v>0</v>
      </c>
    </row>
    <row r="142" spans="2:44">
      <c r="C142" t="s">
        <v>473</v>
      </c>
      <c r="D142">
        <v>99673</v>
      </c>
      <c r="E142">
        <v>2012</v>
      </c>
      <c r="F142">
        <v>12</v>
      </c>
      <c r="G142">
        <v>0</v>
      </c>
      <c r="I142" t="s">
        <v>78</v>
      </c>
      <c r="J142">
        <v>5</v>
      </c>
      <c r="K142">
        <f t="shared" si="102"/>
        <v>2017</v>
      </c>
      <c r="N142">
        <v>9416</v>
      </c>
      <c r="P142">
        <f t="shared" si="103"/>
        <v>9416</v>
      </c>
      <c r="Q142">
        <f t="shared" si="104"/>
        <v>156.93333333333334</v>
      </c>
      <c r="R142">
        <f t="shared" si="105"/>
        <v>0</v>
      </c>
      <c r="S142">
        <f t="shared" si="106"/>
        <v>0</v>
      </c>
      <c r="T142">
        <f t="shared" si="107"/>
        <v>0</v>
      </c>
      <c r="U142">
        <v>1</v>
      </c>
      <c r="V142">
        <f t="shared" si="108"/>
        <v>0</v>
      </c>
      <c r="X142">
        <f t="shared" si="109"/>
        <v>9416</v>
      </c>
      <c r="Y142">
        <f t="shared" si="110"/>
        <v>9416</v>
      </c>
      <c r="Z142">
        <v>1</v>
      </c>
      <c r="AA142">
        <f t="shared" si="111"/>
        <v>9416</v>
      </c>
      <c r="AB142">
        <f t="shared" si="112"/>
        <v>9416</v>
      </c>
      <c r="AC142">
        <f t="shared" si="113"/>
        <v>0</v>
      </c>
      <c r="AD142">
        <f t="shared" si="92"/>
        <v>2012.9166666666667</v>
      </c>
      <c r="AE142">
        <f t="shared" si="93"/>
        <v>2020</v>
      </c>
      <c r="AF142">
        <f t="shared" si="94"/>
        <v>2017.9166666666667</v>
      </c>
      <c r="AG142">
        <f t="shared" si="95"/>
        <v>2187.1666666666665</v>
      </c>
      <c r="AH142">
        <f t="shared" si="96"/>
        <v>-8.3333333333333329E-2</v>
      </c>
      <c r="AJ142">
        <f t="shared" si="97"/>
        <v>0</v>
      </c>
      <c r="AL142">
        <f t="shared" si="98"/>
        <v>0</v>
      </c>
      <c r="AN142">
        <f t="shared" si="99"/>
        <v>0</v>
      </c>
      <c r="AP142">
        <f t="shared" si="100"/>
        <v>0</v>
      </c>
      <c r="AR142">
        <f t="shared" si="101"/>
        <v>0</v>
      </c>
    </row>
    <row r="143" spans="2:44">
      <c r="C143" t="s">
        <v>487</v>
      </c>
      <c r="D143">
        <v>108250</v>
      </c>
      <c r="E143">
        <v>2013</v>
      </c>
      <c r="F143">
        <v>10</v>
      </c>
      <c r="G143">
        <v>0</v>
      </c>
      <c r="I143" t="s">
        <v>78</v>
      </c>
      <c r="J143">
        <v>3</v>
      </c>
      <c r="K143">
        <f t="shared" si="102"/>
        <v>2016</v>
      </c>
      <c r="N143">
        <v>743.47</v>
      </c>
      <c r="P143">
        <f t="shared" si="103"/>
        <v>743.47</v>
      </c>
      <c r="Q143">
        <f t="shared" si="104"/>
        <v>20.651944444444446</v>
      </c>
      <c r="R143">
        <f t="shared" si="105"/>
        <v>0</v>
      </c>
      <c r="S143">
        <f t="shared" si="106"/>
        <v>0</v>
      </c>
      <c r="T143">
        <f t="shared" si="107"/>
        <v>0</v>
      </c>
      <c r="U143">
        <v>1</v>
      </c>
      <c r="V143">
        <f t="shared" si="108"/>
        <v>0</v>
      </c>
      <c r="X143">
        <f t="shared" si="109"/>
        <v>743.47</v>
      </c>
      <c r="Y143">
        <f t="shared" si="110"/>
        <v>743.47</v>
      </c>
      <c r="Z143">
        <v>1</v>
      </c>
      <c r="AA143">
        <f t="shared" si="111"/>
        <v>743.47</v>
      </c>
      <c r="AB143">
        <f t="shared" si="112"/>
        <v>743.47</v>
      </c>
      <c r="AC143">
        <f t="shared" si="113"/>
        <v>0</v>
      </c>
      <c r="AD143">
        <f t="shared" si="92"/>
        <v>2013.75</v>
      </c>
      <c r="AE143">
        <f t="shared" si="93"/>
        <v>2020</v>
      </c>
      <c r="AF143">
        <f t="shared" si="94"/>
        <v>2016.75</v>
      </c>
      <c r="AG143">
        <f t="shared" si="95"/>
        <v>2187.1666666666665</v>
      </c>
      <c r="AH143">
        <f t="shared" si="96"/>
        <v>-8.3333333333333329E-2</v>
      </c>
      <c r="AJ143">
        <f t="shared" si="97"/>
        <v>0</v>
      </c>
      <c r="AL143">
        <f t="shared" si="98"/>
        <v>0</v>
      </c>
      <c r="AN143">
        <f t="shared" si="99"/>
        <v>0</v>
      </c>
      <c r="AP143">
        <f t="shared" si="100"/>
        <v>0</v>
      </c>
      <c r="AR143">
        <f t="shared" si="101"/>
        <v>0</v>
      </c>
    </row>
    <row r="144" spans="2:44">
      <c r="B144">
        <v>3</v>
      </c>
      <c r="C144" t="s">
        <v>490</v>
      </c>
      <c r="D144">
        <v>109582</v>
      </c>
      <c r="E144">
        <v>2013</v>
      </c>
      <c r="F144">
        <v>12</v>
      </c>
      <c r="G144">
        <v>0</v>
      </c>
      <c r="I144" t="s">
        <v>78</v>
      </c>
      <c r="J144">
        <v>10</v>
      </c>
      <c r="K144">
        <f t="shared" si="102"/>
        <v>2023</v>
      </c>
      <c r="N144">
        <v>134875</v>
      </c>
      <c r="P144">
        <f t="shared" si="103"/>
        <v>134875</v>
      </c>
      <c r="Q144">
        <f t="shared" si="104"/>
        <v>1123.9583333333333</v>
      </c>
      <c r="R144">
        <f t="shared" si="105"/>
        <v>0</v>
      </c>
      <c r="S144">
        <f t="shared" si="106"/>
        <v>0</v>
      </c>
      <c r="T144">
        <f t="shared" si="107"/>
        <v>0</v>
      </c>
      <c r="U144">
        <v>1</v>
      </c>
      <c r="V144">
        <f t="shared" si="108"/>
        <v>0</v>
      </c>
      <c r="X144">
        <f t="shared" si="109"/>
        <v>134875</v>
      </c>
      <c r="Y144">
        <f t="shared" si="110"/>
        <v>134875</v>
      </c>
      <c r="Z144">
        <v>1</v>
      </c>
      <c r="AA144">
        <f t="shared" si="111"/>
        <v>134875</v>
      </c>
      <c r="AB144">
        <f t="shared" si="112"/>
        <v>134875</v>
      </c>
      <c r="AC144">
        <f t="shared" si="113"/>
        <v>0</v>
      </c>
      <c r="AD144">
        <f t="shared" si="92"/>
        <v>2013.9166666666667</v>
      </c>
      <c r="AE144">
        <f t="shared" si="93"/>
        <v>2020</v>
      </c>
      <c r="AF144">
        <f t="shared" si="94"/>
        <v>2023.9166666666667</v>
      </c>
      <c r="AG144">
        <f t="shared" si="95"/>
        <v>2187.1666666666665</v>
      </c>
      <c r="AH144">
        <f t="shared" si="96"/>
        <v>-8.3333333333333329E-2</v>
      </c>
      <c r="AJ144">
        <f t="shared" si="97"/>
        <v>0</v>
      </c>
      <c r="AL144">
        <f t="shared" si="98"/>
        <v>0</v>
      </c>
      <c r="AN144">
        <f t="shared" si="99"/>
        <v>0</v>
      </c>
      <c r="AP144">
        <f t="shared" si="100"/>
        <v>0</v>
      </c>
      <c r="AR144">
        <f t="shared" si="101"/>
        <v>0</v>
      </c>
    </row>
    <row r="145" spans="2:44">
      <c r="C145" t="s">
        <v>503</v>
      </c>
      <c r="D145">
        <v>113272</v>
      </c>
      <c r="E145">
        <v>2014</v>
      </c>
      <c r="F145">
        <v>4</v>
      </c>
      <c r="G145">
        <v>0</v>
      </c>
      <c r="I145" t="s">
        <v>78</v>
      </c>
      <c r="J145">
        <v>5</v>
      </c>
      <c r="K145">
        <f t="shared" si="102"/>
        <v>2019</v>
      </c>
      <c r="N145">
        <v>656.58</v>
      </c>
      <c r="P145">
        <f t="shared" si="103"/>
        <v>656.58</v>
      </c>
      <c r="Q145">
        <f t="shared" si="104"/>
        <v>10.943</v>
      </c>
      <c r="R145">
        <f t="shared" si="105"/>
        <v>0</v>
      </c>
      <c r="S145">
        <f t="shared" si="106"/>
        <v>0</v>
      </c>
      <c r="T145">
        <f t="shared" si="107"/>
        <v>0</v>
      </c>
      <c r="U145">
        <v>1</v>
      </c>
      <c r="V145">
        <f t="shared" si="108"/>
        <v>0</v>
      </c>
      <c r="X145">
        <f t="shared" si="109"/>
        <v>656.58</v>
      </c>
      <c r="Y145">
        <f t="shared" si="110"/>
        <v>656.58</v>
      </c>
      <c r="Z145">
        <v>1</v>
      </c>
      <c r="AA145">
        <f t="shared" si="111"/>
        <v>656.58</v>
      </c>
      <c r="AB145">
        <f t="shared" si="112"/>
        <v>656.58</v>
      </c>
      <c r="AC145">
        <f t="shared" si="113"/>
        <v>0</v>
      </c>
      <c r="AD145">
        <f t="shared" si="92"/>
        <v>2014.25</v>
      </c>
      <c r="AE145">
        <f t="shared" si="93"/>
        <v>2020</v>
      </c>
      <c r="AF145">
        <f t="shared" si="94"/>
        <v>2019.25</v>
      </c>
      <c r="AG145">
        <f t="shared" si="95"/>
        <v>2187.1666666666665</v>
      </c>
      <c r="AH145">
        <f t="shared" si="96"/>
        <v>-8.3333333333333329E-2</v>
      </c>
      <c r="AJ145">
        <f t="shared" si="97"/>
        <v>0</v>
      </c>
      <c r="AL145">
        <f t="shared" si="98"/>
        <v>0</v>
      </c>
      <c r="AN145">
        <f t="shared" si="99"/>
        <v>0</v>
      </c>
      <c r="AP145">
        <f t="shared" si="100"/>
        <v>0</v>
      </c>
      <c r="AR145">
        <f t="shared" si="101"/>
        <v>0</v>
      </c>
    </row>
    <row r="146" spans="2:44">
      <c r="C146" t="s">
        <v>573</v>
      </c>
      <c r="D146">
        <v>121103</v>
      </c>
      <c r="E146">
        <v>2015</v>
      </c>
      <c r="F146">
        <v>3</v>
      </c>
      <c r="G146">
        <v>0</v>
      </c>
      <c r="I146" t="s">
        <v>78</v>
      </c>
      <c r="J146">
        <v>3</v>
      </c>
      <c r="K146">
        <f t="shared" si="102"/>
        <v>2018</v>
      </c>
      <c r="N146">
        <v>1077.07</v>
      </c>
      <c r="P146">
        <f t="shared" si="103"/>
        <v>1077.07</v>
      </c>
      <c r="Q146">
        <f t="shared" si="104"/>
        <v>29.918611111111108</v>
      </c>
      <c r="R146">
        <f t="shared" si="105"/>
        <v>0</v>
      </c>
      <c r="S146">
        <f t="shared" si="106"/>
        <v>0</v>
      </c>
      <c r="T146">
        <f t="shared" si="107"/>
        <v>0</v>
      </c>
      <c r="U146">
        <v>1</v>
      </c>
      <c r="V146">
        <f t="shared" si="108"/>
        <v>0</v>
      </c>
      <c r="X146">
        <f t="shared" si="109"/>
        <v>1077.07</v>
      </c>
      <c r="Y146">
        <f t="shared" si="110"/>
        <v>1077.07</v>
      </c>
      <c r="Z146">
        <v>1</v>
      </c>
      <c r="AA146">
        <f t="shared" si="111"/>
        <v>1077.07</v>
      </c>
      <c r="AB146">
        <f t="shared" si="112"/>
        <v>1077.07</v>
      </c>
      <c r="AC146">
        <f t="shared" si="113"/>
        <v>0</v>
      </c>
      <c r="AD146">
        <f t="shared" si="92"/>
        <v>2015.1666666666667</v>
      </c>
      <c r="AE146">
        <f t="shared" si="93"/>
        <v>2020</v>
      </c>
      <c r="AF146">
        <f t="shared" si="94"/>
        <v>2018.1666666666667</v>
      </c>
      <c r="AG146">
        <f t="shared" si="95"/>
        <v>2187.1666666666665</v>
      </c>
      <c r="AH146">
        <f t="shared" si="96"/>
        <v>-8.3333333333333329E-2</v>
      </c>
      <c r="AJ146">
        <f t="shared" si="97"/>
        <v>0</v>
      </c>
      <c r="AL146">
        <f t="shared" si="98"/>
        <v>0</v>
      </c>
      <c r="AN146">
        <f t="shared" si="99"/>
        <v>0</v>
      </c>
      <c r="AP146">
        <f t="shared" si="100"/>
        <v>0</v>
      </c>
      <c r="AR146">
        <f t="shared" si="101"/>
        <v>0</v>
      </c>
    </row>
    <row r="147" spans="2:44">
      <c r="C147" t="s">
        <v>574</v>
      </c>
      <c r="D147">
        <v>121057</v>
      </c>
      <c r="E147">
        <v>2015</v>
      </c>
      <c r="F147">
        <v>3</v>
      </c>
      <c r="G147">
        <v>0</v>
      </c>
      <c r="I147" t="s">
        <v>78</v>
      </c>
      <c r="J147">
        <v>3</v>
      </c>
      <c r="K147">
        <f t="shared" si="102"/>
        <v>2018</v>
      </c>
      <c r="N147">
        <v>1088.46</v>
      </c>
      <c r="P147">
        <f t="shared" si="103"/>
        <v>1088.46</v>
      </c>
      <c r="Q147">
        <f t="shared" si="104"/>
        <v>30.234999999999999</v>
      </c>
      <c r="R147">
        <f t="shared" si="105"/>
        <v>0</v>
      </c>
      <c r="S147">
        <f t="shared" si="106"/>
        <v>0</v>
      </c>
      <c r="T147">
        <f t="shared" si="107"/>
        <v>0</v>
      </c>
      <c r="U147">
        <v>1</v>
      </c>
      <c r="V147">
        <f t="shared" si="108"/>
        <v>0</v>
      </c>
      <c r="X147">
        <f t="shared" si="109"/>
        <v>1088.46</v>
      </c>
      <c r="Y147">
        <f t="shared" si="110"/>
        <v>1088.46</v>
      </c>
      <c r="Z147">
        <v>1</v>
      </c>
      <c r="AA147">
        <f t="shared" si="111"/>
        <v>1088.46</v>
      </c>
      <c r="AB147">
        <f t="shared" si="112"/>
        <v>1088.46</v>
      </c>
      <c r="AC147">
        <f t="shared" si="113"/>
        <v>0</v>
      </c>
      <c r="AD147">
        <f t="shared" si="92"/>
        <v>2015.1666666666667</v>
      </c>
      <c r="AE147">
        <f t="shared" si="93"/>
        <v>2020</v>
      </c>
      <c r="AF147">
        <f t="shared" si="94"/>
        <v>2018.1666666666667</v>
      </c>
      <c r="AG147">
        <f t="shared" si="95"/>
        <v>2187.1666666666665</v>
      </c>
      <c r="AH147">
        <f t="shared" si="96"/>
        <v>-8.3333333333333329E-2</v>
      </c>
      <c r="AJ147">
        <f t="shared" si="97"/>
        <v>0</v>
      </c>
      <c r="AL147">
        <f t="shared" si="98"/>
        <v>0</v>
      </c>
      <c r="AN147">
        <f t="shared" si="99"/>
        <v>0</v>
      </c>
      <c r="AP147">
        <f t="shared" si="100"/>
        <v>0</v>
      </c>
      <c r="AR147">
        <f t="shared" si="101"/>
        <v>0</v>
      </c>
    </row>
    <row r="148" spans="2:44">
      <c r="C148" t="s">
        <v>575</v>
      </c>
      <c r="D148">
        <v>121056</v>
      </c>
      <c r="E148">
        <v>2015</v>
      </c>
      <c r="F148">
        <v>3</v>
      </c>
      <c r="G148">
        <v>0</v>
      </c>
      <c r="I148" t="s">
        <v>78</v>
      </c>
      <c r="J148">
        <v>3</v>
      </c>
      <c r="K148">
        <f t="shared" si="102"/>
        <v>2018</v>
      </c>
      <c r="N148">
        <v>2903.73</v>
      </c>
      <c r="P148">
        <f t="shared" si="103"/>
        <v>2903.73</v>
      </c>
      <c r="Q148">
        <f t="shared" si="104"/>
        <v>80.659166666666664</v>
      </c>
      <c r="R148">
        <f t="shared" si="105"/>
        <v>0</v>
      </c>
      <c r="S148">
        <f t="shared" si="106"/>
        <v>0</v>
      </c>
      <c r="T148">
        <f t="shared" si="107"/>
        <v>0</v>
      </c>
      <c r="U148">
        <v>1</v>
      </c>
      <c r="V148">
        <f t="shared" si="108"/>
        <v>0</v>
      </c>
      <c r="X148">
        <f t="shared" si="109"/>
        <v>2903.73</v>
      </c>
      <c r="Y148">
        <f t="shared" si="110"/>
        <v>2903.73</v>
      </c>
      <c r="Z148">
        <v>1</v>
      </c>
      <c r="AA148">
        <f t="shared" si="111"/>
        <v>2903.73</v>
      </c>
      <c r="AB148">
        <f t="shared" si="112"/>
        <v>2903.73</v>
      </c>
      <c r="AC148">
        <f t="shared" si="113"/>
        <v>0</v>
      </c>
      <c r="AD148">
        <f t="shared" si="92"/>
        <v>2015.1666666666667</v>
      </c>
      <c r="AE148">
        <f t="shared" si="93"/>
        <v>2020</v>
      </c>
      <c r="AF148">
        <f t="shared" si="94"/>
        <v>2018.1666666666667</v>
      </c>
      <c r="AG148">
        <f t="shared" si="95"/>
        <v>2187.1666666666665</v>
      </c>
      <c r="AH148">
        <f t="shared" si="96"/>
        <v>-8.3333333333333329E-2</v>
      </c>
      <c r="AJ148">
        <f t="shared" si="97"/>
        <v>0</v>
      </c>
      <c r="AL148">
        <f t="shared" si="98"/>
        <v>0</v>
      </c>
      <c r="AN148">
        <f t="shared" si="99"/>
        <v>0</v>
      </c>
      <c r="AP148">
        <f t="shared" si="100"/>
        <v>0</v>
      </c>
      <c r="AR148">
        <f t="shared" si="101"/>
        <v>0</v>
      </c>
    </row>
    <row r="149" spans="2:44">
      <c r="B149">
        <v>17</v>
      </c>
      <c r="C149" t="s">
        <v>576</v>
      </c>
      <c r="D149">
        <v>121055</v>
      </c>
      <c r="E149">
        <v>2015</v>
      </c>
      <c r="F149">
        <v>3</v>
      </c>
      <c r="G149">
        <v>0</v>
      </c>
      <c r="I149" t="s">
        <v>78</v>
      </c>
      <c r="J149">
        <v>5</v>
      </c>
      <c r="K149">
        <f t="shared" si="102"/>
        <v>2020</v>
      </c>
      <c r="N149">
        <v>6120.34</v>
      </c>
      <c r="P149">
        <f t="shared" si="103"/>
        <v>6120.34</v>
      </c>
      <c r="Q149">
        <f t="shared" si="104"/>
        <v>102.00566666666667</v>
      </c>
      <c r="R149">
        <f t="shared" si="105"/>
        <v>0</v>
      </c>
      <c r="S149">
        <f t="shared" si="106"/>
        <v>0</v>
      </c>
      <c r="T149">
        <f t="shared" si="107"/>
        <v>0</v>
      </c>
      <c r="U149">
        <v>1</v>
      </c>
      <c r="V149">
        <f t="shared" si="108"/>
        <v>0</v>
      </c>
      <c r="X149">
        <f t="shared" si="109"/>
        <v>6120.34</v>
      </c>
      <c r="Y149">
        <f t="shared" si="110"/>
        <v>6120.34</v>
      </c>
      <c r="Z149">
        <v>1</v>
      </c>
      <c r="AA149">
        <f t="shared" si="111"/>
        <v>6120.34</v>
      </c>
      <c r="AB149">
        <f t="shared" si="112"/>
        <v>6120.34</v>
      </c>
      <c r="AC149">
        <f t="shared" si="113"/>
        <v>0</v>
      </c>
      <c r="AD149">
        <f t="shared" si="92"/>
        <v>2015.1666666666667</v>
      </c>
      <c r="AE149">
        <f t="shared" si="93"/>
        <v>2020</v>
      </c>
      <c r="AF149">
        <f t="shared" si="94"/>
        <v>2020.1666666666667</v>
      </c>
      <c r="AG149">
        <f t="shared" si="95"/>
        <v>2187.1666666666665</v>
      </c>
      <c r="AH149">
        <f t="shared" si="96"/>
        <v>-8.3333333333333329E-2</v>
      </c>
      <c r="AJ149">
        <f t="shared" si="97"/>
        <v>0</v>
      </c>
      <c r="AL149">
        <f t="shared" si="98"/>
        <v>0</v>
      </c>
      <c r="AN149">
        <f t="shared" si="99"/>
        <v>0</v>
      </c>
      <c r="AP149">
        <f t="shared" si="100"/>
        <v>0</v>
      </c>
      <c r="AR149">
        <f t="shared" si="101"/>
        <v>0</v>
      </c>
    </row>
    <row r="150" spans="2:44">
      <c r="C150" t="s">
        <v>577</v>
      </c>
      <c r="D150">
        <v>120388</v>
      </c>
      <c r="E150">
        <v>2015</v>
      </c>
      <c r="F150">
        <v>2</v>
      </c>
      <c r="G150">
        <v>0</v>
      </c>
      <c r="I150" t="s">
        <v>78</v>
      </c>
      <c r="J150">
        <v>3</v>
      </c>
      <c r="K150">
        <f t="shared" si="102"/>
        <v>2018</v>
      </c>
      <c r="N150">
        <v>1090.0999999999999</v>
      </c>
      <c r="P150">
        <f t="shared" si="103"/>
        <v>1090.0999999999999</v>
      </c>
      <c r="Q150">
        <f t="shared" si="104"/>
        <v>30.280555555555551</v>
      </c>
      <c r="R150">
        <f t="shared" si="105"/>
        <v>0</v>
      </c>
      <c r="S150">
        <f t="shared" si="106"/>
        <v>0</v>
      </c>
      <c r="T150">
        <f t="shared" si="107"/>
        <v>0</v>
      </c>
      <c r="U150">
        <v>1</v>
      </c>
      <c r="V150">
        <f t="shared" si="108"/>
        <v>0</v>
      </c>
      <c r="X150">
        <f t="shared" si="109"/>
        <v>1090.0999999999999</v>
      </c>
      <c r="Y150">
        <f t="shared" si="110"/>
        <v>1090.0999999999999</v>
      </c>
      <c r="Z150">
        <v>1</v>
      </c>
      <c r="AA150">
        <f t="shared" si="111"/>
        <v>1090.0999999999999</v>
      </c>
      <c r="AB150">
        <f t="shared" si="112"/>
        <v>1090.0999999999999</v>
      </c>
      <c r="AC150">
        <f t="shared" si="113"/>
        <v>0</v>
      </c>
      <c r="AD150">
        <f t="shared" si="92"/>
        <v>2015.0833333333333</v>
      </c>
      <c r="AE150">
        <f t="shared" si="93"/>
        <v>2020</v>
      </c>
      <c r="AF150">
        <f t="shared" si="94"/>
        <v>2018.0833333333333</v>
      </c>
      <c r="AG150">
        <f t="shared" si="95"/>
        <v>2187.1666666666665</v>
      </c>
      <c r="AH150">
        <f t="shared" si="96"/>
        <v>-8.3333333333333329E-2</v>
      </c>
      <c r="AJ150">
        <f t="shared" si="97"/>
        <v>0</v>
      </c>
      <c r="AL150">
        <f t="shared" si="98"/>
        <v>0</v>
      </c>
      <c r="AN150">
        <f t="shared" si="99"/>
        <v>0</v>
      </c>
      <c r="AP150">
        <f t="shared" si="100"/>
        <v>0</v>
      </c>
      <c r="AR150">
        <f t="shared" si="101"/>
        <v>0</v>
      </c>
    </row>
    <row r="151" spans="2:44">
      <c r="C151" t="s">
        <v>586</v>
      </c>
      <c r="D151">
        <v>128910</v>
      </c>
      <c r="E151">
        <v>2015</v>
      </c>
      <c r="F151">
        <v>12</v>
      </c>
      <c r="G151">
        <v>0</v>
      </c>
      <c r="I151" t="s">
        <v>78</v>
      </c>
      <c r="J151">
        <v>3</v>
      </c>
      <c r="K151">
        <f t="shared" si="102"/>
        <v>2018</v>
      </c>
      <c r="N151">
        <v>1087.92</v>
      </c>
      <c r="P151">
        <f t="shared" si="103"/>
        <v>1087.92</v>
      </c>
      <c r="Q151">
        <f t="shared" si="104"/>
        <v>30.220000000000002</v>
      </c>
      <c r="R151">
        <f>IF(O151&gt;0,0,IF(OR(AD151&gt;AE151,AF151&lt;AG151),0,IF(AND(AF151&gt;=AG151,AF151&lt;=AE151),Q151*((AF151-AG151)*12),IF(AND(AG151&lt;=AD151,AE151&gt;=AD151),((AE151-AD151)*12)*Q151,IF(AF151&gt;AE151,12*Q151,0)))))</f>
        <v>0</v>
      </c>
      <c r="S151">
        <f>IF(O151=0,0,IF(AND(AH151&gt;=AG151,AH151&lt;=AF151),((AH151-AG151)*12)*Q151,0))</f>
        <v>0</v>
      </c>
      <c r="T151">
        <f>IF(S151&gt;0,S151,R151)</f>
        <v>0</v>
      </c>
      <c r="U151">
        <v>1</v>
      </c>
      <c r="V151">
        <f>U151*SUM(R151:S151)</f>
        <v>0</v>
      </c>
      <c r="X151">
        <f>IF(AD151&gt;AE151,0,IF(AF151&lt;AG151,P151,IF(AND(AF151&gt;=AG151,AF151&lt;=AE151),(P151-T151),IF(AND(AG151&lt;=AD151,AE151&gt;=AD151),0,IF(AF151&gt;AE151,((AG151-AD151)*12)*Q151,0)))))</f>
        <v>1087.92</v>
      </c>
      <c r="Y151">
        <f>X151*U151</f>
        <v>1087.92</v>
      </c>
      <c r="Z151">
        <v>1</v>
      </c>
      <c r="AA151">
        <f>Y151*Z151</f>
        <v>1087.92</v>
      </c>
      <c r="AB151">
        <f>IF(O151&gt;0,0,AA151+V151*Z151)*Z151</f>
        <v>1087.92</v>
      </c>
      <c r="AC151">
        <f>IF(O151&gt;0,(N151-AA151)/2,IF(AD151&gt;=AG151,(((N151*U151)*Z151)-AB151)/2,((((N151*U151)*Z151)-AA151)+(((N151*U151)*Z151)-AB151))/2))</f>
        <v>0</v>
      </c>
      <c r="AD151">
        <f t="shared" si="92"/>
        <v>2015.9166666666667</v>
      </c>
      <c r="AE151">
        <f t="shared" si="93"/>
        <v>2020</v>
      </c>
      <c r="AF151">
        <f t="shared" si="94"/>
        <v>2018.9166666666667</v>
      </c>
      <c r="AG151">
        <f t="shared" si="95"/>
        <v>2187.1666666666665</v>
      </c>
      <c r="AH151">
        <f t="shared" si="96"/>
        <v>-8.3333333333333329E-2</v>
      </c>
      <c r="AJ151">
        <f t="shared" si="97"/>
        <v>0</v>
      </c>
      <c r="AL151">
        <f t="shared" si="98"/>
        <v>0</v>
      </c>
      <c r="AN151">
        <f t="shared" si="99"/>
        <v>0</v>
      </c>
      <c r="AP151">
        <f t="shared" si="100"/>
        <v>0</v>
      </c>
      <c r="AR151">
        <f t="shared" si="101"/>
        <v>0</v>
      </c>
    </row>
    <row r="152" spans="2:44">
      <c r="C152" t="s">
        <v>595</v>
      </c>
      <c r="D152">
        <v>133138</v>
      </c>
      <c r="E152">
        <v>2016</v>
      </c>
      <c r="F152">
        <v>2</v>
      </c>
      <c r="G152">
        <v>0</v>
      </c>
      <c r="I152" t="s">
        <v>78</v>
      </c>
      <c r="J152">
        <v>3</v>
      </c>
      <c r="K152">
        <f t="shared" si="102"/>
        <v>2019</v>
      </c>
      <c r="N152">
        <v>1045.18</v>
      </c>
      <c r="P152">
        <f t="shared" si="103"/>
        <v>1045.18</v>
      </c>
      <c r="Q152">
        <f t="shared" si="104"/>
        <v>29.032777777777781</v>
      </c>
      <c r="R152">
        <f>IF(O152&gt;0,0,IF(OR(AD152&gt;AE152,AF152&lt;AG152),0,IF(AND(AF152&gt;=AG152,AF152&lt;=AE152),Q152*((AF152-AG152)*12),IF(AND(AG152&lt;=AD152,AE152&gt;=AD152),((AE152-AD152)*12)*Q152,IF(AF152&gt;AE152,12*Q152,0)))))</f>
        <v>0</v>
      </c>
      <c r="S152">
        <f>IF(O152=0,0,IF(AND(AH152&gt;=AG152,AH152&lt;=AF152),((AH152-AG152)*12)*Q152,0))</f>
        <v>0</v>
      </c>
      <c r="T152">
        <f>IF(S152&gt;0,S152,R152)</f>
        <v>0</v>
      </c>
      <c r="U152">
        <v>1</v>
      </c>
      <c r="V152">
        <f>U152*SUM(R152:S152)</f>
        <v>0</v>
      </c>
      <c r="X152">
        <f>IF(AD152&gt;AE152,0,IF(AF152&lt;AG152,P152,IF(AND(AF152&gt;=AG152,AF152&lt;=AE152),(P152-T152),IF(AND(AG152&lt;=AD152,AE152&gt;=AD152),0,IF(AF152&gt;AE152,((AG152-AD152)*12)*Q152,0)))))</f>
        <v>1045.18</v>
      </c>
      <c r="Y152">
        <f>X152*U152</f>
        <v>1045.18</v>
      </c>
      <c r="Z152">
        <v>1</v>
      </c>
      <c r="AA152">
        <f>Y152*Z152</f>
        <v>1045.18</v>
      </c>
      <c r="AB152">
        <f>IF(O152&gt;0,0,AA152+V152*Z152)*Z152</f>
        <v>1045.18</v>
      </c>
      <c r="AC152">
        <f>IF(O152&gt;0,(N152-AA152)/2,IF(AD152&gt;=AG152,(((N152*U152)*Z152)-AB152)/2,((((N152*U152)*Z152)-AA152)+(((N152*U152)*Z152)-AB152))/2))</f>
        <v>0</v>
      </c>
      <c r="AD152">
        <f t="shared" si="92"/>
        <v>2016.0833333333333</v>
      </c>
      <c r="AE152">
        <f t="shared" si="93"/>
        <v>2020</v>
      </c>
      <c r="AF152">
        <f t="shared" si="94"/>
        <v>2019.0833333333333</v>
      </c>
      <c r="AG152">
        <f t="shared" si="95"/>
        <v>2187.1666666666665</v>
      </c>
      <c r="AH152">
        <f t="shared" si="96"/>
        <v>-8.3333333333333329E-2</v>
      </c>
      <c r="AJ152">
        <f t="shared" si="97"/>
        <v>0</v>
      </c>
      <c r="AL152">
        <f t="shared" si="98"/>
        <v>0</v>
      </c>
      <c r="AN152">
        <f t="shared" si="99"/>
        <v>0</v>
      </c>
      <c r="AP152">
        <f t="shared" si="100"/>
        <v>0</v>
      </c>
      <c r="AR152">
        <f t="shared" si="101"/>
        <v>0</v>
      </c>
    </row>
    <row r="153" spans="2:44">
      <c r="B153">
        <v>1</v>
      </c>
      <c r="C153" t="s">
        <v>647</v>
      </c>
      <c r="D153">
        <v>191901</v>
      </c>
      <c r="E153">
        <v>2018</v>
      </c>
      <c r="F153">
        <v>1</v>
      </c>
      <c r="G153">
        <v>0</v>
      </c>
      <c r="I153" t="s">
        <v>78</v>
      </c>
      <c r="J153">
        <v>3</v>
      </c>
      <c r="K153">
        <f t="shared" si="102"/>
        <v>2021</v>
      </c>
      <c r="N153">
        <v>1306.96</v>
      </c>
      <c r="P153">
        <f t="shared" si="103"/>
        <v>1306.96</v>
      </c>
      <c r="Q153">
        <f t="shared" si="104"/>
        <v>36.304444444444449</v>
      </c>
      <c r="R153">
        <f>IF(O153&gt;0,0,IF(OR(AD153&gt;AE153,AF153&lt;AG153),0,IF(AND(AF153&gt;=AG153,AF153&lt;=AE153),Q153*((AF153-AG153)*12),IF(AND(AG153&lt;=AD153,AE153&gt;=AD153),((AE153-AD153)*12)*Q153,IF(AF153&gt;AE153,12*Q153,0)))))</f>
        <v>0</v>
      </c>
      <c r="S153">
        <f>IF(O153=0,0,IF(AND(AH153&gt;=AG153,AH153&lt;=AF153),((AH153-AG153)*12)*Q153,0))</f>
        <v>0</v>
      </c>
      <c r="T153">
        <f>IF(S153&gt;0,S153,R153)</f>
        <v>0</v>
      </c>
      <c r="U153">
        <v>1</v>
      </c>
      <c r="V153">
        <f>U153*SUM(R153:S153)</f>
        <v>0</v>
      </c>
      <c r="X153">
        <f>IF(AD153&gt;AE153,0,IF(AF153&lt;AG153,P153,IF(AND(AF153&gt;=AG153,AF153&lt;=AE153),(P153-T153),IF(AND(AG153&lt;=AD153,AE153&gt;=AD153),0,IF(AF153&gt;AE153,((AG153-AD153)*12)*Q153,0)))))</f>
        <v>1306.96</v>
      </c>
      <c r="Y153">
        <f>X153*U153</f>
        <v>1306.96</v>
      </c>
      <c r="Z153">
        <v>1</v>
      </c>
      <c r="AA153">
        <f>Y153*Z153</f>
        <v>1306.96</v>
      </c>
      <c r="AB153">
        <f>IF(O153&gt;0,0,AA153+V153*Z153)*Z153</f>
        <v>1306.96</v>
      </c>
      <c r="AC153">
        <f>IF(O153&gt;0,(N153-AA153)/2,IF(AD153&gt;=AG153,(((N153*U153)*Z153)-AB153)/2,((((N153*U153)*Z153)-AA153)+(((N153*U153)*Z153)-AB153))/2))</f>
        <v>0</v>
      </c>
      <c r="AD153">
        <f t="shared" si="92"/>
        <v>2018</v>
      </c>
      <c r="AE153">
        <f t="shared" si="93"/>
        <v>2020</v>
      </c>
      <c r="AF153">
        <f t="shared" si="94"/>
        <v>2021</v>
      </c>
      <c r="AG153">
        <f t="shared" si="95"/>
        <v>2187.1666666666665</v>
      </c>
      <c r="AH153">
        <f t="shared" si="96"/>
        <v>-8.3333333333333329E-2</v>
      </c>
    </row>
    <row r="155" spans="2:44">
      <c r="C155" t="s">
        <v>410</v>
      </c>
      <c r="N155">
        <f>SUM(N124:N154)</f>
        <v>396071.92</v>
      </c>
      <c r="P155">
        <f>SUM(P124:P154)</f>
        <v>396071.92</v>
      </c>
      <c r="Q155">
        <f>SUM(Q124:Q154)</f>
        <v>5643.8658888888876</v>
      </c>
      <c r="R155">
        <f>SUM(R124:R154)</f>
        <v>0</v>
      </c>
      <c r="T155">
        <f>SUM(T124:T154)</f>
        <v>0</v>
      </c>
      <c r="V155">
        <f>SUM(V124:V154)</f>
        <v>0</v>
      </c>
      <c r="X155">
        <f>SUM(X124:X154)</f>
        <v>396071.92</v>
      </c>
      <c r="Y155">
        <f>SUM(Y124:Y154)</f>
        <v>396071.92</v>
      </c>
      <c r="AA155">
        <f>SUM(AA124:AA154)</f>
        <v>396071.92</v>
      </c>
      <c r="AB155">
        <f>SUM(AB124:AB154)</f>
        <v>396071.92</v>
      </c>
      <c r="AC155">
        <f>SUM(AC124:AC154)</f>
        <v>0</v>
      </c>
      <c r="AJ155">
        <f t="shared" ref="AJ155:AR155" si="114">SUM(AJ124:AJ154)</f>
        <v>0</v>
      </c>
      <c r="AK155">
        <f t="shared" si="114"/>
        <v>0</v>
      </c>
      <c r="AL155">
        <f t="shared" si="114"/>
        <v>0</v>
      </c>
      <c r="AM155">
        <f t="shared" si="114"/>
        <v>0</v>
      </c>
      <c r="AN155">
        <f t="shared" si="114"/>
        <v>0</v>
      </c>
      <c r="AO155">
        <f t="shared" si="114"/>
        <v>0</v>
      </c>
      <c r="AP155">
        <f t="shared" si="114"/>
        <v>0</v>
      </c>
      <c r="AQ155">
        <f t="shared" si="114"/>
        <v>0</v>
      </c>
      <c r="AR155">
        <f t="shared" si="114"/>
        <v>0</v>
      </c>
    </row>
    <row r="156" spans="2:44">
      <c r="C156" t="s">
        <v>316</v>
      </c>
    </row>
    <row r="158" spans="2:44">
      <c r="C158" t="s">
        <v>83</v>
      </c>
      <c r="N158">
        <f>SUM(N155,N119,N107,N48,N22)</f>
        <v>7135395.6600000001</v>
      </c>
      <c r="P158">
        <f>SUM(P155,P119,P107,P48,P22)</f>
        <v>7057084.1065999996</v>
      </c>
      <c r="Q158">
        <f>SUM(Q155,Q119,Q107,Q48,Q22)</f>
        <v>45849.037245120853</v>
      </c>
      <c r="R158">
        <f>SUM(R155,R119,R107,R48,R22)</f>
        <v>39068.049139999057</v>
      </c>
      <c r="V158">
        <f>SUM(V155,V119,V107,V48,V22)</f>
        <v>39068.049139999057</v>
      </c>
      <c r="X158">
        <f>SUM(X155,X119,X107,X48,X22)</f>
        <v>7008754.0424600001</v>
      </c>
      <c r="Y158">
        <f>SUM(Y155,Y119,Y107,Y48,Y22)</f>
        <v>7008754.0424600001</v>
      </c>
      <c r="AA158">
        <f>SUM(AA155,AA119,AA107,AA48,AA22)</f>
        <v>7008754.0424600001</v>
      </c>
      <c r="AB158">
        <f>SUM(AB155,AB119,AB107,AB48,AB22)</f>
        <v>7047822.091599999</v>
      </c>
      <c r="AC158">
        <f>SUM(AC155,AC119,AC107,AC48,AC22)</f>
        <v>85245.697970000241</v>
      </c>
      <c r="AJ158">
        <f t="shared" ref="AJ158:AR158" si="115">SUM(AJ155,AJ119,AJ107,AJ48,AJ22)</f>
        <v>25579.720728348912</v>
      </c>
      <c r="AK158">
        <f t="shared" si="115"/>
        <v>0</v>
      </c>
      <c r="AL158">
        <f t="shared" si="115"/>
        <v>64647.769868347976</v>
      </c>
      <c r="AM158">
        <f t="shared" si="115"/>
        <v>0</v>
      </c>
      <c r="AN158">
        <f t="shared" si="115"/>
        <v>-68579.233700000012</v>
      </c>
      <c r="AO158">
        <f t="shared" si="115"/>
        <v>0</v>
      </c>
      <c r="AP158">
        <f t="shared" si="115"/>
        <v>12650.185355825484</v>
      </c>
      <c r="AQ158">
        <f t="shared" si="115"/>
        <v>0</v>
      </c>
      <c r="AR158">
        <f t="shared" si="115"/>
        <v>15306.476189159121</v>
      </c>
    </row>
    <row r="175" spans="2:34">
      <c r="C175" t="s">
        <v>431</v>
      </c>
    </row>
    <row r="176" spans="2:34">
      <c r="B176">
        <v>6001</v>
      </c>
      <c r="C176" t="s">
        <v>346</v>
      </c>
      <c r="E176">
        <v>1995</v>
      </c>
      <c r="F176">
        <v>9</v>
      </c>
      <c r="G176">
        <v>0.2</v>
      </c>
      <c r="I176" t="s">
        <v>78</v>
      </c>
      <c r="J176">
        <v>7</v>
      </c>
      <c r="K176">
        <f>E176+J176</f>
        <v>2002</v>
      </c>
      <c r="L176">
        <v>2011</v>
      </c>
      <c r="M176">
        <v>5</v>
      </c>
      <c r="N176">
        <v>4700</v>
      </c>
      <c r="O176">
        <v>0</v>
      </c>
      <c r="P176">
        <f>N176-N176*G176</f>
        <v>3760</v>
      </c>
      <c r="Q176">
        <f>P176/J176/12</f>
        <v>44.761904761904759</v>
      </c>
      <c r="R176">
        <f>IF(O176&gt;0,0,IF(OR(AD176&gt;AE176,AF176&lt;AG176),0,IF(AND(AF176&gt;=AG176,AF176&lt;=AE176),Q176*((AF176-AG176)*12),IF(AND(AG176&lt;=AD176,AE176&gt;=AD176),((AE176-AD176)*12)*Q176,IF(AF176&gt;AE176,12*Q176,0)))))</f>
        <v>0</v>
      </c>
      <c r="S176">
        <f>IF(O176=0,0,IF(AND(AH176&gt;=AG176,AH176&lt;=AF176),((AH176-AG176)*12)*Q176,0))</f>
        <v>0</v>
      </c>
      <c r="T176">
        <f>IF(S176&gt;0,S176,R176)</f>
        <v>0</v>
      </c>
      <c r="U176">
        <v>1</v>
      </c>
      <c r="V176">
        <f>U176*SUM(R176:S176)</f>
        <v>0</v>
      </c>
      <c r="X176">
        <f>IF(AD176&gt;AE176,0,IF(AF176&lt;AG176,P176,IF(AND(AF176&gt;=AG176,AF176&lt;=AE176),(P176-T176),IF(AND(AG176&lt;=AD176,AE176&gt;=AD176),0,IF(AF176&gt;AE176,((AG176-AD176)*12)*Q176,0)))))</f>
        <v>3760</v>
      </c>
      <c r="Y176">
        <f>X176*U176</f>
        <v>3760</v>
      </c>
      <c r="Z176">
        <v>1</v>
      </c>
      <c r="AA176">
        <f>Y176*Z176</f>
        <v>3760</v>
      </c>
      <c r="AB176">
        <f>IF(O176&gt;0,0,AA176+V176*Z176)*Z176</f>
        <v>3760</v>
      </c>
      <c r="AC176">
        <f>IF(O176&gt;0,(N176-AA176)/2,IF(AD176&gt;=AG176,(((N176*U176)*Z176)-AB176)/2,((((N176*U176)*Z176)-AA176)+(((N176*U176)*Z176)-AB176))/2))</f>
        <v>940</v>
      </c>
      <c r="AD176">
        <f>$E176+(($F176-1)/12)</f>
        <v>1995.6666666666667</v>
      </c>
      <c r="AE176">
        <f>($P$5+1)-($P$2/12)</f>
        <v>2020</v>
      </c>
      <c r="AF176">
        <f>$K176+(($F176-1)/12)</f>
        <v>2002.6666666666667</v>
      </c>
      <c r="AG176">
        <f>$P$4+($P$3/12)</f>
        <v>2187.1666666666665</v>
      </c>
      <c r="AH176">
        <f>$L176+(($M176-1)/12)</f>
        <v>2011.3333333333333</v>
      </c>
    </row>
    <row r="178" spans="3:34">
      <c r="C178" t="s">
        <v>432</v>
      </c>
    </row>
    <row r="179" spans="3:34">
      <c r="C179" t="s">
        <v>114</v>
      </c>
      <c r="E179">
        <v>1993</v>
      </c>
      <c r="F179">
        <v>7</v>
      </c>
      <c r="G179">
        <v>0</v>
      </c>
      <c r="I179" t="s">
        <v>78</v>
      </c>
      <c r="J179">
        <v>5</v>
      </c>
      <c r="K179">
        <f t="shared" ref="K179:K210" si="116">E179+J179</f>
        <v>1998</v>
      </c>
      <c r="N179">
        <v>324</v>
      </c>
      <c r="O179">
        <v>0</v>
      </c>
      <c r="P179">
        <f t="shared" ref="P179:P210" si="117">N179-N179*G179</f>
        <v>324</v>
      </c>
      <c r="Q179">
        <f t="shared" ref="Q179:Q210" si="118">P179/J179/12</f>
        <v>5.3999999999999995</v>
      </c>
      <c r="R179">
        <f t="shared" ref="R179:R210" si="119">IF(O179&gt;0,0,IF(OR(AD179&gt;AE179,AF179&lt;AG179),0,IF(AND(AF179&gt;=AG179,AF179&lt;=AE179),Q179*((AF179-AG179)*12),IF(AND(AG179&lt;=AD179,AE179&gt;=AD179),((AE179-AD179)*12)*Q179,IF(AF179&gt;AE179,12*Q179,0)))))</f>
        <v>0</v>
      </c>
      <c r="S179">
        <f t="shared" ref="S179:S210" si="120">IF(O179=0,0,IF(AND(AH179&gt;=AG179,AH179&lt;=AF179),((AH179-AG179)*12)*Q179,0))</f>
        <v>0</v>
      </c>
      <c r="T179">
        <f t="shared" ref="T179:T210" si="121">IF(S179&gt;0,S179,R179)</f>
        <v>0</v>
      </c>
      <c r="U179">
        <v>1</v>
      </c>
      <c r="V179">
        <f t="shared" ref="V179:V210" si="122">U179*SUM(R179:S179)</f>
        <v>0</v>
      </c>
      <c r="X179">
        <f t="shared" ref="X179:X210" si="123">IF(AD179&gt;AE179,0,IF(AF179&lt;AG179,P179,IF(AND(AF179&gt;=AG179,AF179&lt;=AE179),(P179-T179),IF(AND(AG179&lt;=AD179,AE179&gt;=AD179),0,IF(AF179&gt;AE179,((AG179-AD179)*12)*Q179,0)))))</f>
        <v>324</v>
      </c>
      <c r="Y179">
        <f t="shared" ref="Y179:Y210" si="124">X179*U179</f>
        <v>324</v>
      </c>
      <c r="Z179">
        <v>1</v>
      </c>
      <c r="AA179">
        <f t="shared" ref="AA179:AA210" si="125">Y179*Z179</f>
        <v>324</v>
      </c>
      <c r="AB179">
        <f t="shared" ref="AB179:AB210" si="126">IF(O179&gt;0,0,AA179+V179*Z179)*Z179</f>
        <v>324</v>
      </c>
      <c r="AC179">
        <f t="shared" ref="AC179:AC210" si="127">IF(O179&gt;0,(N179-AA179)/2,IF(AD179&gt;=AG179,(((N179*U179)*Z179)-AB179)/2,((((N179*U179)*Z179)-AA179)+(((N179*U179)*Z179)-AB179))/2))</f>
        <v>0</v>
      </c>
      <c r="AD179">
        <f t="shared" ref="AD179:AD210" si="128">$E179+(($F179-1)/12)</f>
        <v>1993.5</v>
      </c>
      <c r="AE179">
        <f>($P$5+1)-($P$2/12)</f>
        <v>2020</v>
      </c>
      <c r="AF179">
        <f t="shared" ref="AF179:AF210" si="129">$K179+(($F179-1)/12)</f>
        <v>1998.5</v>
      </c>
      <c r="AG179">
        <f>$P$4+($P$3/12)</f>
        <v>2187.1666666666665</v>
      </c>
      <c r="AH179">
        <f t="shared" ref="AH179:AH210" si="130">$L179+(($M179-1)/12)</f>
        <v>-8.3333333333333329E-2</v>
      </c>
    </row>
    <row r="180" spans="3:34">
      <c r="C180" t="s">
        <v>120</v>
      </c>
      <c r="E180">
        <v>2000</v>
      </c>
      <c r="F180">
        <v>9</v>
      </c>
      <c r="G180">
        <v>0</v>
      </c>
      <c r="I180" t="s">
        <v>78</v>
      </c>
      <c r="J180">
        <v>5</v>
      </c>
      <c r="K180">
        <f t="shared" si="116"/>
        <v>2005</v>
      </c>
      <c r="N180">
        <v>1404</v>
      </c>
      <c r="O180">
        <v>0</v>
      </c>
      <c r="P180">
        <f t="shared" si="117"/>
        <v>1404</v>
      </c>
      <c r="Q180">
        <f t="shared" si="118"/>
        <v>23.400000000000002</v>
      </c>
      <c r="R180">
        <f t="shared" si="119"/>
        <v>0</v>
      </c>
      <c r="S180">
        <f t="shared" si="120"/>
        <v>0</v>
      </c>
      <c r="T180">
        <f t="shared" si="121"/>
        <v>0</v>
      </c>
      <c r="U180">
        <v>1</v>
      </c>
      <c r="V180">
        <f t="shared" si="122"/>
        <v>0</v>
      </c>
      <c r="X180">
        <f t="shared" si="123"/>
        <v>1404</v>
      </c>
      <c r="Y180">
        <f t="shared" si="124"/>
        <v>1404</v>
      </c>
      <c r="Z180">
        <v>1</v>
      </c>
      <c r="AA180">
        <f t="shared" si="125"/>
        <v>1404</v>
      </c>
      <c r="AB180">
        <f t="shared" si="126"/>
        <v>1404</v>
      </c>
      <c r="AC180">
        <f t="shared" si="127"/>
        <v>0</v>
      </c>
      <c r="AD180">
        <f t="shared" si="128"/>
        <v>2000.6666666666667</v>
      </c>
      <c r="AE180">
        <f>($P$5+1)-($P$2/12)</f>
        <v>2020</v>
      </c>
      <c r="AF180">
        <f t="shared" si="129"/>
        <v>2005.6666666666667</v>
      </c>
      <c r="AG180">
        <f>$P$4+($P$3/12)</f>
        <v>2187.1666666666665</v>
      </c>
      <c r="AH180">
        <f t="shared" si="130"/>
        <v>-8.3333333333333329E-2</v>
      </c>
    </row>
    <row r="181" spans="3:34">
      <c r="C181" t="s">
        <v>119</v>
      </c>
      <c r="E181">
        <v>2000</v>
      </c>
      <c r="F181">
        <v>3</v>
      </c>
      <c r="G181">
        <v>0</v>
      </c>
      <c r="I181" t="s">
        <v>78</v>
      </c>
      <c r="J181">
        <v>5</v>
      </c>
      <c r="K181">
        <f t="shared" si="116"/>
        <v>2005</v>
      </c>
      <c r="N181">
        <v>31909.42</v>
      </c>
      <c r="O181">
        <v>0</v>
      </c>
      <c r="P181">
        <f t="shared" si="117"/>
        <v>31909.42</v>
      </c>
      <c r="Q181">
        <f t="shared" si="118"/>
        <v>531.82366666666667</v>
      </c>
      <c r="R181">
        <f t="shared" si="119"/>
        <v>0</v>
      </c>
      <c r="S181">
        <f t="shared" si="120"/>
        <v>0</v>
      </c>
      <c r="T181">
        <f t="shared" si="121"/>
        <v>0</v>
      </c>
      <c r="U181">
        <v>1</v>
      </c>
      <c r="V181">
        <f t="shared" si="122"/>
        <v>0</v>
      </c>
      <c r="X181">
        <f t="shared" si="123"/>
        <v>31909.42</v>
      </c>
      <c r="Y181">
        <f t="shared" si="124"/>
        <v>31909.42</v>
      </c>
      <c r="Z181">
        <v>1</v>
      </c>
      <c r="AA181">
        <f t="shared" si="125"/>
        <v>31909.42</v>
      </c>
      <c r="AB181">
        <f t="shared" si="126"/>
        <v>31909.42</v>
      </c>
      <c r="AC181">
        <f t="shared" si="127"/>
        <v>0</v>
      </c>
      <c r="AD181">
        <f t="shared" si="128"/>
        <v>2000.1666666666667</v>
      </c>
      <c r="AE181">
        <f>($P$5+1)-($P$2/12)</f>
        <v>2020</v>
      </c>
      <c r="AF181">
        <f t="shared" si="129"/>
        <v>2005.1666666666667</v>
      </c>
      <c r="AG181">
        <f>$P$4+($P$3/12)</f>
        <v>2187.1666666666665</v>
      </c>
      <c r="AH181">
        <f t="shared" si="130"/>
        <v>-8.3333333333333329E-2</v>
      </c>
    </row>
    <row r="182" spans="3:34">
      <c r="C182" t="s">
        <v>214</v>
      </c>
      <c r="E182">
        <v>2001</v>
      </c>
      <c r="F182">
        <v>5</v>
      </c>
      <c r="G182">
        <v>0</v>
      </c>
      <c r="I182" t="s">
        <v>78</v>
      </c>
      <c r="J182">
        <v>5</v>
      </c>
      <c r="K182">
        <f t="shared" si="116"/>
        <v>2006</v>
      </c>
      <c r="N182">
        <v>1024.98</v>
      </c>
      <c r="O182">
        <v>0</v>
      </c>
      <c r="P182">
        <f t="shared" si="117"/>
        <v>1024.98</v>
      </c>
      <c r="Q182">
        <f t="shared" si="118"/>
        <v>17.083000000000002</v>
      </c>
      <c r="R182">
        <f t="shared" si="119"/>
        <v>0</v>
      </c>
      <c r="S182">
        <f t="shared" si="120"/>
        <v>0</v>
      </c>
      <c r="T182">
        <f t="shared" si="121"/>
        <v>0</v>
      </c>
      <c r="U182">
        <v>1</v>
      </c>
      <c r="V182">
        <f t="shared" si="122"/>
        <v>0</v>
      </c>
      <c r="X182">
        <f t="shared" si="123"/>
        <v>1024.98</v>
      </c>
      <c r="Y182">
        <f t="shared" si="124"/>
        <v>1024.98</v>
      </c>
      <c r="Z182">
        <v>1</v>
      </c>
      <c r="AA182">
        <f t="shared" si="125"/>
        <v>1024.98</v>
      </c>
      <c r="AB182">
        <f t="shared" si="126"/>
        <v>1024.98</v>
      </c>
      <c r="AC182">
        <f t="shared" si="127"/>
        <v>0</v>
      </c>
      <c r="AD182">
        <f t="shared" si="128"/>
        <v>2001.3333333333333</v>
      </c>
      <c r="AE182">
        <f>($P$5+1)-($P$2/12)</f>
        <v>2020</v>
      </c>
      <c r="AF182">
        <f t="shared" si="129"/>
        <v>2006.3333333333333</v>
      </c>
      <c r="AG182">
        <f>$P$4+($P$3/12)</f>
        <v>2187.1666666666665</v>
      </c>
      <c r="AH182">
        <f t="shared" si="130"/>
        <v>-8.3333333333333329E-2</v>
      </c>
    </row>
    <row r="183" spans="3:34">
      <c r="C183" t="s">
        <v>103</v>
      </c>
      <c r="E183">
        <v>2001</v>
      </c>
      <c r="F183">
        <v>10</v>
      </c>
      <c r="G183">
        <v>0</v>
      </c>
      <c r="I183" t="s">
        <v>78</v>
      </c>
      <c r="J183">
        <v>5</v>
      </c>
      <c r="K183">
        <f t="shared" si="116"/>
        <v>2006</v>
      </c>
      <c r="N183">
        <v>4860</v>
      </c>
      <c r="O183">
        <v>0</v>
      </c>
      <c r="P183">
        <f t="shared" si="117"/>
        <v>4860</v>
      </c>
      <c r="Q183">
        <f t="shared" si="118"/>
        <v>81</v>
      </c>
      <c r="R183">
        <f t="shared" si="119"/>
        <v>0</v>
      </c>
      <c r="S183">
        <f t="shared" si="120"/>
        <v>0</v>
      </c>
      <c r="T183">
        <f t="shared" si="121"/>
        <v>0</v>
      </c>
      <c r="U183">
        <v>1</v>
      </c>
      <c r="V183">
        <f t="shared" si="122"/>
        <v>0</v>
      </c>
      <c r="X183">
        <f t="shared" si="123"/>
        <v>4860</v>
      </c>
      <c r="Y183">
        <f t="shared" si="124"/>
        <v>4860</v>
      </c>
      <c r="Z183">
        <v>1</v>
      </c>
      <c r="AA183">
        <f t="shared" si="125"/>
        <v>4860</v>
      </c>
      <c r="AB183">
        <f t="shared" si="126"/>
        <v>4860</v>
      </c>
      <c r="AC183">
        <f t="shared" si="127"/>
        <v>0</v>
      </c>
      <c r="AD183">
        <f t="shared" si="128"/>
        <v>2001.75</v>
      </c>
      <c r="AE183">
        <f>($P$5+1)-($P$2/12)</f>
        <v>2020</v>
      </c>
      <c r="AF183">
        <f t="shared" si="129"/>
        <v>2006.75</v>
      </c>
      <c r="AG183">
        <f>$P$4+($P$3/12)</f>
        <v>2187.1666666666665</v>
      </c>
      <c r="AH183">
        <f t="shared" si="130"/>
        <v>-8.3333333333333329E-2</v>
      </c>
    </row>
    <row r="184" spans="3:34">
      <c r="C184" t="s">
        <v>367</v>
      </c>
      <c r="E184">
        <v>1995</v>
      </c>
      <c r="F184">
        <v>7</v>
      </c>
      <c r="G184">
        <v>0</v>
      </c>
      <c r="I184" t="s">
        <v>78</v>
      </c>
      <c r="J184">
        <v>5</v>
      </c>
      <c r="K184">
        <f t="shared" si="116"/>
        <v>2000</v>
      </c>
      <c r="N184">
        <v>2119</v>
      </c>
      <c r="O184">
        <v>0</v>
      </c>
      <c r="P184">
        <f t="shared" si="117"/>
        <v>2119</v>
      </c>
      <c r="Q184">
        <f t="shared" si="118"/>
        <v>35.31666666666667</v>
      </c>
      <c r="R184">
        <f t="shared" si="119"/>
        <v>0</v>
      </c>
      <c r="S184">
        <f t="shared" si="120"/>
        <v>0</v>
      </c>
      <c r="T184">
        <f t="shared" si="121"/>
        <v>0</v>
      </c>
      <c r="U184">
        <v>1</v>
      </c>
      <c r="V184">
        <f t="shared" si="122"/>
        <v>0</v>
      </c>
      <c r="X184">
        <f t="shared" si="123"/>
        <v>2119</v>
      </c>
      <c r="Y184">
        <f t="shared" si="124"/>
        <v>2119</v>
      </c>
      <c r="Z184">
        <v>1</v>
      </c>
      <c r="AA184">
        <f t="shared" si="125"/>
        <v>2119</v>
      </c>
      <c r="AB184">
        <f t="shared" si="126"/>
        <v>2119</v>
      </c>
      <c r="AC184">
        <f t="shared" si="127"/>
        <v>0</v>
      </c>
      <c r="AD184">
        <f t="shared" si="128"/>
        <v>1995.5</v>
      </c>
      <c r="AE184">
        <f t="shared" si="93"/>
        <v>2020</v>
      </c>
      <c r="AF184">
        <f t="shared" si="129"/>
        <v>2000.5</v>
      </c>
      <c r="AG184">
        <f t="shared" si="95"/>
        <v>2187.1666666666665</v>
      </c>
      <c r="AH184">
        <f t="shared" si="130"/>
        <v>-8.3333333333333329E-2</v>
      </c>
    </row>
    <row r="185" spans="3:34">
      <c r="C185" t="s">
        <v>368</v>
      </c>
      <c r="E185">
        <v>1995</v>
      </c>
      <c r="F185">
        <v>7</v>
      </c>
      <c r="G185">
        <v>0</v>
      </c>
      <c r="I185" t="s">
        <v>78</v>
      </c>
      <c r="J185">
        <v>5</v>
      </c>
      <c r="K185">
        <f t="shared" si="116"/>
        <v>2000</v>
      </c>
      <c r="N185">
        <v>4200</v>
      </c>
      <c r="O185">
        <v>0</v>
      </c>
      <c r="P185">
        <f t="shared" si="117"/>
        <v>4200</v>
      </c>
      <c r="Q185">
        <f t="shared" si="118"/>
        <v>70</v>
      </c>
      <c r="R185">
        <f t="shared" si="119"/>
        <v>0</v>
      </c>
      <c r="S185">
        <f t="shared" si="120"/>
        <v>0</v>
      </c>
      <c r="T185">
        <f t="shared" si="121"/>
        <v>0</v>
      </c>
      <c r="U185">
        <v>1</v>
      </c>
      <c r="V185">
        <f t="shared" si="122"/>
        <v>0</v>
      </c>
      <c r="X185">
        <f t="shared" si="123"/>
        <v>4200</v>
      </c>
      <c r="Y185">
        <f t="shared" si="124"/>
        <v>4200</v>
      </c>
      <c r="Z185">
        <v>1</v>
      </c>
      <c r="AA185">
        <f t="shared" si="125"/>
        <v>4200</v>
      </c>
      <c r="AB185">
        <f t="shared" si="126"/>
        <v>4200</v>
      </c>
      <c r="AC185">
        <f t="shared" si="127"/>
        <v>0</v>
      </c>
      <c r="AD185">
        <f t="shared" si="128"/>
        <v>1995.5</v>
      </c>
      <c r="AE185">
        <f t="shared" si="93"/>
        <v>2020</v>
      </c>
      <c r="AF185">
        <f t="shared" si="129"/>
        <v>2000.5</v>
      </c>
      <c r="AG185">
        <f t="shared" si="95"/>
        <v>2187.1666666666665</v>
      </c>
      <c r="AH185">
        <f t="shared" si="130"/>
        <v>-8.3333333333333329E-2</v>
      </c>
    </row>
    <row r="186" spans="3:34">
      <c r="C186" t="s">
        <v>213</v>
      </c>
      <c r="E186">
        <v>1995</v>
      </c>
      <c r="F186">
        <v>8</v>
      </c>
      <c r="G186">
        <v>0</v>
      </c>
      <c r="I186" t="s">
        <v>78</v>
      </c>
      <c r="J186">
        <v>5</v>
      </c>
      <c r="K186">
        <f t="shared" si="116"/>
        <v>2000</v>
      </c>
      <c r="N186">
        <v>14968</v>
      </c>
      <c r="O186">
        <v>0</v>
      </c>
      <c r="P186">
        <f t="shared" si="117"/>
        <v>14968</v>
      </c>
      <c r="Q186">
        <f t="shared" si="118"/>
        <v>249.46666666666667</v>
      </c>
      <c r="R186">
        <f t="shared" si="119"/>
        <v>0</v>
      </c>
      <c r="S186">
        <f t="shared" si="120"/>
        <v>0</v>
      </c>
      <c r="T186">
        <f t="shared" si="121"/>
        <v>0</v>
      </c>
      <c r="U186">
        <v>1</v>
      </c>
      <c r="V186">
        <f t="shared" si="122"/>
        <v>0</v>
      </c>
      <c r="X186">
        <f t="shared" si="123"/>
        <v>14968</v>
      </c>
      <c r="Y186">
        <f t="shared" si="124"/>
        <v>14968</v>
      </c>
      <c r="Z186">
        <v>1</v>
      </c>
      <c r="AA186">
        <f t="shared" si="125"/>
        <v>14968</v>
      </c>
      <c r="AB186">
        <f t="shared" si="126"/>
        <v>14968</v>
      </c>
      <c r="AC186">
        <f t="shared" si="127"/>
        <v>0</v>
      </c>
      <c r="AD186">
        <f t="shared" si="128"/>
        <v>1995.5833333333333</v>
      </c>
      <c r="AE186">
        <f t="shared" si="93"/>
        <v>2020</v>
      </c>
      <c r="AF186">
        <f t="shared" si="129"/>
        <v>2000.5833333333333</v>
      </c>
      <c r="AG186">
        <f t="shared" si="95"/>
        <v>2187.1666666666665</v>
      </c>
      <c r="AH186">
        <f t="shared" si="130"/>
        <v>-8.3333333333333329E-2</v>
      </c>
    </row>
    <row r="187" spans="3:34">
      <c r="C187" t="s">
        <v>366</v>
      </c>
      <c r="E187">
        <v>1995</v>
      </c>
      <c r="F187">
        <v>11</v>
      </c>
      <c r="G187">
        <v>0</v>
      </c>
      <c r="I187" t="s">
        <v>78</v>
      </c>
      <c r="J187">
        <v>5</v>
      </c>
      <c r="K187">
        <f t="shared" si="116"/>
        <v>2000</v>
      </c>
      <c r="N187">
        <v>1726</v>
      </c>
      <c r="O187">
        <v>0</v>
      </c>
      <c r="P187">
        <f t="shared" si="117"/>
        <v>1726</v>
      </c>
      <c r="Q187">
        <f t="shared" si="118"/>
        <v>28.766666666666666</v>
      </c>
      <c r="R187">
        <f t="shared" si="119"/>
        <v>0</v>
      </c>
      <c r="S187">
        <f t="shared" si="120"/>
        <v>0</v>
      </c>
      <c r="T187">
        <f t="shared" si="121"/>
        <v>0</v>
      </c>
      <c r="U187">
        <v>1</v>
      </c>
      <c r="V187">
        <f t="shared" si="122"/>
        <v>0</v>
      </c>
      <c r="X187">
        <f t="shared" si="123"/>
        <v>1726</v>
      </c>
      <c r="Y187">
        <f t="shared" si="124"/>
        <v>1726</v>
      </c>
      <c r="Z187">
        <v>1</v>
      </c>
      <c r="AA187">
        <f t="shared" si="125"/>
        <v>1726</v>
      </c>
      <c r="AB187">
        <f t="shared" si="126"/>
        <v>1726</v>
      </c>
      <c r="AC187">
        <f t="shared" si="127"/>
        <v>0</v>
      </c>
      <c r="AD187">
        <f t="shared" si="128"/>
        <v>1995.8333333333333</v>
      </c>
      <c r="AE187">
        <f t="shared" si="93"/>
        <v>2020</v>
      </c>
      <c r="AF187">
        <f t="shared" si="129"/>
        <v>2000.8333333333333</v>
      </c>
      <c r="AG187">
        <f t="shared" si="95"/>
        <v>2187.1666666666665</v>
      </c>
      <c r="AH187">
        <f t="shared" si="130"/>
        <v>-8.3333333333333329E-2</v>
      </c>
    </row>
    <row r="188" spans="3:34">
      <c r="C188" t="s">
        <v>3</v>
      </c>
      <c r="E188">
        <v>1995</v>
      </c>
      <c r="F188">
        <v>11</v>
      </c>
      <c r="G188">
        <v>0</v>
      </c>
      <c r="I188" t="s">
        <v>78</v>
      </c>
      <c r="J188">
        <v>5</v>
      </c>
      <c r="K188">
        <f t="shared" si="116"/>
        <v>2000</v>
      </c>
      <c r="N188">
        <v>1463.74</v>
      </c>
      <c r="O188">
        <v>0</v>
      </c>
      <c r="P188">
        <f t="shared" si="117"/>
        <v>1463.74</v>
      </c>
      <c r="Q188">
        <f t="shared" si="118"/>
        <v>24.395666666666667</v>
      </c>
      <c r="R188">
        <f t="shared" si="119"/>
        <v>0</v>
      </c>
      <c r="S188">
        <f t="shared" si="120"/>
        <v>0</v>
      </c>
      <c r="T188">
        <f t="shared" si="121"/>
        <v>0</v>
      </c>
      <c r="U188">
        <v>1</v>
      </c>
      <c r="V188">
        <f t="shared" si="122"/>
        <v>0</v>
      </c>
      <c r="X188">
        <f t="shared" si="123"/>
        <v>1463.74</v>
      </c>
      <c r="Y188">
        <f t="shared" si="124"/>
        <v>1463.74</v>
      </c>
      <c r="Z188">
        <v>1</v>
      </c>
      <c r="AA188">
        <f t="shared" si="125"/>
        <v>1463.74</v>
      </c>
      <c r="AB188">
        <f t="shared" si="126"/>
        <v>1463.74</v>
      </c>
      <c r="AC188">
        <f t="shared" si="127"/>
        <v>0</v>
      </c>
      <c r="AD188">
        <f t="shared" si="128"/>
        <v>1995.8333333333333</v>
      </c>
      <c r="AE188">
        <f t="shared" si="93"/>
        <v>2020</v>
      </c>
      <c r="AF188">
        <f t="shared" si="129"/>
        <v>2000.8333333333333</v>
      </c>
      <c r="AG188">
        <f t="shared" si="95"/>
        <v>2187.1666666666665</v>
      </c>
      <c r="AH188">
        <f t="shared" si="130"/>
        <v>-8.3333333333333329E-2</v>
      </c>
    </row>
    <row r="189" spans="3:34">
      <c r="C189" t="s">
        <v>365</v>
      </c>
      <c r="E189">
        <v>1995</v>
      </c>
      <c r="F189">
        <v>12</v>
      </c>
      <c r="G189">
        <v>0</v>
      </c>
      <c r="I189" t="s">
        <v>78</v>
      </c>
      <c r="J189">
        <v>5</v>
      </c>
      <c r="K189">
        <f t="shared" si="116"/>
        <v>2000</v>
      </c>
      <c r="N189">
        <v>8580</v>
      </c>
      <c r="O189">
        <v>0</v>
      </c>
      <c r="P189">
        <f t="shared" si="117"/>
        <v>8580</v>
      </c>
      <c r="Q189">
        <f t="shared" si="118"/>
        <v>143</v>
      </c>
      <c r="R189">
        <f t="shared" si="119"/>
        <v>0</v>
      </c>
      <c r="S189">
        <f t="shared" si="120"/>
        <v>0</v>
      </c>
      <c r="T189">
        <f t="shared" si="121"/>
        <v>0</v>
      </c>
      <c r="U189">
        <v>1</v>
      </c>
      <c r="V189">
        <f t="shared" si="122"/>
        <v>0</v>
      </c>
      <c r="X189">
        <f t="shared" si="123"/>
        <v>8580</v>
      </c>
      <c r="Y189">
        <f t="shared" si="124"/>
        <v>8580</v>
      </c>
      <c r="Z189">
        <v>1</v>
      </c>
      <c r="AA189">
        <f t="shared" si="125"/>
        <v>8580</v>
      </c>
      <c r="AB189">
        <f t="shared" si="126"/>
        <v>8580</v>
      </c>
      <c r="AC189">
        <f t="shared" si="127"/>
        <v>0</v>
      </c>
      <c r="AD189">
        <f t="shared" si="128"/>
        <v>1995.9166666666667</v>
      </c>
      <c r="AE189">
        <f t="shared" si="93"/>
        <v>2020</v>
      </c>
      <c r="AF189">
        <f t="shared" si="129"/>
        <v>2000.9166666666667</v>
      </c>
      <c r="AG189">
        <f t="shared" si="95"/>
        <v>2187.1666666666665</v>
      </c>
      <c r="AH189">
        <f t="shared" si="130"/>
        <v>-8.3333333333333329E-2</v>
      </c>
    </row>
    <row r="190" spans="3:34">
      <c r="C190" t="s">
        <v>203</v>
      </c>
      <c r="E190">
        <v>1997</v>
      </c>
      <c r="F190">
        <v>12</v>
      </c>
      <c r="G190">
        <v>0</v>
      </c>
      <c r="I190" t="s">
        <v>78</v>
      </c>
      <c r="J190">
        <v>5</v>
      </c>
      <c r="K190">
        <f t="shared" si="116"/>
        <v>2002</v>
      </c>
      <c r="N190">
        <v>3888</v>
      </c>
      <c r="O190">
        <v>0</v>
      </c>
      <c r="P190">
        <f t="shared" si="117"/>
        <v>3888</v>
      </c>
      <c r="Q190">
        <f t="shared" si="118"/>
        <v>64.8</v>
      </c>
      <c r="R190">
        <f t="shared" si="119"/>
        <v>0</v>
      </c>
      <c r="S190">
        <f t="shared" si="120"/>
        <v>0</v>
      </c>
      <c r="T190">
        <f t="shared" si="121"/>
        <v>0</v>
      </c>
      <c r="U190">
        <v>1</v>
      </c>
      <c r="V190">
        <f t="shared" si="122"/>
        <v>0</v>
      </c>
      <c r="X190">
        <f t="shared" si="123"/>
        <v>3888</v>
      </c>
      <c r="Y190">
        <f t="shared" si="124"/>
        <v>3888</v>
      </c>
      <c r="Z190">
        <v>1</v>
      </c>
      <c r="AA190">
        <f t="shared" si="125"/>
        <v>3888</v>
      </c>
      <c r="AB190">
        <f t="shared" si="126"/>
        <v>3888</v>
      </c>
      <c r="AC190">
        <f t="shared" si="127"/>
        <v>0</v>
      </c>
      <c r="AD190">
        <f t="shared" si="128"/>
        <v>1997.9166666666667</v>
      </c>
      <c r="AE190">
        <f t="shared" si="93"/>
        <v>2020</v>
      </c>
      <c r="AF190">
        <f t="shared" si="129"/>
        <v>2002.9166666666667</v>
      </c>
      <c r="AG190">
        <f t="shared" si="95"/>
        <v>2187.1666666666665</v>
      </c>
      <c r="AH190">
        <f t="shared" si="130"/>
        <v>-8.3333333333333329E-2</v>
      </c>
    </row>
    <row r="191" spans="3:34">
      <c r="C191" t="s">
        <v>204</v>
      </c>
      <c r="E191">
        <v>1998</v>
      </c>
      <c r="F191">
        <v>1</v>
      </c>
      <c r="G191">
        <v>0</v>
      </c>
      <c r="I191" t="s">
        <v>78</v>
      </c>
      <c r="J191">
        <v>5</v>
      </c>
      <c r="K191">
        <f t="shared" si="116"/>
        <v>2003</v>
      </c>
      <c r="N191">
        <v>9666</v>
      </c>
      <c r="O191">
        <v>0</v>
      </c>
      <c r="P191">
        <f t="shared" si="117"/>
        <v>9666</v>
      </c>
      <c r="Q191">
        <f t="shared" si="118"/>
        <v>161.1</v>
      </c>
      <c r="R191">
        <f t="shared" si="119"/>
        <v>0</v>
      </c>
      <c r="S191">
        <f t="shared" si="120"/>
        <v>0</v>
      </c>
      <c r="T191">
        <f t="shared" si="121"/>
        <v>0</v>
      </c>
      <c r="U191">
        <v>1</v>
      </c>
      <c r="V191">
        <f t="shared" si="122"/>
        <v>0</v>
      </c>
      <c r="X191">
        <f t="shared" si="123"/>
        <v>9666</v>
      </c>
      <c r="Y191">
        <f t="shared" si="124"/>
        <v>9666</v>
      </c>
      <c r="Z191">
        <v>1</v>
      </c>
      <c r="AA191">
        <f t="shared" si="125"/>
        <v>9666</v>
      </c>
      <c r="AB191">
        <f t="shared" si="126"/>
        <v>9666</v>
      </c>
      <c r="AC191">
        <f t="shared" si="127"/>
        <v>0</v>
      </c>
      <c r="AD191">
        <f t="shared" si="128"/>
        <v>1998</v>
      </c>
      <c r="AE191">
        <f t="shared" si="93"/>
        <v>2020</v>
      </c>
      <c r="AF191">
        <f t="shared" si="129"/>
        <v>2003</v>
      </c>
      <c r="AG191">
        <f t="shared" si="95"/>
        <v>2187.1666666666665</v>
      </c>
      <c r="AH191">
        <f t="shared" si="130"/>
        <v>-8.3333333333333329E-2</v>
      </c>
    </row>
    <row r="192" spans="3:34">
      <c r="C192" t="s">
        <v>205</v>
      </c>
      <c r="E192">
        <v>1998</v>
      </c>
      <c r="F192">
        <v>3</v>
      </c>
      <c r="G192">
        <v>0</v>
      </c>
      <c r="I192" t="s">
        <v>78</v>
      </c>
      <c r="J192">
        <v>5</v>
      </c>
      <c r="K192">
        <f t="shared" si="116"/>
        <v>2003</v>
      </c>
      <c r="N192">
        <v>4500</v>
      </c>
      <c r="O192">
        <v>0</v>
      </c>
      <c r="P192">
        <f t="shared" si="117"/>
        <v>4500</v>
      </c>
      <c r="Q192">
        <f t="shared" si="118"/>
        <v>75</v>
      </c>
      <c r="R192">
        <f t="shared" si="119"/>
        <v>0</v>
      </c>
      <c r="S192">
        <f t="shared" si="120"/>
        <v>0</v>
      </c>
      <c r="T192">
        <f t="shared" si="121"/>
        <v>0</v>
      </c>
      <c r="U192">
        <v>1</v>
      </c>
      <c r="V192">
        <f t="shared" si="122"/>
        <v>0</v>
      </c>
      <c r="X192">
        <f t="shared" si="123"/>
        <v>4500</v>
      </c>
      <c r="Y192">
        <f t="shared" si="124"/>
        <v>4500</v>
      </c>
      <c r="Z192">
        <v>1</v>
      </c>
      <c r="AA192">
        <f t="shared" si="125"/>
        <v>4500</v>
      </c>
      <c r="AB192">
        <f t="shared" si="126"/>
        <v>4500</v>
      </c>
      <c r="AC192">
        <f t="shared" si="127"/>
        <v>0</v>
      </c>
      <c r="AD192">
        <f t="shared" si="128"/>
        <v>1998.1666666666667</v>
      </c>
      <c r="AE192">
        <f t="shared" si="93"/>
        <v>2020</v>
      </c>
      <c r="AF192">
        <f t="shared" si="129"/>
        <v>2003.1666666666667</v>
      </c>
      <c r="AG192">
        <f t="shared" si="95"/>
        <v>2187.1666666666665</v>
      </c>
      <c r="AH192">
        <f t="shared" si="130"/>
        <v>-8.3333333333333329E-2</v>
      </c>
    </row>
    <row r="193" spans="3:34">
      <c r="C193" t="s">
        <v>206</v>
      </c>
      <c r="E193">
        <v>1998</v>
      </c>
      <c r="F193">
        <v>4</v>
      </c>
      <c r="G193">
        <v>0</v>
      </c>
      <c r="I193" t="s">
        <v>78</v>
      </c>
      <c r="J193">
        <v>5</v>
      </c>
      <c r="K193">
        <f t="shared" si="116"/>
        <v>2003</v>
      </c>
      <c r="N193">
        <v>1052.21</v>
      </c>
      <c r="O193">
        <v>0</v>
      </c>
      <c r="P193">
        <f t="shared" si="117"/>
        <v>1052.21</v>
      </c>
      <c r="Q193">
        <f t="shared" si="118"/>
        <v>17.536833333333334</v>
      </c>
      <c r="R193">
        <f t="shared" si="119"/>
        <v>0</v>
      </c>
      <c r="S193">
        <f t="shared" si="120"/>
        <v>0</v>
      </c>
      <c r="T193">
        <f t="shared" si="121"/>
        <v>0</v>
      </c>
      <c r="U193">
        <v>1</v>
      </c>
      <c r="V193">
        <f t="shared" si="122"/>
        <v>0</v>
      </c>
      <c r="X193">
        <f t="shared" si="123"/>
        <v>1052.21</v>
      </c>
      <c r="Y193">
        <f t="shared" si="124"/>
        <v>1052.21</v>
      </c>
      <c r="Z193">
        <v>1</v>
      </c>
      <c r="AA193">
        <f t="shared" si="125"/>
        <v>1052.21</v>
      </c>
      <c r="AB193">
        <f t="shared" si="126"/>
        <v>1052.21</v>
      </c>
      <c r="AC193">
        <f t="shared" si="127"/>
        <v>0</v>
      </c>
      <c r="AD193">
        <f t="shared" si="128"/>
        <v>1998.25</v>
      </c>
      <c r="AE193">
        <f t="shared" si="93"/>
        <v>2020</v>
      </c>
      <c r="AF193">
        <f t="shared" si="129"/>
        <v>2003.25</v>
      </c>
      <c r="AG193">
        <f t="shared" si="95"/>
        <v>2187.1666666666665</v>
      </c>
      <c r="AH193">
        <f t="shared" si="130"/>
        <v>-8.3333333333333329E-2</v>
      </c>
    </row>
    <row r="194" spans="3:34">
      <c r="C194" t="s">
        <v>207</v>
      </c>
      <c r="E194">
        <v>1999</v>
      </c>
      <c r="F194">
        <v>1</v>
      </c>
      <c r="G194">
        <v>0</v>
      </c>
      <c r="I194" t="s">
        <v>78</v>
      </c>
      <c r="J194">
        <v>5</v>
      </c>
      <c r="K194">
        <f t="shared" si="116"/>
        <v>2004</v>
      </c>
      <c r="N194">
        <v>3439.37</v>
      </c>
      <c r="O194">
        <v>0</v>
      </c>
      <c r="P194">
        <f t="shared" si="117"/>
        <v>3439.37</v>
      </c>
      <c r="Q194">
        <f t="shared" si="118"/>
        <v>57.322833333333335</v>
      </c>
      <c r="R194">
        <f t="shared" si="119"/>
        <v>0</v>
      </c>
      <c r="S194">
        <f t="shared" si="120"/>
        <v>0</v>
      </c>
      <c r="T194">
        <f t="shared" si="121"/>
        <v>0</v>
      </c>
      <c r="U194">
        <v>1</v>
      </c>
      <c r="V194">
        <f t="shared" si="122"/>
        <v>0</v>
      </c>
      <c r="X194">
        <f t="shared" si="123"/>
        <v>3439.37</v>
      </c>
      <c r="Y194">
        <f t="shared" si="124"/>
        <v>3439.37</v>
      </c>
      <c r="Z194">
        <v>1</v>
      </c>
      <c r="AA194">
        <f t="shared" si="125"/>
        <v>3439.37</v>
      </c>
      <c r="AB194">
        <f t="shared" si="126"/>
        <v>3439.37</v>
      </c>
      <c r="AC194">
        <f t="shared" si="127"/>
        <v>0</v>
      </c>
      <c r="AD194">
        <f t="shared" si="128"/>
        <v>1999</v>
      </c>
      <c r="AE194">
        <f t="shared" si="93"/>
        <v>2020</v>
      </c>
      <c r="AF194">
        <f t="shared" si="129"/>
        <v>2004</v>
      </c>
      <c r="AG194">
        <f t="shared" si="95"/>
        <v>2187.1666666666665</v>
      </c>
      <c r="AH194">
        <f t="shared" si="130"/>
        <v>-8.3333333333333329E-2</v>
      </c>
    </row>
    <row r="195" spans="3:34">
      <c r="C195" t="s">
        <v>209</v>
      </c>
      <c r="E195">
        <v>1999</v>
      </c>
      <c r="F195">
        <v>9</v>
      </c>
      <c r="G195">
        <v>0</v>
      </c>
      <c r="I195" t="s">
        <v>78</v>
      </c>
      <c r="J195">
        <v>5</v>
      </c>
      <c r="K195">
        <f t="shared" si="116"/>
        <v>2004</v>
      </c>
      <c r="N195">
        <v>255.49</v>
      </c>
      <c r="O195">
        <v>0</v>
      </c>
      <c r="P195">
        <f t="shared" si="117"/>
        <v>255.49</v>
      </c>
      <c r="Q195">
        <f t="shared" si="118"/>
        <v>4.2581666666666669</v>
      </c>
      <c r="R195">
        <f t="shared" si="119"/>
        <v>0</v>
      </c>
      <c r="S195">
        <f t="shared" si="120"/>
        <v>0</v>
      </c>
      <c r="T195">
        <f t="shared" si="121"/>
        <v>0</v>
      </c>
      <c r="U195">
        <v>1</v>
      </c>
      <c r="V195">
        <f t="shared" si="122"/>
        <v>0</v>
      </c>
      <c r="X195">
        <f t="shared" si="123"/>
        <v>255.49</v>
      </c>
      <c r="Y195">
        <f t="shared" si="124"/>
        <v>255.49</v>
      </c>
      <c r="Z195">
        <v>1</v>
      </c>
      <c r="AA195">
        <f t="shared" si="125"/>
        <v>255.49</v>
      </c>
      <c r="AB195">
        <f t="shared" si="126"/>
        <v>255.49</v>
      </c>
      <c r="AC195">
        <f t="shared" si="127"/>
        <v>0</v>
      </c>
      <c r="AD195">
        <f t="shared" si="128"/>
        <v>1999.6666666666667</v>
      </c>
      <c r="AE195">
        <f t="shared" si="93"/>
        <v>2020</v>
      </c>
      <c r="AF195">
        <f t="shared" si="129"/>
        <v>2004.6666666666667</v>
      </c>
      <c r="AG195">
        <f t="shared" si="95"/>
        <v>2187.1666666666665</v>
      </c>
      <c r="AH195">
        <f t="shared" si="130"/>
        <v>-8.3333333333333329E-2</v>
      </c>
    </row>
    <row r="196" spans="3:34">
      <c r="C196" t="s">
        <v>208</v>
      </c>
      <c r="E196">
        <v>1999</v>
      </c>
      <c r="F196">
        <v>9</v>
      </c>
      <c r="G196">
        <v>0</v>
      </c>
      <c r="I196" t="s">
        <v>78</v>
      </c>
      <c r="J196">
        <v>5</v>
      </c>
      <c r="K196">
        <f t="shared" si="116"/>
        <v>2004</v>
      </c>
      <c r="N196">
        <v>3193.67</v>
      </c>
      <c r="O196">
        <v>0</v>
      </c>
      <c r="P196">
        <f t="shared" si="117"/>
        <v>3193.67</v>
      </c>
      <c r="Q196">
        <f t="shared" si="118"/>
        <v>53.227833333333336</v>
      </c>
      <c r="R196">
        <f t="shared" si="119"/>
        <v>0</v>
      </c>
      <c r="S196">
        <f t="shared" si="120"/>
        <v>0</v>
      </c>
      <c r="T196">
        <f t="shared" si="121"/>
        <v>0</v>
      </c>
      <c r="U196">
        <v>1</v>
      </c>
      <c r="V196">
        <f t="shared" si="122"/>
        <v>0</v>
      </c>
      <c r="X196">
        <f t="shared" si="123"/>
        <v>3193.67</v>
      </c>
      <c r="Y196">
        <f t="shared" si="124"/>
        <v>3193.67</v>
      </c>
      <c r="Z196">
        <v>1</v>
      </c>
      <c r="AA196">
        <f t="shared" si="125"/>
        <v>3193.67</v>
      </c>
      <c r="AB196">
        <f t="shared" si="126"/>
        <v>3193.67</v>
      </c>
      <c r="AC196">
        <f t="shared" si="127"/>
        <v>0</v>
      </c>
      <c r="AD196">
        <f t="shared" si="128"/>
        <v>1999.6666666666667</v>
      </c>
      <c r="AE196">
        <f t="shared" si="93"/>
        <v>2020</v>
      </c>
      <c r="AF196">
        <f t="shared" si="129"/>
        <v>2004.6666666666667</v>
      </c>
      <c r="AG196">
        <f t="shared" si="95"/>
        <v>2187.1666666666665</v>
      </c>
      <c r="AH196">
        <f t="shared" si="130"/>
        <v>-8.3333333333333329E-2</v>
      </c>
    </row>
    <row r="197" spans="3:34">
      <c r="C197" t="s">
        <v>212</v>
      </c>
      <c r="E197">
        <v>2000</v>
      </c>
      <c r="F197">
        <v>7</v>
      </c>
      <c r="G197">
        <v>0</v>
      </c>
      <c r="I197" t="s">
        <v>78</v>
      </c>
      <c r="J197">
        <v>5</v>
      </c>
      <c r="K197">
        <f t="shared" si="116"/>
        <v>2005</v>
      </c>
      <c r="N197">
        <v>4318.0200000000004</v>
      </c>
      <c r="O197">
        <v>0</v>
      </c>
      <c r="P197">
        <f t="shared" si="117"/>
        <v>4318.0200000000004</v>
      </c>
      <c r="Q197">
        <f t="shared" si="118"/>
        <v>71.966999999999999</v>
      </c>
      <c r="R197">
        <f t="shared" si="119"/>
        <v>0</v>
      </c>
      <c r="S197">
        <f t="shared" si="120"/>
        <v>0</v>
      </c>
      <c r="T197">
        <f t="shared" si="121"/>
        <v>0</v>
      </c>
      <c r="U197">
        <v>1</v>
      </c>
      <c r="V197">
        <f t="shared" si="122"/>
        <v>0</v>
      </c>
      <c r="X197">
        <f t="shared" si="123"/>
        <v>4318.0200000000004</v>
      </c>
      <c r="Y197">
        <f t="shared" si="124"/>
        <v>4318.0200000000004</v>
      </c>
      <c r="Z197">
        <v>1</v>
      </c>
      <c r="AA197">
        <f t="shared" si="125"/>
        <v>4318.0200000000004</v>
      </c>
      <c r="AB197">
        <f t="shared" si="126"/>
        <v>4318.0200000000004</v>
      </c>
      <c r="AC197">
        <f t="shared" si="127"/>
        <v>0</v>
      </c>
      <c r="AD197">
        <f t="shared" si="128"/>
        <v>2000.5</v>
      </c>
      <c r="AE197">
        <f t="shared" si="93"/>
        <v>2020</v>
      </c>
      <c r="AF197">
        <f t="shared" si="129"/>
        <v>2005.5</v>
      </c>
      <c r="AG197">
        <f t="shared" si="95"/>
        <v>2187.1666666666665</v>
      </c>
      <c r="AH197">
        <f t="shared" si="130"/>
        <v>-8.3333333333333329E-2</v>
      </c>
    </row>
    <row r="198" spans="3:34">
      <c r="C198" t="s">
        <v>4</v>
      </c>
      <c r="E198">
        <v>2000</v>
      </c>
      <c r="F198">
        <v>7</v>
      </c>
      <c r="G198">
        <v>0</v>
      </c>
      <c r="I198" t="s">
        <v>78</v>
      </c>
      <c r="J198">
        <v>5</v>
      </c>
      <c r="K198">
        <f t="shared" si="116"/>
        <v>2005</v>
      </c>
      <c r="N198">
        <v>345.44</v>
      </c>
      <c r="O198">
        <v>0</v>
      </c>
      <c r="P198">
        <f t="shared" si="117"/>
        <v>345.44</v>
      </c>
      <c r="Q198">
        <f t="shared" si="118"/>
        <v>5.7573333333333325</v>
      </c>
      <c r="R198">
        <f t="shared" si="119"/>
        <v>0</v>
      </c>
      <c r="S198">
        <f t="shared" si="120"/>
        <v>0</v>
      </c>
      <c r="T198">
        <f t="shared" si="121"/>
        <v>0</v>
      </c>
      <c r="U198">
        <v>1</v>
      </c>
      <c r="V198">
        <f t="shared" si="122"/>
        <v>0</v>
      </c>
      <c r="X198">
        <f t="shared" si="123"/>
        <v>345.44</v>
      </c>
      <c r="Y198">
        <f t="shared" si="124"/>
        <v>345.44</v>
      </c>
      <c r="Z198">
        <v>1</v>
      </c>
      <c r="AA198">
        <f t="shared" si="125"/>
        <v>345.44</v>
      </c>
      <c r="AB198">
        <f t="shared" si="126"/>
        <v>345.44</v>
      </c>
      <c r="AC198">
        <f t="shared" si="127"/>
        <v>0</v>
      </c>
      <c r="AD198">
        <f t="shared" si="128"/>
        <v>2000.5</v>
      </c>
      <c r="AE198">
        <f t="shared" si="93"/>
        <v>2020</v>
      </c>
      <c r="AF198">
        <f t="shared" si="129"/>
        <v>2005.5</v>
      </c>
      <c r="AG198">
        <f t="shared" si="95"/>
        <v>2187.1666666666665</v>
      </c>
      <c r="AH198">
        <f t="shared" si="130"/>
        <v>-8.3333333333333329E-2</v>
      </c>
    </row>
    <row r="199" spans="3:34">
      <c r="C199" t="s">
        <v>213</v>
      </c>
      <c r="E199">
        <v>2000</v>
      </c>
      <c r="F199">
        <v>8</v>
      </c>
      <c r="G199">
        <v>0</v>
      </c>
      <c r="I199" t="s">
        <v>78</v>
      </c>
      <c r="J199">
        <v>5</v>
      </c>
      <c r="K199">
        <f t="shared" si="116"/>
        <v>2005</v>
      </c>
      <c r="N199">
        <v>21138.3</v>
      </c>
      <c r="O199">
        <v>0</v>
      </c>
      <c r="P199">
        <f t="shared" si="117"/>
        <v>21138.3</v>
      </c>
      <c r="Q199">
        <f t="shared" si="118"/>
        <v>352.30500000000001</v>
      </c>
      <c r="R199">
        <f t="shared" si="119"/>
        <v>0</v>
      </c>
      <c r="S199">
        <f t="shared" si="120"/>
        <v>0</v>
      </c>
      <c r="T199">
        <f t="shared" si="121"/>
        <v>0</v>
      </c>
      <c r="U199">
        <v>1</v>
      </c>
      <c r="V199">
        <f t="shared" si="122"/>
        <v>0</v>
      </c>
      <c r="X199">
        <f t="shared" si="123"/>
        <v>21138.3</v>
      </c>
      <c r="Y199">
        <f t="shared" si="124"/>
        <v>21138.3</v>
      </c>
      <c r="Z199">
        <v>1</v>
      </c>
      <c r="AA199">
        <f t="shared" si="125"/>
        <v>21138.3</v>
      </c>
      <c r="AB199">
        <f t="shared" si="126"/>
        <v>21138.3</v>
      </c>
      <c r="AC199">
        <f t="shared" si="127"/>
        <v>0</v>
      </c>
      <c r="AD199">
        <f t="shared" si="128"/>
        <v>2000.5833333333333</v>
      </c>
      <c r="AE199">
        <f t="shared" si="93"/>
        <v>2020</v>
      </c>
      <c r="AF199">
        <f t="shared" si="129"/>
        <v>2005.5833333333333</v>
      </c>
      <c r="AG199">
        <f t="shared" si="95"/>
        <v>2187.1666666666665</v>
      </c>
      <c r="AH199">
        <f t="shared" si="130"/>
        <v>-8.3333333333333329E-2</v>
      </c>
    </row>
    <row r="200" spans="3:34">
      <c r="C200" t="s">
        <v>215</v>
      </c>
      <c r="E200">
        <v>2002</v>
      </c>
      <c r="F200">
        <v>9</v>
      </c>
      <c r="G200">
        <v>0</v>
      </c>
      <c r="I200" t="s">
        <v>78</v>
      </c>
      <c r="J200">
        <v>5</v>
      </c>
      <c r="K200">
        <f t="shared" si="116"/>
        <v>2007</v>
      </c>
      <c r="N200">
        <v>922.62</v>
      </c>
      <c r="O200">
        <v>0</v>
      </c>
      <c r="P200">
        <f t="shared" si="117"/>
        <v>922.62</v>
      </c>
      <c r="Q200">
        <f t="shared" si="118"/>
        <v>15.377000000000001</v>
      </c>
      <c r="R200">
        <f t="shared" si="119"/>
        <v>0</v>
      </c>
      <c r="S200">
        <f t="shared" si="120"/>
        <v>0</v>
      </c>
      <c r="T200">
        <f t="shared" si="121"/>
        <v>0</v>
      </c>
      <c r="U200">
        <v>1</v>
      </c>
      <c r="V200">
        <f t="shared" si="122"/>
        <v>0</v>
      </c>
      <c r="X200">
        <f t="shared" si="123"/>
        <v>922.62</v>
      </c>
      <c r="Y200">
        <f t="shared" si="124"/>
        <v>922.62</v>
      </c>
      <c r="Z200">
        <v>1</v>
      </c>
      <c r="AA200">
        <f t="shared" si="125"/>
        <v>922.62</v>
      </c>
      <c r="AB200">
        <f t="shared" si="126"/>
        <v>922.62</v>
      </c>
      <c r="AC200">
        <f t="shared" si="127"/>
        <v>0</v>
      </c>
      <c r="AD200">
        <f t="shared" si="128"/>
        <v>2002.6666666666667</v>
      </c>
      <c r="AE200">
        <f t="shared" si="93"/>
        <v>2020</v>
      </c>
      <c r="AF200">
        <f t="shared" si="129"/>
        <v>2007.6666666666667</v>
      </c>
      <c r="AG200">
        <f t="shared" si="95"/>
        <v>2187.1666666666665</v>
      </c>
      <c r="AH200">
        <f t="shared" si="130"/>
        <v>-8.3333333333333329E-2</v>
      </c>
    </row>
    <row r="201" spans="3:34">
      <c r="C201" t="s">
        <v>135</v>
      </c>
      <c r="E201">
        <v>2002</v>
      </c>
      <c r="F201">
        <v>10</v>
      </c>
      <c r="G201">
        <v>0</v>
      </c>
      <c r="I201" t="s">
        <v>78</v>
      </c>
      <c r="J201">
        <v>5</v>
      </c>
      <c r="K201">
        <f t="shared" si="116"/>
        <v>2007</v>
      </c>
      <c r="N201">
        <v>5440</v>
      </c>
      <c r="O201">
        <v>0</v>
      </c>
      <c r="P201">
        <f t="shared" si="117"/>
        <v>5440</v>
      </c>
      <c r="Q201">
        <f t="shared" si="118"/>
        <v>90.666666666666671</v>
      </c>
      <c r="R201">
        <f t="shared" si="119"/>
        <v>0</v>
      </c>
      <c r="S201">
        <f t="shared" si="120"/>
        <v>0</v>
      </c>
      <c r="T201">
        <f t="shared" si="121"/>
        <v>0</v>
      </c>
      <c r="U201">
        <v>1</v>
      </c>
      <c r="V201">
        <f t="shared" si="122"/>
        <v>0</v>
      </c>
      <c r="X201">
        <f t="shared" si="123"/>
        <v>5440</v>
      </c>
      <c r="Y201">
        <f t="shared" si="124"/>
        <v>5440</v>
      </c>
      <c r="Z201">
        <v>1</v>
      </c>
      <c r="AA201">
        <f t="shared" si="125"/>
        <v>5440</v>
      </c>
      <c r="AB201">
        <f t="shared" si="126"/>
        <v>5440</v>
      </c>
      <c r="AC201">
        <f t="shared" si="127"/>
        <v>0</v>
      </c>
      <c r="AD201">
        <f t="shared" si="128"/>
        <v>2002.75</v>
      </c>
      <c r="AE201">
        <f t="shared" si="93"/>
        <v>2020</v>
      </c>
      <c r="AF201">
        <f t="shared" si="129"/>
        <v>2007.75</v>
      </c>
      <c r="AG201">
        <f t="shared" si="95"/>
        <v>2187.1666666666665</v>
      </c>
      <c r="AH201">
        <f t="shared" si="130"/>
        <v>-8.3333333333333329E-2</v>
      </c>
    </row>
    <row r="202" spans="3:34">
      <c r="C202" t="s">
        <v>3</v>
      </c>
      <c r="E202">
        <v>2002</v>
      </c>
      <c r="F202">
        <v>11</v>
      </c>
      <c r="G202">
        <v>0</v>
      </c>
      <c r="I202" t="s">
        <v>78</v>
      </c>
      <c r="J202">
        <v>5</v>
      </c>
      <c r="K202">
        <f t="shared" si="116"/>
        <v>2007</v>
      </c>
      <c r="N202">
        <v>1380.25</v>
      </c>
      <c r="O202">
        <v>0</v>
      </c>
      <c r="P202">
        <f t="shared" si="117"/>
        <v>1380.25</v>
      </c>
      <c r="Q202">
        <f t="shared" si="118"/>
        <v>23.004166666666666</v>
      </c>
      <c r="R202">
        <f t="shared" si="119"/>
        <v>0</v>
      </c>
      <c r="S202">
        <f t="shared" si="120"/>
        <v>0</v>
      </c>
      <c r="T202">
        <f t="shared" si="121"/>
        <v>0</v>
      </c>
      <c r="U202">
        <v>1</v>
      </c>
      <c r="V202">
        <f t="shared" si="122"/>
        <v>0</v>
      </c>
      <c r="X202">
        <f t="shared" si="123"/>
        <v>1380.25</v>
      </c>
      <c r="Y202">
        <f t="shared" si="124"/>
        <v>1380.25</v>
      </c>
      <c r="Z202">
        <v>1</v>
      </c>
      <c r="AA202">
        <f t="shared" si="125"/>
        <v>1380.25</v>
      </c>
      <c r="AB202">
        <f t="shared" si="126"/>
        <v>1380.25</v>
      </c>
      <c r="AC202">
        <f t="shared" si="127"/>
        <v>0</v>
      </c>
      <c r="AD202">
        <f t="shared" si="128"/>
        <v>2002.8333333333333</v>
      </c>
      <c r="AE202">
        <f t="shared" si="93"/>
        <v>2020</v>
      </c>
      <c r="AF202">
        <f t="shared" si="129"/>
        <v>2007.8333333333333</v>
      </c>
      <c r="AG202">
        <f t="shared" si="95"/>
        <v>2187.1666666666665</v>
      </c>
      <c r="AH202">
        <f t="shared" si="130"/>
        <v>-8.3333333333333329E-2</v>
      </c>
    </row>
    <row r="203" spans="3:34">
      <c r="C203" t="s">
        <v>216</v>
      </c>
      <c r="E203">
        <v>2003</v>
      </c>
      <c r="F203">
        <v>2</v>
      </c>
      <c r="G203">
        <v>0</v>
      </c>
      <c r="I203" t="s">
        <v>78</v>
      </c>
      <c r="J203">
        <v>5</v>
      </c>
      <c r="K203">
        <f t="shared" si="116"/>
        <v>2008</v>
      </c>
      <c r="N203">
        <v>1411.79</v>
      </c>
      <c r="O203">
        <v>0</v>
      </c>
      <c r="P203">
        <f t="shared" si="117"/>
        <v>1411.79</v>
      </c>
      <c r="Q203">
        <f t="shared" si="118"/>
        <v>23.529833333333332</v>
      </c>
      <c r="R203">
        <f t="shared" si="119"/>
        <v>0</v>
      </c>
      <c r="S203">
        <f t="shared" si="120"/>
        <v>0</v>
      </c>
      <c r="T203">
        <f t="shared" si="121"/>
        <v>0</v>
      </c>
      <c r="U203">
        <v>1</v>
      </c>
      <c r="V203">
        <f t="shared" si="122"/>
        <v>0</v>
      </c>
      <c r="X203">
        <f t="shared" si="123"/>
        <v>1411.79</v>
      </c>
      <c r="Y203">
        <f t="shared" si="124"/>
        <v>1411.79</v>
      </c>
      <c r="Z203">
        <v>1</v>
      </c>
      <c r="AA203">
        <f t="shared" si="125"/>
        <v>1411.79</v>
      </c>
      <c r="AB203">
        <f t="shared" si="126"/>
        <v>1411.79</v>
      </c>
      <c r="AC203">
        <f t="shared" si="127"/>
        <v>0</v>
      </c>
      <c r="AD203">
        <f t="shared" si="128"/>
        <v>2003.0833333333333</v>
      </c>
      <c r="AE203">
        <f t="shared" si="93"/>
        <v>2020</v>
      </c>
      <c r="AF203">
        <f t="shared" si="129"/>
        <v>2008.0833333333333</v>
      </c>
      <c r="AG203">
        <f t="shared" si="95"/>
        <v>2187.1666666666665</v>
      </c>
      <c r="AH203">
        <f t="shared" si="130"/>
        <v>-8.3333333333333329E-2</v>
      </c>
    </row>
    <row r="204" spans="3:34">
      <c r="C204" t="s">
        <v>216</v>
      </c>
      <c r="E204">
        <v>2003</v>
      </c>
      <c r="F204">
        <v>3</v>
      </c>
      <c r="G204">
        <v>0</v>
      </c>
      <c r="I204" t="s">
        <v>78</v>
      </c>
      <c r="J204">
        <v>5</v>
      </c>
      <c r="K204">
        <f t="shared" si="116"/>
        <v>2008</v>
      </c>
      <c r="N204">
        <v>1299.3599999999999</v>
      </c>
      <c r="O204">
        <v>0</v>
      </c>
      <c r="P204">
        <f t="shared" si="117"/>
        <v>1299.3599999999999</v>
      </c>
      <c r="Q204">
        <f t="shared" si="118"/>
        <v>21.655999999999995</v>
      </c>
      <c r="R204">
        <f t="shared" si="119"/>
        <v>0</v>
      </c>
      <c r="S204">
        <f t="shared" si="120"/>
        <v>0</v>
      </c>
      <c r="T204">
        <f t="shared" si="121"/>
        <v>0</v>
      </c>
      <c r="U204">
        <v>1</v>
      </c>
      <c r="V204">
        <f t="shared" si="122"/>
        <v>0</v>
      </c>
      <c r="X204">
        <f t="shared" si="123"/>
        <v>1299.3599999999999</v>
      </c>
      <c r="Y204">
        <f t="shared" si="124"/>
        <v>1299.3599999999999</v>
      </c>
      <c r="Z204">
        <v>1</v>
      </c>
      <c r="AA204">
        <f t="shared" si="125"/>
        <v>1299.3599999999999</v>
      </c>
      <c r="AB204">
        <f t="shared" si="126"/>
        <v>1299.3599999999999</v>
      </c>
      <c r="AC204">
        <f t="shared" si="127"/>
        <v>0</v>
      </c>
      <c r="AD204">
        <f t="shared" si="128"/>
        <v>2003.1666666666667</v>
      </c>
      <c r="AE204">
        <f t="shared" si="93"/>
        <v>2020</v>
      </c>
      <c r="AF204">
        <f t="shared" si="129"/>
        <v>2008.1666666666667</v>
      </c>
      <c r="AG204">
        <f t="shared" si="95"/>
        <v>2187.1666666666665</v>
      </c>
      <c r="AH204">
        <f t="shared" si="130"/>
        <v>-8.3333333333333329E-2</v>
      </c>
    </row>
    <row r="205" spans="3:34">
      <c r="C205" t="s">
        <v>348</v>
      </c>
      <c r="E205">
        <v>2003</v>
      </c>
      <c r="F205">
        <v>4</v>
      </c>
      <c r="G205">
        <v>0</v>
      </c>
      <c r="I205" t="s">
        <v>78</v>
      </c>
      <c r="J205">
        <v>5</v>
      </c>
      <c r="K205">
        <f t="shared" si="116"/>
        <v>2008</v>
      </c>
      <c r="N205">
        <v>1342.02</v>
      </c>
      <c r="O205">
        <v>0</v>
      </c>
      <c r="P205">
        <f t="shared" si="117"/>
        <v>1342.02</v>
      </c>
      <c r="Q205">
        <f t="shared" si="118"/>
        <v>22.367000000000001</v>
      </c>
      <c r="R205">
        <f t="shared" si="119"/>
        <v>0</v>
      </c>
      <c r="S205">
        <f t="shared" si="120"/>
        <v>0</v>
      </c>
      <c r="T205">
        <f t="shared" si="121"/>
        <v>0</v>
      </c>
      <c r="U205">
        <v>1</v>
      </c>
      <c r="V205">
        <f t="shared" si="122"/>
        <v>0</v>
      </c>
      <c r="X205">
        <f t="shared" si="123"/>
        <v>1342.02</v>
      </c>
      <c r="Y205">
        <f t="shared" si="124"/>
        <v>1342.02</v>
      </c>
      <c r="Z205">
        <v>1</v>
      </c>
      <c r="AA205">
        <f t="shared" si="125"/>
        <v>1342.02</v>
      </c>
      <c r="AB205">
        <f t="shared" si="126"/>
        <v>1342.02</v>
      </c>
      <c r="AC205">
        <f t="shared" si="127"/>
        <v>0</v>
      </c>
      <c r="AD205">
        <f t="shared" si="128"/>
        <v>2003.25</v>
      </c>
      <c r="AE205">
        <f t="shared" si="93"/>
        <v>2020</v>
      </c>
      <c r="AF205">
        <f t="shared" si="129"/>
        <v>2008.25</v>
      </c>
      <c r="AG205">
        <f t="shared" si="95"/>
        <v>2187.1666666666665</v>
      </c>
      <c r="AH205">
        <f t="shared" si="130"/>
        <v>-8.3333333333333329E-2</v>
      </c>
    </row>
    <row r="206" spans="3:34">
      <c r="C206" t="s">
        <v>217</v>
      </c>
      <c r="E206">
        <v>2003</v>
      </c>
      <c r="F206">
        <v>10</v>
      </c>
      <c r="G206">
        <v>0</v>
      </c>
      <c r="I206" t="s">
        <v>78</v>
      </c>
      <c r="J206">
        <v>5</v>
      </c>
      <c r="K206">
        <f t="shared" si="116"/>
        <v>2008</v>
      </c>
      <c r="N206">
        <v>1270.18</v>
      </c>
      <c r="O206">
        <v>0</v>
      </c>
      <c r="P206">
        <f t="shared" si="117"/>
        <v>1270.18</v>
      </c>
      <c r="Q206">
        <f t="shared" si="118"/>
        <v>21.169666666666668</v>
      </c>
      <c r="R206">
        <f t="shared" si="119"/>
        <v>0</v>
      </c>
      <c r="S206">
        <f t="shared" si="120"/>
        <v>0</v>
      </c>
      <c r="T206">
        <f t="shared" si="121"/>
        <v>0</v>
      </c>
      <c r="U206">
        <v>1</v>
      </c>
      <c r="V206">
        <f t="shared" si="122"/>
        <v>0</v>
      </c>
      <c r="X206">
        <f t="shared" si="123"/>
        <v>1270.18</v>
      </c>
      <c r="Y206">
        <f t="shared" si="124"/>
        <v>1270.18</v>
      </c>
      <c r="Z206">
        <v>1</v>
      </c>
      <c r="AA206">
        <f t="shared" si="125"/>
        <v>1270.18</v>
      </c>
      <c r="AB206">
        <f t="shared" si="126"/>
        <v>1270.18</v>
      </c>
      <c r="AC206">
        <f t="shared" si="127"/>
        <v>0</v>
      </c>
      <c r="AD206">
        <f t="shared" si="128"/>
        <v>2003.75</v>
      </c>
      <c r="AE206">
        <f t="shared" si="93"/>
        <v>2020</v>
      </c>
      <c r="AF206">
        <f t="shared" si="129"/>
        <v>2008.75</v>
      </c>
      <c r="AG206">
        <f t="shared" si="95"/>
        <v>2187.1666666666665</v>
      </c>
      <c r="AH206">
        <f t="shared" si="130"/>
        <v>-8.3333333333333329E-2</v>
      </c>
    </row>
    <row r="207" spans="3:34">
      <c r="C207" t="s">
        <v>218</v>
      </c>
      <c r="E207">
        <v>2003</v>
      </c>
      <c r="F207">
        <v>12</v>
      </c>
      <c r="G207">
        <v>0</v>
      </c>
      <c r="I207" t="s">
        <v>78</v>
      </c>
      <c r="J207">
        <v>5</v>
      </c>
      <c r="K207">
        <f t="shared" si="116"/>
        <v>2008</v>
      </c>
      <c r="N207">
        <v>2749.01</v>
      </c>
      <c r="O207">
        <v>0</v>
      </c>
      <c r="P207">
        <f t="shared" si="117"/>
        <v>2749.01</v>
      </c>
      <c r="Q207">
        <f t="shared" si="118"/>
        <v>45.816833333333335</v>
      </c>
      <c r="R207">
        <f t="shared" si="119"/>
        <v>0</v>
      </c>
      <c r="S207">
        <f t="shared" si="120"/>
        <v>0</v>
      </c>
      <c r="T207">
        <f t="shared" si="121"/>
        <v>0</v>
      </c>
      <c r="U207">
        <v>1</v>
      </c>
      <c r="V207">
        <f t="shared" si="122"/>
        <v>0</v>
      </c>
      <c r="X207">
        <f t="shared" si="123"/>
        <v>2749.01</v>
      </c>
      <c r="Y207">
        <f t="shared" si="124"/>
        <v>2749.01</v>
      </c>
      <c r="Z207">
        <v>1</v>
      </c>
      <c r="AA207">
        <f t="shared" si="125"/>
        <v>2749.01</v>
      </c>
      <c r="AB207">
        <f t="shared" si="126"/>
        <v>2749.01</v>
      </c>
      <c r="AC207">
        <f t="shared" si="127"/>
        <v>0</v>
      </c>
      <c r="AD207">
        <f t="shared" si="128"/>
        <v>2003.9166666666667</v>
      </c>
      <c r="AE207">
        <f t="shared" si="93"/>
        <v>2020</v>
      </c>
      <c r="AF207">
        <f t="shared" si="129"/>
        <v>2008.9166666666667</v>
      </c>
      <c r="AG207">
        <f t="shared" si="95"/>
        <v>2187.1666666666665</v>
      </c>
      <c r="AH207">
        <f t="shared" si="130"/>
        <v>-8.3333333333333329E-2</v>
      </c>
    </row>
    <row r="208" spans="3:34">
      <c r="C208" t="s">
        <v>184</v>
      </c>
      <c r="E208">
        <v>2004</v>
      </c>
      <c r="F208">
        <v>1</v>
      </c>
      <c r="G208">
        <v>0</v>
      </c>
      <c r="I208" t="s">
        <v>78</v>
      </c>
      <c r="J208">
        <v>5</v>
      </c>
      <c r="K208">
        <f t="shared" si="116"/>
        <v>2009</v>
      </c>
      <c r="N208">
        <v>5365.8</v>
      </c>
      <c r="O208">
        <v>0</v>
      </c>
      <c r="P208">
        <f t="shared" si="117"/>
        <v>5365.8</v>
      </c>
      <c r="Q208">
        <f t="shared" si="118"/>
        <v>89.43</v>
      </c>
      <c r="R208">
        <f t="shared" si="119"/>
        <v>0</v>
      </c>
      <c r="S208">
        <f t="shared" si="120"/>
        <v>0</v>
      </c>
      <c r="T208">
        <f t="shared" si="121"/>
        <v>0</v>
      </c>
      <c r="U208">
        <v>1</v>
      </c>
      <c r="V208">
        <f t="shared" si="122"/>
        <v>0</v>
      </c>
      <c r="X208">
        <f t="shared" si="123"/>
        <v>5365.8</v>
      </c>
      <c r="Y208">
        <f t="shared" si="124"/>
        <v>5365.8</v>
      </c>
      <c r="Z208">
        <v>1</v>
      </c>
      <c r="AA208">
        <f t="shared" si="125"/>
        <v>5365.8</v>
      </c>
      <c r="AB208">
        <f t="shared" si="126"/>
        <v>5365.8</v>
      </c>
      <c r="AC208">
        <f t="shared" si="127"/>
        <v>0</v>
      </c>
      <c r="AD208">
        <f t="shared" si="128"/>
        <v>2004</v>
      </c>
      <c r="AE208">
        <f t="shared" si="93"/>
        <v>2020</v>
      </c>
      <c r="AF208">
        <f t="shared" si="129"/>
        <v>2009</v>
      </c>
      <c r="AG208">
        <f t="shared" si="95"/>
        <v>2187.1666666666665</v>
      </c>
      <c r="AH208">
        <f t="shared" si="130"/>
        <v>-8.3333333333333329E-2</v>
      </c>
    </row>
    <row r="209" spans="2:34">
      <c r="C209" t="s">
        <v>185</v>
      </c>
      <c r="E209">
        <v>2004</v>
      </c>
      <c r="F209">
        <v>4</v>
      </c>
      <c r="G209">
        <v>0</v>
      </c>
      <c r="I209" t="s">
        <v>78</v>
      </c>
      <c r="J209">
        <v>5</v>
      </c>
      <c r="K209">
        <f t="shared" si="116"/>
        <v>2009</v>
      </c>
      <c r="N209">
        <v>1829.37</v>
      </c>
      <c r="O209">
        <v>0</v>
      </c>
      <c r="P209">
        <f t="shared" si="117"/>
        <v>1829.37</v>
      </c>
      <c r="Q209">
        <f t="shared" si="118"/>
        <v>30.489499999999996</v>
      </c>
      <c r="R209">
        <f t="shared" si="119"/>
        <v>0</v>
      </c>
      <c r="S209">
        <f t="shared" si="120"/>
        <v>0</v>
      </c>
      <c r="T209">
        <f t="shared" si="121"/>
        <v>0</v>
      </c>
      <c r="U209">
        <v>1</v>
      </c>
      <c r="V209">
        <f t="shared" si="122"/>
        <v>0</v>
      </c>
      <c r="X209">
        <f t="shared" si="123"/>
        <v>1829.37</v>
      </c>
      <c r="Y209">
        <f t="shared" si="124"/>
        <v>1829.37</v>
      </c>
      <c r="Z209">
        <v>1</v>
      </c>
      <c r="AA209">
        <f t="shared" si="125"/>
        <v>1829.37</v>
      </c>
      <c r="AB209">
        <f t="shared" si="126"/>
        <v>1829.37</v>
      </c>
      <c r="AC209">
        <f t="shared" si="127"/>
        <v>0</v>
      </c>
      <c r="AD209">
        <f t="shared" si="128"/>
        <v>2004.25</v>
      </c>
      <c r="AE209">
        <f t="shared" si="93"/>
        <v>2020</v>
      </c>
      <c r="AF209">
        <f t="shared" si="129"/>
        <v>2009.25</v>
      </c>
      <c r="AG209">
        <f t="shared" si="95"/>
        <v>2187.1666666666665</v>
      </c>
      <c r="AH209">
        <f t="shared" si="130"/>
        <v>-8.3333333333333329E-2</v>
      </c>
    </row>
    <row r="210" spans="2:34">
      <c r="C210" t="s">
        <v>136</v>
      </c>
      <c r="E210">
        <v>2004</v>
      </c>
      <c r="F210">
        <v>5</v>
      </c>
      <c r="G210">
        <v>0</v>
      </c>
      <c r="I210" t="s">
        <v>78</v>
      </c>
      <c r="J210">
        <v>5</v>
      </c>
      <c r="K210">
        <f t="shared" si="116"/>
        <v>2009</v>
      </c>
      <c r="N210">
        <v>8063.88</v>
      </c>
      <c r="O210">
        <v>0</v>
      </c>
      <c r="P210">
        <f t="shared" si="117"/>
        <v>8063.88</v>
      </c>
      <c r="Q210">
        <f t="shared" si="118"/>
        <v>134.398</v>
      </c>
      <c r="R210">
        <f t="shared" si="119"/>
        <v>0</v>
      </c>
      <c r="S210">
        <f t="shared" si="120"/>
        <v>0</v>
      </c>
      <c r="T210">
        <f t="shared" si="121"/>
        <v>0</v>
      </c>
      <c r="U210">
        <v>1</v>
      </c>
      <c r="V210">
        <f t="shared" si="122"/>
        <v>0</v>
      </c>
      <c r="X210">
        <f t="shared" si="123"/>
        <v>8063.88</v>
      </c>
      <c r="Y210">
        <f t="shared" si="124"/>
        <v>8063.88</v>
      </c>
      <c r="Z210">
        <v>1</v>
      </c>
      <c r="AA210">
        <f t="shared" si="125"/>
        <v>8063.88</v>
      </c>
      <c r="AB210">
        <f t="shared" si="126"/>
        <v>8063.88</v>
      </c>
      <c r="AC210">
        <f t="shared" si="127"/>
        <v>0</v>
      </c>
      <c r="AD210">
        <f t="shared" si="128"/>
        <v>2004.3333333333333</v>
      </c>
      <c r="AE210">
        <f t="shared" si="93"/>
        <v>2020</v>
      </c>
      <c r="AF210">
        <f t="shared" si="129"/>
        <v>2009.3333333333333</v>
      </c>
      <c r="AG210">
        <f t="shared" si="95"/>
        <v>2187.1666666666665</v>
      </c>
      <c r="AH210">
        <f t="shared" si="130"/>
        <v>-8.3333333333333329E-2</v>
      </c>
    </row>
    <row r="213" spans="2:34">
      <c r="C213" t="s">
        <v>480</v>
      </c>
    </row>
    <row r="214" spans="2:34">
      <c r="B214">
        <v>6030</v>
      </c>
      <c r="C214" t="s">
        <v>449</v>
      </c>
      <c r="D214">
        <v>61071</v>
      </c>
      <c r="E214">
        <v>2003</v>
      </c>
      <c r="F214">
        <v>5</v>
      </c>
      <c r="G214">
        <v>0.33</v>
      </c>
      <c r="I214" t="s">
        <v>78</v>
      </c>
      <c r="J214">
        <v>5</v>
      </c>
      <c r="K214">
        <f>E214+J214</f>
        <v>2008</v>
      </c>
      <c r="N214">
        <v>8938.66</v>
      </c>
      <c r="O214">
        <v>0</v>
      </c>
      <c r="P214">
        <f>N214-N214*G214</f>
        <v>5988.9021999999995</v>
      </c>
      <c r="Q214">
        <f>P214/J214/12</f>
        <v>99.815036666666671</v>
      </c>
      <c r="R214">
        <f>IF(O214&gt;0,0,IF(OR(AD214&gt;AE214,AF214&lt;AG214),0,IF(AND(AF214&gt;=AG214,AF214&lt;=AE214),Q214*((AF214-AG214)*12),IF(AND(AG214&lt;=AD214,AE214&gt;=AD214),((AE214-AD214)*12)*Q214,IF(AF214&gt;AE214,12*Q214,0)))))</f>
        <v>0</v>
      </c>
      <c r="S214">
        <f>IF(O214=0,0,IF(AND(AH214&gt;=AG214,AH214&lt;=AF214),((AH214-AG214)*12)*Q214,0))</f>
        <v>0</v>
      </c>
      <c r="T214">
        <f>IF(S214&gt;0,S214,R214)</f>
        <v>0</v>
      </c>
      <c r="U214">
        <v>1</v>
      </c>
      <c r="V214">
        <f>U214*SUM(R214:S214)</f>
        <v>0</v>
      </c>
      <c r="X214">
        <f>IF(AD214&gt;AE214,0,IF(AF214&lt;AG214,P214,IF(AND(AF214&gt;=AG214,AF214&lt;=AE214),(P214-T214),IF(AND(AG214&lt;=AD214,AE214&gt;=AD214),0,IF(AF214&gt;AE214,((AG214-AD214)*12)*Q214,0)))))</f>
        <v>5988.9021999999995</v>
      </c>
      <c r="Y214">
        <f>X214*U214</f>
        <v>5988.9021999999995</v>
      </c>
      <c r="Z214">
        <v>1</v>
      </c>
      <c r="AA214">
        <f>Y214*Z214</f>
        <v>5988.9021999999995</v>
      </c>
      <c r="AB214">
        <f>IF(O214&gt;0,0,AA214+V214*Z214)*Z214</f>
        <v>5988.9021999999995</v>
      </c>
      <c r="AC214">
        <f>IF(O214&gt;0,(N214-AA214)/2,IF(AD214&gt;=AG214,(((N214*U214)*Z214)-AB214)/2,((((N214*U214)*Z214)-AA214)+(((N214*U214)*Z214)-AB214))/2))</f>
        <v>2949.7578000000003</v>
      </c>
      <c r="AD214">
        <f>$E214+(($F214-1)/12)</f>
        <v>2003.3333333333333</v>
      </c>
      <c r="AE214">
        <f>('Trucks 2183'!$M$5+1)-('Trucks 2183'!$M$2/12)</f>
        <v>2020</v>
      </c>
      <c r="AF214">
        <f>$K214+(($F214-1)/12)</f>
        <v>2008.3333333333333</v>
      </c>
      <c r="AG214">
        <f>'Trucks 2183'!$M$4+('Trucks 2183'!$M$3/12)</f>
        <v>2187.1666666666665</v>
      </c>
      <c r="AH214">
        <f>$L214+(($M214-1)/12)</f>
        <v>-8.3333333333333329E-2</v>
      </c>
    </row>
  </sheetData>
  <mergeCells count="1">
    <mergeCell ref="AJ5:AR6"/>
  </mergeCells>
  <pageMargins left="0.75" right="0.75" top="1" bottom="1" header="0.5" footer="0.5"/>
  <pageSetup scale="60" fitToHeight="2" orientation="landscape" horizontalDpi="300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DBE1F45C33CD345B64E2B0D807E8EBD" ma:contentTypeVersion="48" ma:contentTypeDescription="" ma:contentTypeScope="" ma:versionID="9a2ad6153fbd869ed638756df0cad98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2019-06-14T07:00:00+00:00</OpenedDate>
    <SignificantOrder xmlns="dc463f71-b30c-4ab2-9473-d307f9d35888">false</SignificantOrder>
    <Date1 xmlns="dc463f71-b30c-4ab2-9473-d307f9d35888">2019-06-14T07:00:00+00:00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</CaseCompanyNames>
    <Nickname xmlns="http://schemas.microsoft.com/sharepoint/v3" xsi:nil="true"/>
    <DocketNumber xmlns="dc463f71-b30c-4ab2-9473-d307f9d35888">190516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60C3C3-6EE9-4E19-B2E9-492A17E515EB}"/>
</file>

<file path=customXml/itemProps2.xml><?xml version="1.0" encoding="utf-8"?>
<ds:datastoreItem xmlns:ds="http://schemas.openxmlformats.org/officeDocument/2006/customXml" ds:itemID="{CB0D556D-43A1-47EB-A1E0-8C1E27C017BD}"/>
</file>

<file path=customXml/itemProps3.xml><?xml version="1.0" encoding="utf-8"?>
<ds:datastoreItem xmlns:ds="http://schemas.openxmlformats.org/officeDocument/2006/customXml" ds:itemID="{208E3409-A2AC-4770-8EA4-03966BCD2E4B}"/>
</file>

<file path=customXml/itemProps4.xml><?xml version="1.0" encoding="utf-8"?>
<ds:datastoreItem xmlns:ds="http://schemas.openxmlformats.org/officeDocument/2006/customXml" ds:itemID="{92965800-F6DF-4D15-AE4C-72D7D3CE6E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Summary 2183</vt:lpstr>
      <vt:lpstr>Trucks 2183</vt:lpstr>
      <vt:lpstr>Containers 2183</vt:lpstr>
      <vt:lpstr>OTHER EQUIP 2183</vt:lpstr>
      <vt:lpstr>Orig Trucks 2183</vt:lpstr>
      <vt:lpstr>Orig OTHER EQUIP 2183</vt:lpstr>
      <vt:lpstr>'Containers 2183'!Print_Area</vt:lpstr>
      <vt:lpstr>'Orig OTHER EQUIP 2183'!Print_Area</vt:lpstr>
      <vt:lpstr>'Orig Trucks 2183'!Print_Area</vt:lpstr>
      <vt:lpstr>'OTHER EQUIP 2183'!Print_Area</vt:lpstr>
      <vt:lpstr>'Summary 2183'!Print_Area</vt:lpstr>
      <vt:lpstr>'Trucks 2183'!Print_Area</vt:lpstr>
      <vt:lpstr>'Orig Trucks 2183'!Print_Area_MI</vt:lpstr>
      <vt:lpstr>'Trucks 2183'!Print_Area_MI</vt:lpstr>
      <vt:lpstr>'Containers 2183'!Print_Titles</vt:lpstr>
      <vt:lpstr>'Orig OTHER EQUIP 2183'!Print_Titles</vt:lpstr>
      <vt:lpstr>'Orig Trucks 2183'!Print_Titles</vt:lpstr>
      <vt:lpstr>'OTHER EQUIP 2183'!Print_Titles</vt:lpstr>
      <vt:lpstr>'Trucks 2183'!Print_Titles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Thompson</dc:creator>
  <cp:lastModifiedBy>Lindsay Waldram</cp:lastModifiedBy>
  <cp:lastPrinted>2019-06-14T23:50:28Z</cp:lastPrinted>
  <dcterms:created xsi:type="dcterms:W3CDTF">2009-02-17T19:30:09Z</dcterms:created>
  <dcterms:modified xsi:type="dcterms:W3CDTF">2019-06-14T23:52:47Z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0x0101006E56B4D1795A2E4DB2F0B01679ED314A000DBE1F45C33CD345B64E2B0D807E8EBD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