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70" yWindow="45" windowWidth="15180" windowHeight="8415" activeTab="0"/>
  </bookViews>
  <sheets>
    <sheet name="WUTC_KENT_SF" sheetId="1" r:id="rId1"/>
    <sheet name="Value" sheetId="2" r:id="rId2"/>
    <sheet name="Commodity Tonnages" sheetId="3" r:id="rId3"/>
    <sheet name="Pricing" sheetId="4" r:id="rId4"/>
    <sheet name="Single Family"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fn.IFERROR" hidden="1">#NAME?</definedName>
    <definedName name="color">#REF!</definedName>
    <definedName name="_xlnm.Print_Area" localSheetId="4">'Single Family'!$A$1:$O$98</definedName>
    <definedName name="_xlnm.Print_Area" localSheetId="0">'WUTC_KENT_SF'!$A$1:$P$73</definedName>
    <definedName name="_xlnm.Print_Titles" localSheetId="4">'Single Family'!$A:$B,'Single Family'!$1:$6</definedName>
  </definedNames>
  <calcPr fullCalcOnLoad="1"/>
</workbook>
</file>

<file path=xl/comments1.xml><?xml version="1.0" encoding="utf-8"?>
<comments xmlns="http://schemas.openxmlformats.org/spreadsheetml/2006/main">
  <authors>
    <author>Alex Brenner</author>
    <author>Johnson, Carla</author>
  </authors>
  <commentList>
    <comment ref="F43"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F39"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B8" authorId="1">
      <text>
        <r>
          <rPr>
            <b/>
            <sz val="9"/>
            <rFont val="Tahoma"/>
            <family val="2"/>
          </rPr>
          <t>Johnson, Carla:</t>
        </r>
        <r>
          <rPr>
            <sz val="9"/>
            <rFont val="Tahoma"/>
            <family val="2"/>
          </rPr>
          <t xml:space="preserve">
RSA Workbook/Single Family Tab/4176 # of customers column K
</t>
        </r>
      </text>
    </comment>
  </commentList>
</comments>
</file>

<file path=xl/comments2.xml><?xml version="1.0" encoding="utf-8"?>
<comments xmlns="http://schemas.openxmlformats.org/spreadsheetml/2006/main">
  <authors>
    <author>Johnson, Carla</author>
  </authors>
  <commentList>
    <comment ref="Q7" authorId="0">
      <text>
        <r>
          <rPr>
            <b/>
            <sz val="9"/>
            <rFont val="Tahoma"/>
            <family val="2"/>
          </rPr>
          <t>Johnson, Carla:</t>
        </r>
        <r>
          <rPr>
            <sz val="9"/>
            <rFont val="Tahoma"/>
            <family val="2"/>
          </rPr>
          <t xml:space="preserve">
RSA Workbook/Single Family/4176 Commodity Value column M</t>
        </r>
      </text>
    </comment>
  </commentList>
</comments>
</file>

<file path=xl/comments5.xml><?xml version="1.0" encoding="utf-8"?>
<comments xmlns="http://schemas.openxmlformats.org/spreadsheetml/2006/main">
  <authors>
    <author>Johnson, Carla</author>
  </authors>
  <commentList>
    <comment ref="C7" authorId="0">
      <text>
        <r>
          <rPr>
            <b/>
            <sz val="9"/>
            <rFont val="Tahoma"/>
            <family val="2"/>
          </rPr>
          <t>Johnson, Carla:</t>
        </r>
        <r>
          <rPr>
            <sz val="9"/>
            <rFont val="Tahoma"/>
            <family val="2"/>
          </rPr>
          <t xml:space="preserve">
RSA Workbook/Single Family/4176 Tons column L</t>
        </r>
      </text>
    </comment>
  </commentList>
</comments>
</file>

<file path=xl/sharedStrings.xml><?xml version="1.0" encoding="utf-8"?>
<sst xmlns="http://schemas.openxmlformats.org/spreadsheetml/2006/main" count="197" uniqueCount="88">
  <si>
    <t>Kent-Meridian Disposal</t>
  </si>
  <si>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</si>
  <si>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</si>
  <si>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</si>
  <si>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</si>
  <si>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</si>
  <si>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</si>
  <si>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</si>
  <si>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</si>
  <si>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</si>
  <si>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</si>
  <si>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</si>
  <si>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</si>
  <si>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</si>
  <si>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</si>
  <si>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</si>
  <si>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</si>
  <si>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</si>
  <si>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</si>
  <si>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Kent Meridian Disposal</t>
  </si>
  <si>
    <t>Alum</t>
  </si>
  <si>
    <t>Glass</t>
  </si>
  <si>
    <t>Tin/Iron</t>
  </si>
  <si>
    <t>ONP</t>
  </si>
  <si>
    <t>MWP</t>
  </si>
  <si>
    <t>Pet</t>
  </si>
  <si>
    <t>HDPE</t>
  </si>
  <si>
    <t>OCC</t>
  </si>
  <si>
    <t>Other</t>
  </si>
  <si>
    <t>Total</t>
  </si>
  <si>
    <t xml:space="preserve"> </t>
  </si>
  <si>
    <t>Monthly Average</t>
  </si>
  <si>
    <t xml:space="preserve">Total </t>
  </si>
  <si>
    <t>Total Tons</t>
  </si>
  <si>
    <t>Sorted Glass Percentage</t>
  </si>
  <si>
    <t>Sorted Glass</t>
  </si>
  <si>
    <t>Sampled Tons</t>
  </si>
  <si>
    <t>Sampling Percentages</t>
  </si>
  <si>
    <t>Magazines</t>
  </si>
  <si>
    <t>Tin</t>
  </si>
  <si>
    <t>Plastic</t>
  </si>
  <si>
    <t>Aluminum</t>
  </si>
  <si>
    <t>Ferris Metal</t>
  </si>
  <si>
    <t>Glass Contamination</t>
  </si>
  <si>
    <t>Trash</t>
  </si>
  <si>
    <t>Mixed Paper</t>
  </si>
  <si>
    <t>Sampled Tonnage</t>
  </si>
  <si>
    <t>Recovery Percentages</t>
  </si>
  <si>
    <t>Recovered Tonnages</t>
  </si>
  <si>
    <t xml:space="preserve">Product Sales Rates </t>
  </si>
  <si>
    <t>Product Value</t>
  </si>
  <si>
    <t>Total Value</t>
  </si>
  <si>
    <t>Value per Ton</t>
  </si>
  <si>
    <t>Glass (cont.)</t>
  </si>
  <si>
    <t>Total Additional Passback</t>
  </si>
  <si>
    <t>Single-Family Additional Credit</t>
  </si>
  <si>
    <t>TG-12______</t>
  </si>
  <si>
    <t>For use in Budget Calculation</t>
  </si>
  <si>
    <t>Total Trailing 12 Mo. Commodity Value / Customer</t>
  </si>
  <si>
    <t>Most recent Total # of Customers</t>
  </si>
  <si>
    <t>Base Credit to be Passed Back</t>
  </si>
  <si>
    <t>Budget total Revenue</t>
  </si>
  <si>
    <t>Budget Revenue Passed Back</t>
  </si>
  <si>
    <t>Current Plan Part A Total</t>
  </si>
  <si>
    <t>Prior Plan Part B Total</t>
  </si>
  <si>
    <t>% of Revenue Passed Back</t>
  </si>
  <si>
    <t>% Passed Back</t>
  </si>
  <si>
    <t>Average</t>
  </si>
  <si>
    <t>Commodities</t>
  </si>
  <si>
    <t>Budget</t>
  </si>
  <si>
    <t>Weigted Ave $/Tn</t>
  </si>
  <si>
    <t>Variance - $ / ton</t>
  </si>
  <si>
    <t>Total Revenue Impact</t>
  </si>
  <si>
    <t>average</t>
  </si>
  <si>
    <t>-</t>
  </si>
  <si>
    <t xml:space="preserve">12 month </t>
  </si>
  <si>
    <t>variance</t>
  </si>
  <si>
    <t>2016/2017 plan year tons YTD</t>
  </si>
  <si>
    <t>As of 04/16</t>
  </si>
  <si>
    <t>2016/2017 plan YTD ave tons/month</t>
  </si>
  <si>
    <t>Avg of last 6 months plan year</t>
  </si>
  <si>
    <t>Yr 1 spend will be included during Yr 2</t>
  </si>
  <si>
    <t>May 2018-October 2018</t>
  </si>
  <si>
    <t xml:space="preserve"> True-up Computation</t>
  </si>
  <si>
    <t>6 month running average "BASE CREDIT"</t>
  </si>
  <si>
    <t>Total Bi-Annual Customers</t>
  </si>
  <si>
    <t>Projected Debit</t>
  </si>
  <si>
    <t>11/18 - 4/19 Adjusted Debit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</si>
</sst>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_(* \(#,##0.00\);_(* &quot;-&quot;_);_(@_)"/>
    <numFmt numFmtId="167" formatCode="_(* #,##0.000_);_(* \(#,##0.000\);_(* &quot;-&quot;_);_(@_)"/>
    <numFmt numFmtId="168" formatCode="mmmm"/>
    <numFmt numFmtId="169" formatCode="#,##0.000"/>
    <numFmt numFmtId="170" formatCode="_(&quot;$&quot;* #,##0.000_);_(&quot;$&quot;* \(#,##0.000\);_(&quot;$&quot;* &quot;-&quot;??_);_(@_)"/>
    <numFmt numFmtId="171" formatCode="_(&quot;$&quot;* #,##0_);_(&quot;$&quot;* \(#,##0\);_(&quot;$&quot;*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 #,##0.000_);_(* \(#,##0.000\);_(* &quot;-&quot;???_);_(@_)"/>
  </numFmts>
  <fonts count="59">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sz val="8"/>
      <name val="Tahoma"/>
      <family val="2"/>
    </font>
    <font>
      <sz val="8"/>
      <name val="Tahoma"/>
      <family val="2"/>
    </font>
    <font>
      <b/>
      <i/>
      <sz val="8"/>
      <name val="Arial"/>
      <family val="2"/>
    </font>
    <font>
      <i/>
      <sz val="8"/>
      <color indexed="12"/>
      <name val="Arial"/>
      <family val="2"/>
    </font>
    <font>
      <sz val="9"/>
      <name val="Tahoma"/>
      <family val="2"/>
    </font>
    <font>
      <b/>
      <sz val="9"/>
      <name val="Tahoma"/>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rgb="FF0000FF"/>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theme="0" tint="-0.1499900072813034"/>
        <bgColor indexed="64"/>
      </patternFill>
    </fill>
    <fill>
      <patternFill patternType="solid">
        <fgColor rgb="FFFFFF00"/>
        <bgColor indexed="64"/>
      </patternFill>
    </fill>
    <fill>
      <patternFill patternType="solid">
        <fgColor rgb="FF00B0F0"/>
        <bgColor indexed="64"/>
      </patternFill>
    </fill>
    <fill>
      <patternFill patternType="solid">
        <fgColor rgb="FFFFFF9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medium"/>
      <right style="medium"/>
      <top style="medium"/>
      <bottom style="medium"/>
    </border>
    <border>
      <left style="hair"/>
      <right style="hair"/>
      <top style="hair"/>
      <bottom style="hair"/>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0" fillId="0" borderId="0">
      <alignment/>
      <protection/>
    </xf>
    <xf numFmtId="0" fontId="6" fillId="0" borderId="0">
      <alignment/>
      <protection/>
    </xf>
    <xf numFmtId="0" fontId="0" fillId="32" borderId="7" applyNumberFormat="0" applyFont="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5">
    <xf numFmtId="0" fontId="0" fillId="0" borderId="0" xfId="0" applyAlignment="1">
      <alignment/>
    </xf>
    <xf numFmtId="0" fontId="1" fillId="0" borderId="0" xfId="65" applyFont="1">
      <alignment/>
      <protection/>
    </xf>
    <xf numFmtId="0" fontId="7" fillId="0" borderId="0" xfId="65" applyFont="1">
      <alignment/>
      <protection/>
    </xf>
    <xf numFmtId="0" fontId="7" fillId="0" borderId="0" xfId="65" applyFont="1" applyAlignment="1">
      <alignment horizontal="center"/>
      <protection/>
    </xf>
    <xf numFmtId="0" fontId="8" fillId="0" borderId="0" xfId="65" applyFont="1" applyAlignment="1">
      <alignment horizontal="center"/>
      <protection/>
    </xf>
    <xf numFmtId="0" fontId="6" fillId="0" borderId="0" xfId="65">
      <alignment/>
      <protection/>
    </xf>
    <xf numFmtId="0" fontId="9" fillId="0" borderId="0" xfId="65" applyFont="1">
      <alignment/>
      <protection/>
    </xf>
    <xf numFmtId="14" fontId="7" fillId="0" borderId="0" xfId="65" applyNumberFormat="1" applyFont="1" applyAlignment="1">
      <alignment horizontal="center"/>
      <protection/>
    </xf>
    <xf numFmtId="0" fontId="10" fillId="0" borderId="0" xfId="65" applyFont="1">
      <alignment/>
      <protection/>
    </xf>
    <xf numFmtId="0" fontId="11" fillId="0" borderId="0" xfId="65" applyFont="1">
      <alignment/>
      <protection/>
    </xf>
    <xf numFmtId="0" fontId="11" fillId="0" borderId="0" xfId="65" applyFont="1" applyAlignment="1">
      <alignment horizontal="center"/>
      <protection/>
    </xf>
    <xf numFmtId="0" fontId="9" fillId="0" borderId="0" xfId="65" applyFont="1" applyAlignment="1">
      <alignment horizontal="center"/>
      <protection/>
    </xf>
    <xf numFmtId="166" fontId="9" fillId="0" borderId="0" xfId="65" applyNumberFormat="1" applyFont="1" applyAlignment="1">
      <alignment horizontal="center"/>
      <protection/>
    </xf>
    <xf numFmtId="1" fontId="7" fillId="0" borderId="0" xfId="65" applyNumberFormat="1" applyFont="1">
      <alignment/>
      <protection/>
    </xf>
    <xf numFmtId="41" fontId="7" fillId="0" borderId="0" xfId="65" applyNumberFormat="1" applyFont="1">
      <alignment/>
      <protection/>
    </xf>
    <xf numFmtId="166" fontId="9" fillId="0" borderId="0" xfId="65" applyNumberFormat="1" applyFont="1">
      <alignment/>
      <protection/>
    </xf>
    <xf numFmtId="166" fontId="7" fillId="0" borderId="0" xfId="65" applyNumberFormat="1" applyFont="1">
      <alignment/>
      <protection/>
    </xf>
    <xf numFmtId="168" fontId="7" fillId="0" borderId="0" xfId="65" applyNumberFormat="1" applyFont="1" applyAlignment="1">
      <alignment horizontal="right"/>
      <protection/>
    </xf>
    <xf numFmtId="166" fontId="7" fillId="0" borderId="0" xfId="65" applyNumberFormat="1" applyFont="1" applyAlignment="1">
      <alignment horizontal="center"/>
      <protection/>
    </xf>
    <xf numFmtId="166" fontId="7" fillId="0" borderId="0" xfId="65" applyNumberFormat="1" applyFont="1" applyFill="1" applyAlignment="1">
      <alignment horizontal="center"/>
      <protection/>
    </xf>
    <xf numFmtId="41" fontId="12" fillId="0" borderId="0" xfId="65" applyNumberFormat="1" applyFont="1">
      <alignment/>
      <protection/>
    </xf>
    <xf numFmtId="41" fontId="13" fillId="0" borderId="0" xfId="65" applyNumberFormat="1" applyFont="1" applyAlignment="1">
      <alignment horizontal="left"/>
      <protection/>
    </xf>
    <xf numFmtId="41" fontId="7" fillId="0" borderId="10" xfId="65" applyNumberFormat="1" applyFont="1" applyBorder="1">
      <alignment/>
      <protection/>
    </xf>
    <xf numFmtId="167" fontId="7" fillId="0" borderId="0" xfId="65" applyNumberFormat="1" applyFont="1">
      <alignment/>
      <protection/>
    </xf>
    <xf numFmtId="166" fontId="6" fillId="0" borderId="0" xfId="65" applyNumberFormat="1">
      <alignment/>
      <protection/>
    </xf>
    <xf numFmtId="168" fontId="7" fillId="0" borderId="0" xfId="65" applyNumberFormat="1" applyFont="1">
      <alignment/>
      <protection/>
    </xf>
    <xf numFmtId="41" fontId="7" fillId="0" borderId="11" xfId="65" applyNumberFormat="1" applyFont="1" applyBorder="1">
      <alignment/>
      <protection/>
    </xf>
    <xf numFmtId="41" fontId="9" fillId="0" borderId="12" xfId="65" applyNumberFormat="1" applyFont="1" applyBorder="1">
      <alignment/>
      <protection/>
    </xf>
    <xf numFmtId="41" fontId="7" fillId="0" borderId="12" xfId="65" applyNumberFormat="1" applyFont="1" applyBorder="1">
      <alignment/>
      <protection/>
    </xf>
    <xf numFmtId="41" fontId="10" fillId="0" borderId="0" xfId="65" applyNumberFormat="1" applyFont="1">
      <alignment/>
      <protection/>
    </xf>
    <xf numFmtId="41" fontId="7" fillId="0" borderId="0" xfId="65" applyNumberFormat="1" applyFont="1" applyAlignment="1">
      <alignment horizontal="right"/>
      <protection/>
    </xf>
    <xf numFmtId="1" fontId="10" fillId="0" borderId="0" xfId="65" applyNumberFormat="1" applyFont="1">
      <alignment/>
      <protection/>
    </xf>
    <xf numFmtId="167" fontId="12" fillId="0" borderId="0" xfId="65" applyNumberFormat="1" applyFont="1">
      <alignment/>
      <protection/>
    </xf>
    <xf numFmtId="41" fontId="7" fillId="0" borderId="0" xfId="65" applyNumberFormat="1" applyFont="1" applyBorder="1">
      <alignment/>
      <protection/>
    </xf>
    <xf numFmtId="41" fontId="7" fillId="0" borderId="13" xfId="65" applyNumberFormat="1" applyFont="1" applyBorder="1">
      <alignment/>
      <protection/>
    </xf>
    <xf numFmtId="41" fontId="7" fillId="0" borderId="14" xfId="65" applyNumberFormat="1" applyFont="1" applyBorder="1">
      <alignment/>
      <protection/>
    </xf>
    <xf numFmtId="41" fontId="7" fillId="0" borderId="15" xfId="65" applyNumberFormat="1" applyFont="1" applyBorder="1">
      <alignment/>
      <protection/>
    </xf>
    <xf numFmtId="167" fontId="7" fillId="0" borderId="11" xfId="65" applyNumberFormat="1" applyFont="1" applyBorder="1">
      <alignment/>
      <protection/>
    </xf>
    <xf numFmtId="166" fontId="7" fillId="0" borderId="0" xfId="65" applyNumberFormat="1" applyFont="1" applyFill="1" applyBorder="1">
      <alignment/>
      <protection/>
    </xf>
    <xf numFmtId="168" fontId="7" fillId="0" borderId="0" xfId="65" applyNumberFormat="1" applyFont="1" applyFill="1" applyBorder="1" applyAlignment="1">
      <alignment horizontal="right"/>
      <protection/>
    </xf>
    <xf numFmtId="41" fontId="13" fillId="0" borderId="0" xfId="65" applyNumberFormat="1" applyFont="1" applyFill="1" applyBorder="1" applyAlignment="1">
      <alignment horizontal="left"/>
      <protection/>
    </xf>
    <xf numFmtId="41" fontId="7" fillId="0" borderId="0" xfId="65" applyNumberFormat="1" applyFont="1" applyFill="1" applyBorder="1">
      <alignment/>
      <protection/>
    </xf>
    <xf numFmtId="41" fontId="12" fillId="0" borderId="0" xfId="65" applyNumberFormat="1" applyFont="1" applyFill="1" applyBorder="1">
      <alignment/>
      <protection/>
    </xf>
    <xf numFmtId="1" fontId="7" fillId="0" borderId="0" xfId="65" applyNumberFormat="1" applyFont="1" applyFill="1" applyBorder="1">
      <alignment/>
      <protection/>
    </xf>
    <xf numFmtId="0" fontId="6" fillId="0" borderId="0" xfId="65" applyFill="1" applyBorder="1">
      <alignment/>
      <protection/>
    </xf>
    <xf numFmtId="166" fontId="6" fillId="0" borderId="0" xfId="65" applyNumberFormat="1" applyFill="1" applyBorder="1">
      <alignment/>
      <protection/>
    </xf>
    <xf numFmtId="168" fontId="7" fillId="0" borderId="0" xfId="65" applyNumberFormat="1" applyFont="1" applyFill="1" applyBorder="1">
      <alignment/>
      <protection/>
    </xf>
    <xf numFmtId="167" fontId="7" fillId="0" borderId="0" xfId="65" applyNumberFormat="1" applyFont="1" applyFill="1" applyBorder="1">
      <alignment/>
      <protection/>
    </xf>
    <xf numFmtId="166" fontId="7" fillId="0" borderId="13" xfId="65" applyNumberFormat="1" applyFont="1" applyBorder="1">
      <alignment/>
      <protection/>
    </xf>
    <xf numFmtId="166" fontId="7" fillId="0" borderId="15" xfId="65" applyNumberFormat="1" applyFont="1" applyBorder="1">
      <alignment/>
      <protection/>
    </xf>
    <xf numFmtId="2" fontId="6" fillId="0" borderId="0" xfId="65"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69" fontId="0" fillId="0" borderId="0" xfId="0" applyNumberFormat="1" applyBorder="1" applyAlignment="1">
      <alignment/>
    </xf>
    <xf numFmtId="169" fontId="0" fillId="0" borderId="0" xfId="0" applyNumberFormat="1" applyAlignment="1">
      <alignment/>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9" fontId="0" fillId="0" borderId="0" xfId="69" applyAlignment="1">
      <alignment/>
    </xf>
    <xf numFmtId="40" fontId="7" fillId="0" borderId="0" xfId="0" applyNumberFormat="1" applyFont="1" applyAlignment="1">
      <alignment/>
    </xf>
    <xf numFmtId="43" fontId="7" fillId="0" borderId="0" xfId="42" applyFont="1" applyAlignment="1">
      <alignment/>
    </xf>
    <xf numFmtId="44" fontId="7" fillId="0" borderId="11" xfId="45" applyNumberFormat="1" applyFont="1" applyBorder="1" applyAlignment="1">
      <alignment/>
    </xf>
    <xf numFmtId="44" fontId="7" fillId="0" borderId="10" xfId="45" applyNumberFormat="1" applyFont="1" applyBorder="1" applyAlignment="1">
      <alignment/>
    </xf>
    <xf numFmtId="44" fontId="7" fillId="0" borderId="0" xfId="45" applyFont="1" applyAlignment="1">
      <alignment/>
    </xf>
    <xf numFmtId="41" fontId="7" fillId="0" borderId="0" xfId="65" applyNumberFormat="1" applyFont="1" applyAlignment="1">
      <alignment horizontal="left" indent="1"/>
      <protection/>
    </xf>
    <xf numFmtId="4" fontId="7" fillId="0" borderId="10" xfId="0" applyNumberFormat="1" applyFont="1" applyBorder="1" applyAlignment="1">
      <alignment/>
    </xf>
    <xf numFmtId="40" fontId="7" fillId="0" borderId="10" xfId="0" applyNumberFormat="1" applyFont="1" applyBorder="1" applyAlignment="1">
      <alignment/>
    </xf>
    <xf numFmtId="43" fontId="7" fillId="0" borderId="10" xfId="42" applyFont="1" applyBorder="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17" fontId="7" fillId="33" borderId="0" xfId="0" applyNumberFormat="1" applyFont="1" applyFill="1" applyBorder="1" applyAlignment="1">
      <alignment horizontal="center"/>
    </xf>
    <xf numFmtId="17" fontId="7" fillId="0" borderId="0" xfId="0" applyNumberFormat="1" applyFont="1" applyFill="1" applyBorder="1" applyAlignment="1">
      <alignment horizontal="center"/>
    </xf>
    <xf numFmtId="2" fontId="9" fillId="0" borderId="0" xfId="0" applyNumberFormat="1" applyFont="1" applyAlignment="1">
      <alignment/>
    </xf>
    <xf numFmtId="2" fontId="9" fillId="33" borderId="0" xfId="0" applyNumberFormat="1" applyFont="1" applyFill="1" applyBorder="1" applyAlignment="1">
      <alignment/>
    </xf>
    <xf numFmtId="9" fontId="7" fillId="0" borderId="0" xfId="69" applyFont="1" applyFill="1" applyAlignment="1">
      <alignment/>
    </xf>
    <xf numFmtId="43" fontId="7" fillId="0" borderId="14"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33" borderId="0" xfId="0" applyNumberFormat="1" applyFont="1" applyFill="1" applyAlignment="1">
      <alignment/>
    </xf>
    <xf numFmtId="10" fontId="7" fillId="33" borderId="0" xfId="69" applyNumberFormat="1" applyFont="1" applyFill="1" applyAlignment="1">
      <alignment/>
    </xf>
    <xf numFmtId="10" fontId="7" fillId="0" borderId="0" xfId="69" applyNumberFormat="1" applyFont="1" applyAlignment="1">
      <alignment/>
    </xf>
    <xf numFmtId="10" fontId="9" fillId="34" borderId="0" xfId="69" applyNumberFormat="1" applyFont="1" applyFill="1" applyAlignment="1">
      <alignment/>
    </xf>
    <xf numFmtId="9" fontId="7" fillId="0" borderId="0" xfId="69"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14" xfId="45" applyFont="1" applyBorder="1" applyAlignment="1">
      <alignment/>
    </xf>
    <xf numFmtId="44" fontId="9" fillId="0" borderId="0" xfId="45" applyFont="1" applyBorder="1" applyAlignment="1">
      <alignment/>
    </xf>
    <xf numFmtId="43" fontId="9" fillId="0" borderId="0" xfId="42" applyFont="1" applyBorder="1" applyAlignment="1">
      <alignment/>
    </xf>
    <xf numFmtId="43" fontId="9" fillId="0" borderId="13" xfId="42" applyFont="1" applyBorder="1" applyAlignment="1">
      <alignment/>
    </xf>
    <xf numFmtId="44" fontId="7" fillId="0" borderId="0" xfId="0" applyNumberFormat="1" applyFont="1" applyAlignment="1">
      <alignment/>
    </xf>
    <xf numFmtId="44" fontId="7" fillId="0" borderId="0" xfId="45" applyFont="1" applyBorder="1" applyAlignment="1">
      <alignment/>
    </xf>
    <xf numFmtId="44" fontId="9" fillId="0" borderId="0" xfId="0" applyNumberFormat="1" applyFont="1" applyBorder="1" applyAlignment="1">
      <alignment/>
    </xf>
    <xf numFmtId="0" fontId="7" fillId="0" borderId="0" xfId="0" applyFont="1" applyBorder="1" applyAlignment="1">
      <alignment/>
    </xf>
    <xf numFmtId="44" fontId="7" fillId="0" borderId="0" xfId="45" applyNumberFormat="1" applyFont="1" applyBorder="1" applyAlignment="1">
      <alignment/>
    </xf>
    <xf numFmtId="0" fontId="0" fillId="0" borderId="0" xfId="0" applyNumberFormat="1" applyAlignment="1">
      <alignment/>
    </xf>
    <xf numFmtId="0" fontId="1" fillId="0" borderId="0" xfId="0" applyNumberFormat="1" applyFont="1" applyAlignment="1">
      <alignment horizontal="center"/>
    </xf>
    <xf numFmtId="166" fontId="7" fillId="0" borderId="0" xfId="65" applyNumberFormat="1" applyFont="1" applyAlignment="1">
      <alignment horizontal="right"/>
      <protection/>
    </xf>
    <xf numFmtId="170" fontId="7" fillId="0" borderId="11" xfId="45" applyNumberFormat="1" applyFont="1" applyBorder="1" applyAlignment="1">
      <alignment/>
    </xf>
    <xf numFmtId="165" fontId="1" fillId="0" borderId="0" xfId="69" applyNumberFormat="1" applyFont="1" applyAlignment="1">
      <alignment/>
    </xf>
    <xf numFmtId="0" fontId="16" fillId="0" borderId="16" xfId="65" applyFont="1" applyBorder="1" applyAlignment="1">
      <alignment horizontal="center"/>
      <protection/>
    </xf>
    <xf numFmtId="0" fontId="7" fillId="0" borderId="0" xfId="65" applyFont="1" applyBorder="1">
      <alignment/>
      <protection/>
    </xf>
    <xf numFmtId="166" fontId="16" fillId="0" borderId="17" xfId="65" applyNumberFormat="1" applyFont="1" applyBorder="1" applyAlignment="1">
      <alignment horizontal="center"/>
      <protection/>
    </xf>
    <xf numFmtId="166" fontId="7" fillId="0" borderId="0" xfId="65" applyNumberFormat="1" applyFont="1" applyBorder="1">
      <alignment/>
      <protection/>
    </xf>
    <xf numFmtId="166" fontId="17" fillId="0" borderId="17" xfId="65" applyNumberFormat="1" applyFont="1" applyFill="1" applyBorder="1" applyAlignment="1">
      <alignment horizontal="center"/>
      <protection/>
    </xf>
    <xf numFmtId="41" fontId="13" fillId="0" borderId="17" xfId="65" applyNumberFormat="1" applyFont="1" applyBorder="1">
      <alignment/>
      <protection/>
    </xf>
    <xf numFmtId="166" fontId="9" fillId="0" borderId="0" xfId="65" applyNumberFormat="1" applyFont="1" applyBorder="1">
      <alignment/>
      <protection/>
    </xf>
    <xf numFmtId="0" fontId="6" fillId="0" borderId="0" xfId="65" applyBorder="1">
      <alignment/>
      <protection/>
    </xf>
    <xf numFmtId="167" fontId="9" fillId="0" borderId="17" xfId="65" applyNumberFormat="1" applyFont="1" applyBorder="1">
      <alignment/>
      <protection/>
    </xf>
    <xf numFmtId="41" fontId="7" fillId="0" borderId="18" xfId="65" applyNumberFormat="1" applyFont="1" applyBorder="1">
      <alignment/>
      <protection/>
    </xf>
    <xf numFmtId="165" fontId="7" fillId="0" borderId="0" xfId="69" applyNumberFormat="1" applyFont="1" applyAlignment="1">
      <alignment/>
    </xf>
    <xf numFmtId="10" fontId="7" fillId="0" borderId="0" xfId="0" applyNumberFormat="1" applyFont="1" applyFill="1" applyAlignment="1">
      <alignment/>
    </xf>
    <xf numFmtId="17" fontId="7" fillId="0" borderId="0" xfId="0" applyNumberFormat="1" applyFont="1" applyAlignment="1">
      <alignment horizontal="center"/>
    </xf>
    <xf numFmtId="44" fontId="7" fillId="35" borderId="19" xfId="45" applyFont="1" applyFill="1" applyBorder="1" applyAlignment="1">
      <alignment/>
    </xf>
    <xf numFmtId="44" fontId="7" fillId="0" borderId="19" xfId="45" applyFont="1" applyBorder="1" applyAlignment="1">
      <alignment/>
    </xf>
    <xf numFmtId="0" fontId="9" fillId="0" borderId="0" xfId="0" applyFont="1" applyAlignment="1">
      <alignment/>
    </xf>
    <xf numFmtId="44" fontId="7" fillId="35" borderId="20" xfId="45" applyFont="1" applyFill="1" applyBorder="1" applyAlignment="1">
      <alignment/>
    </xf>
    <xf numFmtId="44" fontId="7" fillId="0" borderId="20" xfId="45" applyFont="1" applyBorder="1" applyAlignment="1">
      <alignment/>
    </xf>
    <xf numFmtId="7" fontId="0" fillId="0" borderId="0" xfId="0" applyNumberFormat="1" applyFont="1" applyFill="1" applyBorder="1" applyAlignment="1">
      <alignment horizontal="center"/>
    </xf>
    <xf numFmtId="44" fontId="20" fillId="0" borderId="0" xfId="0" applyNumberFormat="1" applyFont="1" applyFill="1" applyBorder="1" applyAlignment="1">
      <alignment/>
    </xf>
    <xf numFmtId="4" fontId="7" fillId="0" borderId="0" xfId="66" applyNumberFormat="1" applyFont="1" applyFill="1" applyBorder="1" applyAlignment="1">
      <alignment/>
    </xf>
    <xf numFmtId="7" fontId="0" fillId="0" borderId="0" xfId="45" applyNumberFormat="1" applyBorder="1" applyAlignment="1">
      <alignment/>
    </xf>
    <xf numFmtId="0" fontId="7" fillId="0" borderId="0" xfId="0" applyFont="1" applyFill="1" applyAlignment="1">
      <alignment horizontal="center"/>
    </xf>
    <xf numFmtId="44" fontId="7" fillId="0" borderId="0" xfId="0" applyNumberFormat="1" applyFont="1" applyFill="1" applyAlignment="1">
      <alignment/>
    </xf>
    <xf numFmtId="164" fontId="7" fillId="0" borderId="0" xfId="42" applyNumberFormat="1" applyFont="1" applyFill="1" applyAlignment="1">
      <alignment/>
    </xf>
    <xf numFmtId="0" fontId="13" fillId="0" borderId="0" xfId="0" applyFont="1" applyFill="1" applyAlignment="1">
      <alignment/>
    </xf>
    <xf numFmtId="171" fontId="7" fillId="0" borderId="0" xfId="45" applyNumberFormat="1" applyFont="1" applyFill="1" applyAlignment="1">
      <alignment/>
    </xf>
    <xf numFmtId="43" fontId="13" fillId="0" borderId="0" xfId="42" applyNumberFormat="1" applyFont="1" applyFill="1" applyAlignment="1">
      <alignment/>
    </xf>
    <xf numFmtId="44" fontId="0" fillId="0" borderId="0" xfId="0" applyNumberFormat="1" applyBorder="1" applyAlignment="1">
      <alignment/>
    </xf>
    <xf numFmtId="167" fontId="7" fillId="0" borderId="10" xfId="65" applyNumberFormat="1" applyFont="1" applyBorder="1">
      <alignment/>
      <protection/>
    </xf>
    <xf numFmtId="167" fontId="7" fillId="0" borderId="15" xfId="65" applyNumberFormat="1" applyFont="1" applyBorder="1">
      <alignment/>
      <protection/>
    </xf>
    <xf numFmtId="166" fontId="7" fillId="36" borderId="11" xfId="65" applyNumberFormat="1" applyFont="1" applyFill="1" applyBorder="1">
      <alignment/>
      <protection/>
    </xf>
    <xf numFmtId="44" fontId="7" fillId="33" borderId="19" xfId="45" applyNumberFormat="1" applyFont="1" applyFill="1" applyBorder="1" applyAlignment="1">
      <alignment/>
    </xf>
    <xf numFmtId="44" fontId="7" fillId="33" borderId="19" xfId="45" applyNumberFormat="1" applyFont="1" applyFill="1" applyBorder="1" applyAlignment="1">
      <alignment horizontal="center"/>
    </xf>
    <xf numFmtId="44" fontId="57" fillId="33" borderId="19" xfId="45" applyNumberFormat="1" applyFont="1" applyFill="1" applyBorder="1" applyAlignment="1">
      <alignment/>
    </xf>
    <xf numFmtId="44" fontId="57" fillId="33" borderId="19" xfId="45" applyNumberFormat="1" applyFont="1" applyFill="1" applyBorder="1" applyAlignment="1">
      <alignment horizontal="center"/>
    </xf>
    <xf numFmtId="41" fontId="12" fillId="36" borderId="0" xfId="65" applyNumberFormat="1" applyFont="1" applyFill="1" applyAlignment="1">
      <alignment horizontal="center"/>
      <protection/>
    </xf>
    <xf numFmtId="41" fontId="12" fillId="36" borderId="0" xfId="65" applyNumberFormat="1" applyFont="1" applyFill="1">
      <alignment/>
      <protection/>
    </xf>
    <xf numFmtId="166" fontId="7" fillId="37" borderId="0" xfId="65" applyNumberFormat="1" applyFont="1" applyFill="1">
      <alignment/>
      <protection/>
    </xf>
    <xf numFmtId="9" fontId="7" fillId="37" borderId="19" xfId="69" applyFont="1" applyFill="1" applyBorder="1" applyAlignment="1">
      <alignment/>
    </xf>
    <xf numFmtId="165" fontId="58" fillId="38" borderId="21" xfId="69" applyNumberFormat="1" applyFont="1" applyFill="1" applyBorder="1" applyAlignment="1">
      <alignment/>
    </xf>
    <xf numFmtId="0" fontId="0" fillId="0" borderId="0" xfId="0" applyFill="1" applyAlignment="1">
      <alignment/>
    </xf>
    <xf numFmtId="0" fontId="1" fillId="0" borderId="0" xfId="0" applyFont="1" applyFill="1" applyAlignment="1">
      <alignment/>
    </xf>
    <xf numFmtId="44" fontId="0" fillId="0" borderId="0" xfId="45" applyNumberFormat="1" applyFont="1" applyFill="1" applyAlignment="1">
      <alignment/>
    </xf>
    <xf numFmtId="44" fontId="0" fillId="0" borderId="0" xfId="0" applyNumberFormat="1" applyFill="1" applyAlignment="1">
      <alignmen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Currency 3" xfId="48"/>
    <cellStyle name="Currency 3 2"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3" xfId="62"/>
    <cellStyle name="Normal 3" xfId="63"/>
    <cellStyle name="Normal 4" xfId="64"/>
    <cellStyle name="Normal_98REC_CR" xfId="65"/>
    <cellStyle name="Note" xfId="66"/>
    <cellStyle name="Note 2" xfId="67"/>
    <cellStyle name="Output" xfId="68"/>
    <cellStyle name="Percent" xfId="69"/>
    <cellStyle name="Percent 2"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xdr:colOff>
      <xdr:row>83</xdr:row>
      <xdr:rowOff>0</xdr:rowOff>
    </xdr:from>
    <xdr:to>
      <xdr:col>20</xdr:col>
      <xdr:colOff>0</xdr:colOff>
      <xdr:row>84</xdr:row>
      <xdr:rowOff>133350</xdr:rowOff>
    </xdr:to>
    <xdr:sp>
      <xdr:nvSpPr>
        <xdr:cNvPr id="1" name="Double Bracket 1"/>
        <xdr:cNvSpPr>
          <a:spLocks/>
        </xdr:cNvSpPr>
      </xdr:nvSpPr>
      <xdr:spPr>
        <a:xfrm>
          <a:off x="10296525" y="12268200"/>
          <a:ext cx="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RSA\2013-14%20Plan%20Year\WUTC%20Filing%20Working%20Documents\SeaTac%20Multi%20Family%20Commodity%20Credit%20Template%20-%20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72-01\Share\District\WUTC%20Files\RSA\2014-2015%20Plan%20Year\WUTC%20Filing%20Working%20Documents\Kent%20Meridian%20Single%20Family%20Commodity%20Credit%20Template%20-%2020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istrict\~WUTC%20Files~\1.%20RSA\2015-2017%20Plan%20Year\June%202017%20UTC%20filing\Kent%20Meridian%20Tariff%2027\Kent%20Meridian%20Commodity%20Credit%20Templates%202017\EastSide%20Multi%20Family%20Commodity%20Credit%20Template%20-%20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istrict\~WUTC%20Files~\1.%20RSA\2015-2017%20Plan%20Year\June%202017%20UTC%20filing\Kent%20Meridian%20Tariff%2027\Kent%20Meridian%20Commodity%20Credit%20Templates%202017\EastSide%20Single%20Family%20Commodity%20Credit%20Template%20-%2020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istrict\~WUTC%20Files~\1.%20RSA\2015-2017%20Plan%20Year\June%202017%20UTC%20filing\Kent%20Meridian%20Tariff%2027\Kent%20Meridian%20Commodity%20Credit%20Templates%202017\Kent%20Meridian%20Multi%20Family%20Commodity%20Credit%20Template%20-%20201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istrict\~WUTC%20Files~\1.%20RSA\2015-2017%20Plan%20Year\June%202017%20UTC%20filing\Kent%20Meridian%20Tariff%2027\Kent%20Meridian%20Commodity%20Credit%20Templates%202017\SeaTac%20Single%20Family%20Commodity%20Credit%20Template%20-%202017.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istrict\~WUTC%20Files~\1.%20RSA\2015-2017%20Plan%20Year\June%202017%20UTC%20filing\Kent%20Meridian%20Tariff%2027\Kent%20Meridian%20Commodity%20Credit%20Templates%202017\SeaTac%20Multi%20Family%20Commodity%20Credit%20Template%20-%20201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172-01\Share\District\~WUTC%20Files~\1.%20RSA\2015-2017%20Plan%20Year\Commodity%20Credit%20Templates%202015-2016\Kent%20Meridian%20Single%20Family%20Commodity%20Credit%20Template%20-%20201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UTC_KENT_SF"/>
      <sheetName val="Value"/>
      <sheetName val="Commodity Tonnages"/>
      <sheetName val="Pricing"/>
      <sheetName val="Single Family"/>
    </sheetNames>
    <sheetDataSet>
      <sheetData sheetId="4">
        <row r="21">
          <cell r="N21">
            <v>0</v>
          </cell>
        </row>
        <row r="22">
          <cell r="N22">
            <v>0.05930000000000013</v>
          </cell>
        </row>
        <row r="77">
          <cell r="N77">
            <v>-120.17</v>
          </cell>
        </row>
        <row r="78">
          <cell r="N78">
            <v>-120.17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UTC_AW of Bellevue_MF"/>
      <sheetName val="Value"/>
      <sheetName val="Commodity Tonnages"/>
      <sheetName val="Pricing"/>
      <sheetName val="Multi_Family"/>
    </sheetNames>
    <sheetDataSet>
      <sheetData sheetId="4">
        <row r="7">
          <cell r="C7">
            <v>26.19</v>
          </cell>
          <cell r="D7">
            <v>27.22</v>
          </cell>
          <cell r="E7">
            <v>23.1</v>
          </cell>
          <cell r="F7">
            <v>28.51</v>
          </cell>
          <cell r="G7">
            <v>28.62</v>
          </cell>
          <cell r="H7">
            <v>29.57</v>
          </cell>
          <cell r="I7">
            <v>27.45</v>
          </cell>
          <cell r="J7">
            <v>32.61</v>
          </cell>
          <cell r="K7">
            <v>29.14</v>
          </cell>
          <cell r="L7">
            <v>23.59</v>
          </cell>
          <cell r="M7">
            <v>27.17</v>
          </cell>
          <cell r="N7">
            <v>23.94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UTC_LYNNWOOD_SF"/>
      <sheetName val="WUTC_AW of Bellevue_SF"/>
      <sheetName val="Value"/>
      <sheetName val="Commodity Tonnages"/>
      <sheetName val="Pricing"/>
      <sheetName val="Single Family"/>
    </sheetNames>
    <sheetDataSet>
      <sheetData sheetId="5">
        <row r="7">
          <cell r="C7">
            <v>334.04</v>
          </cell>
          <cell r="D7">
            <v>390.63</v>
          </cell>
          <cell r="E7">
            <v>339.63</v>
          </cell>
          <cell r="F7">
            <v>409.58</v>
          </cell>
          <cell r="G7">
            <v>383.47</v>
          </cell>
          <cell r="H7">
            <v>337.96</v>
          </cell>
          <cell r="I7">
            <v>365.47</v>
          </cell>
          <cell r="J7">
            <v>419.6</v>
          </cell>
          <cell r="K7">
            <v>415.66</v>
          </cell>
          <cell r="L7">
            <v>317.89</v>
          </cell>
          <cell r="M7">
            <v>363.38</v>
          </cell>
          <cell r="N7">
            <v>304.33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WUTC_LYNNWOOD_SF"/>
      <sheetName val="WUTC_KENT_MF"/>
      <sheetName val="Value"/>
      <sheetName val="Commodity Tonnages"/>
      <sheetName val="Pricing"/>
      <sheetName val="Multi_Family"/>
    </sheetNames>
    <sheetDataSet>
      <sheetData sheetId="5">
        <row r="7">
          <cell r="C7">
            <v>3.12</v>
          </cell>
          <cell r="D7">
            <v>3.4</v>
          </cell>
          <cell r="E7">
            <v>2.84</v>
          </cell>
          <cell r="F7">
            <v>3.19</v>
          </cell>
          <cell r="G7">
            <v>2.94</v>
          </cell>
          <cell r="H7">
            <v>3.08</v>
          </cell>
          <cell r="I7">
            <v>3.83</v>
          </cell>
          <cell r="J7">
            <v>3.42</v>
          </cell>
          <cell r="K7">
            <v>3.68</v>
          </cell>
          <cell r="L7">
            <v>3.05</v>
          </cell>
          <cell r="M7">
            <v>3.84</v>
          </cell>
          <cell r="N7">
            <v>3.46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WUTC_LYNNWOOD_SF"/>
      <sheetName val="WUTC_AW of Kent (SeaTac)_SF"/>
      <sheetName val="Value"/>
      <sheetName val="Commodity Tonnages"/>
      <sheetName val="Pricing"/>
      <sheetName val="Single Family"/>
    </sheetNames>
    <sheetDataSet>
      <sheetData sheetId="5">
        <row r="7">
          <cell r="C7">
            <v>132.51</v>
          </cell>
          <cell r="D7">
            <v>160.1</v>
          </cell>
          <cell r="E7">
            <v>84.43</v>
          </cell>
          <cell r="F7">
            <v>113.75</v>
          </cell>
          <cell r="G7">
            <v>105.96</v>
          </cell>
          <cell r="H7">
            <v>135.9</v>
          </cell>
          <cell r="I7">
            <v>153.9</v>
          </cell>
          <cell r="J7">
            <v>147.43</v>
          </cell>
          <cell r="K7">
            <v>117.13</v>
          </cell>
          <cell r="L7">
            <v>90.51</v>
          </cell>
          <cell r="M7">
            <v>108.3</v>
          </cell>
          <cell r="N7">
            <v>108.13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WUTC_AW of Kent (SeaTac)_MF"/>
      <sheetName val="Value"/>
      <sheetName val="Commodity Tonnages"/>
      <sheetName val="Pricing"/>
      <sheetName val="Multi_Family"/>
    </sheetNames>
    <sheetDataSet>
      <sheetData sheetId="4">
        <row r="7">
          <cell r="C7">
            <v>2.53</v>
          </cell>
          <cell r="D7">
            <v>8.83</v>
          </cell>
          <cell r="E7">
            <v>4.69</v>
          </cell>
          <cell r="F7">
            <v>10.76</v>
          </cell>
          <cell r="G7">
            <v>8.35</v>
          </cell>
          <cell r="H7">
            <v>8</v>
          </cell>
          <cell r="I7">
            <v>4.52</v>
          </cell>
          <cell r="J7">
            <v>2.04</v>
          </cell>
          <cell r="K7">
            <v>2.24</v>
          </cell>
          <cell r="L7">
            <v>2.34</v>
          </cell>
          <cell r="M7">
            <v>3.85</v>
          </cell>
          <cell r="N7">
            <v>2.91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WUTC_KENT_SF"/>
      <sheetName val="Value"/>
      <sheetName val="Commodity Tonnages"/>
      <sheetName val="Pricing"/>
      <sheetName val="Single Family"/>
    </sheetNames>
    <sheetDataSet>
      <sheetData sheetId="4">
        <row r="13">
          <cell r="N13">
            <v>0.195</v>
          </cell>
        </row>
        <row r="14">
          <cell r="N14">
            <v>0.1782</v>
          </cell>
        </row>
        <row r="15">
          <cell r="N15">
            <v>0</v>
          </cell>
        </row>
        <row r="16">
          <cell r="N16">
            <v>0.0165</v>
          </cell>
        </row>
        <row r="17">
          <cell r="N17">
            <v>0.0449</v>
          </cell>
        </row>
        <row r="18">
          <cell r="N18">
            <v>0.0075</v>
          </cell>
        </row>
        <row r="19">
          <cell r="N19">
            <v>0</v>
          </cell>
        </row>
        <row r="20">
          <cell r="N20">
            <v>0.1768</v>
          </cell>
        </row>
        <row r="21">
          <cell r="N21">
            <v>0</v>
          </cell>
        </row>
        <row r="22">
          <cell r="N22">
            <v>0.05930000000000013</v>
          </cell>
        </row>
        <row r="23">
          <cell r="N23">
            <v>0.3218</v>
          </cell>
        </row>
        <row r="69">
          <cell r="N69">
            <v>68.502</v>
          </cell>
        </row>
        <row r="70">
          <cell r="N70">
            <v>92.008</v>
          </cell>
        </row>
        <row r="72">
          <cell r="N72">
            <v>53.52199999999999</v>
          </cell>
        </row>
        <row r="73">
          <cell r="N73">
            <v>102.76</v>
          </cell>
        </row>
        <row r="74">
          <cell r="N74">
            <v>763</v>
          </cell>
        </row>
        <row r="76">
          <cell r="N76">
            <v>-6.66</v>
          </cell>
        </row>
        <row r="77">
          <cell r="N77">
            <v>-120.17</v>
          </cell>
        </row>
        <row r="78">
          <cell r="N78">
            <v>-120.17</v>
          </cell>
        </row>
        <row r="79">
          <cell r="N79">
            <v>64.029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A109"/>
  <sheetViews>
    <sheetView showGridLines="0" tabSelected="1" zoomScale="90" zoomScaleNormal="90" zoomScalePageLayoutView="90" workbookViewId="0" topLeftCell="A28">
      <selection activeCell="G65" sqref="G65"/>
    </sheetView>
  </sheetViews>
  <sheetFormatPr defaultColWidth="9.140625" defaultRowHeight="12.75"/>
  <cols>
    <col min="1" max="1" width="24.00390625" style="5" customWidth="1"/>
    <col min="2" max="2" width="10.140625" style="5" customWidth="1"/>
    <col min="3" max="3" width="4.57421875" style="5" customWidth="1"/>
    <col min="4" max="4" width="11.28125" style="5" customWidth="1"/>
    <col min="5" max="5" width="5.57421875" style="5" customWidth="1"/>
    <col min="6" max="6" width="13.00390625" style="5" customWidth="1"/>
    <col min="7" max="7" width="8.7109375" style="5" customWidth="1"/>
    <col min="8" max="8" width="4.7109375" style="5" bestFit="1" customWidth="1"/>
    <col min="9" max="9" width="10.421875" style="5" customWidth="1"/>
    <col min="10" max="10" width="9.421875" style="5" customWidth="1"/>
    <col min="11" max="11" width="5.421875" style="5" bestFit="1" customWidth="1"/>
    <col min="12" max="14" width="9.57421875" style="5" customWidth="1"/>
    <col min="15" max="15" width="15.28125" style="5" hidden="1" customWidth="1"/>
    <col min="16" max="16" width="36.7109375" style="5" hidden="1"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0</v>
      </c>
      <c r="B1" s="2"/>
      <c r="C1" s="2"/>
      <c r="D1" s="2"/>
      <c r="E1" s="2"/>
      <c r="F1" s="2"/>
      <c r="G1" s="3"/>
      <c r="H1" s="2"/>
      <c r="I1" s="2"/>
      <c r="J1" s="1" t="s">
        <v>56</v>
      </c>
      <c r="K1" s="2"/>
      <c r="L1" s="2"/>
      <c r="M1" s="2"/>
      <c r="N1" s="2"/>
      <c r="O1" s="2"/>
      <c r="P1" s="2"/>
      <c r="Q1" s="2"/>
      <c r="R1" s="2"/>
      <c r="S1" s="2"/>
      <c r="T1" s="2"/>
      <c r="U1" s="2"/>
      <c r="V1" s="2"/>
      <c r="W1" s="4"/>
      <c r="X1" s="4"/>
      <c r="Y1" s="4"/>
      <c r="Z1" s="4"/>
      <c r="AA1" s="4"/>
    </row>
    <row r="2" spans="1:27" ht="12.75">
      <c r="A2" s="6" t="s">
        <v>1</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"&amp;YEAR(A22)</f>
        <v>For the Year Ended April 2019</v>
      </c>
      <c r="B3" s="2"/>
      <c r="C3" s="2"/>
      <c r="D3" s="2"/>
      <c r="E3" s="2"/>
      <c r="F3" s="3"/>
      <c r="G3" s="3"/>
      <c r="H3" s="2"/>
      <c r="I3" s="2"/>
      <c r="J3" s="2"/>
      <c r="K3" s="2"/>
      <c r="L3" s="2"/>
      <c r="M3" s="2"/>
      <c r="N3" s="2"/>
      <c r="O3" s="2"/>
      <c r="P3" s="2"/>
      <c r="Q3" s="2"/>
      <c r="R3" s="2"/>
      <c r="S3" s="2"/>
      <c r="T3" s="2"/>
      <c r="U3" s="2"/>
      <c r="V3" s="2"/>
      <c r="W3" s="3"/>
      <c r="X3" s="3"/>
      <c r="Y3" s="3"/>
      <c r="Z3" s="3"/>
      <c r="AA3" s="3"/>
    </row>
    <row r="4" spans="1:22" ht="12.75">
      <c r="A4" s="6" t="s">
        <v>2</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3</v>
      </c>
      <c r="G5" s="11"/>
      <c r="H5" s="11"/>
      <c r="I5" s="11"/>
      <c r="J5" s="11"/>
      <c r="K5" s="11"/>
      <c r="L5" s="2"/>
      <c r="M5" s="2"/>
      <c r="N5" s="2"/>
      <c r="O5" s="110" t="str">
        <f>"Total "&amp;F5</f>
        <v>Total Commodity</v>
      </c>
      <c r="P5" s="111"/>
      <c r="Q5" s="2"/>
      <c r="R5" s="2"/>
      <c r="S5" s="2"/>
      <c r="T5" s="2"/>
      <c r="U5" s="2"/>
      <c r="V5" s="13"/>
      <c r="W5" s="14"/>
      <c r="X5" s="14"/>
      <c r="Y5" s="14"/>
      <c r="AA5" s="14"/>
    </row>
    <row r="6" spans="1:16" s="16" customFormat="1" ht="11.25">
      <c r="A6" s="15"/>
      <c r="B6" s="12"/>
      <c r="C6" s="12"/>
      <c r="D6" s="12" t="s">
        <v>3</v>
      </c>
      <c r="E6" s="12"/>
      <c r="F6" s="12" t="s">
        <v>4</v>
      </c>
      <c r="G6" s="12"/>
      <c r="H6" s="12"/>
      <c r="I6" s="12"/>
      <c r="J6" s="12" t="s">
        <v>5</v>
      </c>
      <c r="K6" s="12"/>
      <c r="O6" s="112" t="str">
        <f>+F6</f>
        <v>Revenue</v>
      </c>
      <c r="P6" s="113"/>
    </row>
    <row r="7" spans="1:16" s="16" customFormat="1" ht="11.25">
      <c r="A7" s="15" t="s">
        <v>6</v>
      </c>
      <c r="B7" s="12" t="s">
        <v>7</v>
      </c>
      <c r="C7" s="12"/>
      <c r="D7" s="12" t="s">
        <v>4</v>
      </c>
      <c r="E7" s="12"/>
      <c r="F7" s="12" t="s">
        <v>8</v>
      </c>
      <c r="G7" s="12"/>
      <c r="H7" s="12"/>
      <c r="I7" s="12"/>
      <c r="J7" s="12" t="s">
        <v>7</v>
      </c>
      <c r="K7" s="12"/>
      <c r="O7" s="112" t="str">
        <f>+F7</f>
        <v>per Customer</v>
      </c>
      <c r="P7" s="113"/>
    </row>
    <row r="8" spans="1:16" s="16" customFormat="1" ht="11.25">
      <c r="A8" s="17">
        <f>+'Single Family'!C6</f>
        <v>43221</v>
      </c>
      <c r="B8" s="146">
        <v>20539</v>
      </c>
      <c r="C8" s="18"/>
      <c r="D8" s="19">
        <f>VLOOKUP(A8,Value!$A$6:$O$17,15,)</f>
        <v>635.8534576199936</v>
      </c>
      <c r="E8" s="18"/>
      <c r="F8" s="72">
        <f>ROUND(D8/B8,2)</f>
        <v>0.03</v>
      </c>
      <c r="G8" s="18"/>
      <c r="H8" s="18"/>
      <c r="I8" s="18"/>
      <c r="J8" s="14">
        <f>+B8</f>
        <v>20539</v>
      </c>
      <c r="K8" s="13">
        <v>2017</v>
      </c>
      <c r="O8" s="114">
        <f>VLOOKUP(A8,Value!$A$7:$N$18,13,FALSE)</f>
        <v>1271.7069152399872</v>
      </c>
      <c r="P8" s="113"/>
    </row>
    <row r="9" spans="1:16" s="16" customFormat="1" ht="11.25">
      <c r="A9" s="17">
        <f>Value!A8</f>
        <v>43281</v>
      </c>
      <c r="B9" s="146">
        <v>20706</v>
      </c>
      <c r="C9" s="21"/>
      <c r="D9" s="19">
        <f>VLOOKUP(A9,Value!$A$6:$O$17,15,)</f>
        <v>4425.436415399994</v>
      </c>
      <c r="E9" s="14"/>
      <c r="F9" s="69">
        <f>ROUND(D9/B9,2)</f>
        <v>0.21</v>
      </c>
      <c r="G9" s="14"/>
      <c r="H9" s="14"/>
      <c r="I9" s="14"/>
      <c r="J9" s="14">
        <f>+B9</f>
        <v>20706</v>
      </c>
      <c r="K9" s="13">
        <v>2017</v>
      </c>
      <c r="O9" s="114">
        <f>VLOOKUP(A9,Value!$A$7:$N$18,13,FALSE)</f>
        <v>8850.872830799988</v>
      </c>
      <c r="P9" s="113"/>
    </row>
    <row r="10" spans="1:16" s="16" customFormat="1" ht="11.25">
      <c r="A10" s="17">
        <f>Value!A9</f>
        <v>43312</v>
      </c>
      <c r="B10" s="146">
        <v>20749</v>
      </c>
      <c r="C10" s="14"/>
      <c r="D10" s="19">
        <f>VLOOKUP(A10,Value!$A$6:$O$17,15,)</f>
        <v>6529.572246469995</v>
      </c>
      <c r="E10" s="14"/>
      <c r="F10" s="69">
        <f>ROUND(D10/B10,2)</f>
        <v>0.31</v>
      </c>
      <c r="G10" s="14"/>
      <c r="H10" s="14"/>
      <c r="I10" s="14"/>
      <c r="J10" s="14">
        <f>+B10</f>
        <v>20749</v>
      </c>
      <c r="K10" s="13">
        <v>2017</v>
      </c>
      <c r="O10" s="114">
        <f>VLOOKUP(A10,Value!$A$7:$N$18,13,FALSE)</f>
        <v>13059.14449293999</v>
      </c>
      <c r="P10" s="113"/>
    </row>
    <row r="11" spans="2:16" s="16" customFormat="1" ht="11.25">
      <c r="B11" s="20"/>
      <c r="C11" s="14"/>
      <c r="E11" s="14"/>
      <c r="F11" s="72"/>
      <c r="G11" s="23"/>
      <c r="H11" s="21"/>
      <c r="I11" s="14"/>
      <c r="J11" s="14"/>
      <c r="K11" s="13"/>
      <c r="O11" s="114"/>
      <c r="P11" s="113"/>
    </row>
    <row r="12" spans="1:16" s="16" customFormat="1" ht="11.25">
      <c r="A12" s="17" t="s">
        <v>64</v>
      </c>
      <c r="B12" s="22">
        <f>SUM(B8:B11)</f>
        <v>61994</v>
      </c>
      <c r="C12" s="21" t="s">
        <v>9</v>
      </c>
      <c r="D12" s="71">
        <f>SUM(D8:D11)</f>
        <v>11590.862119489982</v>
      </c>
      <c r="E12" s="14"/>
      <c r="F12" s="71">
        <f>ROUND(D12/B12,2)</f>
        <v>0.19</v>
      </c>
      <c r="G12" s="14"/>
      <c r="H12" s="14"/>
      <c r="I12" s="14"/>
      <c r="J12" s="14"/>
      <c r="K12" s="13"/>
      <c r="O12" s="114"/>
      <c r="P12" s="113"/>
    </row>
    <row r="13" spans="1:18" s="16" customFormat="1" ht="11.25">
      <c r="A13" s="17"/>
      <c r="B13" s="20"/>
      <c r="C13" s="14"/>
      <c r="E13" s="14"/>
      <c r="F13" s="72"/>
      <c r="G13" s="23"/>
      <c r="H13" s="21"/>
      <c r="I13" s="14"/>
      <c r="J13" s="14"/>
      <c r="K13" s="13"/>
      <c r="O13" s="114"/>
      <c r="P13" s="113"/>
      <c r="Q13" s="14"/>
      <c r="R13" s="14"/>
    </row>
    <row r="14" spans="1:16" s="16" customFormat="1" ht="11.25">
      <c r="A14" s="17">
        <f>Value!A10</f>
        <v>43343</v>
      </c>
      <c r="B14" s="147">
        <v>20732</v>
      </c>
      <c r="C14" s="14"/>
      <c r="D14" s="19">
        <f>VLOOKUP(A14,Value!$A$6:$O$17,15,)</f>
        <v>8059.868344509992</v>
      </c>
      <c r="E14" s="14"/>
      <c r="F14" s="69">
        <f>ROUND(D14/B14,2)</f>
        <v>0.39</v>
      </c>
      <c r="G14" s="23"/>
      <c r="H14" s="14"/>
      <c r="I14" s="14"/>
      <c r="J14" s="14">
        <f aca="true" t="shared" si="0" ref="J14:J22">+B14</f>
        <v>20732</v>
      </c>
      <c r="K14" s="13">
        <v>2018</v>
      </c>
      <c r="O14" s="114">
        <f>VLOOKUP(A14,Value!$A$7:$N$18,13,FALSE)</f>
        <v>16119.736689019985</v>
      </c>
      <c r="P14" s="113"/>
    </row>
    <row r="15" spans="1:16" s="16" customFormat="1" ht="11.25">
      <c r="A15" s="17">
        <f>Value!A11</f>
        <v>43373</v>
      </c>
      <c r="B15" s="147">
        <v>20737</v>
      </c>
      <c r="C15" s="14"/>
      <c r="D15" s="19">
        <f>VLOOKUP(A15,Value!$A$6:$O$17,15,)</f>
        <v>7277.710024794993</v>
      </c>
      <c r="E15" s="14"/>
      <c r="F15" s="69">
        <f>ROUND(D15/B15,2)</f>
        <v>0.35</v>
      </c>
      <c r="G15" s="23"/>
      <c r="H15" s="14"/>
      <c r="I15" s="14"/>
      <c r="J15" s="14">
        <f t="shared" si="0"/>
        <v>20737</v>
      </c>
      <c r="K15" s="13">
        <v>2018</v>
      </c>
      <c r="O15" s="114">
        <f>VLOOKUP(A15,Value!$A$7:$N$18,13,FALSE)</f>
        <v>14555.420049589986</v>
      </c>
      <c r="P15" s="113"/>
    </row>
    <row r="16" spans="1:25" s="16" customFormat="1" ht="11.25">
      <c r="A16" s="17">
        <f>Value!A12</f>
        <v>43404</v>
      </c>
      <c r="B16" s="147">
        <v>20756</v>
      </c>
      <c r="C16" s="14"/>
      <c r="D16" s="19">
        <f>VLOOKUP(A16,Value!$A$6:$O$17,15,)</f>
        <v>8778.307776209997</v>
      </c>
      <c r="E16" s="14"/>
      <c r="F16" s="69">
        <f>ROUND(D16/B16,2)</f>
        <v>0.42</v>
      </c>
      <c r="G16" s="23"/>
      <c r="H16" s="14"/>
      <c r="I16" s="14"/>
      <c r="J16" s="14">
        <f t="shared" si="0"/>
        <v>20756</v>
      </c>
      <c r="K16" s="13">
        <v>2018</v>
      </c>
      <c r="O16" s="114">
        <f>VLOOKUP(A16,Value!$A$7:$N$18,13,FALSE)</f>
        <v>17556.615552419993</v>
      </c>
      <c r="P16" s="113"/>
      <c r="X16" s="14"/>
      <c r="Y16" s="14"/>
    </row>
    <row r="17" spans="1:27" s="16" customFormat="1" ht="11.25">
      <c r="A17" s="17">
        <f>Value!A13</f>
        <v>43434</v>
      </c>
      <c r="B17" s="147"/>
      <c r="C17" s="14"/>
      <c r="D17" s="19">
        <f>VLOOKUP(A17,Value!$A$6:$O$17,15,)</f>
        <v>0</v>
      </c>
      <c r="E17" s="14"/>
      <c r="F17" s="69"/>
      <c r="G17" s="23"/>
      <c r="H17" s="14"/>
      <c r="I17" s="14"/>
      <c r="J17" s="14">
        <f>+B17</f>
        <v>0</v>
      </c>
      <c r="K17" s="13">
        <v>2018</v>
      </c>
      <c r="L17" s="14"/>
      <c r="M17" s="14"/>
      <c r="N17" s="14"/>
      <c r="O17" s="114">
        <f>VLOOKUP(A17,Value!$A$7:$N$18,13,FALSE)</f>
        <v>0</v>
      </c>
      <c r="P17" s="113"/>
      <c r="S17" s="14"/>
      <c r="T17" s="14"/>
      <c r="U17" s="14"/>
      <c r="V17" s="14"/>
      <c r="W17" s="14"/>
      <c r="Y17" s="14"/>
      <c r="AA17" s="14"/>
    </row>
    <row r="18" spans="1:16" s="16" customFormat="1" ht="11.25">
      <c r="A18" s="17">
        <f>Value!A14</f>
        <v>43465</v>
      </c>
      <c r="B18" s="147"/>
      <c r="C18" s="14"/>
      <c r="D18" s="19">
        <f>VLOOKUP(A18,Value!$A$6:$O$17,15,)</f>
        <v>0</v>
      </c>
      <c r="E18" s="14"/>
      <c r="F18" s="69"/>
      <c r="G18" s="23"/>
      <c r="H18" s="21"/>
      <c r="I18" s="14"/>
      <c r="J18" s="14">
        <f>+B18</f>
        <v>0</v>
      </c>
      <c r="K18" s="13">
        <v>2018</v>
      </c>
      <c r="O18" s="114">
        <f>VLOOKUP(A18,Value!$A$7:$N$18,13,FALSE)</f>
        <v>0</v>
      </c>
      <c r="P18" s="113"/>
    </row>
    <row r="19" spans="1:16" s="16" customFormat="1" ht="11.25">
      <c r="A19" s="17">
        <f>Value!A15</f>
        <v>43496</v>
      </c>
      <c r="B19" s="147"/>
      <c r="C19" s="14"/>
      <c r="D19" s="19">
        <f>VLOOKUP(A19,Value!$A$6:$O$17,15,)</f>
        <v>0</v>
      </c>
      <c r="E19" s="14"/>
      <c r="F19" s="69"/>
      <c r="G19" s="23"/>
      <c r="H19" s="21"/>
      <c r="I19" s="14"/>
      <c r="J19" s="14">
        <f>+B19</f>
        <v>0</v>
      </c>
      <c r="K19" s="13">
        <v>2018</v>
      </c>
      <c r="O19" s="114">
        <f>VLOOKUP(A19,Value!$A$7:$N$18,13,FALSE)</f>
        <v>0</v>
      </c>
      <c r="P19" s="113"/>
    </row>
    <row r="20" spans="1:16" s="16" customFormat="1" ht="11.25">
      <c r="A20" s="17">
        <f>Value!A16</f>
        <v>43524</v>
      </c>
      <c r="B20" s="147"/>
      <c r="C20" s="14"/>
      <c r="D20" s="19">
        <f>VLOOKUP(A20,Value!$A$6:$O$17,15,)</f>
        <v>0</v>
      </c>
      <c r="E20" s="14"/>
      <c r="F20" s="69"/>
      <c r="G20" s="23"/>
      <c r="H20" s="21"/>
      <c r="I20" s="14"/>
      <c r="J20" s="14">
        <f>+B20</f>
        <v>0</v>
      </c>
      <c r="K20" s="13">
        <v>2018</v>
      </c>
      <c r="O20" s="114">
        <f>VLOOKUP(A20,Value!$A$7:$N$18,13,FALSE)</f>
        <v>0</v>
      </c>
      <c r="P20" s="33"/>
    </row>
    <row r="21" spans="1:16" s="16" customFormat="1" ht="11.25">
      <c r="A21" s="17">
        <f>Value!A17</f>
        <v>43555</v>
      </c>
      <c r="B21" s="147"/>
      <c r="C21" s="14"/>
      <c r="D21" s="19">
        <f>VLOOKUP(A21,Value!$A$6:$O$17,15,)</f>
        <v>0</v>
      </c>
      <c r="E21" s="14"/>
      <c r="F21" s="69"/>
      <c r="G21" s="23"/>
      <c r="H21" s="21"/>
      <c r="I21" s="14"/>
      <c r="J21" s="14">
        <f t="shared" si="0"/>
        <v>0</v>
      </c>
      <c r="K21" s="13">
        <v>2018</v>
      </c>
      <c r="O21" s="114">
        <f>VLOOKUP(A21,Value!$A$7:$N$18,13,FALSE)</f>
        <v>0</v>
      </c>
      <c r="P21" s="113"/>
    </row>
    <row r="22" spans="1:16" s="16" customFormat="1" ht="11.25">
      <c r="A22" s="17">
        <f>Value!A18</f>
        <v>43585</v>
      </c>
      <c r="B22" s="147"/>
      <c r="C22" s="14"/>
      <c r="D22" s="19">
        <f>Value!O18</f>
        <v>0</v>
      </c>
      <c r="E22" s="14"/>
      <c r="F22" s="69"/>
      <c r="G22" s="23"/>
      <c r="H22" s="21"/>
      <c r="I22" s="14"/>
      <c r="J22" s="14">
        <f t="shared" si="0"/>
        <v>0</v>
      </c>
      <c r="K22" s="13">
        <v>2018</v>
      </c>
      <c r="O22" s="114">
        <f>VLOOKUP(A22,Value!$A$7:$N$18,13,FALSE)</f>
        <v>0</v>
      </c>
      <c r="P22" s="113"/>
    </row>
    <row r="23" spans="1:15" s="16" customFormat="1" ht="11.25">
      <c r="A23" s="17"/>
      <c r="B23" s="14"/>
      <c r="C23" s="14"/>
      <c r="E23" s="14"/>
      <c r="F23" s="72"/>
      <c r="G23" s="14"/>
      <c r="H23" s="14"/>
      <c r="I23" s="14"/>
      <c r="J23" s="14"/>
      <c r="K23" s="13"/>
      <c r="O23" s="115"/>
    </row>
    <row r="24" spans="1:16" s="16" customFormat="1" ht="11.25">
      <c r="A24" s="17" t="s">
        <v>63</v>
      </c>
      <c r="B24" s="22">
        <f>SUM(B14:B23)</f>
        <v>62225</v>
      </c>
      <c r="C24" s="21" t="s">
        <v>10</v>
      </c>
      <c r="D24" s="71">
        <f>SUM(D14:D23)</f>
        <v>24115.88614551498</v>
      </c>
      <c r="E24" s="14"/>
      <c r="F24" s="71">
        <f>D24/B24</f>
        <v>0.3875594398636397</v>
      </c>
      <c r="G24" s="14"/>
      <c r="H24" s="14"/>
      <c r="I24" s="14"/>
      <c r="J24" s="14"/>
      <c r="K24" s="13"/>
      <c r="O24" s="115"/>
      <c r="P24" s="116" t="s">
        <v>57</v>
      </c>
    </row>
    <row r="25" spans="4:18" ht="12.75">
      <c r="D25" s="24"/>
      <c r="F25" s="24"/>
      <c r="O25" s="115">
        <f>SUM(O8:O24)</f>
        <v>71413.49653000993</v>
      </c>
      <c r="P25" s="117"/>
      <c r="Q25" s="16"/>
      <c r="R25" s="16"/>
    </row>
    <row r="26" spans="1:16" s="16" customFormat="1" ht="12" thickBot="1">
      <c r="A26" s="25"/>
      <c r="B26" s="26">
        <f>+B12+B24</f>
        <v>124219</v>
      </c>
      <c r="C26" s="21"/>
      <c r="D26" s="70">
        <f>+D12+D24</f>
        <v>35706.748265004964</v>
      </c>
      <c r="E26" s="21" t="s">
        <v>11</v>
      </c>
      <c r="F26" s="108">
        <f>ROUND(D26/B26,3)</f>
        <v>0.287</v>
      </c>
      <c r="H26" s="14"/>
      <c r="I26" s="14"/>
      <c r="J26" s="26">
        <f>SUM(J8:J25)</f>
        <v>124219</v>
      </c>
      <c r="K26" s="21" t="s">
        <v>13</v>
      </c>
      <c r="O26" s="118">
        <f>ROUND(O25/J26,3)</f>
        <v>0.575</v>
      </c>
      <c r="P26" s="113" t="s">
        <v>58</v>
      </c>
    </row>
    <row r="27" spans="2:16" s="16" customFormat="1" ht="12" thickTop="1">
      <c r="B27" s="14"/>
      <c r="C27" s="14"/>
      <c r="D27" s="14"/>
      <c r="E27" s="14"/>
      <c r="F27" s="14"/>
      <c r="G27" s="14"/>
      <c r="H27" s="14"/>
      <c r="I27" s="14"/>
      <c r="J27" s="14"/>
      <c r="K27" s="14"/>
      <c r="O27" s="119">
        <f>+J22</f>
        <v>0</v>
      </c>
      <c r="P27" s="113" t="s">
        <v>59</v>
      </c>
    </row>
    <row r="28" spans="2:16" s="16" customFormat="1" ht="11.25">
      <c r="B28" s="14"/>
      <c r="C28" s="14"/>
      <c r="D28" s="14"/>
      <c r="E28" s="14"/>
      <c r="F28" s="14"/>
      <c r="G28" s="14"/>
      <c r="H28" s="14"/>
      <c r="I28" s="14"/>
      <c r="J28" s="14"/>
      <c r="K28" s="14"/>
      <c r="O28" s="113"/>
      <c r="P28" s="113" t="s">
        <v>60</v>
      </c>
    </row>
    <row r="29" spans="1:16" s="16" customFormat="1" ht="11.25">
      <c r="A29" s="16" t="s">
        <v>80</v>
      </c>
      <c r="B29" s="14">
        <f>B26</f>
        <v>124219</v>
      </c>
      <c r="C29" s="14"/>
      <c r="D29" s="14">
        <f>D26</f>
        <v>35706.748265004964</v>
      </c>
      <c r="E29" s="14"/>
      <c r="F29" s="23">
        <f>D29/B29</f>
        <v>0.28744997355481017</v>
      </c>
      <c r="G29" s="21" t="s">
        <v>12</v>
      </c>
      <c r="H29" s="14"/>
      <c r="I29" s="14"/>
      <c r="J29" s="14"/>
      <c r="K29" s="14"/>
      <c r="O29" s="113"/>
      <c r="P29" s="113"/>
    </row>
    <row r="30" spans="1:16" s="16" customFormat="1" ht="11.25">
      <c r="A30" s="16" t="s">
        <v>82</v>
      </c>
      <c r="B30" s="14"/>
      <c r="C30" s="14"/>
      <c r="D30" s="14"/>
      <c r="E30" s="14"/>
      <c r="F30" s="14"/>
      <c r="G30" s="14"/>
      <c r="H30" s="14"/>
      <c r="I30" s="14"/>
      <c r="J30" s="14"/>
      <c r="K30" s="14"/>
      <c r="O30" s="113"/>
      <c r="P30" s="113"/>
    </row>
    <row r="31" spans="2:16" s="16" customFormat="1" ht="11.25">
      <c r="B31" s="14"/>
      <c r="C31" s="14"/>
      <c r="D31" s="14"/>
      <c r="E31" s="14"/>
      <c r="F31" s="14"/>
      <c r="G31" s="14"/>
      <c r="H31" s="14"/>
      <c r="I31" s="14"/>
      <c r="J31" s="14"/>
      <c r="K31" s="14"/>
      <c r="O31" s="113"/>
      <c r="P31" s="113"/>
    </row>
    <row r="32" spans="2:16" s="16" customFormat="1" ht="11.25">
      <c r="B32" s="14"/>
      <c r="C32" s="14"/>
      <c r="D32" s="14"/>
      <c r="E32" s="14"/>
      <c r="F32" s="14"/>
      <c r="G32" s="14"/>
      <c r="H32" s="14"/>
      <c r="I32" s="14"/>
      <c r="J32" s="14"/>
      <c r="K32" s="14"/>
      <c r="O32" s="113"/>
      <c r="P32" s="113"/>
    </row>
    <row r="33" spans="2:16" s="16" customFormat="1" ht="11.25">
      <c r="B33" s="14"/>
      <c r="C33" s="14"/>
      <c r="D33" s="14"/>
      <c r="E33" s="14"/>
      <c r="F33" s="14"/>
      <c r="G33" s="14"/>
      <c r="H33" s="14"/>
      <c r="I33" s="14"/>
      <c r="J33" s="14"/>
      <c r="K33" s="14"/>
      <c r="O33" s="113"/>
      <c r="P33" s="113"/>
    </row>
    <row r="34" spans="2:16" s="16" customFormat="1" ht="11.25">
      <c r="B34" s="14"/>
      <c r="C34" s="14"/>
      <c r="D34" s="14"/>
      <c r="E34" s="14"/>
      <c r="F34" s="14"/>
      <c r="G34" s="14"/>
      <c r="H34" s="14"/>
      <c r="I34" s="14"/>
      <c r="J34" s="14"/>
      <c r="K34" s="14"/>
      <c r="O34" s="113"/>
      <c r="P34" s="113"/>
    </row>
    <row r="35" spans="2:11" s="16" customFormat="1" ht="12" thickBot="1">
      <c r="B35" s="27" t="s">
        <v>14</v>
      </c>
      <c r="C35" s="28"/>
      <c r="D35" s="28"/>
      <c r="E35" s="28"/>
      <c r="F35" s="14"/>
      <c r="G35" s="14"/>
      <c r="H35" s="14"/>
      <c r="I35" s="14"/>
      <c r="J35" s="14"/>
      <c r="K35" s="14"/>
    </row>
    <row r="36" spans="1:25" s="16" customFormat="1" ht="12" thickTop="1">
      <c r="A36" s="6"/>
      <c r="B36" s="29"/>
      <c r="C36" s="14"/>
      <c r="D36" s="14"/>
      <c r="E36" s="14"/>
      <c r="F36" s="14"/>
      <c r="G36" s="14"/>
      <c r="H36" s="14"/>
      <c r="I36" s="14"/>
      <c r="J36" s="14"/>
      <c r="K36" s="14"/>
      <c r="X36" s="14"/>
      <c r="Y36" s="14"/>
    </row>
    <row r="37" spans="1:18" s="16" customFormat="1" ht="11.25">
      <c r="A37" s="8"/>
      <c r="B37" s="29"/>
      <c r="C37" s="14"/>
      <c r="D37" s="14"/>
      <c r="E37" s="14"/>
      <c r="F37" s="30" t="s">
        <v>15</v>
      </c>
      <c r="G37" s="14">
        <f>ROUND(D26,0)</f>
        <v>35707</v>
      </c>
      <c r="H37" s="21" t="s">
        <v>11</v>
      </c>
      <c r="I37" s="14"/>
      <c r="J37" s="14"/>
      <c r="K37" s="14"/>
      <c r="Q37" s="13"/>
      <c r="R37" s="13"/>
    </row>
    <row r="38" spans="1:27" s="13" customFormat="1" ht="11.25">
      <c r="A38" s="31"/>
      <c r="B38" s="29"/>
      <c r="C38" s="14"/>
      <c r="D38" s="14"/>
      <c r="E38" s="14"/>
      <c r="F38" s="14"/>
      <c r="G38" s="14"/>
      <c r="H38" s="21"/>
      <c r="I38" s="14"/>
      <c r="J38" s="14"/>
      <c r="K38" s="14"/>
      <c r="O38" s="16">
        <f>12*O27*O26</f>
        <v>0</v>
      </c>
      <c r="P38" s="13" t="s">
        <v>61</v>
      </c>
      <c r="Q38" s="16"/>
      <c r="R38" s="16"/>
      <c r="W38" s="14"/>
      <c r="X38" s="16"/>
      <c r="Y38" s="16"/>
      <c r="AA38" s="14"/>
    </row>
    <row r="39" spans="2:16" s="16" customFormat="1" ht="11.25">
      <c r="B39" s="14" t="s">
        <v>16</v>
      </c>
      <c r="C39" s="14"/>
      <c r="D39" s="14"/>
      <c r="E39" s="14"/>
      <c r="F39" s="32">
        <v>0.927</v>
      </c>
      <c r="G39" s="14"/>
      <c r="H39" s="14"/>
      <c r="I39" s="14"/>
      <c r="J39" s="14"/>
      <c r="K39" s="14"/>
      <c r="O39" s="16">
        <f>12*O27*G62</f>
        <v>0</v>
      </c>
      <c r="P39" s="16" t="s">
        <v>62</v>
      </c>
    </row>
    <row r="40" spans="2:15" s="16" customFormat="1" ht="11.25">
      <c r="B40" s="73" t="str">
        <f>"Customers from "&amp;TEXT($A$8,"mm/yy")&amp;" - "&amp;TEXT($A$10,"mm/yy")</f>
        <v>Customers from 05/18 - 07/18</v>
      </c>
      <c r="D40" s="14"/>
      <c r="E40" s="14"/>
      <c r="F40" s="33">
        <f>SUM(B8:B10)</f>
        <v>61994</v>
      </c>
      <c r="G40" s="21" t="s">
        <v>9</v>
      </c>
      <c r="H40" s="14"/>
      <c r="I40" s="14"/>
      <c r="J40" s="14"/>
      <c r="K40" s="14"/>
      <c r="O40" s="120" t="e">
        <f>+O39/O38</f>
        <v>#DIV/0!</v>
      </c>
    </row>
    <row r="41" spans="2:11" s="16" customFormat="1" ht="11.25">
      <c r="B41" s="14"/>
      <c r="C41" s="14" t="s">
        <v>17</v>
      </c>
      <c r="D41" s="14"/>
      <c r="E41" s="14"/>
      <c r="F41" s="22">
        <f>ROUND(F39*F40,0)</f>
        <v>57468</v>
      </c>
      <c r="G41" s="21"/>
      <c r="H41" s="14"/>
      <c r="I41" s="14"/>
      <c r="J41" s="14"/>
      <c r="K41" s="14"/>
    </row>
    <row r="42" spans="2:11" s="16" customFormat="1" ht="11.25">
      <c r="B42" s="14"/>
      <c r="C42" s="14"/>
      <c r="D42" s="14"/>
      <c r="E42" s="14"/>
      <c r="F42" s="33"/>
      <c r="G42" s="21"/>
      <c r="H42" s="14"/>
      <c r="I42" s="14"/>
      <c r="J42" s="14"/>
      <c r="K42" s="16">
        <f>D26/O25</f>
        <v>0.5</v>
      </c>
    </row>
    <row r="43" spans="2:11" s="16" customFormat="1" ht="11.25">
      <c r="B43" s="14" t="s">
        <v>16</v>
      </c>
      <c r="C43" s="14"/>
      <c r="D43" s="14"/>
      <c r="E43" s="14"/>
      <c r="F43" s="32">
        <v>0.407</v>
      </c>
      <c r="G43" s="14"/>
      <c r="H43" s="14"/>
      <c r="I43" s="14"/>
      <c r="J43" s="14"/>
      <c r="K43" s="14"/>
    </row>
    <row r="44" spans="2:11" s="16" customFormat="1" ht="11.25">
      <c r="B44" s="73" t="str">
        <f>"Customers from "&amp;TEXT(A14,"mm/yy")&amp;" - "&amp;TEXT($A$22,"mm/yy")</f>
        <v>Customers from 08/18 - 04/19</v>
      </c>
      <c r="D44" s="14"/>
      <c r="E44" s="14"/>
      <c r="F44" s="14">
        <f>B24</f>
        <v>62225</v>
      </c>
      <c r="G44" s="21" t="s">
        <v>10</v>
      </c>
      <c r="H44" s="14"/>
      <c r="I44" s="14"/>
      <c r="J44" s="14"/>
      <c r="K44" s="14"/>
    </row>
    <row r="45" spans="2:11" s="16" customFormat="1" ht="11.25">
      <c r="B45" s="14"/>
      <c r="C45" s="14" t="s">
        <v>17</v>
      </c>
      <c r="D45" s="14"/>
      <c r="E45" s="14"/>
      <c r="F45" s="22">
        <f>ROUND(F43*F44,0)</f>
        <v>25326</v>
      </c>
      <c r="G45" s="21"/>
      <c r="H45" s="14"/>
      <c r="I45" s="14"/>
      <c r="J45" s="14"/>
      <c r="K45" s="14"/>
    </row>
    <row r="46" spans="2:11" s="16" customFormat="1" ht="11.25">
      <c r="B46" s="14"/>
      <c r="C46" s="14"/>
      <c r="D46" s="14"/>
      <c r="E46" s="14"/>
      <c r="F46" s="34"/>
      <c r="G46" s="21"/>
      <c r="H46" s="14"/>
      <c r="I46" s="14"/>
      <c r="J46" s="14"/>
      <c r="K46" s="14"/>
    </row>
    <row r="47" spans="2:11" s="16" customFormat="1" ht="12" thickBot="1">
      <c r="B47" s="14"/>
      <c r="C47" s="14" t="s">
        <v>18</v>
      </c>
      <c r="D47" s="14"/>
      <c r="E47" s="14"/>
      <c r="F47" s="26">
        <f>+F41+F45</f>
        <v>82794</v>
      </c>
      <c r="G47" s="35">
        <f>+F47</f>
        <v>82794</v>
      </c>
      <c r="H47" s="14"/>
      <c r="I47" s="14"/>
      <c r="J47" s="14"/>
      <c r="K47" s="14"/>
    </row>
    <row r="48" spans="2:11" s="16" customFormat="1" ht="12" thickTop="1">
      <c r="B48" s="14"/>
      <c r="C48" s="14"/>
      <c r="D48" s="14"/>
      <c r="E48" s="14"/>
      <c r="F48" s="14"/>
      <c r="G48" s="14"/>
      <c r="H48" s="14"/>
      <c r="I48" s="14"/>
      <c r="J48" s="14"/>
      <c r="K48" s="14"/>
    </row>
    <row r="49" spans="2:11" s="16" customFormat="1" ht="11.25">
      <c r="B49" s="14"/>
      <c r="C49" s="14"/>
      <c r="D49" s="14"/>
      <c r="E49" s="14"/>
      <c r="F49" s="14"/>
      <c r="G49" s="14"/>
      <c r="H49" s="14"/>
      <c r="I49" s="14"/>
      <c r="J49" s="14"/>
      <c r="K49" s="14"/>
    </row>
    <row r="50" spans="2:11" s="16" customFormat="1" ht="12" thickBot="1">
      <c r="B50" s="14"/>
      <c r="C50" s="14"/>
      <c r="D50" s="14"/>
      <c r="E50" s="14"/>
      <c r="F50" s="30" t="str">
        <f>IF(G50&lt;=0,"Excess","Deficient")&amp;" Commodity Credits"</f>
        <v>Excess Commodity Credits</v>
      </c>
      <c r="G50" s="36">
        <f>+G37-G47</f>
        <v>-47087</v>
      </c>
      <c r="H50" s="14"/>
      <c r="I50" s="14"/>
      <c r="J50" s="14"/>
      <c r="K50" s="14"/>
    </row>
    <row r="51" spans="2:25" s="16" customFormat="1" ht="12" thickTop="1">
      <c r="B51" s="14"/>
      <c r="C51" s="14"/>
      <c r="D51" s="14"/>
      <c r="E51" s="14"/>
      <c r="F51" s="14"/>
      <c r="G51" s="14"/>
      <c r="H51" s="14"/>
      <c r="I51" s="14"/>
      <c r="J51" s="14"/>
      <c r="K51" s="14"/>
      <c r="Y51" s="14"/>
    </row>
    <row r="52" spans="2:11" s="16" customFormat="1" ht="11.25">
      <c r="B52" s="14"/>
      <c r="C52" s="14"/>
      <c r="D52" s="14"/>
      <c r="E52" s="14"/>
      <c r="F52" s="14"/>
      <c r="G52" s="14"/>
      <c r="H52" s="14"/>
      <c r="I52" s="14"/>
      <c r="J52" s="14"/>
      <c r="K52" s="14"/>
    </row>
    <row r="53" spans="2:18" s="16" customFormat="1" ht="12" thickBot="1">
      <c r="B53" s="27" t="str">
        <f>$K$22+1&amp;" Recycle Adjustment Calculation"</f>
        <v>2019 Recycle Adjustment Calculation</v>
      </c>
      <c r="C53" s="28"/>
      <c r="D53" s="28"/>
      <c r="E53" s="28"/>
      <c r="F53" s="28"/>
      <c r="G53" s="14"/>
      <c r="H53" s="14"/>
      <c r="I53" s="14"/>
      <c r="J53" s="14"/>
      <c r="K53" s="14"/>
      <c r="O53" s="14"/>
      <c r="P53" s="14"/>
      <c r="Q53" s="14"/>
      <c r="R53" s="14"/>
    </row>
    <row r="54" spans="2:27" s="16" customFormat="1" ht="12" thickTop="1">
      <c r="B54" s="29"/>
      <c r="C54" s="14"/>
      <c r="D54" s="14"/>
      <c r="E54" s="14"/>
      <c r="F54" s="14"/>
      <c r="G54" s="14"/>
      <c r="H54" s="14"/>
      <c r="I54" s="14"/>
      <c r="J54" s="14"/>
      <c r="K54" s="14"/>
      <c r="L54" s="14"/>
      <c r="M54" s="14"/>
      <c r="N54" s="14"/>
      <c r="S54" s="14"/>
      <c r="T54" s="14"/>
      <c r="U54" s="14"/>
      <c r="V54" s="14"/>
      <c r="W54" s="14"/>
      <c r="AA54" s="14"/>
    </row>
    <row r="55" spans="2:11" s="16" customFormat="1" ht="11.25">
      <c r="B55" s="14" t="s">
        <v>83</v>
      </c>
      <c r="C55" s="14"/>
      <c r="D55" s="14"/>
      <c r="E55" s="14"/>
      <c r="F55" s="14"/>
      <c r="G55" s="14"/>
      <c r="H55" s="14"/>
      <c r="I55" s="14"/>
      <c r="J55" s="14"/>
      <c r="K55" s="14"/>
    </row>
    <row r="56" spans="2:11" s="16" customFormat="1" ht="11.25">
      <c r="B56" s="14"/>
      <c r="C56" s="14"/>
      <c r="D56" s="14"/>
      <c r="E56" s="14"/>
      <c r="F56" s="30" t="s">
        <v>85</v>
      </c>
      <c r="G56" s="14">
        <f>+J26</f>
        <v>124219</v>
      </c>
      <c r="H56" s="21" t="s">
        <v>13</v>
      </c>
      <c r="I56" s="14"/>
      <c r="J56" s="14"/>
      <c r="K56" s="14"/>
    </row>
    <row r="57" spans="2:11" s="16" customFormat="1" ht="11.25">
      <c r="B57" s="14"/>
      <c r="C57" s="14"/>
      <c r="D57" s="14"/>
      <c r="E57" s="14"/>
      <c r="F57" s="30" t="str">
        <f>F50</f>
        <v>Excess Commodity Credits</v>
      </c>
      <c r="G57" s="14">
        <f>+G50</f>
        <v>-47087</v>
      </c>
      <c r="H57" s="14"/>
      <c r="I57" s="14"/>
      <c r="J57" s="14"/>
      <c r="K57" s="14"/>
    </row>
    <row r="58" spans="2:11" s="16" customFormat="1" ht="11.25">
      <c r="B58" s="14"/>
      <c r="C58" s="14"/>
      <c r="D58" s="14"/>
      <c r="E58" s="14"/>
      <c r="F58" s="30"/>
      <c r="G58" s="14"/>
      <c r="H58" s="14"/>
      <c r="I58" s="14"/>
      <c r="J58" s="14"/>
      <c r="K58" s="14"/>
    </row>
    <row r="59" spans="2:11" s="16" customFormat="1" ht="12" thickBot="1">
      <c r="B59" s="14"/>
      <c r="C59" s="14"/>
      <c r="D59" s="14"/>
      <c r="E59" s="14"/>
      <c r="F59" s="30" t="str">
        <f>$K$10&amp;"/"&amp;$K$22&amp;" Monthly True-up Amount"</f>
        <v>2017/2018 Monthly True-up Amount</v>
      </c>
      <c r="G59" s="37">
        <f>ROUND(G57/G56,3)</f>
        <v>-0.379</v>
      </c>
      <c r="H59" s="14"/>
      <c r="I59" s="23">
        <f>+G59</f>
        <v>-0.379</v>
      </c>
      <c r="J59" s="14"/>
      <c r="K59" s="14"/>
    </row>
    <row r="60" spans="2:25" s="16" customFormat="1" ht="12" thickTop="1">
      <c r="B60" s="14"/>
      <c r="C60" s="14"/>
      <c r="D60" s="14"/>
      <c r="E60" s="14"/>
      <c r="F60" s="30"/>
      <c r="G60" s="14"/>
      <c r="H60" s="14"/>
      <c r="I60" s="23"/>
      <c r="J60" s="14"/>
      <c r="K60" s="14"/>
      <c r="Y60" s="14"/>
    </row>
    <row r="61" spans="2:14" s="16" customFormat="1" ht="11.25">
      <c r="B61" s="14" t="s">
        <v>86</v>
      </c>
      <c r="C61" s="14"/>
      <c r="D61" s="14"/>
      <c r="E61" s="14"/>
      <c r="F61" s="30"/>
      <c r="G61" s="14"/>
      <c r="H61" s="14"/>
      <c r="I61" s="23"/>
      <c r="J61" s="14"/>
      <c r="K61" s="14"/>
      <c r="N61" s="148" t="s">
        <v>65</v>
      </c>
    </row>
    <row r="62" spans="2:14" s="16" customFormat="1" ht="12" thickBot="1">
      <c r="B62" s="29"/>
      <c r="C62" s="14"/>
      <c r="D62" s="14"/>
      <c r="E62" s="14"/>
      <c r="F62" s="30" t="s">
        <v>84</v>
      </c>
      <c r="G62" s="140">
        <f>F29</f>
        <v>0.28744997355481017</v>
      </c>
      <c r="H62" s="14"/>
      <c r="I62" s="23">
        <f>+G62</f>
        <v>0.28744997355481017</v>
      </c>
      <c r="J62" s="21" t="s">
        <v>12</v>
      </c>
      <c r="K62" s="14"/>
      <c r="N62" s="149">
        <f>+'[1]WUTC_AW of Kent_MF'!$O$56</f>
        <v>0.5</v>
      </c>
    </row>
    <row r="63" spans="2:25" s="14" customFormat="1" ht="12" thickTop="1">
      <c r="B63" s="29"/>
      <c r="I63" s="23"/>
      <c r="X63" s="16"/>
      <c r="Y63" s="16"/>
    </row>
    <row r="64" spans="2:11" s="16" customFormat="1" ht="12" thickBot="1">
      <c r="B64" s="14"/>
      <c r="C64" s="14"/>
      <c r="D64" s="14"/>
      <c r="E64" s="14"/>
      <c r="F64" s="14"/>
      <c r="G64" s="30" t="s">
        <v>87</v>
      </c>
      <c r="H64" s="26"/>
      <c r="I64" s="37">
        <f>+I59+I62</f>
        <v>-0.09155002644518984</v>
      </c>
      <c r="J64" s="14"/>
      <c r="K64" s="14"/>
    </row>
    <row r="65" s="16" customFormat="1" ht="12" thickTop="1">
      <c r="I65" s="23"/>
    </row>
    <row r="66" s="16" customFormat="1" ht="11.25"/>
    <row r="67" s="16" customFormat="1" ht="11.25"/>
    <row r="68" s="16" customFormat="1" ht="11.25"/>
    <row r="69" spans="2:9" s="16" customFormat="1" ht="11.25">
      <c r="B69" s="16" t="s">
        <v>81</v>
      </c>
      <c r="G69" s="107" t="s">
        <v>54</v>
      </c>
      <c r="I69" s="72"/>
    </row>
    <row r="70" spans="1:6" s="16" customFormat="1" ht="11.25">
      <c r="A70" s="38"/>
      <c r="B70" s="38"/>
      <c r="C70" s="38"/>
      <c r="D70" s="38"/>
      <c r="E70" s="38"/>
      <c r="F70" s="38"/>
    </row>
    <row r="71" spans="1:9" s="16" customFormat="1" ht="11.25">
      <c r="A71" s="39"/>
      <c r="B71" s="41"/>
      <c r="C71" s="40"/>
      <c r="D71" s="38"/>
      <c r="E71" s="38"/>
      <c r="F71" s="38"/>
      <c r="G71" s="107" t="s">
        <v>55</v>
      </c>
      <c r="I71" s="139" t="e">
        <f>I69/(B22*12)</f>
        <v>#DIV/0!</v>
      </c>
    </row>
    <row r="72" spans="1:6" s="16" customFormat="1" ht="11.25">
      <c r="A72" s="39"/>
      <c r="B72" s="41"/>
      <c r="C72" s="41"/>
      <c r="D72" s="38"/>
      <c r="E72" s="38"/>
      <c r="F72" s="38"/>
    </row>
    <row r="73" spans="1:9" s="16" customFormat="1" ht="12" thickBot="1">
      <c r="A73" s="39"/>
      <c r="B73" s="42"/>
      <c r="C73" s="41"/>
      <c r="D73" s="38"/>
      <c r="E73" s="38"/>
      <c r="F73" s="38"/>
      <c r="G73" s="30" t="str">
        <f>$K$22+1&amp;" Net Credit"</f>
        <v>2019 Net Credit</v>
      </c>
      <c r="H73" s="26"/>
      <c r="I73" s="141" t="e">
        <f>+I64+I71</f>
        <v>#DIV/0!</v>
      </c>
    </row>
    <row r="74" spans="1:6" s="16" customFormat="1" ht="12" thickTop="1">
      <c r="A74" s="39"/>
      <c r="B74" s="42"/>
      <c r="C74" s="41"/>
      <c r="D74" s="38"/>
      <c r="E74" s="38"/>
      <c r="F74" s="38"/>
    </row>
    <row r="75" spans="1:6" s="16" customFormat="1" ht="11.25">
      <c r="A75" s="39"/>
      <c r="B75" s="42"/>
      <c r="C75" s="41"/>
      <c r="D75" s="38"/>
      <c r="E75" s="38"/>
      <c r="F75" s="38"/>
    </row>
    <row r="76" spans="1:25" s="16" customFormat="1" ht="11.25">
      <c r="A76" s="39"/>
      <c r="B76" s="42"/>
      <c r="C76" s="41"/>
      <c r="D76" s="38"/>
      <c r="E76" s="38"/>
      <c r="F76" s="38"/>
      <c r="Y76" s="14"/>
    </row>
    <row r="77" spans="1:6" s="16" customFormat="1" ht="11.25">
      <c r="A77" s="39"/>
      <c r="B77" s="42"/>
      <c r="C77" s="41"/>
      <c r="D77" s="38"/>
      <c r="E77" s="38"/>
      <c r="F77" s="38"/>
    </row>
    <row r="78" spans="1:6" s="16" customFormat="1" ht="11.25">
      <c r="A78" s="39"/>
      <c r="B78" s="42"/>
      <c r="C78" s="41"/>
      <c r="D78" s="38"/>
      <c r="E78" s="38"/>
      <c r="F78" s="38"/>
    </row>
    <row r="79" spans="1:6" s="16" customFormat="1" ht="11.25">
      <c r="A79" s="39"/>
      <c r="B79" s="42"/>
      <c r="C79" s="41"/>
      <c r="D79" s="38"/>
      <c r="E79" s="38"/>
      <c r="F79" s="38"/>
    </row>
    <row r="80" spans="1:27" s="16" customFormat="1" ht="11.25">
      <c r="A80" s="39"/>
      <c r="B80" s="42"/>
      <c r="C80" s="41"/>
      <c r="D80" s="38"/>
      <c r="E80" s="43"/>
      <c r="F80" s="38"/>
      <c r="G80" s="14"/>
      <c r="H80" s="13"/>
      <c r="I80" s="14"/>
      <c r="J80" s="14"/>
      <c r="K80" s="13"/>
      <c r="L80" s="14"/>
      <c r="M80" s="14"/>
      <c r="N80" s="14"/>
      <c r="O80" s="14"/>
      <c r="P80" s="14"/>
      <c r="Q80" s="14"/>
      <c r="R80" s="14"/>
      <c r="S80" s="14"/>
      <c r="T80" s="14"/>
      <c r="U80" s="14"/>
      <c r="V80" s="13"/>
      <c r="W80" s="14"/>
      <c r="AA80" s="14"/>
    </row>
    <row r="81" spans="1:6" s="16" customFormat="1" ht="11.25">
      <c r="A81" s="39"/>
      <c r="B81" s="42"/>
      <c r="C81" s="41"/>
      <c r="D81" s="38"/>
      <c r="E81" s="38"/>
      <c r="F81" s="38"/>
    </row>
    <row r="82" spans="1:6" s="16" customFormat="1" ht="11.25">
      <c r="A82" s="39"/>
      <c r="B82" s="41"/>
      <c r="C82" s="41"/>
      <c r="D82" s="38"/>
      <c r="E82" s="38"/>
      <c r="F82" s="38"/>
    </row>
    <row r="83" spans="1:6" s="16" customFormat="1" ht="11.25">
      <c r="A83" s="39"/>
      <c r="B83" s="41"/>
      <c r="C83" s="40"/>
      <c r="D83" s="38"/>
      <c r="E83" s="38"/>
      <c r="F83" s="38"/>
    </row>
    <row r="84" spans="1:6" s="16" customFormat="1" ht="12.75">
      <c r="A84" s="44"/>
      <c r="B84" s="44"/>
      <c r="C84" s="44"/>
      <c r="D84" s="45"/>
      <c r="E84" s="38"/>
      <c r="F84" s="44"/>
    </row>
    <row r="85" spans="1:25" s="16" customFormat="1" ht="11.25">
      <c r="A85" s="46"/>
      <c r="B85" s="41"/>
      <c r="C85" s="40"/>
      <c r="D85" s="38"/>
      <c r="E85" s="38"/>
      <c r="F85" s="47"/>
      <c r="Y85" s="14"/>
    </row>
    <row r="86" s="16" customFormat="1" ht="11.25"/>
    <row r="87" s="16" customFormat="1" ht="11.25"/>
    <row r="88" s="16" customFormat="1" ht="11.25"/>
    <row r="89" s="16" customFormat="1" ht="11.25">
      <c r="B89" s="8"/>
    </row>
    <row r="90" spans="2:25" s="14" customFormat="1" ht="11.25">
      <c r="B90" s="29"/>
      <c r="X90" s="16"/>
      <c r="Y90" s="16"/>
    </row>
    <row r="91" s="16" customFormat="1" ht="11.25"/>
    <row r="92" s="16" customFormat="1" ht="11.25"/>
    <row r="93" s="16" customFormat="1" ht="11.25"/>
    <row r="94" s="16" customFormat="1" ht="11.25"/>
    <row r="95" s="16" customFormat="1" ht="11.25"/>
    <row r="96" s="16" customFormat="1" ht="11.25"/>
    <row r="97" s="16" customFormat="1" ht="11.25"/>
    <row r="98" s="16" customFormat="1" ht="11.25"/>
    <row r="99" s="16" customFormat="1" ht="11.25">
      <c r="A99" s="6"/>
    </row>
    <row r="100" s="16" customFormat="1" ht="12.75">
      <c r="AA100" s="5"/>
    </row>
    <row r="101" s="16" customFormat="1" ht="12.75">
      <c r="AA101" s="5"/>
    </row>
    <row r="102" s="16" customFormat="1" ht="12.75">
      <c r="AA102" s="5"/>
    </row>
    <row r="103" s="16" customFormat="1" ht="12.75">
      <c r="AA103" s="5"/>
    </row>
    <row r="104" spans="7:27" s="16" customFormat="1" ht="12.75">
      <c r="G104" s="48"/>
      <c r="I104" s="48"/>
      <c r="J104" s="48"/>
      <c r="L104" s="48"/>
      <c r="M104" s="48"/>
      <c r="N104" s="48"/>
      <c r="O104" s="48"/>
      <c r="P104" s="48"/>
      <c r="Q104" s="48"/>
      <c r="R104" s="48"/>
      <c r="S104" s="48"/>
      <c r="T104" s="48"/>
      <c r="U104" s="48"/>
      <c r="V104" s="48"/>
      <c r="W104" s="48"/>
      <c r="X104" s="48"/>
      <c r="Y104" s="48"/>
      <c r="AA104" s="5"/>
    </row>
    <row r="105" s="16" customFormat="1" ht="12.75">
      <c r="AA105" s="5"/>
    </row>
    <row r="106" spans="7:27" s="16" customFormat="1" ht="13.5" thickBot="1">
      <c r="G106" s="49"/>
      <c r="I106" s="49"/>
      <c r="J106" s="49"/>
      <c r="L106" s="49"/>
      <c r="M106" s="49"/>
      <c r="N106" s="49"/>
      <c r="O106" s="49"/>
      <c r="P106" s="49"/>
      <c r="Q106" s="49"/>
      <c r="R106" s="49"/>
      <c r="S106" s="49"/>
      <c r="T106" s="49"/>
      <c r="U106" s="49"/>
      <c r="V106" s="49"/>
      <c r="W106" s="49"/>
      <c r="X106" s="49"/>
      <c r="Y106" s="49"/>
      <c r="AA106" s="5"/>
    </row>
    <row r="107" ht="13.5" thickTop="1"/>
    <row r="108" spans="23:25" ht="12.75">
      <c r="W108" s="50"/>
      <c r="X108" s="50"/>
      <c r="Y108" s="50"/>
    </row>
    <row r="109" spans="23:27" ht="12.75">
      <c r="W109" s="50"/>
      <c r="AA109" s="50"/>
    </row>
  </sheetData>
  <sheetProtection/>
  <printOptions horizontalCentered="1"/>
  <pageMargins left="0" right="0" top="0.52" bottom="0.44" header="0" footer="0"/>
  <pageSetup fitToHeight="1" fitToWidth="1" orientation="portrait" scale="75" r:id="rId3"/>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dimension ref="A1:R120"/>
  <sheetViews>
    <sheetView showGridLines="0" zoomScalePageLayoutView="0" workbookViewId="0" topLeftCell="A1">
      <selection activeCell="A2" sqref="A2"/>
    </sheetView>
  </sheetViews>
  <sheetFormatPr defaultColWidth="9.140625" defaultRowHeight="12.75"/>
  <cols>
    <col min="2" max="2" width="6.57421875" style="0" customWidth="1"/>
    <col min="3" max="3" width="8.7109375" style="0" bestFit="1" customWidth="1"/>
    <col min="4" max="4" width="9.00390625" style="0" bestFit="1" customWidth="1"/>
    <col min="5" max="5" width="12.00390625" style="0" bestFit="1" customWidth="1"/>
    <col min="11" max="12" width="9.00390625" style="0" bestFit="1" customWidth="1"/>
    <col min="13" max="13" width="8.7109375" style="0" bestFit="1" customWidth="1"/>
    <col min="14" max="14" width="3.7109375" style="65" customWidth="1"/>
    <col min="16" max="16" width="14.57421875" style="0" bestFit="1" customWidth="1"/>
    <col min="17" max="17" width="12.28125" style="151" bestFit="1" customWidth="1"/>
  </cols>
  <sheetData>
    <row r="1" spans="1:2" ht="12.75">
      <c r="A1" s="51" t="str">
        <f>"Commodity Value Timeframe:  "&amp;TEXT(A7,"mmmm")&amp;" - "&amp;TEXT(A12,"mmmm")</f>
        <v>Commodity Value Timeframe:  May - October</v>
      </c>
      <c r="B1" s="52"/>
    </row>
    <row r="2" spans="1:2" ht="12.75">
      <c r="A2" s="53" t="str">
        <f>WUTC_KENT_SF!A1</f>
        <v>Kent-Meridian Disposal</v>
      </c>
      <c r="B2" s="53"/>
    </row>
    <row r="3" spans="1:2" ht="12.75">
      <c r="A3" s="53"/>
      <c r="B3" s="53"/>
    </row>
    <row r="4" spans="2:15" ht="12.75">
      <c r="B4" s="63"/>
      <c r="C4" s="55" t="s">
        <v>20</v>
      </c>
      <c r="D4" s="55" t="s">
        <v>21</v>
      </c>
      <c r="E4" s="55" t="s">
        <v>53</v>
      </c>
      <c r="F4" s="55" t="s">
        <v>22</v>
      </c>
      <c r="G4" s="55" t="s">
        <v>23</v>
      </c>
      <c r="H4" s="55" t="s">
        <v>24</v>
      </c>
      <c r="I4" s="55" t="s">
        <v>25</v>
      </c>
      <c r="J4" s="55" t="s">
        <v>26</v>
      </c>
      <c r="K4" s="55" t="s">
        <v>27</v>
      </c>
      <c r="L4" s="55" t="s">
        <v>28</v>
      </c>
      <c r="M4" s="55" t="s">
        <v>29</v>
      </c>
      <c r="N4"/>
      <c r="O4" s="66"/>
    </row>
    <row r="5" spans="2:15" ht="12.75">
      <c r="B5" s="63"/>
      <c r="C5" s="63"/>
      <c r="D5" s="63"/>
      <c r="E5" s="63"/>
      <c r="F5" s="63"/>
      <c r="G5" s="63"/>
      <c r="H5" s="63"/>
      <c r="I5" s="63"/>
      <c r="J5" s="63"/>
      <c r="K5" s="63"/>
      <c r="L5" s="63"/>
      <c r="M5" s="63"/>
      <c r="N5"/>
      <c r="O5" s="66" t="str">
        <f>+TEXT(P20,"00.0%")&amp;" of"</f>
        <v>50.0% of</v>
      </c>
    </row>
    <row r="6" spans="2:17" ht="12.75">
      <c r="B6" s="63"/>
      <c r="C6" s="63"/>
      <c r="D6" s="63"/>
      <c r="E6" s="63"/>
      <c r="F6" s="63"/>
      <c r="G6" s="63"/>
      <c r="H6" s="63"/>
      <c r="I6" s="63"/>
      <c r="J6" s="63"/>
      <c r="K6" s="63"/>
      <c r="L6" s="63"/>
      <c r="M6" s="63"/>
      <c r="N6"/>
      <c r="O6" s="66" t="s">
        <v>29</v>
      </c>
      <c r="P6" s="55" t="s">
        <v>66</v>
      </c>
      <c r="Q6" s="152"/>
    </row>
    <row r="7" spans="1:18" ht="12.75">
      <c r="A7" s="58">
        <f>+Pricing!A7</f>
        <v>43221</v>
      </c>
      <c r="B7" s="63"/>
      <c r="C7" s="68">
        <f>'Commodity Tonnages'!C7*Pricing!C7</f>
        <v>5060.916044999999</v>
      </c>
      <c r="D7" s="68">
        <f>'Commodity Tonnages'!D7*Pricing!D7</f>
        <v>-2783.0126188800004</v>
      </c>
      <c r="E7" s="68">
        <f>'Commodity Tonnages'!E7*Pricing!E7</f>
        <v>0</v>
      </c>
      <c r="F7" s="68">
        <f>'Commodity Tonnages'!F7*Pricing!F7</f>
        <v>931.9731696</v>
      </c>
      <c r="G7" s="68">
        <f>'Commodity Tonnages'!G7*Pricing!G7</f>
        <v>0</v>
      </c>
      <c r="H7" s="68">
        <f>'Commodity Tonnages'!H7*Pricing!H7</f>
        <v>-4608.522449279999</v>
      </c>
      <c r="I7" s="68">
        <f>'Commodity Tonnages'!I7*Pricing!I7</f>
        <v>1405.5694727399998</v>
      </c>
      <c r="J7" s="68">
        <f>'Commodity Tonnages'!J7*Pricing!J7</f>
        <v>1405.5694727399998</v>
      </c>
      <c r="K7" s="68">
        <f>'Commodity Tonnages'!K7*Pricing!K7</f>
        <v>4832.77031424</v>
      </c>
      <c r="L7" s="68">
        <f>'Commodity Tonnages'!L7*Pricing!L7</f>
        <v>-4973.556490920011</v>
      </c>
      <c r="M7" s="64">
        <f aca="true" t="shared" si="0" ref="M7:M18">SUM(C7:L7)</f>
        <v>1271.7069152399872</v>
      </c>
      <c r="N7"/>
      <c r="O7" s="130">
        <f>M7*P7</f>
        <v>635.8534576199936</v>
      </c>
      <c r="P7" s="150">
        <v>0.5</v>
      </c>
      <c r="Q7" s="153"/>
      <c r="R7" s="67"/>
    </row>
    <row r="8" spans="1:18" ht="12.75">
      <c r="A8" s="58">
        <f>+Pricing!A8</f>
        <v>43281</v>
      </c>
      <c r="B8" s="63"/>
      <c r="C8" s="68">
        <f>'Commodity Tonnages'!C8*Pricing!C8</f>
        <v>5209.763559</v>
      </c>
      <c r="D8" s="68">
        <f>'Commodity Tonnages'!D8*Pricing!D8</f>
        <v>-2099.05103408</v>
      </c>
      <c r="E8" s="68">
        <f>'Commodity Tonnages'!E8*Pricing!E8</f>
        <v>0</v>
      </c>
      <c r="F8" s="68">
        <f>'Commodity Tonnages'!F8*Pricing!F8</f>
        <v>953.0582061</v>
      </c>
      <c r="G8" s="68">
        <f>'Commodity Tonnages'!G8*Pricing!G8</f>
        <v>0</v>
      </c>
      <c r="H8" s="68">
        <f>'Commodity Tonnages'!H8*Pricing!H8</f>
        <v>641.4728319999998</v>
      </c>
      <c r="I8" s="68">
        <f>'Commodity Tonnages'!I8*Pricing!I8</f>
        <v>1225.53955524</v>
      </c>
      <c r="J8" s="68">
        <f>'Commodity Tonnages'!J8*Pricing!J8</f>
        <v>1225.53955524</v>
      </c>
      <c r="K8" s="68">
        <f>'Commodity Tonnages'!K8*Pricing!K8</f>
        <v>6647.834433239999</v>
      </c>
      <c r="L8" s="68">
        <f>'Commodity Tonnages'!L8*Pricing!L8</f>
        <v>-4953.284275940011</v>
      </c>
      <c r="M8" s="64">
        <f t="shared" si="0"/>
        <v>8850.872830799988</v>
      </c>
      <c r="N8"/>
      <c r="O8" s="130">
        <f aca="true" t="shared" si="1" ref="O8:O18">M8*P8</f>
        <v>4425.436415399994</v>
      </c>
      <c r="P8" s="150">
        <v>0.5</v>
      </c>
      <c r="Q8" s="153"/>
      <c r="R8" s="67"/>
    </row>
    <row r="9" spans="1:18" ht="12.75">
      <c r="A9" s="58">
        <f>+Pricing!A9</f>
        <v>43312</v>
      </c>
      <c r="B9" s="59"/>
      <c r="C9" s="68">
        <f>'Commodity Tonnages'!C9*Pricing!C9</f>
        <v>5181.484654500001</v>
      </c>
      <c r="D9" s="68">
        <f>'Commodity Tonnages'!D9*Pricing!D9</f>
        <v>-409.39337712</v>
      </c>
      <c r="E9" s="68">
        <f>'Commodity Tonnages'!E9*Pricing!E9</f>
        <v>0</v>
      </c>
      <c r="F9" s="68">
        <f>'Commodity Tonnages'!F9*Pricing!F9</f>
        <v>974.5450638</v>
      </c>
      <c r="G9" s="68">
        <f>'Commodity Tonnages'!G9*Pricing!G9</f>
        <v>0</v>
      </c>
      <c r="H9" s="68">
        <f>'Commodity Tonnages'!H9*Pricing!H9</f>
        <v>1404.5165590399997</v>
      </c>
      <c r="I9" s="68">
        <f>'Commodity Tonnages'!I9*Pricing!I9</f>
        <v>1590.55472037</v>
      </c>
      <c r="J9" s="68">
        <f>'Commodity Tonnages'!J9*Pricing!J9</f>
        <v>1590.55472037</v>
      </c>
      <c r="K9" s="68">
        <f>'Commodity Tonnages'!K9*Pricing!K9</f>
        <v>7903.63966392</v>
      </c>
      <c r="L9" s="68">
        <f>'Commodity Tonnages'!L9*Pricing!L9</f>
        <v>-5176.757511940012</v>
      </c>
      <c r="M9" s="64">
        <f t="shared" si="0"/>
        <v>13059.14449293999</v>
      </c>
      <c r="N9" s="64"/>
      <c r="O9" s="130">
        <f t="shared" si="1"/>
        <v>6529.572246469995</v>
      </c>
      <c r="P9" s="150">
        <v>0.5</v>
      </c>
      <c r="Q9" s="153"/>
      <c r="R9" s="67"/>
    </row>
    <row r="10" spans="1:18" ht="12.75">
      <c r="A10" s="58">
        <f>+Pricing!A10</f>
        <v>43343</v>
      </c>
      <c r="B10" s="59"/>
      <c r="C10" s="68">
        <f>'Commodity Tonnages'!C10*Pricing!C10</f>
        <v>5392.060855500001</v>
      </c>
      <c r="D10" s="68">
        <f>'Commodity Tonnages'!D10*Pricing!D10</f>
        <v>88.30898336</v>
      </c>
      <c r="E10" s="68">
        <f>'Commodity Tonnages'!E10*Pricing!E10</f>
        <v>0</v>
      </c>
      <c r="F10" s="68">
        <f>'Commodity Tonnages'!F10*Pricing!F10</f>
        <v>688.8339645000001</v>
      </c>
      <c r="G10" s="68">
        <f>'Commodity Tonnages'!G10*Pricing!G10</f>
        <v>0</v>
      </c>
      <c r="H10" s="68">
        <f>'Commodity Tonnages'!H10*Pricing!H10</f>
        <v>2937.1457708799994</v>
      </c>
      <c r="I10" s="68">
        <f>'Commodity Tonnages'!I10*Pricing!I10</f>
        <v>2553.3312185</v>
      </c>
      <c r="J10" s="68">
        <f>'Commodity Tonnages'!J10*Pricing!J10</f>
        <v>2553.3312185</v>
      </c>
      <c r="K10" s="68">
        <f>'Commodity Tonnages'!K10*Pricing!K10</f>
        <v>7293.86627904</v>
      </c>
      <c r="L10" s="68">
        <f>'Commodity Tonnages'!L10*Pricing!L10</f>
        <v>-5387.141601260012</v>
      </c>
      <c r="M10" s="64">
        <f t="shared" si="0"/>
        <v>16119.736689019985</v>
      </c>
      <c r="N10" s="64"/>
      <c r="O10" s="130">
        <f t="shared" si="1"/>
        <v>8059.868344509992</v>
      </c>
      <c r="P10" s="150">
        <v>0.5</v>
      </c>
      <c r="Q10" s="153"/>
      <c r="R10" s="67"/>
    </row>
    <row r="11" spans="1:18" ht="12.75">
      <c r="A11" s="58">
        <f>+Pricing!A11</f>
        <v>43373</v>
      </c>
      <c r="B11" s="59"/>
      <c r="C11" s="68">
        <f>'Commodity Tonnages'!C11*Pricing!C11</f>
        <v>3881.2328265000006</v>
      </c>
      <c r="D11" s="68">
        <f>'Commodity Tonnages'!D11*Pricing!D11</f>
        <v>-1423.1126509600003</v>
      </c>
      <c r="E11" s="68">
        <f>'Commodity Tonnages'!E11*Pricing!E11</f>
        <v>0</v>
      </c>
      <c r="F11" s="68">
        <f>'Commodity Tonnages'!F11*Pricing!F11</f>
        <v>632.2921027500001</v>
      </c>
      <c r="G11" s="68">
        <f>'Commodity Tonnages'!G11*Pricing!G11</f>
        <v>0</v>
      </c>
      <c r="H11" s="68">
        <f>'Commodity Tonnages'!H11*Pricing!H11</f>
        <v>7648.697364799997</v>
      </c>
      <c r="I11" s="68">
        <f>'Commodity Tonnages'!I11*Pricing!I11</f>
        <v>973.6896743650002</v>
      </c>
      <c r="J11" s="68">
        <f>'Commodity Tonnages'!J11*Pricing!J11</f>
        <v>973.6896743650002</v>
      </c>
      <c r="K11" s="68">
        <f>'Commodity Tonnages'!K11*Pricing!K11</f>
        <v>6260.100333300001</v>
      </c>
      <c r="L11" s="68">
        <f>'Commodity Tonnages'!L11*Pricing!L11</f>
        <v>-4391.16927553001</v>
      </c>
      <c r="M11" s="64">
        <f t="shared" si="0"/>
        <v>14555.420049589986</v>
      </c>
      <c r="N11" s="64"/>
      <c r="O11" s="130">
        <f t="shared" si="1"/>
        <v>7277.710024794993</v>
      </c>
      <c r="P11" s="150">
        <v>0.5</v>
      </c>
      <c r="Q11" s="153"/>
      <c r="R11" s="67"/>
    </row>
    <row r="12" spans="1:18" ht="12.75">
      <c r="A12" s="58">
        <f>+Pricing!A12</f>
        <v>43404</v>
      </c>
      <c r="B12" s="59"/>
      <c r="C12" s="68">
        <f>'Commodity Tonnages'!C12*Pricing!C12</f>
        <v>4525.198130250001</v>
      </c>
      <c r="D12" s="68">
        <f>'Commodity Tonnages'!D12*Pricing!D12</f>
        <v>-1936.6124450400005</v>
      </c>
      <c r="E12" s="68">
        <f>'Commodity Tonnages'!E12*Pricing!E12</f>
        <v>0</v>
      </c>
      <c r="F12" s="68">
        <f>'Commodity Tonnages'!F12*Pricing!F12</f>
        <v>847.6263873000001</v>
      </c>
      <c r="G12" s="68">
        <f>'Commodity Tonnages'!G12*Pricing!G12</f>
        <v>0</v>
      </c>
      <c r="H12" s="68">
        <f>'Commodity Tonnages'!H12*Pricing!H12</f>
        <v>8751.082566239997</v>
      </c>
      <c r="I12" s="68">
        <f>'Commodity Tonnages'!I12*Pricing!I12</f>
        <v>1110.2107218300002</v>
      </c>
      <c r="J12" s="68">
        <f>'Commodity Tonnages'!J12*Pricing!J12</f>
        <v>1110.2107218300002</v>
      </c>
      <c r="K12" s="68">
        <f>'Commodity Tonnages'!K12*Pricing!K12</f>
        <v>8393.257635840002</v>
      </c>
      <c r="L12" s="68">
        <f>'Commodity Tonnages'!L12*Pricing!L12</f>
        <v>-5244.358165830012</v>
      </c>
      <c r="M12" s="64">
        <f t="shared" si="0"/>
        <v>17556.615552419993</v>
      </c>
      <c r="N12" s="64"/>
      <c r="O12" s="130">
        <f t="shared" si="1"/>
        <v>8778.307776209997</v>
      </c>
      <c r="P12" s="150">
        <v>0.5</v>
      </c>
      <c r="Q12" s="153"/>
      <c r="R12" s="67"/>
    </row>
    <row r="13" spans="1:18" ht="12.75">
      <c r="A13" s="58">
        <f>+Pricing!A13</f>
        <v>43434</v>
      </c>
      <c r="B13" s="59"/>
      <c r="C13" s="68">
        <f>'Commodity Tonnages'!C13*Pricing!C13</f>
        <v>0</v>
      </c>
      <c r="D13" s="68">
        <f>'Commodity Tonnages'!D13*Pricing!D13</f>
        <v>0</v>
      </c>
      <c r="E13" s="68">
        <f>'Commodity Tonnages'!E13*Pricing!E13</f>
        <v>0</v>
      </c>
      <c r="F13" s="68">
        <f>'Commodity Tonnages'!F13*Pricing!F13</f>
        <v>0</v>
      </c>
      <c r="G13" s="68">
        <f>'Commodity Tonnages'!G13*Pricing!G13</f>
        <v>0</v>
      </c>
      <c r="H13" s="68">
        <f>'Commodity Tonnages'!H13*Pricing!H13</f>
        <v>0</v>
      </c>
      <c r="I13" s="68">
        <f>'Commodity Tonnages'!I13*Pricing!I13</f>
        <v>0</v>
      </c>
      <c r="J13" s="68">
        <f>'Commodity Tonnages'!J13*Pricing!J13</f>
        <v>0</v>
      </c>
      <c r="K13" s="68">
        <f>'Commodity Tonnages'!K13*Pricing!K13</f>
        <v>0</v>
      </c>
      <c r="L13" s="68">
        <f>'Commodity Tonnages'!L13*Pricing!L13</f>
        <v>0</v>
      </c>
      <c r="M13" s="64">
        <f t="shared" si="0"/>
        <v>0</v>
      </c>
      <c r="N13" s="64"/>
      <c r="O13" s="130">
        <f t="shared" si="1"/>
        <v>0</v>
      </c>
      <c r="P13" s="150">
        <v>0.5</v>
      </c>
      <c r="Q13" s="153"/>
      <c r="R13" s="67"/>
    </row>
    <row r="14" spans="1:18" ht="12.75">
      <c r="A14" s="58">
        <f>+Pricing!A14</f>
        <v>43465</v>
      </c>
      <c r="B14" s="59"/>
      <c r="C14" s="68">
        <f>'Commodity Tonnages'!C14*Pricing!C14</f>
        <v>0</v>
      </c>
      <c r="D14" s="68">
        <f>'Commodity Tonnages'!D14*Pricing!D14</f>
        <v>0</v>
      </c>
      <c r="E14" s="68">
        <f>'Commodity Tonnages'!E14*Pricing!E14</f>
        <v>0</v>
      </c>
      <c r="F14" s="68">
        <f>'Commodity Tonnages'!F14*Pricing!F14</f>
        <v>0</v>
      </c>
      <c r="G14" s="68">
        <f>'Commodity Tonnages'!G14*Pricing!G14</f>
        <v>0</v>
      </c>
      <c r="H14" s="68">
        <f>'Commodity Tonnages'!H14*Pricing!H14</f>
        <v>0</v>
      </c>
      <c r="I14" s="68">
        <f>'Commodity Tonnages'!I14*Pricing!I14</f>
        <v>0</v>
      </c>
      <c r="J14" s="68">
        <f>'Commodity Tonnages'!J14*Pricing!J14</f>
        <v>0</v>
      </c>
      <c r="K14" s="68">
        <f>'Commodity Tonnages'!K14*Pricing!K14</f>
        <v>0</v>
      </c>
      <c r="L14" s="68">
        <f>'Commodity Tonnages'!L14*Pricing!L14</f>
        <v>0</v>
      </c>
      <c r="M14" s="64">
        <f t="shared" si="0"/>
        <v>0</v>
      </c>
      <c r="N14" s="64"/>
      <c r="O14" s="130">
        <f t="shared" si="1"/>
        <v>0</v>
      </c>
      <c r="P14" s="150">
        <v>0.5</v>
      </c>
      <c r="Q14" s="153"/>
      <c r="R14" s="67"/>
    </row>
    <row r="15" spans="1:18" ht="12.75">
      <c r="A15" s="58">
        <f>+Pricing!A15</f>
        <v>43496</v>
      </c>
      <c r="B15" s="59"/>
      <c r="C15" s="68">
        <f>'Commodity Tonnages'!C15*Pricing!C15</f>
        <v>0</v>
      </c>
      <c r="D15" s="68">
        <f>'Commodity Tonnages'!D15*Pricing!D15</f>
        <v>0</v>
      </c>
      <c r="E15" s="68">
        <f>'Commodity Tonnages'!E15*Pricing!E15</f>
        <v>0</v>
      </c>
      <c r="F15" s="68">
        <f>'Commodity Tonnages'!F15*Pricing!F15</f>
        <v>0</v>
      </c>
      <c r="G15" s="68">
        <f>'Commodity Tonnages'!G15*Pricing!G15</f>
        <v>0</v>
      </c>
      <c r="H15" s="68">
        <f>'Commodity Tonnages'!H15*Pricing!H15</f>
        <v>0</v>
      </c>
      <c r="I15" s="68">
        <f>'Commodity Tonnages'!I15*Pricing!I15</f>
        <v>0</v>
      </c>
      <c r="J15" s="68">
        <f>'Commodity Tonnages'!J15*Pricing!J15</f>
        <v>0</v>
      </c>
      <c r="K15" s="68">
        <f>'Commodity Tonnages'!K15*Pricing!K15</f>
        <v>0</v>
      </c>
      <c r="L15" s="68">
        <f>'Commodity Tonnages'!L15*Pricing!L15</f>
        <v>0</v>
      </c>
      <c r="M15" s="64">
        <f t="shared" si="0"/>
        <v>0</v>
      </c>
      <c r="N15" s="64"/>
      <c r="O15" s="130">
        <f t="shared" si="1"/>
        <v>0</v>
      </c>
      <c r="P15" s="150">
        <v>0.5</v>
      </c>
      <c r="Q15" s="153"/>
      <c r="R15" s="67"/>
    </row>
    <row r="16" spans="1:18" ht="12.75">
      <c r="A16" s="58">
        <f>+Pricing!A16</f>
        <v>43524</v>
      </c>
      <c r="B16" s="59"/>
      <c r="C16" s="68">
        <f>'Commodity Tonnages'!C16*Pricing!C16</f>
        <v>0</v>
      </c>
      <c r="D16" s="68">
        <f>'Commodity Tonnages'!D16*Pricing!D16</f>
        <v>0</v>
      </c>
      <c r="E16" s="68">
        <f>'Commodity Tonnages'!E16*Pricing!E16</f>
        <v>0</v>
      </c>
      <c r="F16" s="68">
        <f>'Commodity Tonnages'!F16*Pricing!F16</f>
        <v>0</v>
      </c>
      <c r="G16" s="68">
        <f>'Commodity Tonnages'!G16*Pricing!G16</f>
        <v>0</v>
      </c>
      <c r="H16" s="68">
        <f>'Commodity Tonnages'!H16*Pricing!H16</f>
        <v>0</v>
      </c>
      <c r="I16" s="68">
        <f>'Commodity Tonnages'!I16*Pricing!I16</f>
        <v>0</v>
      </c>
      <c r="J16" s="68">
        <f>'Commodity Tonnages'!J16*Pricing!J16</f>
        <v>0</v>
      </c>
      <c r="K16" s="68">
        <f>'Commodity Tonnages'!K16*Pricing!K16</f>
        <v>0</v>
      </c>
      <c r="L16" s="68">
        <f>'Commodity Tonnages'!L16*Pricing!L16</f>
        <v>0</v>
      </c>
      <c r="M16" s="64">
        <f t="shared" si="0"/>
        <v>0</v>
      </c>
      <c r="N16" s="64"/>
      <c r="O16" s="130">
        <f t="shared" si="1"/>
        <v>0</v>
      </c>
      <c r="P16" s="150">
        <v>0.5</v>
      </c>
      <c r="Q16" s="153"/>
      <c r="R16" s="67"/>
    </row>
    <row r="17" spans="1:18" ht="12.75">
      <c r="A17" s="58">
        <f>+Pricing!A17</f>
        <v>43555</v>
      </c>
      <c r="B17" s="59"/>
      <c r="C17" s="68">
        <f>'Commodity Tonnages'!C17*Pricing!C17</f>
        <v>0</v>
      </c>
      <c r="D17" s="68">
        <f>'Commodity Tonnages'!D17*Pricing!D17</f>
        <v>0</v>
      </c>
      <c r="E17" s="68">
        <f>'Commodity Tonnages'!E17*Pricing!E17</f>
        <v>0</v>
      </c>
      <c r="F17" s="68">
        <f>'Commodity Tonnages'!F17*Pricing!F17</f>
        <v>0</v>
      </c>
      <c r="G17" s="68">
        <f>'Commodity Tonnages'!G17*Pricing!G17</f>
        <v>0</v>
      </c>
      <c r="H17" s="68">
        <f>'Commodity Tonnages'!H17*Pricing!H17</f>
        <v>0</v>
      </c>
      <c r="I17" s="68">
        <f>'Commodity Tonnages'!I17*Pricing!I17</f>
        <v>0</v>
      </c>
      <c r="J17" s="68">
        <f>'Commodity Tonnages'!J17*Pricing!J17</f>
        <v>0</v>
      </c>
      <c r="K17" s="68">
        <f>'Commodity Tonnages'!K17*Pricing!K17</f>
        <v>0</v>
      </c>
      <c r="L17" s="68">
        <f>'Commodity Tonnages'!L17*Pricing!L17</f>
        <v>0</v>
      </c>
      <c r="M17" s="64">
        <f t="shared" si="0"/>
        <v>0</v>
      </c>
      <c r="N17" s="64"/>
      <c r="O17" s="130">
        <f t="shared" si="1"/>
        <v>0</v>
      </c>
      <c r="P17" s="150">
        <v>0.5</v>
      </c>
      <c r="Q17" s="153"/>
      <c r="R17" s="67"/>
    </row>
    <row r="18" spans="1:18" ht="12.75">
      <c r="A18" s="58">
        <f>+Pricing!A18</f>
        <v>43585</v>
      </c>
      <c r="B18" s="59"/>
      <c r="C18" s="68">
        <f>'Commodity Tonnages'!C18*Pricing!C18</f>
        <v>0</v>
      </c>
      <c r="D18" s="68">
        <f>'Commodity Tonnages'!D18*Pricing!D18</f>
        <v>0</v>
      </c>
      <c r="E18" s="68">
        <f>'Commodity Tonnages'!E18*Pricing!E18</f>
        <v>0</v>
      </c>
      <c r="F18" s="68">
        <f>'Commodity Tonnages'!F18*Pricing!F18</f>
        <v>0</v>
      </c>
      <c r="G18" s="68">
        <f>'Commodity Tonnages'!G18*Pricing!G18</f>
        <v>0</v>
      </c>
      <c r="H18" s="68">
        <f>'Commodity Tonnages'!H18*Pricing!H18</f>
        <v>0</v>
      </c>
      <c r="I18" s="68">
        <f>'Commodity Tonnages'!I18*Pricing!I18</f>
        <v>0</v>
      </c>
      <c r="J18" s="68">
        <f>'Commodity Tonnages'!J18*Pricing!J18</f>
        <v>0</v>
      </c>
      <c r="K18" s="68">
        <f>'Commodity Tonnages'!K18*Pricing!K18</f>
        <v>0</v>
      </c>
      <c r="L18" s="68">
        <f>'Commodity Tonnages'!L18*Pricing!L18</f>
        <v>0</v>
      </c>
      <c r="M18" s="64">
        <f t="shared" si="0"/>
        <v>0</v>
      </c>
      <c r="N18" s="64"/>
      <c r="O18" s="130">
        <f t="shared" si="1"/>
        <v>0</v>
      </c>
      <c r="P18" s="150">
        <v>0.5</v>
      </c>
      <c r="Q18" s="153"/>
      <c r="R18" s="67"/>
    </row>
    <row r="19" spans="1:17" ht="6.75" customHeight="1">
      <c r="A19" s="59"/>
      <c r="B19" s="59"/>
      <c r="C19" s="68"/>
      <c r="D19" s="68"/>
      <c r="E19" s="68"/>
      <c r="F19" s="68"/>
      <c r="G19" s="68"/>
      <c r="H19" s="68"/>
      <c r="I19" s="68"/>
      <c r="J19" s="68"/>
      <c r="K19" s="68"/>
      <c r="L19" s="68"/>
      <c r="M19" s="64"/>
      <c r="N19"/>
      <c r="O19" s="64"/>
      <c r="Q19" s="154"/>
    </row>
    <row r="20" spans="1:17" ht="12.75">
      <c r="A20" s="62" t="s">
        <v>32</v>
      </c>
      <c r="B20" s="59"/>
      <c r="C20" s="75">
        <f aca="true" t="shared" si="2" ref="C20:L20">SUM(C7:C19)</f>
        <v>29250.656070750003</v>
      </c>
      <c r="D20" s="75">
        <f t="shared" si="2"/>
        <v>-8562.873142720002</v>
      </c>
      <c r="E20" s="75">
        <f t="shared" si="2"/>
        <v>0</v>
      </c>
      <c r="F20" s="75">
        <f t="shared" si="2"/>
        <v>5028.32889405</v>
      </c>
      <c r="G20" s="75">
        <f t="shared" si="2"/>
        <v>0</v>
      </c>
      <c r="H20" s="75">
        <f t="shared" si="2"/>
        <v>16774.392643679996</v>
      </c>
      <c r="I20" s="75">
        <f t="shared" si="2"/>
        <v>8858.895363045</v>
      </c>
      <c r="J20" s="75">
        <f t="shared" si="2"/>
        <v>8858.895363045</v>
      </c>
      <c r="K20" s="75">
        <f t="shared" si="2"/>
        <v>41331.46865958001</v>
      </c>
      <c r="L20" s="75">
        <f t="shared" si="2"/>
        <v>-30126.26732142007</v>
      </c>
      <c r="M20" s="74">
        <f>SUM(C20:L20)</f>
        <v>71413.49653000993</v>
      </c>
      <c r="N20" s="60"/>
      <c r="O20" s="74">
        <f>SUM(O7:O19)</f>
        <v>35706.748265004964</v>
      </c>
      <c r="P20" s="109">
        <f>+O20/M20</f>
        <v>0.5</v>
      </c>
      <c r="Q20" s="154"/>
    </row>
    <row r="21" spans="1:15" ht="12.75">
      <c r="A21" s="59"/>
      <c r="B21" s="59"/>
      <c r="C21" s="64"/>
      <c r="D21" s="64"/>
      <c r="E21" s="64"/>
      <c r="F21" s="64"/>
      <c r="G21" s="64"/>
      <c r="H21" s="64"/>
      <c r="I21" s="64"/>
      <c r="J21" s="64"/>
      <c r="K21" s="64"/>
      <c r="L21" s="64"/>
      <c r="M21" s="64"/>
      <c r="N21"/>
      <c r="O21" s="65"/>
    </row>
    <row r="22" spans="1:15" ht="12.75">
      <c r="A22" s="59"/>
      <c r="B22" s="59"/>
      <c r="C22" s="59"/>
      <c r="D22" s="59"/>
      <c r="E22" s="59"/>
      <c r="F22" s="59"/>
      <c r="G22" s="59"/>
      <c r="H22" s="59"/>
      <c r="I22" s="59"/>
      <c r="J22" s="59"/>
      <c r="K22" s="59"/>
      <c r="L22" s="59"/>
      <c r="M22" s="60"/>
      <c r="N22"/>
      <c r="O22" s="65"/>
    </row>
    <row r="23" spans="1:11" ht="12.75">
      <c r="A23" s="59"/>
      <c r="B23" s="59"/>
      <c r="C23" s="59"/>
      <c r="D23" s="59"/>
      <c r="E23" s="59"/>
      <c r="F23" s="59"/>
      <c r="G23" s="59"/>
      <c r="H23" s="59"/>
      <c r="I23" s="59"/>
      <c r="J23" s="59"/>
      <c r="K23" s="59"/>
    </row>
    <row r="24" spans="1:11" ht="12.75">
      <c r="A24" s="59"/>
      <c r="B24" s="59"/>
      <c r="C24" s="59"/>
      <c r="D24" s="59"/>
      <c r="E24" s="59"/>
      <c r="F24" s="59"/>
      <c r="G24" s="59"/>
      <c r="H24" s="59"/>
      <c r="I24" s="59"/>
      <c r="J24" s="59"/>
      <c r="K24" s="59"/>
    </row>
    <row r="25" spans="1:11" ht="12.75">
      <c r="A25" s="59"/>
      <c r="B25" s="59"/>
      <c r="C25" s="59"/>
      <c r="D25" s="59"/>
      <c r="E25" s="59"/>
      <c r="F25" s="59"/>
      <c r="G25" s="59"/>
      <c r="H25" s="59"/>
      <c r="I25" s="59"/>
      <c r="J25" s="59"/>
      <c r="K25" s="59"/>
    </row>
    <row r="26" spans="1:11" ht="12.75">
      <c r="A26" s="59"/>
      <c r="B26" s="59"/>
      <c r="C26" s="59"/>
      <c r="D26" s="59"/>
      <c r="E26" s="59"/>
      <c r="F26" s="59"/>
      <c r="G26" s="59"/>
      <c r="H26" s="59"/>
      <c r="I26" s="59"/>
      <c r="J26" s="59"/>
      <c r="K26" s="59"/>
    </row>
    <row r="27" spans="1:11" ht="12.75">
      <c r="A27" s="59"/>
      <c r="B27" s="59"/>
      <c r="C27" s="59"/>
      <c r="D27" s="59"/>
      <c r="E27" s="59"/>
      <c r="F27" s="59"/>
      <c r="G27" s="59"/>
      <c r="H27" s="59"/>
      <c r="I27" s="59"/>
      <c r="J27" s="59"/>
      <c r="K27" s="59"/>
    </row>
    <row r="28" spans="1:11" ht="12.75">
      <c r="A28" s="59"/>
      <c r="B28" s="59"/>
      <c r="C28" s="59"/>
      <c r="D28" s="59"/>
      <c r="E28" s="59"/>
      <c r="F28" s="59"/>
      <c r="G28" s="59"/>
      <c r="H28" s="59"/>
      <c r="I28" s="59"/>
      <c r="J28" s="59"/>
      <c r="K28" s="59"/>
    </row>
    <row r="29" spans="1:11" ht="12.75">
      <c r="A29" s="59"/>
      <c r="B29" s="59"/>
      <c r="C29" s="59"/>
      <c r="D29" s="59"/>
      <c r="E29" s="59"/>
      <c r="F29" s="59"/>
      <c r="G29" s="59"/>
      <c r="H29" s="59"/>
      <c r="I29" s="59"/>
      <c r="J29" s="59"/>
      <c r="K29" s="59"/>
    </row>
    <row r="30" spans="1:11" ht="12.75">
      <c r="A30" s="59"/>
      <c r="B30" s="59"/>
      <c r="C30" s="59"/>
      <c r="D30" s="59"/>
      <c r="E30" s="59"/>
      <c r="F30" s="59"/>
      <c r="G30" s="59"/>
      <c r="H30" s="59"/>
      <c r="I30" s="59"/>
      <c r="J30" s="59"/>
      <c r="K30" s="59"/>
    </row>
    <row r="31" spans="1:11" ht="12.75">
      <c r="A31" s="59"/>
      <c r="B31" s="59"/>
      <c r="C31" s="59"/>
      <c r="D31" s="59"/>
      <c r="E31" s="59"/>
      <c r="F31" s="59"/>
      <c r="G31" s="59"/>
      <c r="H31" s="59"/>
      <c r="I31" s="59"/>
      <c r="J31" s="59"/>
      <c r="K31" s="59"/>
    </row>
    <row r="32" spans="1:11" ht="12.75">
      <c r="A32" s="59"/>
      <c r="B32" s="59"/>
      <c r="C32" s="59"/>
      <c r="D32" s="59"/>
      <c r="E32" s="59"/>
      <c r="F32" s="59"/>
      <c r="G32" s="59"/>
      <c r="H32" s="59"/>
      <c r="I32" s="59"/>
      <c r="J32" s="59"/>
      <c r="K32" s="59"/>
    </row>
    <row r="33" spans="1:11" ht="12.75">
      <c r="A33" s="59"/>
      <c r="B33" s="59"/>
      <c r="C33" s="59"/>
      <c r="D33" s="59"/>
      <c r="E33" s="59"/>
      <c r="F33" s="59"/>
      <c r="G33" s="59"/>
      <c r="H33" s="59"/>
      <c r="I33" s="59"/>
      <c r="J33" s="59"/>
      <c r="K33" s="59"/>
    </row>
    <row r="34" spans="1:11" ht="12.75">
      <c r="A34" s="59"/>
      <c r="B34" s="59"/>
      <c r="C34" s="59"/>
      <c r="D34" s="59"/>
      <c r="E34" s="59"/>
      <c r="F34" s="59"/>
      <c r="G34" s="59"/>
      <c r="H34" s="59"/>
      <c r="I34" s="59"/>
      <c r="J34" s="59"/>
      <c r="K34" s="59"/>
    </row>
    <row r="35" spans="1:11" ht="12.75">
      <c r="A35" s="59"/>
      <c r="B35" s="59"/>
      <c r="C35" s="59"/>
      <c r="D35" s="59"/>
      <c r="E35" s="59"/>
      <c r="F35" s="59"/>
      <c r="G35" s="59"/>
      <c r="H35" s="59"/>
      <c r="I35" s="59"/>
      <c r="J35" s="59"/>
      <c r="K35" s="59"/>
    </row>
    <row r="36" spans="1:11" ht="12.75">
      <c r="A36" s="59"/>
      <c r="B36" s="59"/>
      <c r="C36" s="59"/>
      <c r="D36" s="59"/>
      <c r="E36" s="59"/>
      <c r="F36" s="59"/>
      <c r="G36" s="59"/>
      <c r="H36" s="59"/>
      <c r="I36" s="59"/>
      <c r="J36" s="59"/>
      <c r="K36" s="59"/>
    </row>
    <row r="37" spans="1:11" ht="12.75">
      <c r="A37" s="59"/>
      <c r="B37" s="59"/>
      <c r="C37" s="59"/>
      <c r="D37" s="59"/>
      <c r="E37" s="59"/>
      <c r="F37" s="59"/>
      <c r="G37" s="59"/>
      <c r="H37" s="59"/>
      <c r="I37" s="59"/>
      <c r="J37" s="59"/>
      <c r="K37" s="59"/>
    </row>
    <row r="38" spans="1:11" ht="12.75">
      <c r="A38" s="59"/>
      <c r="B38" s="59"/>
      <c r="C38" s="59"/>
      <c r="D38" s="59"/>
      <c r="E38" s="59"/>
      <c r="F38" s="59"/>
      <c r="G38" s="59"/>
      <c r="H38" s="59"/>
      <c r="I38" s="59"/>
      <c r="J38" s="59"/>
      <c r="K38" s="59"/>
    </row>
    <row r="39" spans="1:11" ht="12.75">
      <c r="A39" s="59"/>
      <c r="B39" s="59"/>
      <c r="C39" s="59"/>
      <c r="D39" s="59"/>
      <c r="E39" s="59"/>
      <c r="F39" s="59"/>
      <c r="G39" s="59"/>
      <c r="H39" s="59"/>
      <c r="I39" s="59"/>
      <c r="J39" s="59"/>
      <c r="K39" s="59"/>
    </row>
    <row r="40" spans="1:11" ht="12.75">
      <c r="A40" s="59"/>
      <c r="B40" s="59"/>
      <c r="C40" s="59"/>
      <c r="D40" s="59"/>
      <c r="E40" s="59"/>
      <c r="F40" s="59"/>
      <c r="G40" s="59"/>
      <c r="H40" s="59"/>
      <c r="I40" s="59"/>
      <c r="J40" s="59"/>
      <c r="K40" s="59"/>
    </row>
    <row r="41" spans="1:11" ht="12.75">
      <c r="A41" s="59"/>
      <c r="B41" s="59"/>
      <c r="C41" s="59"/>
      <c r="D41" s="59"/>
      <c r="E41" s="59"/>
      <c r="F41" s="59"/>
      <c r="G41" s="59"/>
      <c r="H41" s="59"/>
      <c r="I41" s="59"/>
      <c r="J41" s="59"/>
      <c r="K41" s="59"/>
    </row>
    <row r="42" spans="1:11" ht="12.75">
      <c r="A42" s="59"/>
      <c r="B42" s="59"/>
      <c r="C42" s="59"/>
      <c r="D42" s="59"/>
      <c r="E42" s="59"/>
      <c r="F42" s="59"/>
      <c r="G42" s="59"/>
      <c r="H42" s="59"/>
      <c r="I42" s="59"/>
      <c r="J42" s="59"/>
      <c r="K42" s="59"/>
    </row>
    <row r="43" spans="1:11" ht="12.75">
      <c r="A43" s="59"/>
      <c r="B43" s="59"/>
      <c r="C43" s="59"/>
      <c r="D43" s="59"/>
      <c r="E43" s="59"/>
      <c r="F43" s="59"/>
      <c r="G43" s="59"/>
      <c r="H43" s="59"/>
      <c r="I43" s="59"/>
      <c r="J43" s="59"/>
      <c r="K43" s="59"/>
    </row>
    <row r="44" spans="1:11" ht="12.75">
      <c r="A44" s="59"/>
      <c r="B44" s="59"/>
      <c r="C44" s="59"/>
      <c r="D44" s="59"/>
      <c r="E44" s="59"/>
      <c r="F44" s="59"/>
      <c r="G44" s="59"/>
      <c r="H44" s="59"/>
      <c r="I44" s="59"/>
      <c r="J44" s="59"/>
      <c r="K44" s="59"/>
    </row>
    <row r="45" spans="1:11" ht="12.75">
      <c r="A45" s="59"/>
      <c r="B45" s="59"/>
      <c r="C45" s="59"/>
      <c r="D45" s="59"/>
      <c r="E45" s="59"/>
      <c r="F45" s="59"/>
      <c r="G45" s="59"/>
      <c r="H45" s="59"/>
      <c r="I45" s="59"/>
      <c r="J45" s="59"/>
      <c r="K45" s="59"/>
    </row>
    <row r="46" spans="1:11" ht="12.75">
      <c r="A46" s="59"/>
      <c r="B46" s="59"/>
      <c r="C46" s="59"/>
      <c r="D46" s="59"/>
      <c r="E46" s="59"/>
      <c r="F46" s="59"/>
      <c r="G46" s="59"/>
      <c r="H46" s="59"/>
      <c r="I46" s="59"/>
      <c r="J46" s="59"/>
      <c r="K46" s="59"/>
    </row>
    <row r="47" spans="1:11" ht="12.75">
      <c r="A47" s="59"/>
      <c r="B47" s="59"/>
      <c r="C47" s="59"/>
      <c r="D47" s="59"/>
      <c r="E47" s="59"/>
      <c r="F47" s="59"/>
      <c r="G47" s="59"/>
      <c r="H47" s="59"/>
      <c r="I47" s="59"/>
      <c r="J47" s="59"/>
      <c r="K47" s="59"/>
    </row>
    <row r="48" spans="1:11" ht="12.75">
      <c r="A48" s="59"/>
      <c r="B48" s="59"/>
      <c r="C48" s="59"/>
      <c r="D48" s="59"/>
      <c r="E48" s="59"/>
      <c r="F48" s="59"/>
      <c r="G48" s="59"/>
      <c r="H48" s="59"/>
      <c r="I48" s="59"/>
      <c r="J48" s="59"/>
      <c r="K48" s="59"/>
    </row>
    <row r="49" spans="1:11" ht="12.75">
      <c r="A49" s="59"/>
      <c r="B49" s="59"/>
      <c r="C49" s="59"/>
      <c r="D49" s="59"/>
      <c r="E49" s="59"/>
      <c r="F49" s="59"/>
      <c r="G49" s="59"/>
      <c r="H49" s="59"/>
      <c r="I49" s="59"/>
      <c r="J49" s="59"/>
      <c r="K49" s="59"/>
    </row>
    <row r="50" spans="1:11" ht="12.75">
      <c r="A50" s="59"/>
      <c r="B50" s="59"/>
      <c r="C50" s="59"/>
      <c r="D50" s="59"/>
      <c r="E50" s="59"/>
      <c r="F50" s="59"/>
      <c r="G50" s="59"/>
      <c r="H50" s="59"/>
      <c r="I50" s="59"/>
      <c r="J50" s="59"/>
      <c r="K50" s="59"/>
    </row>
    <row r="51" spans="1:11" ht="12.75">
      <c r="A51" s="59"/>
      <c r="B51" s="59"/>
      <c r="C51" s="59"/>
      <c r="D51" s="59"/>
      <c r="E51" s="59"/>
      <c r="F51" s="59"/>
      <c r="G51" s="59"/>
      <c r="H51" s="59"/>
      <c r="I51" s="59"/>
      <c r="J51" s="59"/>
      <c r="K51" s="59"/>
    </row>
    <row r="52" spans="1:11" ht="12.75">
      <c r="A52" s="59"/>
      <c r="B52" s="59"/>
      <c r="C52" s="59"/>
      <c r="D52" s="59"/>
      <c r="E52" s="59"/>
      <c r="F52" s="59"/>
      <c r="G52" s="59"/>
      <c r="H52" s="59"/>
      <c r="I52" s="59"/>
      <c r="J52" s="59"/>
      <c r="K52" s="59"/>
    </row>
    <row r="53" spans="1:11" ht="12.75">
      <c r="A53" s="59"/>
      <c r="B53" s="59"/>
      <c r="C53" s="59"/>
      <c r="D53" s="59"/>
      <c r="E53" s="59"/>
      <c r="F53" s="59"/>
      <c r="G53" s="59"/>
      <c r="H53" s="59"/>
      <c r="I53" s="59"/>
      <c r="J53" s="59"/>
      <c r="K53" s="59"/>
    </row>
    <row r="54" spans="1:11" ht="12.75">
      <c r="A54" s="59"/>
      <c r="B54" s="59"/>
      <c r="C54" s="59"/>
      <c r="D54" s="59"/>
      <c r="E54" s="59"/>
      <c r="F54" s="59"/>
      <c r="G54" s="59"/>
      <c r="H54" s="59"/>
      <c r="I54" s="59"/>
      <c r="J54" s="59"/>
      <c r="K54" s="59"/>
    </row>
    <row r="55" spans="1:11" ht="12.75">
      <c r="A55" s="59"/>
      <c r="B55" s="59"/>
      <c r="C55" s="59"/>
      <c r="D55" s="59"/>
      <c r="E55" s="59"/>
      <c r="F55" s="59"/>
      <c r="G55" s="59"/>
      <c r="H55" s="59"/>
      <c r="I55" s="59"/>
      <c r="J55" s="59"/>
      <c r="K55" s="59"/>
    </row>
    <row r="56" spans="1:11" ht="12.75">
      <c r="A56" s="59"/>
      <c r="B56" s="59"/>
      <c r="C56" s="59"/>
      <c r="D56" s="59"/>
      <c r="E56" s="59"/>
      <c r="F56" s="59"/>
      <c r="G56" s="59"/>
      <c r="H56" s="59"/>
      <c r="I56" s="59"/>
      <c r="J56" s="59"/>
      <c r="K56" s="59"/>
    </row>
    <row r="57" spans="1:11" ht="12.75">
      <c r="A57" s="59"/>
      <c r="B57" s="59"/>
      <c r="C57" s="59"/>
      <c r="D57" s="59"/>
      <c r="E57" s="59"/>
      <c r="F57" s="59"/>
      <c r="G57" s="59"/>
      <c r="H57" s="59"/>
      <c r="I57" s="59"/>
      <c r="J57" s="59"/>
      <c r="K57" s="59"/>
    </row>
    <row r="58" spans="1:11" ht="12.75">
      <c r="A58" s="59"/>
      <c r="B58" s="59"/>
      <c r="C58" s="59"/>
      <c r="D58" s="59"/>
      <c r="E58" s="59"/>
      <c r="F58" s="59"/>
      <c r="G58" s="59"/>
      <c r="H58" s="59"/>
      <c r="I58" s="59"/>
      <c r="J58" s="59"/>
      <c r="K58" s="59"/>
    </row>
    <row r="59" spans="1:11" ht="12.75">
      <c r="A59" s="59"/>
      <c r="B59" s="59"/>
      <c r="C59" s="59"/>
      <c r="D59" s="59"/>
      <c r="E59" s="59"/>
      <c r="F59" s="59"/>
      <c r="G59" s="59"/>
      <c r="H59" s="59"/>
      <c r="I59" s="59"/>
      <c r="J59" s="59"/>
      <c r="K59" s="59"/>
    </row>
    <row r="60" spans="1:11" ht="12.75">
      <c r="A60" s="59"/>
      <c r="B60" s="59"/>
      <c r="C60" s="59"/>
      <c r="D60" s="59"/>
      <c r="E60" s="59"/>
      <c r="F60" s="59"/>
      <c r="G60" s="59"/>
      <c r="H60" s="59"/>
      <c r="I60" s="59"/>
      <c r="J60" s="59"/>
      <c r="K60" s="59"/>
    </row>
    <row r="61" spans="1:11" ht="12.75">
      <c r="A61" s="59"/>
      <c r="B61" s="59"/>
      <c r="C61" s="59"/>
      <c r="D61" s="59"/>
      <c r="E61" s="59"/>
      <c r="F61" s="59"/>
      <c r="G61" s="59"/>
      <c r="H61" s="59"/>
      <c r="I61" s="59"/>
      <c r="J61" s="59"/>
      <c r="K61" s="59"/>
    </row>
    <row r="62" spans="1:11" ht="12.75">
      <c r="A62" s="59"/>
      <c r="B62" s="59"/>
      <c r="C62" s="59"/>
      <c r="D62" s="59"/>
      <c r="E62" s="59"/>
      <c r="F62" s="59"/>
      <c r="G62" s="59"/>
      <c r="H62" s="59"/>
      <c r="I62" s="59"/>
      <c r="J62" s="59"/>
      <c r="K62" s="59"/>
    </row>
    <row r="63" spans="1:11" ht="12.75">
      <c r="A63" s="59"/>
      <c r="B63" s="59"/>
      <c r="C63" s="59"/>
      <c r="D63" s="59"/>
      <c r="E63" s="59"/>
      <c r="F63" s="59"/>
      <c r="G63" s="59"/>
      <c r="H63" s="59"/>
      <c r="I63" s="59"/>
      <c r="J63" s="59"/>
      <c r="K63" s="59"/>
    </row>
    <row r="64" spans="1:11" ht="12.75">
      <c r="A64" s="59"/>
      <c r="B64" s="59"/>
      <c r="C64" s="59"/>
      <c r="D64" s="59"/>
      <c r="E64" s="59"/>
      <c r="F64" s="59"/>
      <c r="G64" s="59"/>
      <c r="H64" s="59"/>
      <c r="I64" s="59"/>
      <c r="J64" s="59"/>
      <c r="K64" s="59"/>
    </row>
    <row r="65" spans="1:11" ht="12.75">
      <c r="A65" s="59"/>
      <c r="B65" s="59"/>
      <c r="C65" s="59"/>
      <c r="D65" s="59"/>
      <c r="E65" s="59"/>
      <c r="F65" s="59"/>
      <c r="G65" s="59"/>
      <c r="H65" s="59"/>
      <c r="I65" s="59"/>
      <c r="J65" s="59"/>
      <c r="K65" s="59"/>
    </row>
    <row r="66" spans="1:11" ht="12.75">
      <c r="A66" s="59"/>
      <c r="B66" s="59"/>
      <c r="C66" s="59"/>
      <c r="D66" s="59"/>
      <c r="E66" s="59"/>
      <c r="F66" s="59"/>
      <c r="G66" s="59"/>
      <c r="H66" s="59"/>
      <c r="I66" s="59"/>
      <c r="J66" s="59"/>
      <c r="K66" s="59"/>
    </row>
    <row r="67" spans="1:11" ht="12.75">
      <c r="A67" s="59"/>
      <c r="B67" s="59"/>
      <c r="C67" s="59"/>
      <c r="D67" s="59"/>
      <c r="E67" s="59"/>
      <c r="F67" s="59"/>
      <c r="G67" s="59"/>
      <c r="H67" s="59"/>
      <c r="I67" s="59"/>
      <c r="J67" s="59"/>
      <c r="K67" s="59"/>
    </row>
    <row r="68" spans="1:11" ht="12.75">
      <c r="A68" s="59"/>
      <c r="B68" s="59"/>
      <c r="C68" s="59"/>
      <c r="D68" s="59"/>
      <c r="E68" s="59"/>
      <c r="F68" s="59"/>
      <c r="G68" s="59"/>
      <c r="H68" s="59"/>
      <c r="I68" s="59"/>
      <c r="J68" s="59"/>
      <c r="K68" s="59"/>
    </row>
    <row r="69" spans="1:11" ht="12.75">
      <c r="A69" s="59"/>
      <c r="B69" s="59"/>
      <c r="C69" s="59"/>
      <c r="D69" s="59"/>
      <c r="E69" s="59"/>
      <c r="F69" s="59"/>
      <c r="G69" s="59"/>
      <c r="H69" s="59"/>
      <c r="I69" s="59"/>
      <c r="J69" s="59"/>
      <c r="K69" s="59"/>
    </row>
    <row r="70" spans="1:11" ht="12.75">
      <c r="A70" s="59"/>
      <c r="B70" s="59"/>
      <c r="C70" s="59"/>
      <c r="D70" s="59"/>
      <c r="E70" s="59"/>
      <c r="F70" s="59"/>
      <c r="G70" s="59"/>
      <c r="H70" s="59"/>
      <c r="I70" s="59"/>
      <c r="J70" s="59"/>
      <c r="K70" s="59"/>
    </row>
    <row r="71" spans="1:11" ht="12.75">
      <c r="A71" s="59"/>
      <c r="B71" s="59"/>
      <c r="C71" s="59"/>
      <c r="D71" s="59"/>
      <c r="E71" s="59"/>
      <c r="F71" s="59"/>
      <c r="G71" s="59"/>
      <c r="H71" s="59"/>
      <c r="I71" s="59"/>
      <c r="J71" s="59"/>
      <c r="K71" s="59"/>
    </row>
    <row r="72" spans="1:11" ht="12.75">
      <c r="A72" s="59"/>
      <c r="B72" s="59"/>
      <c r="C72" s="59"/>
      <c r="D72" s="59"/>
      <c r="E72" s="59"/>
      <c r="F72" s="59"/>
      <c r="G72" s="59"/>
      <c r="H72" s="59"/>
      <c r="I72" s="59"/>
      <c r="J72" s="59"/>
      <c r="K72" s="59"/>
    </row>
    <row r="73" spans="1:11" ht="12.75">
      <c r="A73" s="59"/>
      <c r="B73" s="59"/>
      <c r="C73" s="59"/>
      <c r="D73" s="59"/>
      <c r="E73" s="59"/>
      <c r="F73" s="59"/>
      <c r="G73" s="59"/>
      <c r="H73" s="59"/>
      <c r="I73" s="59"/>
      <c r="J73" s="59"/>
      <c r="K73" s="59"/>
    </row>
    <row r="74" spans="1:11" ht="12.75">
      <c r="A74" s="59"/>
      <c r="B74" s="59"/>
      <c r="C74" s="59"/>
      <c r="D74" s="59"/>
      <c r="E74" s="59"/>
      <c r="F74" s="59"/>
      <c r="G74" s="59"/>
      <c r="H74" s="59"/>
      <c r="I74" s="59"/>
      <c r="J74" s="59"/>
      <c r="K74" s="59"/>
    </row>
    <row r="75" spans="1:11" ht="12.75">
      <c r="A75" s="59"/>
      <c r="B75" s="59"/>
      <c r="C75" s="59"/>
      <c r="D75" s="59"/>
      <c r="E75" s="59"/>
      <c r="F75" s="59"/>
      <c r="G75" s="59"/>
      <c r="H75" s="59"/>
      <c r="I75" s="59"/>
      <c r="J75" s="59"/>
      <c r="K75" s="59"/>
    </row>
    <row r="76" spans="1:11" ht="12.75">
      <c r="A76" s="59"/>
      <c r="B76" s="59"/>
      <c r="C76" s="59"/>
      <c r="D76" s="59"/>
      <c r="E76" s="59"/>
      <c r="F76" s="59"/>
      <c r="G76" s="59"/>
      <c r="H76" s="59"/>
      <c r="I76" s="59"/>
      <c r="J76" s="59"/>
      <c r="K76" s="59"/>
    </row>
    <row r="77" spans="1:11" ht="12.75">
      <c r="A77" s="59"/>
      <c r="B77" s="59"/>
      <c r="C77" s="59"/>
      <c r="D77" s="59"/>
      <c r="E77" s="59"/>
      <c r="F77" s="59"/>
      <c r="G77" s="59"/>
      <c r="H77" s="59"/>
      <c r="I77" s="59"/>
      <c r="J77" s="59"/>
      <c r="K77" s="59"/>
    </row>
    <row r="78" spans="1:11" ht="12.75">
      <c r="A78" s="59"/>
      <c r="B78" s="59"/>
      <c r="C78" s="59"/>
      <c r="D78" s="59"/>
      <c r="E78" s="59"/>
      <c r="F78" s="59"/>
      <c r="G78" s="59"/>
      <c r="H78" s="59"/>
      <c r="I78" s="59"/>
      <c r="J78" s="59"/>
      <c r="K78" s="59"/>
    </row>
    <row r="79" spans="1:11" ht="12.75">
      <c r="A79" s="59"/>
      <c r="B79" s="59"/>
      <c r="C79" s="59"/>
      <c r="D79" s="59"/>
      <c r="E79" s="59"/>
      <c r="F79" s="59"/>
      <c r="G79" s="59"/>
      <c r="H79" s="59"/>
      <c r="I79" s="59"/>
      <c r="J79" s="59"/>
      <c r="K79" s="59"/>
    </row>
    <row r="80" spans="1:11" ht="12.75">
      <c r="A80" s="59"/>
      <c r="B80" s="59"/>
      <c r="C80" s="59"/>
      <c r="D80" s="59"/>
      <c r="E80" s="59"/>
      <c r="F80" s="59"/>
      <c r="G80" s="59"/>
      <c r="H80" s="59"/>
      <c r="I80" s="59"/>
      <c r="J80" s="59"/>
      <c r="K80" s="59"/>
    </row>
    <row r="81" spans="1:11" ht="12.75">
      <c r="A81" s="59"/>
      <c r="B81" s="59"/>
      <c r="C81" s="59"/>
      <c r="D81" s="59"/>
      <c r="E81" s="59"/>
      <c r="F81" s="59"/>
      <c r="G81" s="59"/>
      <c r="H81" s="59"/>
      <c r="I81" s="59"/>
      <c r="J81" s="59"/>
      <c r="K81" s="59"/>
    </row>
    <row r="82" spans="1:11" ht="12.75">
      <c r="A82" s="59"/>
      <c r="B82" s="59"/>
      <c r="C82" s="59"/>
      <c r="D82" s="59"/>
      <c r="E82" s="59"/>
      <c r="F82" s="59"/>
      <c r="G82" s="59"/>
      <c r="H82" s="59"/>
      <c r="I82" s="59"/>
      <c r="J82" s="59"/>
      <c r="K82" s="59"/>
    </row>
    <row r="83" spans="1:11" ht="12.75">
      <c r="A83" s="59"/>
      <c r="B83" s="59"/>
      <c r="C83" s="59"/>
      <c r="D83" s="59"/>
      <c r="E83" s="59"/>
      <c r="F83" s="59"/>
      <c r="G83" s="59"/>
      <c r="H83" s="59"/>
      <c r="I83" s="59"/>
      <c r="J83" s="59"/>
      <c r="K83" s="59"/>
    </row>
    <row r="84" spans="1:11" ht="12.75">
      <c r="A84" s="59"/>
      <c r="B84" s="59"/>
      <c r="C84" s="59"/>
      <c r="D84" s="59"/>
      <c r="E84" s="59"/>
      <c r="F84" s="59"/>
      <c r="G84" s="59"/>
      <c r="H84" s="59"/>
      <c r="I84" s="59"/>
      <c r="J84" s="59"/>
      <c r="K84" s="59"/>
    </row>
    <row r="85" spans="1:11" ht="12.75">
      <c r="A85" s="59"/>
      <c r="B85" s="59"/>
      <c r="C85" s="59"/>
      <c r="D85" s="59"/>
      <c r="E85" s="59"/>
      <c r="F85" s="59"/>
      <c r="G85" s="59"/>
      <c r="H85" s="59"/>
      <c r="I85" s="59"/>
      <c r="J85" s="59"/>
      <c r="K85" s="59"/>
    </row>
    <row r="86" spans="1:11" ht="12.75">
      <c r="A86" s="59"/>
      <c r="B86" s="59"/>
      <c r="C86" s="59"/>
      <c r="D86" s="59"/>
      <c r="E86" s="59"/>
      <c r="F86" s="59"/>
      <c r="G86" s="59"/>
      <c r="H86" s="59"/>
      <c r="I86" s="59"/>
      <c r="J86" s="59"/>
      <c r="K86" s="59"/>
    </row>
    <row r="87" spans="1:11" ht="12.75">
      <c r="A87" s="59"/>
      <c r="B87" s="59"/>
      <c r="C87" s="59"/>
      <c r="D87" s="59"/>
      <c r="E87" s="59"/>
      <c r="F87" s="59"/>
      <c r="G87" s="59"/>
      <c r="H87" s="59"/>
      <c r="I87" s="59"/>
      <c r="J87" s="59"/>
      <c r="K87" s="59"/>
    </row>
    <row r="88" spans="1:11" ht="12.75">
      <c r="A88" s="59"/>
      <c r="B88" s="59"/>
      <c r="C88" s="59"/>
      <c r="D88" s="59"/>
      <c r="E88" s="59"/>
      <c r="F88" s="59"/>
      <c r="G88" s="59"/>
      <c r="H88" s="59"/>
      <c r="I88" s="59"/>
      <c r="J88" s="59"/>
      <c r="K88" s="59"/>
    </row>
    <row r="89" spans="1:11" ht="12.75">
      <c r="A89" s="59"/>
      <c r="B89" s="59"/>
      <c r="C89" s="59"/>
      <c r="D89" s="59"/>
      <c r="E89" s="59"/>
      <c r="F89" s="59"/>
      <c r="G89" s="59"/>
      <c r="H89" s="59"/>
      <c r="I89" s="59"/>
      <c r="J89" s="59"/>
      <c r="K89" s="59"/>
    </row>
    <row r="90" spans="1:11" ht="12.75">
      <c r="A90" s="59"/>
      <c r="B90" s="59"/>
      <c r="C90" s="59"/>
      <c r="D90" s="59"/>
      <c r="E90" s="59"/>
      <c r="F90" s="59"/>
      <c r="G90" s="59"/>
      <c r="H90" s="59"/>
      <c r="I90" s="59"/>
      <c r="J90" s="59"/>
      <c r="K90" s="59"/>
    </row>
    <row r="91" spans="1:11" ht="12.75">
      <c r="A91" s="59"/>
      <c r="B91" s="59"/>
      <c r="C91" s="59"/>
      <c r="D91" s="59"/>
      <c r="E91" s="59"/>
      <c r="F91" s="59"/>
      <c r="G91" s="59"/>
      <c r="H91" s="59"/>
      <c r="I91" s="59"/>
      <c r="J91" s="59"/>
      <c r="K91" s="59"/>
    </row>
    <row r="92" spans="1:11" ht="12.75">
      <c r="A92" s="59"/>
      <c r="B92" s="59"/>
      <c r="C92" s="59"/>
      <c r="D92" s="59"/>
      <c r="E92" s="59"/>
      <c r="F92" s="59"/>
      <c r="G92" s="59"/>
      <c r="H92" s="59"/>
      <c r="I92" s="59"/>
      <c r="J92" s="59"/>
      <c r="K92" s="59"/>
    </row>
    <row r="93" spans="1:11" ht="12.75">
      <c r="A93" s="59"/>
      <c r="B93" s="59"/>
      <c r="C93" s="59"/>
      <c r="D93" s="59"/>
      <c r="E93" s="59"/>
      <c r="F93" s="59"/>
      <c r="G93" s="59"/>
      <c r="H93" s="59"/>
      <c r="I93" s="59"/>
      <c r="J93" s="59"/>
      <c r="K93" s="59"/>
    </row>
    <row r="94" spans="1:11" ht="12.75">
      <c r="A94" s="59"/>
      <c r="B94" s="59"/>
      <c r="C94" s="59"/>
      <c r="D94" s="59"/>
      <c r="E94" s="59"/>
      <c r="F94" s="59"/>
      <c r="G94" s="59"/>
      <c r="H94" s="59"/>
      <c r="I94" s="59"/>
      <c r="J94" s="59"/>
      <c r="K94" s="59"/>
    </row>
    <row r="95" spans="1:11" ht="12.75">
      <c r="A95" s="59"/>
      <c r="B95" s="59"/>
      <c r="C95" s="59"/>
      <c r="D95" s="59"/>
      <c r="E95" s="59"/>
      <c r="F95" s="59"/>
      <c r="G95" s="59"/>
      <c r="H95" s="59"/>
      <c r="I95" s="59"/>
      <c r="J95" s="59"/>
      <c r="K95" s="59"/>
    </row>
    <row r="96" spans="1:11" ht="12.75">
      <c r="A96" s="59"/>
      <c r="B96" s="59"/>
      <c r="C96" s="59"/>
      <c r="D96" s="59"/>
      <c r="E96" s="59"/>
      <c r="F96" s="59"/>
      <c r="G96" s="59"/>
      <c r="H96" s="59"/>
      <c r="I96" s="59"/>
      <c r="J96" s="59"/>
      <c r="K96" s="59"/>
    </row>
    <row r="97" spans="1:11" ht="12.75">
      <c r="A97" s="59"/>
      <c r="B97" s="59"/>
      <c r="C97" s="59"/>
      <c r="D97" s="59"/>
      <c r="E97" s="59"/>
      <c r="F97" s="59"/>
      <c r="G97" s="59"/>
      <c r="H97" s="59"/>
      <c r="I97" s="59"/>
      <c r="J97" s="59"/>
      <c r="K97" s="59"/>
    </row>
    <row r="98" spans="1:11" ht="12.75">
      <c r="A98" s="59"/>
      <c r="B98" s="59"/>
      <c r="C98" s="59"/>
      <c r="D98" s="59"/>
      <c r="E98" s="59"/>
      <c r="F98" s="59"/>
      <c r="G98" s="59"/>
      <c r="H98" s="59"/>
      <c r="I98" s="59"/>
      <c r="J98" s="59"/>
      <c r="K98" s="59"/>
    </row>
    <row r="99" spans="1:11" ht="12.75">
      <c r="A99" s="59"/>
      <c r="B99" s="59"/>
      <c r="C99" s="59"/>
      <c r="D99" s="59"/>
      <c r="E99" s="59"/>
      <c r="F99" s="59"/>
      <c r="G99" s="59"/>
      <c r="H99" s="59"/>
      <c r="I99" s="59"/>
      <c r="J99" s="59"/>
      <c r="K99" s="59"/>
    </row>
    <row r="100" spans="1:11" ht="12.75">
      <c r="A100" s="59"/>
      <c r="B100" s="59"/>
      <c r="C100" s="59"/>
      <c r="D100" s="59"/>
      <c r="E100" s="59"/>
      <c r="F100" s="59"/>
      <c r="G100" s="59"/>
      <c r="H100" s="59"/>
      <c r="I100" s="59"/>
      <c r="J100" s="59"/>
      <c r="K100" s="59"/>
    </row>
    <row r="101" spans="1:11" ht="12.75">
      <c r="A101" s="59"/>
      <c r="B101" s="59"/>
      <c r="C101" s="59"/>
      <c r="D101" s="59"/>
      <c r="E101" s="59"/>
      <c r="F101" s="59"/>
      <c r="G101" s="59"/>
      <c r="H101" s="59"/>
      <c r="I101" s="59"/>
      <c r="J101" s="59"/>
      <c r="K101" s="59"/>
    </row>
    <row r="102" spans="1:11" ht="12.75">
      <c r="A102" s="59"/>
      <c r="B102" s="59"/>
      <c r="C102" s="59"/>
      <c r="D102" s="59"/>
      <c r="E102" s="59"/>
      <c r="F102" s="59"/>
      <c r="G102" s="59"/>
      <c r="H102" s="59"/>
      <c r="I102" s="59"/>
      <c r="J102" s="59"/>
      <c r="K102" s="59"/>
    </row>
    <row r="103" spans="1:11" ht="12.75">
      <c r="A103" s="59"/>
      <c r="B103" s="59"/>
      <c r="C103" s="59"/>
      <c r="D103" s="59"/>
      <c r="E103" s="59"/>
      <c r="F103" s="59"/>
      <c r="G103" s="59"/>
      <c r="H103" s="59"/>
      <c r="I103" s="59"/>
      <c r="J103" s="59"/>
      <c r="K103" s="59"/>
    </row>
    <row r="104" spans="1:11" ht="12.75">
      <c r="A104" s="59"/>
      <c r="B104" s="59"/>
      <c r="C104" s="59"/>
      <c r="D104" s="59"/>
      <c r="E104" s="59"/>
      <c r="F104" s="59"/>
      <c r="G104" s="59"/>
      <c r="H104" s="59"/>
      <c r="I104" s="59"/>
      <c r="J104" s="59"/>
      <c r="K104" s="59"/>
    </row>
    <row r="105" spans="1:11" ht="12.75">
      <c r="A105" s="59"/>
      <c r="B105" s="59"/>
      <c r="C105" s="59"/>
      <c r="D105" s="59"/>
      <c r="E105" s="59"/>
      <c r="F105" s="59"/>
      <c r="G105" s="59"/>
      <c r="H105" s="59"/>
      <c r="I105" s="59"/>
      <c r="J105" s="59"/>
      <c r="K105" s="59"/>
    </row>
    <row r="106" spans="1:11" ht="12.75">
      <c r="A106" s="59"/>
      <c r="B106" s="59"/>
      <c r="C106" s="59"/>
      <c r="D106" s="59"/>
      <c r="E106" s="59"/>
      <c r="F106" s="59"/>
      <c r="G106" s="59"/>
      <c r="H106" s="59"/>
      <c r="I106" s="59"/>
      <c r="J106" s="59"/>
      <c r="K106" s="59"/>
    </row>
    <row r="107" spans="1:11" ht="12.75">
      <c r="A107" s="59"/>
      <c r="B107" s="59"/>
      <c r="C107" s="59"/>
      <c r="D107" s="59"/>
      <c r="E107" s="59"/>
      <c r="F107" s="59"/>
      <c r="G107" s="59"/>
      <c r="H107" s="59"/>
      <c r="I107" s="59"/>
      <c r="J107" s="59"/>
      <c r="K107" s="59"/>
    </row>
    <row r="108" spans="1:11" ht="12.75">
      <c r="A108" s="59"/>
      <c r="B108" s="59"/>
      <c r="C108" s="59"/>
      <c r="D108" s="59"/>
      <c r="E108" s="59"/>
      <c r="F108" s="59"/>
      <c r="G108" s="59"/>
      <c r="H108" s="59"/>
      <c r="I108" s="59"/>
      <c r="J108" s="59"/>
      <c r="K108" s="59"/>
    </row>
    <row r="109" spans="1:11" ht="12.75">
      <c r="A109" s="59"/>
      <c r="B109" s="59"/>
      <c r="C109" s="59"/>
      <c r="D109" s="59"/>
      <c r="E109" s="59"/>
      <c r="F109" s="59"/>
      <c r="G109" s="59"/>
      <c r="H109" s="59"/>
      <c r="I109" s="59"/>
      <c r="J109" s="59"/>
      <c r="K109" s="59"/>
    </row>
    <row r="110" spans="1:11" ht="12.75">
      <c r="A110" s="59"/>
      <c r="B110" s="59"/>
      <c r="C110" s="59"/>
      <c r="D110" s="59"/>
      <c r="E110" s="59"/>
      <c r="F110" s="59"/>
      <c r="G110" s="59"/>
      <c r="H110" s="59"/>
      <c r="I110" s="59"/>
      <c r="J110" s="59"/>
      <c r="K110" s="59"/>
    </row>
    <row r="111" spans="1:11" ht="12.75">
      <c r="A111" s="59"/>
      <c r="B111" s="59"/>
      <c r="C111" s="59"/>
      <c r="D111" s="59"/>
      <c r="E111" s="59"/>
      <c r="F111" s="59"/>
      <c r="G111" s="59"/>
      <c r="H111" s="59"/>
      <c r="I111" s="59"/>
      <c r="J111" s="59"/>
      <c r="K111" s="59"/>
    </row>
    <row r="112" spans="1:11" ht="12.75">
      <c r="A112" s="59"/>
      <c r="B112" s="59"/>
      <c r="C112" s="59"/>
      <c r="D112" s="59"/>
      <c r="E112" s="59"/>
      <c r="F112" s="59"/>
      <c r="G112" s="59"/>
      <c r="H112" s="59"/>
      <c r="I112" s="59"/>
      <c r="J112" s="59"/>
      <c r="K112" s="59"/>
    </row>
    <row r="113" spans="1:11" ht="12.75">
      <c r="A113" s="59"/>
      <c r="B113" s="59"/>
      <c r="C113" s="59"/>
      <c r="D113" s="59"/>
      <c r="E113" s="59"/>
      <c r="F113" s="59"/>
      <c r="G113" s="59"/>
      <c r="H113" s="59"/>
      <c r="I113" s="59"/>
      <c r="J113" s="59"/>
      <c r="K113" s="59"/>
    </row>
    <row r="114" spans="1:11" ht="12.75">
      <c r="A114" s="59"/>
      <c r="B114" s="59"/>
      <c r="C114" s="59"/>
      <c r="D114" s="59"/>
      <c r="E114" s="59"/>
      <c r="F114" s="59"/>
      <c r="G114" s="59"/>
      <c r="H114" s="59"/>
      <c r="I114" s="59"/>
      <c r="J114" s="59"/>
      <c r="K114" s="59"/>
    </row>
    <row r="115" spans="1:11" ht="12.75">
      <c r="A115" s="59"/>
      <c r="B115" s="59"/>
      <c r="C115" s="59"/>
      <c r="D115" s="59"/>
      <c r="E115" s="59"/>
      <c r="F115" s="59"/>
      <c r="G115" s="59"/>
      <c r="H115" s="59"/>
      <c r="I115" s="59"/>
      <c r="J115" s="59"/>
      <c r="K115" s="59"/>
    </row>
    <row r="116" spans="1:11" ht="12.75">
      <c r="A116" s="59"/>
      <c r="B116" s="59"/>
      <c r="C116" s="59"/>
      <c r="D116" s="59"/>
      <c r="E116" s="59"/>
      <c r="F116" s="59"/>
      <c r="G116" s="59"/>
      <c r="H116" s="59"/>
      <c r="I116" s="59"/>
      <c r="J116" s="59"/>
      <c r="K116" s="59"/>
    </row>
    <row r="117" spans="1:11" ht="12.75">
      <c r="A117" s="59"/>
      <c r="B117" s="59"/>
      <c r="C117" s="59"/>
      <c r="D117" s="59"/>
      <c r="E117" s="59"/>
      <c r="F117" s="59"/>
      <c r="G117" s="59"/>
      <c r="H117" s="59"/>
      <c r="I117" s="59"/>
      <c r="J117" s="59"/>
      <c r="K117" s="59"/>
    </row>
    <row r="118" spans="1:11" ht="12.75">
      <c r="A118" s="59"/>
      <c r="B118" s="59"/>
      <c r="C118" s="59"/>
      <c r="D118" s="59"/>
      <c r="E118" s="59"/>
      <c r="F118" s="59"/>
      <c r="G118" s="59"/>
      <c r="H118" s="59"/>
      <c r="I118" s="59"/>
      <c r="J118" s="59"/>
      <c r="K118" s="59"/>
    </row>
    <row r="119" spans="1:11" ht="12.75">
      <c r="A119" s="59"/>
      <c r="B119" s="59"/>
      <c r="C119" s="59"/>
      <c r="D119" s="59"/>
      <c r="E119" s="59"/>
      <c r="F119" s="59"/>
      <c r="G119" s="59"/>
      <c r="H119" s="59"/>
      <c r="I119" s="59"/>
      <c r="J119" s="59"/>
      <c r="K119" s="59"/>
    </row>
    <row r="120" spans="1:11" ht="12.75">
      <c r="A120" s="59"/>
      <c r="B120" s="59"/>
      <c r="C120" s="59"/>
      <c r="D120" s="59"/>
      <c r="E120" s="59"/>
      <c r="F120" s="59"/>
      <c r="G120" s="59"/>
      <c r="H120" s="59"/>
      <c r="I120" s="59"/>
      <c r="J120" s="59"/>
      <c r="K120" s="59"/>
    </row>
  </sheetData>
  <sheetProtection/>
  <printOptions/>
  <pageMargins left="0" right="0" top="0.5" bottom="0.5" header="0.5" footer="0.5"/>
  <pageSetup horizontalDpi="600" verticalDpi="600" orientation="landscape" scale="85"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102"/>
  <sheetViews>
    <sheetView zoomScalePageLayoutView="0" workbookViewId="0" topLeftCell="A1">
      <selection activeCell="A2" sqref="A2"/>
    </sheetView>
  </sheetViews>
  <sheetFormatPr defaultColWidth="9.140625" defaultRowHeight="12.75"/>
  <cols>
    <col min="2" max="2" width="2.57421875" style="0" customWidth="1"/>
    <col min="3" max="12" width="12.28125" style="0" customWidth="1"/>
    <col min="13" max="13" width="2.28125" style="0" customWidth="1"/>
    <col min="14" max="14" width="14.8515625" style="0" bestFit="1" customWidth="1"/>
  </cols>
  <sheetData>
    <row r="1" spans="1:2" ht="12.75">
      <c r="A1" s="51" t="str">
        <f>"Residential Tonnages by Commodity:  "&amp;TEXT(A7,"mmmm")&amp;" - "&amp;TEXT(A12,"mmmm")</f>
        <v>Residential Tonnages by Commodity:  May - October</v>
      </c>
      <c r="B1" s="52"/>
    </row>
    <row r="2" spans="1:2" ht="12.75">
      <c r="A2" s="53" t="str">
        <f>Value!A2</f>
        <v>Kent-Meridian Disposal</v>
      </c>
      <c r="B2" s="53"/>
    </row>
    <row r="3" spans="1:2" ht="12.75">
      <c r="A3" s="53"/>
      <c r="B3" s="53"/>
    </row>
    <row r="4" spans="1:14" ht="12.75">
      <c r="A4" s="52"/>
      <c r="B4" s="54"/>
      <c r="C4" s="55" t="s">
        <v>20</v>
      </c>
      <c r="D4" s="55" t="s">
        <v>21</v>
      </c>
      <c r="E4" s="55" t="s">
        <v>53</v>
      </c>
      <c r="F4" s="55" t="s">
        <v>22</v>
      </c>
      <c r="G4" s="55" t="s">
        <v>23</v>
      </c>
      <c r="H4" s="55" t="s">
        <v>24</v>
      </c>
      <c r="I4" s="55" t="s">
        <v>25</v>
      </c>
      <c r="J4" s="55" t="s">
        <v>26</v>
      </c>
      <c r="K4" s="55" t="s">
        <v>27</v>
      </c>
      <c r="L4" s="55" t="s">
        <v>28</v>
      </c>
      <c r="M4" s="55"/>
      <c r="N4" s="55" t="s">
        <v>29</v>
      </c>
    </row>
    <row r="5" spans="1:12" s="57" customFormat="1" ht="12.75">
      <c r="A5" s="56"/>
      <c r="B5" s="56"/>
      <c r="C5" s="105">
        <v>55</v>
      </c>
      <c r="D5" s="106">
        <v>57</v>
      </c>
      <c r="E5" s="106">
        <v>58</v>
      </c>
      <c r="F5" s="105">
        <v>53</v>
      </c>
      <c r="G5" s="105">
        <v>50</v>
      </c>
      <c r="H5" s="105">
        <v>60</v>
      </c>
      <c r="I5" s="105">
        <v>54</v>
      </c>
      <c r="J5" s="105">
        <v>54</v>
      </c>
      <c r="K5" s="105">
        <v>51</v>
      </c>
      <c r="L5" s="105">
        <v>59</v>
      </c>
    </row>
    <row r="6" spans="1:14" ht="12.75">
      <c r="A6" s="58"/>
      <c r="B6" s="59"/>
      <c r="C6" s="60"/>
      <c r="D6" s="60"/>
      <c r="E6" s="60"/>
      <c r="F6" s="60"/>
      <c r="G6" s="60"/>
      <c r="H6" s="60"/>
      <c r="I6" s="60"/>
      <c r="J6" s="60"/>
      <c r="L6" s="59"/>
      <c r="M6" s="59"/>
      <c r="N6" s="60" t="s">
        <v>30</v>
      </c>
    </row>
    <row r="7" spans="1:16" ht="12.75">
      <c r="A7" s="58">
        <f>'Single Family'!C6</f>
        <v>43221</v>
      </c>
      <c r="B7" s="59"/>
      <c r="C7" s="64">
        <f>HLOOKUP($A7,'Single Family'!$C$6:$N$79,C$5,FALSE)</f>
        <v>4.673699999999999</v>
      </c>
      <c r="D7" s="68">
        <f>HLOOKUP($A7,'Single Family'!$C$6:$N$79,D$5,FALSE)</f>
        <v>110.174688</v>
      </c>
      <c r="E7" s="68">
        <f>HLOOKUP($A7,'Single Family'!$C$6:$N$79,E$5,FALSE)</f>
        <v>0</v>
      </c>
      <c r="F7" s="64">
        <f>HLOOKUP($A7,'Single Family'!$C$6:$N$79,F$5,FALSE)</f>
        <v>10.28214</v>
      </c>
      <c r="G7" s="64">
        <f>HLOOKUP($A7,'Single Family'!$C$6:$N$79,G$5,FALSE)</f>
        <v>0</v>
      </c>
      <c r="H7" s="64">
        <f>HLOOKUP($A7,'Single Family'!$C$6:$N$79,H$5,FALSE)</f>
        <v>322.0490879999999</v>
      </c>
      <c r="I7" s="64">
        <f>HLOOKUP($A7,'Single Family'!$C$6:$N$79,I$5,FALSE)/2</f>
        <v>13.989942</v>
      </c>
      <c r="J7" s="64">
        <f>HLOOKUP($A7,'Single Family'!$C$6:$N$79,J$5,FALSE)/2</f>
        <v>13.989942</v>
      </c>
      <c r="K7" s="64">
        <f>HLOOKUP($A7,'Single Family'!$C$6:$N$79,K$5,FALSE)</f>
        <v>111.047112</v>
      </c>
      <c r="L7" s="68">
        <f>HLOOKUP($A7,'Single Family'!$C$6:$N$79,L$5,FALSE)</f>
        <v>36.95338800000008</v>
      </c>
      <c r="M7" s="69"/>
      <c r="N7" s="69">
        <f aca="true" t="shared" si="0" ref="N7:N18">SUM(C7:L7)</f>
        <v>623.16</v>
      </c>
      <c r="P7" s="61"/>
    </row>
    <row r="8" spans="1:16" ht="12.75">
      <c r="A8" s="58">
        <f aca="true" t="shared" si="1" ref="A8:A18">EOMONTH(A7,1)</f>
        <v>43281</v>
      </c>
      <c r="B8" s="59"/>
      <c r="C8" s="64">
        <f>HLOOKUP($A8,'Single Family'!$C$6:$N$79,C$5,FALSE)</f>
        <v>4.65465</v>
      </c>
      <c r="D8" s="68">
        <f>HLOOKUP($A8,'Single Family'!$C$6:$N$79,D$5,FALSE)</f>
        <v>109.725616</v>
      </c>
      <c r="E8" s="68">
        <f>HLOOKUP($A8,'Single Family'!$C$6:$N$79,E$5,FALSE)</f>
        <v>0</v>
      </c>
      <c r="F8" s="64">
        <f>HLOOKUP($A8,'Single Family'!$C$6:$N$79,F$5,FALSE)</f>
        <v>10.24023</v>
      </c>
      <c r="G8" s="64">
        <f>HLOOKUP($A8,'Single Family'!$C$6:$N$79,G$5,FALSE)</f>
        <v>0</v>
      </c>
      <c r="H8" s="64">
        <f>HLOOKUP($A8,'Single Family'!$C$6:$N$79,H$5,FALSE)</f>
        <v>320.7364159999999</v>
      </c>
      <c r="I8" s="64">
        <f>HLOOKUP($A8,'Single Family'!$C$6:$N$79,I$5,FALSE)/2</f>
        <v>13.932919</v>
      </c>
      <c r="J8" s="64">
        <f>HLOOKUP($A8,'Single Family'!$C$6:$N$79,J$5,FALSE)/2</f>
        <v>13.932919</v>
      </c>
      <c r="K8" s="64">
        <f>HLOOKUP($A8,'Single Family'!$C$6:$N$79,K$5,FALSE)</f>
        <v>110.594484</v>
      </c>
      <c r="L8" s="68">
        <f>HLOOKUP($A8,'Single Family'!$C$6:$N$79,L$5,FALSE)</f>
        <v>36.802766000000084</v>
      </c>
      <c r="M8" s="69"/>
      <c r="N8" s="69">
        <f t="shared" si="0"/>
        <v>620.6200000000001</v>
      </c>
      <c r="P8" s="61"/>
    </row>
    <row r="9" spans="1:16" ht="12.75">
      <c r="A9" s="58">
        <f t="shared" si="1"/>
        <v>43312</v>
      </c>
      <c r="B9" s="59"/>
      <c r="C9" s="64">
        <f>HLOOKUP($A9,'Single Family'!$C$6:$N$79,C$5,FALSE)</f>
        <v>4.86465</v>
      </c>
      <c r="D9" s="68">
        <f>HLOOKUP($A9,'Single Family'!$C$6:$N$79,D$5,FALSE)</f>
        <v>114.676016</v>
      </c>
      <c r="E9" s="68">
        <f>HLOOKUP($A9,'Single Family'!$C$6:$N$79,E$5,FALSE)</f>
        <v>0</v>
      </c>
      <c r="F9" s="64">
        <f>HLOOKUP($A9,'Single Family'!$C$6:$N$79,F$5,FALSE)</f>
        <v>10.70223</v>
      </c>
      <c r="G9" s="64">
        <f>HLOOKUP($A9,'Single Family'!$C$6:$N$79,G$5,FALSE)</f>
        <v>0</v>
      </c>
      <c r="H9" s="64">
        <f>HLOOKUP($A9,'Single Family'!$C$6:$N$79,H$5,FALSE)</f>
        <v>335.2068159999999</v>
      </c>
      <c r="I9" s="64">
        <f>HLOOKUP($A9,'Single Family'!$C$6:$N$79,I$5,FALSE)/2</f>
        <v>14.561519</v>
      </c>
      <c r="J9" s="64">
        <f>HLOOKUP($A9,'Single Family'!$C$6:$N$79,J$5,FALSE)/2</f>
        <v>14.561519</v>
      </c>
      <c r="K9" s="64">
        <f>HLOOKUP($A9,'Single Family'!$C$6:$N$79,K$5,FALSE)</f>
        <v>115.584084</v>
      </c>
      <c r="L9" s="68">
        <f>HLOOKUP($A9,'Single Family'!$C$6:$N$79,L$5,FALSE)</f>
        <v>38.463166000000086</v>
      </c>
      <c r="M9" s="69"/>
      <c r="N9" s="69">
        <f t="shared" si="0"/>
        <v>648.6199999999999</v>
      </c>
      <c r="P9" s="61"/>
    </row>
    <row r="10" spans="1:16" ht="12.75">
      <c r="A10" s="58">
        <f t="shared" si="1"/>
        <v>43343</v>
      </c>
      <c r="B10" s="59"/>
      <c r="C10" s="64">
        <f>HLOOKUP($A10,'Single Family'!$C$6:$N$79,C$5,FALSE)</f>
        <v>5.06235</v>
      </c>
      <c r="D10" s="68">
        <f>HLOOKUP($A10,'Single Family'!$C$6:$N$79,D$5,FALSE)</f>
        <v>119.336464</v>
      </c>
      <c r="E10" s="68">
        <f>HLOOKUP($A10,'Single Family'!$C$6:$N$79,E$5,FALSE)</f>
        <v>0</v>
      </c>
      <c r="F10" s="64">
        <f>HLOOKUP($A10,'Single Family'!$C$6:$N$79,F$5,FALSE)</f>
        <v>11.137170000000001</v>
      </c>
      <c r="G10" s="64">
        <f>HLOOKUP($A10,'Single Family'!$C$6:$N$79,G$5,FALSE)</f>
        <v>0</v>
      </c>
      <c r="H10" s="64">
        <f>HLOOKUP($A10,'Single Family'!$C$6:$N$79,H$5,FALSE)</f>
        <v>348.8296639999999</v>
      </c>
      <c r="I10" s="64">
        <f>HLOOKUP($A10,'Single Family'!$C$6:$N$79,I$5,FALSE)/2</f>
        <v>15.153301</v>
      </c>
      <c r="J10" s="64">
        <f>HLOOKUP($A10,'Single Family'!$C$6:$N$79,J$5,FALSE)/2</f>
        <v>15.153301</v>
      </c>
      <c r="K10" s="64">
        <f>HLOOKUP($A10,'Single Family'!$C$6:$N$79,K$5,FALSE)</f>
        <v>120.281436</v>
      </c>
      <c r="L10" s="68">
        <f>HLOOKUP($A10,'Single Family'!$C$6:$N$79,L$5,FALSE)</f>
        <v>40.02631400000009</v>
      </c>
      <c r="M10" s="69"/>
      <c r="N10" s="69">
        <f t="shared" si="0"/>
        <v>674.98</v>
      </c>
      <c r="P10" s="61"/>
    </row>
    <row r="11" spans="1:16" ht="12.75">
      <c r="A11" s="58">
        <f t="shared" si="1"/>
        <v>43373</v>
      </c>
      <c r="B11" s="59"/>
      <c r="C11" s="64">
        <f>HLOOKUP($A11,'Single Family'!$C$6:$N$79,C$5,FALSE)</f>
        <v>4.126425</v>
      </c>
      <c r="D11" s="68">
        <f>HLOOKUP($A11,'Single Family'!$C$6:$N$79,D$5,FALSE)</f>
        <v>97.27359200000002</v>
      </c>
      <c r="E11" s="68">
        <f>HLOOKUP($A11,'Single Family'!$C$6:$N$79,E$5,FALSE)</f>
        <v>0</v>
      </c>
      <c r="F11" s="64">
        <f>HLOOKUP($A11,'Single Family'!$C$6:$N$79,F$5,FALSE)</f>
        <v>9.078135000000001</v>
      </c>
      <c r="G11" s="64">
        <f>HLOOKUP($A11,'Single Family'!$C$6:$N$79,G$5,FALSE)</f>
        <v>0</v>
      </c>
      <c r="H11" s="64">
        <f>HLOOKUP($A11,'Single Family'!$C$6:$N$79,H$5,FALSE)</f>
        <v>284.3381919999999</v>
      </c>
      <c r="I11" s="64">
        <f>HLOOKUP($A11,'Single Family'!$C$6:$N$79,I$5,FALSE)/2</f>
        <v>12.351765500000003</v>
      </c>
      <c r="J11" s="64">
        <f>HLOOKUP($A11,'Single Family'!$C$6:$N$79,J$5,FALSE)/2</f>
        <v>12.351765500000003</v>
      </c>
      <c r="K11" s="64">
        <f>HLOOKUP($A11,'Single Family'!$C$6:$N$79,K$5,FALSE)</f>
        <v>98.04385800000001</v>
      </c>
      <c r="L11" s="68">
        <f>HLOOKUP($A11,'Single Family'!$C$6:$N$79,L$5,FALSE)</f>
        <v>32.62626700000008</v>
      </c>
      <c r="M11" s="69"/>
      <c r="N11" s="69">
        <f t="shared" si="0"/>
        <v>550.19</v>
      </c>
      <c r="P11" s="61"/>
    </row>
    <row r="12" spans="1:16" ht="12.75">
      <c r="A12" s="58">
        <f t="shared" si="1"/>
        <v>43404</v>
      </c>
      <c r="B12" s="59"/>
      <c r="C12" s="64">
        <f>HLOOKUP($A12,'Single Family'!$C$6:$N$79,C$5,FALSE)</f>
        <v>4.928175</v>
      </c>
      <c r="D12" s="68">
        <f>HLOOKUP($A12,'Single Family'!$C$6:$N$79,D$5,FALSE)</f>
        <v>116.17351200000002</v>
      </c>
      <c r="E12" s="68">
        <f>HLOOKUP($A12,'Single Family'!$C$6:$N$79,E$5,FALSE)</f>
        <v>0</v>
      </c>
      <c r="F12" s="64">
        <f>HLOOKUP($A12,'Single Family'!$C$6:$N$79,F$5,FALSE)</f>
        <v>10.841985000000001</v>
      </c>
      <c r="G12" s="64">
        <f>HLOOKUP($A12,'Single Family'!$C$6:$N$79,G$5,FALSE)</f>
        <v>0</v>
      </c>
      <c r="H12" s="64">
        <f>HLOOKUP($A12,'Single Family'!$C$6:$N$79,H$5,FALSE)</f>
        <v>339.5841119999999</v>
      </c>
      <c r="I12" s="64">
        <f>HLOOKUP($A12,'Single Family'!$C$6:$N$79,I$5,FALSE)/2</f>
        <v>14.751670500000001</v>
      </c>
      <c r="J12" s="64">
        <f>HLOOKUP($A12,'Single Family'!$C$6:$N$79,J$5,FALSE)/2</f>
        <v>14.751670500000001</v>
      </c>
      <c r="K12" s="64">
        <f>HLOOKUP($A12,'Single Family'!$C$6:$N$79,K$5,FALSE)</f>
        <v>117.093438</v>
      </c>
      <c r="L12" s="68">
        <f>HLOOKUP($A12,'Single Family'!$C$6:$N$79,L$5,FALSE)</f>
        <v>38.96543700000009</v>
      </c>
      <c r="M12" s="69"/>
      <c r="N12" s="69">
        <f t="shared" si="0"/>
        <v>657.0899999999999</v>
      </c>
      <c r="P12" s="61"/>
    </row>
    <row r="13" spans="1:16" ht="12.75">
      <c r="A13" s="58">
        <f t="shared" si="1"/>
        <v>43434</v>
      </c>
      <c r="B13" s="59"/>
      <c r="C13" s="64">
        <f>HLOOKUP($A13,'Single Family'!$C$6:$N$79,C$5,FALSE)</f>
        <v>0</v>
      </c>
      <c r="D13" s="68">
        <f>HLOOKUP($A13,'Single Family'!$C$6:$N$79,D$5,FALSE)</f>
        <v>0</v>
      </c>
      <c r="E13" s="68">
        <f>HLOOKUP($A13,'Single Family'!$C$6:$N$79,E$5,FALSE)</f>
        <v>0</v>
      </c>
      <c r="F13" s="64">
        <f>HLOOKUP($A13,'Single Family'!$C$6:$N$79,F$5,FALSE)</f>
        <v>0</v>
      </c>
      <c r="G13" s="64">
        <f>HLOOKUP($A13,'Single Family'!$C$6:$N$79,G$5,FALSE)</f>
        <v>0</v>
      </c>
      <c r="H13" s="64">
        <f>HLOOKUP($A13,'Single Family'!$C$6:$N$79,H$5,FALSE)</f>
        <v>0</v>
      </c>
      <c r="I13" s="64">
        <f>HLOOKUP($A13,'Single Family'!$C$6:$N$79,I$5,FALSE)/2</f>
        <v>0</v>
      </c>
      <c r="J13" s="64">
        <f>HLOOKUP($A13,'Single Family'!$C$6:$N$79,J$5,FALSE)/2</f>
        <v>0</v>
      </c>
      <c r="K13" s="64">
        <f>HLOOKUP($A13,'Single Family'!$C$6:$N$79,K$5,FALSE)</f>
        <v>0</v>
      </c>
      <c r="L13" s="68">
        <f>HLOOKUP($A13,'Single Family'!$C$6:$N$79,L$5,FALSE)</f>
        <v>0</v>
      </c>
      <c r="M13" s="69"/>
      <c r="N13" s="69">
        <f t="shared" si="0"/>
        <v>0</v>
      </c>
      <c r="P13" s="61"/>
    </row>
    <row r="14" spans="1:16" ht="12.75">
      <c r="A14" s="58">
        <f t="shared" si="1"/>
        <v>43465</v>
      </c>
      <c r="B14" s="59"/>
      <c r="C14" s="64">
        <f>HLOOKUP($A14,'Single Family'!$C$6:$N$79,C$5,FALSE)</f>
        <v>0</v>
      </c>
      <c r="D14" s="68">
        <f>HLOOKUP($A14,'Single Family'!$C$6:$N$79,D$5,FALSE)</f>
        <v>0</v>
      </c>
      <c r="E14" s="68">
        <f>HLOOKUP($A14,'Single Family'!$C$6:$N$79,E$5,FALSE)</f>
        <v>0</v>
      </c>
      <c r="F14" s="64">
        <f>HLOOKUP($A14,'Single Family'!$C$6:$N$79,F$5,FALSE)</f>
        <v>0</v>
      </c>
      <c r="G14" s="64">
        <f>HLOOKUP($A14,'Single Family'!$C$6:$N$79,G$5,FALSE)</f>
        <v>0</v>
      </c>
      <c r="H14" s="64">
        <f>HLOOKUP($A14,'Single Family'!$C$6:$N$79,H$5,FALSE)</f>
        <v>0</v>
      </c>
      <c r="I14" s="64">
        <f>HLOOKUP($A14,'Single Family'!$C$6:$N$79,I$5,FALSE)/2</f>
        <v>0</v>
      </c>
      <c r="J14" s="64">
        <f>HLOOKUP($A14,'Single Family'!$C$6:$N$79,J$5,FALSE)/2</f>
        <v>0</v>
      </c>
      <c r="K14" s="64">
        <f>HLOOKUP($A14,'Single Family'!$C$6:$N$79,K$5,FALSE)</f>
        <v>0</v>
      </c>
      <c r="L14" s="68">
        <f>HLOOKUP($A14,'Single Family'!$C$6:$N$79,L$5,FALSE)</f>
        <v>0</v>
      </c>
      <c r="M14" s="69"/>
      <c r="N14" s="69">
        <f t="shared" si="0"/>
        <v>0</v>
      </c>
      <c r="P14" s="61"/>
    </row>
    <row r="15" spans="1:16" ht="12.75">
      <c r="A15" s="58">
        <f t="shared" si="1"/>
        <v>43496</v>
      </c>
      <c r="B15" s="59"/>
      <c r="C15" s="64">
        <f>HLOOKUP($A15,'Single Family'!$C$6:$N$79,C$5,FALSE)</f>
        <v>0</v>
      </c>
      <c r="D15" s="68">
        <f>HLOOKUP($A15,'Single Family'!$C$6:$N$79,D$5,FALSE)</f>
        <v>0</v>
      </c>
      <c r="E15" s="68">
        <f>HLOOKUP($A15,'Single Family'!$C$6:$N$79,E$5,FALSE)</f>
        <v>0</v>
      </c>
      <c r="F15" s="64">
        <f>HLOOKUP($A15,'Single Family'!$C$6:$N$79,F$5,FALSE)</f>
        <v>0</v>
      </c>
      <c r="G15" s="64">
        <f>HLOOKUP($A15,'Single Family'!$C$6:$N$79,G$5,FALSE)</f>
        <v>0</v>
      </c>
      <c r="H15" s="64">
        <f>HLOOKUP($A15,'Single Family'!$C$6:$N$79,H$5,FALSE)</f>
        <v>0</v>
      </c>
      <c r="I15" s="64">
        <f>HLOOKUP($A15,'Single Family'!$C$6:$N$79,I$5,FALSE)/2</f>
        <v>0</v>
      </c>
      <c r="J15" s="64">
        <f>HLOOKUP($A15,'Single Family'!$C$6:$N$79,J$5,FALSE)/2</f>
        <v>0</v>
      </c>
      <c r="K15" s="64">
        <f>HLOOKUP($A15,'Single Family'!$C$6:$N$79,K$5,FALSE)</f>
        <v>0</v>
      </c>
      <c r="L15" s="68">
        <f>HLOOKUP($A15,'Single Family'!$C$6:$N$79,L$5,FALSE)</f>
        <v>0</v>
      </c>
      <c r="M15" s="69"/>
      <c r="N15" s="69">
        <f t="shared" si="0"/>
        <v>0</v>
      </c>
      <c r="P15" s="61"/>
    </row>
    <row r="16" spans="1:16" ht="12.75">
      <c r="A16" s="58">
        <f t="shared" si="1"/>
        <v>43524</v>
      </c>
      <c r="B16" s="59"/>
      <c r="C16" s="64">
        <f>HLOOKUP($A16,'Single Family'!$C$6:$N$79,C$5,FALSE)</f>
        <v>0</v>
      </c>
      <c r="D16" s="68">
        <f>HLOOKUP($A16,'Single Family'!$C$6:$N$79,D$5,FALSE)</f>
        <v>0</v>
      </c>
      <c r="E16" s="68">
        <f>HLOOKUP($A16,'Single Family'!$C$6:$N$79,E$5,FALSE)</f>
        <v>0</v>
      </c>
      <c r="F16" s="64">
        <f>HLOOKUP($A16,'Single Family'!$C$6:$N$79,F$5,FALSE)</f>
        <v>0</v>
      </c>
      <c r="G16" s="64">
        <f>HLOOKUP($A16,'Single Family'!$C$6:$N$79,G$5,FALSE)</f>
        <v>0</v>
      </c>
      <c r="H16" s="64">
        <f>HLOOKUP($A16,'Single Family'!$C$6:$N$79,H$5,FALSE)</f>
        <v>0</v>
      </c>
      <c r="I16" s="64">
        <f>HLOOKUP($A16,'Single Family'!$C$6:$N$79,I$5,FALSE)/2</f>
        <v>0</v>
      </c>
      <c r="J16" s="64">
        <f>HLOOKUP($A16,'Single Family'!$C$6:$N$79,J$5,FALSE)/2</f>
        <v>0</v>
      </c>
      <c r="K16" s="64">
        <f>HLOOKUP($A16,'Single Family'!$C$6:$N$79,K$5,FALSE)</f>
        <v>0</v>
      </c>
      <c r="L16" s="68">
        <f>HLOOKUP($A16,'Single Family'!$C$6:$N$79,L$5,FALSE)</f>
        <v>0</v>
      </c>
      <c r="M16" s="69"/>
      <c r="N16" s="69">
        <f t="shared" si="0"/>
        <v>0</v>
      </c>
      <c r="P16" s="61"/>
    </row>
    <row r="17" spans="1:16" ht="12.75">
      <c r="A17" s="58">
        <f t="shared" si="1"/>
        <v>43555</v>
      </c>
      <c r="B17" s="59"/>
      <c r="C17" s="64">
        <f>HLOOKUP($A17,'Single Family'!$C$6:$N$79,C$5,FALSE)</f>
        <v>0</v>
      </c>
      <c r="D17" s="68">
        <f>HLOOKUP($A17,'Single Family'!$C$6:$N$79,D$5,FALSE)</f>
        <v>0</v>
      </c>
      <c r="E17" s="68">
        <f>HLOOKUP($A17,'Single Family'!$C$6:$N$79,E$5,FALSE)</f>
        <v>0</v>
      </c>
      <c r="F17" s="64">
        <f>HLOOKUP($A17,'Single Family'!$C$6:$N$79,F$5,FALSE)</f>
        <v>0</v>
      </c>
      <c r="G17" s="64">
        <f>HLOOKUP($A17,'Single Family'!$C$6:$N$79,G$5,FALSE)</f>
        <v>0</v>
      </c>
      <c r="H17" s="64">
        <f>HLOOKUP($A17,'Single Family'!$C$6:$N$79,H$5,FALSE)</f>
        <v>0</v>
      </c>
      <c r="I17" s="64">
        <f>HLOOKUP($A17,'Single Family'!$C$6:$N$79,I$5,FALSE)/2</f>
        <v>0</v>
      </c>
      <c r="J17" s="64">
        <f>HLOOKUP($A17,'Single Family'!$C$6:$N$79,J$5,FALSE)/2</f>
        <v>0</v>
      </c>
      <c r="K17" s="64">
        <f>HLOOKUP($A17,'Single Family'!$C$6:$N$79,K$5,FALSE)</f>
        <v>0</v>
      </c>
      <c r="L17" s="68">
        <f>HLOOKUP($A17,'Single Family'!$C$6:$N$79,L$5,FALSE)</f>
        <v>0</v>
      </c>
      <c r="M17" s="69"/>
      <c r="N17" s="69">
        <f t="shared" si="0"/>
        <v>0</v>
      </c>
      <c r="P17" s="61"/>
    </row>
    <row r="18" spans="1:16" ht="12.75">
      <c r="A18" s="58">
        <f t="shared" si="1"/>
        <v>43585</v>
      </c>
      <c r="B18" s="59"/>
      <c r="C18" s="64">
        <f>HLOOKUP($A18,'Single Family'!$C$6:$N$79,C$5,FALSE)</f>
        <v>0</v>
      </c>
      <c r="D18" s="68">
        <f>HLOOKUP($A18,'Single Family'!$C$6:$N$79,D$5,FALSE)</f>
        <v>0</v>
      </c>
      <c r="E18" s="68">
        <f>HLOOKUP($A18,'Single Family'!$C$6:$N$79,E$5,FALSE)</f>
        <v>0</v>
      </c>
      <c r="F18" s="64">
        <f>HLOOKUP($A18,'Single Family'!$C$6:$N$79,F$5,FALSE)</f>
        <v>0</v>
      </c>
      <c r="G18" s="64">
        <f>HLOOKUP($A18,'Single Family'!$C$6:$N$79,G$5,FALSE)</f>
        <v>0</v>
      </c>
      <c r="H18" s="64">
        <f>HLOOKUP($A18,'Single Family'!$C$6:$N$79,H$5,FALSE)</f>
        <v>0</v>
      </c>
      <c r="I18" s="64">
        <f>HLOOKUP($A18,'Single Family'!$C$6:$N$79,I$5,FALSE)/2</f>
        <v>0</v>
      </c>
      <c r="J18" s="64">
        <f>HLOOKUP($A18,'Single Family'!$C$6:$N$79,J$5,FALSE)/2</f>
        <v>0</v>
      </c>
      <c r="K18" s="64">
        <f>HLOOKUP($A18,'Single Family'!$C$6:$N$79,K$5,FALSE)</f>
        <v>0</v>
      </c>
      <c r="L18" s="68">
        <f>HLOOKUP($A18,'Single Family'!$C$6:$N$79,L$5,FALSE)</f>
        <v>0</v>
      </c>
      <c r="M18" s="69"/>
      <c r="N18" s="69">
        <f t="shared" si="0"/>
        <v>0</v>
      </c>
      <c r="P18" s="61"/>
    </row>
    <row r="19" spans="1:15" ht="13.5" customHeight="1">
      <c r="A19" s="58"/>
      <c r="B19" s="59"/>
      <c r="C19" s="69"/>
      <c r="D19" s="69"/>
      <c r="E19" s="69"/>
      <c r="F19" s="69"/>
      <c r="G19" s="69"/>
      <c r="H19" s="69"/>
      <c r="I19" s="69"/>
      <c r="J19" s="69"/>
      <c r="K19" s="69"/>
      <c r="L19" s="69"/>
      <c r="M19" s="69"/>
      <c r="N19" s="69"/>
      <c r="O19" t="s">
        <v>31</v>
      </c>
    </row>
    <row r="20" spans="1:15" ht="12.75">
      <c r="A20" s="62" t="s">
        <v>32</v>
      </c>
      <c r="B20" s="59"/>
      <c r="C20" s="76">
        <f aca="true" t="shared" si="2" ref="C20:J20">SUM(C7:C19)</f>
        <v>28.30995</v>
      </c>
      <c r="D20" s="76">
        <f t="shared" si="2"/>
        <v>667.359888</v>
      </c>
      <c r="E20" s="76">
        <f t="shared" si="2"/>
        <v>0</v>
      </c>
      <c r="F20" s="76">
        <f t="shared" si="2"/>
        <v>62.28189000000001</v>
      </c>
      <c r="G20" s="76">
        <f t="shared" si="2"/>
        <v>0</v>
      </c>
      <c r="H20" s="76">
        <f t="shared" si="2"/>
        <v>1950.7442879999994</v>
      </c>
      <c r="I20" s="76">
        <f t="shared" si="2"/>
        <v>84.741117</v>
      </c>
      <c r="J20" s="76">
        <f t="shared" si="2"/>
        <v>84.741117</v>
      </c>
      <c r="K20" s="76">
        <f>SUM(K7:K19)</f>
        <v>672.644412</v>
      </c>
      <c r="L20" s="76">
        <f>SUM(L7:L19)</f>
        <v>223.8373380000005</v>
      </c>
      <c r="M20" s="69"/>
      <c r="N20" s="76">
        <f>SUM(N7:N18)</f>
        <v>3774.66</v>
      </c>
      <c r="O20" s="60">
        <f>N20/15</f>
        <v>251.64399999999998</v>
      </c>
    </row>
    <row r="21" spans="1:14" ht="12.75">
      <c r="A21" s="58"/>
      <c r="B21" s="59"/>
      <c r="C21" s="59"/>
      <c r="D21" s="59"/>
      <c r="E21" s="59"/>
      <c r="F21" s="59"/>
      <c r="G21" s="59"/>
      <c r="H21" s="59"/>
      <c r="I21" s="59"/>
      <c r="J21" s="59"/>
      <c r="K21" s="59"/>
      <c r="L21" s="59"/>
      <c r="M21" s="59"/>
      <c r="N21" s="60">
        <f>IF(N20&lt;&gt;SUM('Single Family'!$C$66:$N$66),"ERROR","")</f>
      </c>
    </row>
    <row r="22" spans="1:13" ht="12.75">
      <c r="A22" s="59"/>
      <c r="B22" s="59"/>
      <c r="C22" s="59"/>
      <c r="D22" s="59"/>
      <c r="E22" s="59"/>
      <c r="F22" s="59"/>
      <c r="G22" s="59"/>
      <c r="H22" s="59"/>
      <c r="I22" s="59"/>
      <c r="J22" s="59"/>
      <c r="K22" s="59"/>
      <c r="L22" s="59"/>
      <c r="M22" s="60"/>
    </row>
    <row r="23" spans="1:13" ht="12.75">
      <c r="A23" s="59"/>
      <c r="B23" s="59"/>
      <c r="C23" s="59"/>
      <c r="D23" s="59"/>
      <c r="E23" s="59"/>
      <c r="F23" s="59"/>
      <c r="G23" s="59"/>
      <c r="H23" s="59"/>
      <c r="I23" s="59"/>
      <c r="J23" s="59"/>
      <c r="K23" s="59"/>
      <c r="L23" s="59"/>
      <c r="M23" s="60"/>
    </row>
    <row r="24" spans="1:13" ht="12.75">
      <c r="A24" s="59"/>
      <c r="B24" s="59"/>
      <c r="C24" s="59"/>
      <c r="D24" s="59"/>
      <c r="E24" s="59"/>
      <c r="F24" s="59"/>
      <c r="G24" s="59"/>
      <c r="H24" s="59"/>
      <c r="I24" s="59"/>
      <c r="J24" s="59"/>
      <c r="K24" s="59"/>
      <c r="L24" s="59"/>
      <c r="M24" s="60"/>
    </row>
    <row r="25" spans="1:13" ht="12.75">
      <c r="A25" s="59"/>
      <c r="B25" s="59"/>
      <c r="C25" s="59"/>
      <c r="D25" s="59"/>
      <c r="E25" s="59"/>
      <c r="F25" s="59"/>
      <c r="G25" s="59"/>
      <c r="H25" s="59"/>
      <c r="I25" s="59"/>
      <c r="J25" s="59"/>
      <c r="K25" s="59"/>
      <c r="L25" s="59"/>
      <c r="M25" s="59"/>
    </row>
    <row r="26" spans="1:13" ht="12.75">
      <c r="A26" s="59"/>
      <c r="B26" s="59"/>
      <c r="C26" s="59"/>
      <c r="D26" s="59"/>
      <c r="E26" s="59"/>
      <c r="F26" s="59"/>
      <c r="G26" s="59"/>
      <c r="H26" s="59"/>
      <c r="I26" s="59"/>
      <c r="J26" s="59"/>
      <c r="K26" s="59"/>
      <c r="L26" s="59"/>
      <c r="M26" s="59"/>
    </row>
    <row r="27" spans="1:13" ht="12.75">
      <c r="A27" s="59"/>
      <c r="B27" s="59"/>
      <c r="C27" s="59"/>
      <c r="D27" s="59"/>
      <c r="E27" s="59"/>
      <c r="F27" s="59"/>
      <c r="G27" s="59"/>
      <c r="H27" s="59"/>
      <c r="I27" s="59"/>
      <c r="J27" s="59"/>
      <c r="K27" s="59"/>
      <c r="L27" s="59"/>
      <c r="M27" s="59"/>
    </row>
    <row r="28" spans="1:13" ht="12.75">
      <c r="A28" s="59"/>
      <c r="B28" s="59"/>
      <c r="C28" s="59"/>
      <c r="D28" s="59"/>
      <c r="E28" s="59"/>
      <c r="F28" s="59"/>
      <c r="G28" s="59"/>
      <c r="H28" s="59"/>
      <c r="I28" s="59"/>
      <c r="J28" s="59"/>
      <c r="K28" s="59"/>
      <c r="L28" s="59"/>
      <c r="M28" s="59"/>
    </row>
    <row r="29" spans="1:13" ht="12.75">
      <c r="A29" s="59"/>
      <c r="B29" s="59"/>
      <c r="C29" s="59"/>
      <c r="D29" s="59"/>
      <c r="E29" s="59"/>
      <c r="F29" s="59"/>
      <c r="G29" s="59"/>
      <c r="H29" s="59"/>
      <c r="I29" s="59"/>
      <c r="J29" s="59"/>
      <c r="K29" s="59"/>
      <c r="L29" s="59"/>
      <c r="M29" s="59"/>
    </row>
    <row r="30" spans="1:13" ht="12.75">
      <c r="A30" s="59"/>
      <c r="B30" s="59"/>
      <c r="C30" s="59"/>
      <c r="D30" s="59"/>
      <c r="E30" s="59"/>
      <c r="F30" s="59"/>
      <c r="G30" s="59"/>
      <c r="H30" s="59"/>
      <c r="I30" s="59"/>
      <c r="J30" s="59"/>
      <c r="K30" s="59"/>
      <c r="L30" s="59"/>
      <c r="M30" s="59"/>
    </row>
    <row r="31" spans="1:13" ht="12.75">
      <c r="A31" s="59"/>
      <c r="B31" s="59"/>
      <c r="C31" s="59"/>
      <c r="D31" s="59"/>
      <c r="E31" s="59"/>
      <c r="F31" s="59"/>
      <c r="G31" s="59"/>
      <c r="H31" s="59"/>
      <c r="I31" s="59"/>
      <c r="J31" s="59"/>
      <c r="K31" s="59"/>
      <c r="L31" s="59"/>
      <c r="M31" s="59"/>
    </row>
    <row r="32" spans="1:13" ht="12.75">
      <c r="A32" s="59"/>
      <c r="B32" s="59"/>
      <c r="C32" s="59"/>
      <c r="D32" s="59"/>
      <c r="E32" s="59"/>
      <c r="F32" s="59"/>
      <c r="G32" s="59"/>
      <c r="H32" s="59"/>
      <c r="I32" s="59"/>
      <c r="J32" s="59"/>
      <c r="K32" s="59"/>
      <c r="L32" s="59"/>
      <c r="M32" s="59"/>
    </row>
    <row r="33" spans="1:13" ht="12.75">
      <c r="A33" s="59"/>
      <c r="B33" s="59"/>
      <c r="C33" s="59"/>
      <c r="D33" s="59"/>
      <c r="E33" s="59"/>
      <c r="F33" s="59"/>
      <c r="G33" s="59"/>
      <c r="H33" s="59"/>
      <c r="I33" s="59"/>
      <c r="J33" s="59"/>
      <c r="K33" s="59"/>
      <c r="L33" s="59"/>
      <c r="M33" s="59"/>
    </row>
    <row r="34" spans="1:13" ht="12.75">
      <c r="A34" s="59"/>
      <c r="B34" s="59"/>
      <c r="C34" s="59"/>
      <c r="D34" s="59"/>
      <c r="E34" s="59"/>
      <c r="F34" s="59"/>
      <c r="G34" s="59"/>
      <c r="H34" s="59"/>
      <c r="I34" s="59"/>
      <c r="J34" s="59"/>
      <c r="K34" s="59"/>
      <c r="L34" s="59"/>
      <c r="M34" s="59"/>
    </row>
    <row r="35" spans="1:13" ht="12.75">
      <c r="A35" s="59"/>
      <c r="B35" s="59"/>
      <c r="C35" s="59"/>
      <c r="D35" s="59"/>
      <c r="E35" s="59"/>
      <c r="F35" s="59"/>
      <c r="G35" s="59"/>
      <c r="H35" s="59"/>
      <c r="I35" s="59"/>
      <c r="J35" s="59"/>
      <c r="K35" s="59"/>
      <c r="L35" s="59"/>
      <c r="M35" s="59"/>
    </row>
    <row r="36" spans="1:13" ht="12.75">
      <c r="A36" s="59"/>
      <c r="B36" s="59"/>
      <c r="C36" s="59"/>
      <c r="D36" s="59"/>
      <c r="E36" s="59"/>
      <c r="F36" s="59"/>
      <c r="G36" s="59"/>
      <c r="H36" s="59"/>
      <c r="I36" s="59"/>
      <c r="J36" s="59"/>
      <c r="K36" s="59"/>
      <c r="L36" s="59"/>
      <c r="M36" s="59"/>
    </row>
    <row r="37" spans="1:13" ht="12.75">
      <c r="A37" s="59"/>
      <c r="B37" s="59"/>
      <c r="C37" s="59"/>
      <c r="D37" s="59"/>
      <c r="E37" s="59"/>
      <c r="F37" s="59"/>
      <c r="G37" s="59"/>
      <c r="H37" s="59"/>
      <c r="I37" s="59"/>
      <c r="J37" s="59"/>
      <c r="K37" s="59"/>
      <c r="L37" s="59"/>
      <c r="M37" s="59"/>
    </row>
    <row r="38" spans="1:13" ht="12.75">
      <c r="A38" s="59"/>
      <c r="B38" s="59"/>
      <c r="C38" s="59"/>
      <c r="D38" s="59"/>
      <c r="E38" s="59"/>
      <c r="F38" s="59"/>
      <c r="G38" s="59"/>
      <c r="H38" s="59"/>
      <c r="I38" s="59"/>
      <c r="J38" s="59"/>
      <c r="K38" s="59"/>
      <c r="L38" s="59"/>
      <c r="M38" s="59"/>
    </row>
    <row r="39" spans="1:13" ht="12.75">
      <c r="A39" s="59"/>
      <c r="B39" s="59"/>
      <c r="C39" s="59"/>
      <c r="D39" s="59"/>
      <c r="E39" s="59"/>
      <c r="F39" s="59"/>
      <c r="G39" s="59"/>
      <c r="H39" s="59"/>
      <c r="I39" s="59"/>
      <c r="J39" s="59"/>
      <c r="K39" s="59"/>
      <c r="L39" s="59"/>
      <c r="M39" s="59"/>
    </row>
    <row r="40" spans="1:13" ht="12.75">
      <c r="A40" s="59"/>
      <c r="B40" s="59"/>
      <c r="C40" s="59"/>
      <c r="D40" s="59"/>
      <c r="E40" s="59"/>
      <c r="F40" s="59"/>
      <c r="G40" s="59"/>
      <c r="H40" s="59"/>
      <c r="I40" s="59"/>
      <c r="J40" s="59"/>
      <c r="K40" s="59"/>
      <c r="L40" s="59"/>
      <c r="M40" s="59"/>
    </row>
    <row r="41" spans="1:13" ht="12.75">
      <c r="A41" s="59"/>
      <c r="B41" s="59"/>
      <c r="C41" s="59"/>
      <c r="D41" s="59"/>
      <c r="E41" s="59"/>
      <c r="F41" s="59"/>
      <c r="G41" s="59"/>
      <c r="H41" s="59"/>
      <c r="I41" s="59"/>
      <c r="J41" s="59"/>
      <c r="K41" s="59"/>
      <c r="L41" s="59"/>
      <c r="M41" s="59"/>
    </row>
    <row r="42" spans="1:13" ht="12.75">
      <c r="A42" s="59"/>
      <c r="B42" s="59"/>
      <c r="C42" s="59"/>
      <c r="D42" s="59"/>
      <c r="E42" s="59"/>
      <c r="F42" s="59"/>
      <c r="G42" s="59"/>
      <c r="H42" s="59"/>
      <c r="I42" s="59"/>
      <c r="J42" s="59"/>
      <c r="K42" s="59"/>
      <c r="L42" s="59"/>
      <c r="M42" s="59"/>
    </row>
    <row r="43" spans="1:13" ht="12.75">
      <c r="A43" s="59"/>
      <c r="B43" s="59"/>
      <c r="C43" s="59"/>
      <c r="D43" s="59"/>
      <c r="E43" s="59"/>
      <c r="F43" s="59"/>
      <c r="G43" s="59"/>
      <c r="H43" s="59"/>
      <c r="I43" s="59"/>
      <c r="J43" s="59"/>
      <c r="K43" s="59"/>
      <c r="L43" s="59"/>
      <c r="M43" s="59"/>
    </row>
    <row r="44" spans="1:13" ht="12.75">
      <c r="A44" s="59"/>
      <c r="B44" s="59"/>
      <c r="C44" s="59"/>
      <c r="D44" s="59"/>
      <c r="E44" s="59"/>
      <c r="F44" s="59"/>
      <c r="G44" s="59"/>
      <c r="H44" s="59"/>
      <c r="I44" s="59"/>
      <c r="J44" s="59"/>
      <c r="K44" s="59"/>
      <c r="L44" s="59"/>
      <c r="M44" s="59"/>
    </row>
    <row r="45" spans="1:13" ht="12.75">
      <c r="A45" s="59"/>
      <c r="B45" s="59"/>
      <c r="C45" s="59"/>
      <c r="D45" s="59"/>
      <c r="E45" s="59"/>
      <c r="F45" s="59"/>
      <c r="G45" s="59"/>
      <c r="H45" s="59"/>
      <c r="I45" s="59"/>
      <c r="J45" s="59"/>
      <c r="K45" s="59"/>
      <c r="L45" s="59"/>
      <c r="M45" s="59"/>
    </row>
    <row r="46" spans="1:13" ht="12.75">
      <c r="A46" s="59"/>
      <c r="B46" s="59"/>
      <c r="C46" s="59"/>
      <c r="D46" s="59"/>
      <c r="E46" s="59"/>
      <c r="F46" s="59"/>
      <c r="G46" s="59"/>
      <c r="H46" s="59"/>
      <c r="I46" s="59"/>
      <c r="J46" s="59"/>
      <c r="K46" s="59"/>
      <c r="L46" s="59"/>
      <c r="M46" s="59"/>
    </row>
    <row r="47" spans="1:13" ht="12.75">
      <c r="A47" s="59"/>
      <c r="B47" s="59"/>
      <c r="C47" s="59"/>
      <c r="D47" s="59"/>
      <c r="E47" s="59"/>
      <c r="F47" s="59"/>
      <c r="G47" s="59"/>
      <c r="H47" s="59"/>
      <c r="I47" s="59"/>
      <c r="J47" s="59"/>
      <c r="K47" s="59"/>
      <c r="L47" s="59"/>
      <c r="M47" s="59"/>
    </row>
    <row r="48" spans="1:13" ht="12.75">
      <c r="A48" s="59"/>
      <c r="B48" s="59"/>
      <c r="C48" s="59"/>
      <c r="D48" s="59"/>
      <c r="E48" s="59"/>
      <c r="F48" s="59"/>
      <c r="G48" s="59"/>
      <c r="H48" s="59"/>
      <c r="I48" s="59"/>
      <c r="J48" s="59"/>
      <c r="K48" s="59"/>
      <c r="L48" s="59"/>
      <c r="M48" s="59"/>
    </row>
    <row r="49" spans="1:13" ht="12.75">
      <c r="A49" s="59"/>
      <c r="B49" s="59"/>
      <c r="C49" s="59"/>
      <c r="D49" s="59"/>
      <c r="E49" s="59"/>
      <c r="F49" s="59"/>
      <c r="G49" s="59"/>
      <c r="H49" s="59"/>
      <c r="I49" s="59"/>
      <c r="J49" s="59"/>
      <c r="K49" s="59"/>
      <c r="L49" s="59"/>
      <c r="M49" s="59"/>
    </row>
    <row r="50" spans="1:13" ht="12.75">
      <c r="A50" s="59"/>
      <c r="B50" s="59"/>
      <c r="C50" s="59"/>
      <c r="D50" s="59"/>
      <c r="E50" s="59"/>
      <c r="F50" s="59"/>
      <c r="G50" s="59"/>
      <c r="H50" s="59"/>
      <c r="I50" s="59"/>
      <c r="J50" s="59"/>
      <c r="K50" s="59"/>
      <c r="L50" s="59"/>
      <c r="M50" s="59"/>
    </row>
    <row r="51" spans="1:13" ht="12.75">
      <c r="A51" s="59"/>
      <c r="B51" s="59"/>
      <c r="C51" s="59"/>
      <c r="D51" s="59"/>
      <c r="E51" s="59"/>
      <c r="F51" s="59"/>
      <c r="G51" s="59"/>
      <c r="H51" s="59"/>
      <c r="I51" s="59"/>
      <c r="J51" s="59"/>
      <c r="K51" s="59"/>
      <c r="L51" s="59"/>
      <c r="M51" s="59"/>
    </row>
    <row r="52" spans="1:13" ht="12.75">
      <c r="A52" s="59"/>
      <c r="B52" s="59"/>
      <c r="C52" s="59"/>
      <c r="D52" s="59"/>
      <c r="E52" s="59"/>
      <c r="F52" s="59"/>
      <c r="G52" s="59"/>
      <c r="H52" s="59"/>
      <c r="I52" s="59"/>
      <c r="J52" s="59"/>
      <c r="K52" s="59"/>
      <c r="L52" s="59"/>
      <c r="M52" s="59"/>
    </row>
    <row r="53" spans="1:13" ht="12.75">
      <c r="A53" s="59"/>
      <c r="B53" s="59"/>
      <c r="C53" s="59"/>
      <c r="D53" s="59"/>
      <c r="E53" s="59"/>
      <c r="F53" s="59"/>
      <c r="G53" s="59"/>
      <c r="H53" s="59"/>
      <c r="I53" s="59"/>
      <c r="J53" s="59"/>
      <c r="K53" s="59"/>
      <c r="L53" s="59"/>
      <c r="M53" s="59"/>
    </row>
    <row r="54" spans="1:13" ht="12.75">
      <c r="A54" s="59"/>
      <c r="B54" s="59"/>
      <c r="C54" s="59"/>
      <c r="D54" s="59"/>
      <c r="E54" s="59"/>
      <c r="F54" s="59"/>
      <c r="G54" s="59"/>
      <c r="H54" s="59"/>
      <c r="I54" s="59"/>
      <c r="J54" s="59"/>
      <c r="K54" s="59"/>
      <c r="L54" s="59"/>
      <c r="M54" s="59"/>
    </row>
    <row r="55" spans="1:13" ht="12.75">
      <c r="A55" s="59"/>
      <c r="B55" s="59"/>
      <c r="C55" s="59"/>
      <c r="D55" s="59"/>
      <c r="E55" s="59"/>
      <c r="F55" s="59"/>
      <c r="G55" s="59"/>
      <c r="H55" s="59"/>
      <c r="I55" s="59"/>
      <c r="J55" s="59"/>
      <c r="K55" s="59"/>
      <c r="L55" s="59"/>
      <c r="M55" s="59"/>
    </row>
    <row r="56" spans="1:13" ht="12.75">
      <c r="A56" s="59"/>
      <c r="B56" s="59"/>
      <c r="C56" s="59"/>
      <c r="D56" s="59"/>
      <c r="E56" s="59"/>
      <c r="F56" s="59"/>
      <c r="G56" s="59"/>
      <c r="H56" s="59"/>
      <c r="I56" s="59"/>
      <c r="J56" s="59"/>
      <c r="K56" s="59"/>
      <c r="L56" s="59"/>
      <c r="M56" s="59"/>
    </row>
    <row r="57" spans="1:13" ht="12.75">
      <c r="A57" s="59"/>
      <c r="B57" s="59"/>
      <c r="C57" s="59"/>
      <c r="D57" s="59"/>
      <c r="E57" s="59"/>
      <c r="F57" s="59"/>
      <c r="G57" s="59"/>
      <c r="H57" s="59"/>
      <c r="I57" s="59"/>
      <c r="J57" s="59"/>
      <c r="K57" s="59"/>
      <c r="L57" s="59"/>
      <c r="M57" s="59"/>
    </row>
    <row r="58" spans="1:13" ht="12.75">
      <c r="A58" s="59"/>
      <c r="B58" s="59"/>
      <c r="C58" s="59"/>
      <c r="D58" s="59"/>
      <c r="E58" s="59"/>
      <c r="F58" s="59"/>
      <c r="G58" s="59"/>
      <c r="H58" s="59"/>
      <c r="I58" s="59"/>
      <c r="J58" s="59"/>
      <c r="K58" s="59"/>
      <c r="L58" s="59"/>
      <c r="M58" s="59"/>
    </row>
    <row r="59" spans="1:13" ht="12.75">
      <c r="A59" s="59"/>
      <c r="B59" s="59"/>
      <c r="C59" s="59"/>
      <c r="D59" s="59"/>
      <c r="E59" s="59"/>
      <c r="F59" s="59"/>
      <c r="G59" s="59"/>
      <c r="H59" s="59"/>
      <c r="I59" s="59"/>
      <c r="J59" s="59"/>
      <c r="K59" s="59"/>
      <c r="L59" s="59"/>
      <c r="M59" s="59"/>
    </row>
    <row r="60" spans="1:13" ht="12.75">
      <c r="A60" s="59"/>
      <c r="B60" s="59"/>
      <c r="C60" s="59"/>
      <c r="D60" s="59"/>
      <c r="E60" s="59"/>
      <c r="F60" s="59"/>
      <c r="G60" s="59"/>
      <c r="H60" s="59"/>
      <c r="I60" s="59"/>
      <c r="J60" s="59"/>
      <c r="K60" s="59"/>
      <c r="L60" s="59"/>
      <c r="M60" s="59"/>
    </row>
    <row r="61" spans="1:13" ht="12.75">
      <c r="A61" s="59"/>
      <c r="B61" s="59"/>
      <c r="C61" s="59"/>
      <c r="D61" s="59"/>
      <c r="E61" s="59"/>
      <c r="F61" s="59"/>
      <c r="G61" s="59"/>
      <c r="H61" s="59"/>
      <c r="I61" s="59"/>
      <c r="J61" s="59"/>
      <c r="K61" s="59"/>
      <c r="L61" s="59"/>
      <c r="M61" s="59"/>
    </row>
    <row r="62" spans="1:13" ht="12.75">
      <c r="A62" s="59"/>
      <c r="B62" s="59"/>
      <c r="C62" s="59"/>
      <c r="D62" s="59"/>
      <c r="E62" s="59"/>
      <c r="F62" s="59"/>
      <c r="G62" s="59"/>
      <c r="H62" s="59"/>
      <c r="I62" s="59"/>
      <c r="J62" s="59"/>
      <c r="K62" s="59"/>
      <c r="L62" s="59"/>
      <c r="M62" s="59"/>
    </row>
    <row r="63" spans="1:13" ht="12.75">
      <c r="A63" s="59"/>
      <c r="B63" s="59"/>
      <c r="C63" s="59"/>
      <c r="D63" s="59"/>
      <c r="E63" s="59"/>
      <c r="F63" s="59"/>
      <c r="G63" s="59"/>
      <c r="H63" s="59"/>
      <c r="I63" s="59"/>
      <c r="J63" s="59"/>
      <c r="K63" s="59"/>
      <c r="L63" s="59"/>
      <c r="M63" s="59"/>
    </row>
    <row r="64" spans="1:13" ht="12.75">
      <c r="A64" s="59"/>
      <c r="B64" s="59"/>
      <c r="C64" s="59"/>
      <c r="D64" s="59"/>
      <c r="E64" s="59"/>
      <c r="F64" s="59"/>
      <c r="G64" s="59"/>
      <c r="H64" s="59"/>
      <c r="I64" s="59"/>
      <c r="J64" s="59"/>
      <c r="K64" s="59"/>
      <c r="L64" s="59"/>
      <c r="M64" s="59"/>
    </row>
    <row r="65" spans="1:13" ht="12.75">
      <c r="A65" s="59"/>
      <c r="B65" s="59"/>
      <c r="C65" s="59"/>
      <c r="D65" s="59"/>
      <c r="E65" s="59"/>
      <c r="F65" s="59"/>
      <c r="G65" s="59"/>
      <c r="H65" s="59"/>
      <c r="I65" s="59"/>
      <c r="J65" s="59"/>
      <c r="K65" s="59"/>
      <c r="L65" s="59"/>
      <c r="M65" s="59"/>
    </row>
    <row r="66" spans="1:13" ht="12.75">
      <c r="A66" s="59"/>
      <c r="B66" s="59"/>
      <c r="C66" s="59"/>
      <c r="D66" s="59"/>
      <c r="E66" s="59"/>
      <c r="F66" s="59"/>
      <c r="G66" s="59"/>
      <c r="H66" s="59"/>
      <c r="I66" s="59"/>
      <c r="J66" s="59"/>
      <c r="K66" s="59"/>
      <c r="L66" s="59"/>
      <c r="M66" s="59"/>
    </row>
    <row r="67" spans="1:13" ht="12.75">
      <c r="A67" s="59"/>
      <c r="B67" s="59"/>
      <c r="C67" s="59"/>
      <c r="D67" s="59"/>
      <c r="E67" s="59"/>
      <c r="F67" s="59"/>
      <c r="G67" s="59"/>
      <c r="H67" s="59"/>
      <c r="I67" s="59"/>
      <c r="J67" s="59"/>
      <c r="K67" s="59"/>
      <c r="L67" s="59"/>
      <c r="M67" s="59"/>
    </row>
    <row r="68" spans="1:13" ht="12.75">
      <c r="A68" s="59"/>
      <c r="B68" s="59"/>
      <c r="C68" s="59"/>
      <c r="D68" s="59"/>
      <c r="E68" s="59"/>
      <c r="F68" s="59"/>
      <c r="G68" s="59"/>
      <c r="H68" s="59"/>
      <c r="I68" s="59"/>
      <c r="J68" s="59"/>
      <c r="K68" s="59"/>
      <c r="L68" s="59"/>
      <c r="M68" s="59"/>
    </row>
    <row r="69" spans="1:13" ht="12.75">
      <c r="A69" s="59"/>
      <c r="B69" s="59"/>
      <c r="C69" s="59"/>
      <c r="D69" s="59"/>
      <c r="E69" s="59"/>
      <c r="F69" s="59"/>
      <c r="G69" s="59"/>
      <c r="H69" s="59"/>
      <c r="I69" s="59"/>
      <c r="J69" s="59"/>
      <c r="K69" s="59"/>
      <c r="L69" s="59"/>
      <c r="M69" s="59"/>
    </row>
    <row r="70" spans="1:13" ht="12.75">
      <c r="A70" s="59"/>
      <c r="B70" s="59"/>
      <c r="C70" s="59"/>
      <c r="D70" s="59"/>
      <c r="E70" s="59"/>
      <c r="F70" s="59"/>
      <c r="G70" s="59"/>
      <c r="H70" s="59"/>
      <c r="I70" s="59"/>
      <c r="J70" s="59"/>
      <c r="K70" s="59"/>
      <c r="L70" s="59"/>
      <c r="M70" s="59"/>
    </row>
    <row r="71" spans="1:13" ht="12.75">
      <c r="A71" s="59"/>
      <c r="B71" s="59"/>
      <c r="C71" s="59"/>
      <c r="D71" s="59"/>
      <c r="E71" s="59"/>
      <c r="F71" s="59"/>
      <c r="G71" s="59"/>
      <c r="H71" s="59"/>
      <c r="I71" s="59"/>
      <c r="J71" s="59"/>
      <c r="K71" s="59"/>
      <c r="L71" s="59"/>
      <c r="M71" s="59"/>
    </row>
    <row r="72" spans="1:13" ht="12.75">
      <c r="A72" s="59"/>
      <c r="B72" s="59"/>
      <c r="C72" s="59"/>
      <c r="D72" s="59"/>
      <c r="E72" s="59"/>
      <c r="F72" s="59"/>
      <c r="G72" s="59"/>
      <c r="H72" s="59"/>
      <c r="I72" s="59"/>
      <c r="J72" s="59"/>
      <c r="K72" s="59"/>
      <c r="L72" s="59"/>
      <c r="M72" s="59"/>
    </row>
    <row r="73" spans="1:13" ht="12.75">
      <c r="A73" s="59"/>
      <c r="B73" s="59"/>
      <c r="C73" s="59"/>
      <c r="D73" s="59"/>
      <c r="E73" s="59"/>
      <c r="F73" s="59"/>
      <c r="G73" s="59"/>
      <c r="H73" s="59"/>
      <c r="I73" s="59"/>
      <c r="J73" s="59"/>
      <c r="K73" s="59"/>
      <c r="L73" s="59"/>
      <c r="M73" s="59"/>
    </row>
    <row r="74" spans="1:13" ht="12.75">
      <c r="A74" s="59"/>
      <c r="B74" s="59"/>
      <c r="C74" s="59"/>
      <c r="D74" s="59"/>
      <c r="E74" s="59"/>
      <c r="F74" s="59"/>
      <c r="G74" s="59"/>
      <c r="H74" s="59"/>
      <c r="I74" s="59"/>
      <c r="J74" s="59"/>
      <c r="K74" s="59"/>
      <c r="L74" s="59"/>
      <c r="M74" s="59"/>
    </row>
    <row r="75" spans="1:13" ht="12.75">
      <c r="A75" s="59"/>
      <c r="B75" s="59"/>
      <c r="C75" s="59"/>
      <c r="D75" s="59"/>
      <c r="E75" s="59"/>
      <c r="F75" s="59"/>
      <c r="G75" s="59"/>
      <c r="H75" s="59"/>
      <c r="I75" s="59"/>
      <c r="J75" s="59"/>
      <c r="K75" s="59"/>
      <c r="L75" s="59"/>
      <c r="M75" s="59"/>
    </row>
    <row r="76" spans="1:13" ht="12.75">
      <c r="A76" s="59"/>
      <c r="B76" s="59"/>
      <c r="C76" s="59"/>
      <c r="D76" s="59"/>
      <c r="E76" s="59"/>
      <c r="F76" s="59"/>
      <c r="G76" s="59"/>
      <c r="H76" s="59"/>
      <c r="I76" s="59"/>
      <c r="J76" s="59"/>
      <c r="K76" s="59"/>
      <c r="L76" s="59"/>
      <c r="M76" s="59"/>
    </row>
    <row r="77" spans="1:13" ht="12.75">
      <c r="A77" s="59"/>
      <c r="B77" s="59"/>
      <c r="C77" s="59"/>
      <c r="D77" s="59"/>
      <c r="E77" s="59"/>
      <c r="F77" s="59"/>
      <c r="G77" s="59"/>
      <c r="H77" s="59"/>
      <c r="I77" s="59"/>
      <c r="J77" s="59"/>
      <c r="K77" s="59"/>
      <c r="L77" s="59"/>
      <c r="M77" s="59"/>
    </row>
    <row r="78" spans="1:13" ht="12.75">
      <c r="A78" s="59"/>
      <c r="B78" s="59"/>
      <c r="C78" s="59"/>
      <c r="D78" s="59"/>
      <c r="E78" s="59"/>
      <c r="F78" s="59"/>
      <c r="G78" s="59"/>
      <c r="H78" s="59"/>
      <c r="I78" s="59"/>
      <c r="J78" s="59"/>
      <c r="K78" s="59"/>
      <c r="L78" s="59"/>
      <c r="M78" s="59"/>
    </row>
    <row r="79" spans="1:13" ht="12.75">
      <c r="A79" s="59"/>
      <c r="B79" s="59"/>
      <c r="C79" s="59"/>
      <c r="D79" s="59"/>
      <c r="E79" s="59"/>
      <c r="F79" s="59"/>
      <c r="G79" s="59"/>
      <c r="H79" s="59"/>
      <c r="I79" s="59"/>
      <c r="J79" s="59"/>
      <c r="K79" s="59"/>
      <c r="L79" s="59"/>
      <c r="M79" s="59"/>
    </row>
    <row r="80" spans="1:13" ht="12.75">
      <c r="A80" s="59"/>
      <c r="B80" s="59"/>
      <c r="C80" s="59"/>
      <c r="D80" s="59"/>
      <c r="E80" s="59"/>
      <c r="F80" s="59"/>
      <c r="G80" s="59"/>
      <c r="H80" s="59"/>
      <c r="I80" s="59"/>
      <c r="J80" s="59"/>
      <c r="K80" s="59"/>
      <c r="L80" s="59"/>
      <c r="M80" s="59"/>
    </row>
    <row r="81" spans="1:13" ht="12.75">
      <c r="A81" s="59"/>
      <c r="B81" s="59"/>
      <c r="C81" s="59"/>
      <c r="D81" s="59"/>
      <c r="E81" s="59"/>
      <c r="F81" s="59"/>
      <c r="G81" s="59"/>
      <c r="H81" s="59"/>
      <c r="I81" s="59"/>
      <c r="J81" s="59"/>
      <c r="K81" s="59"/>
      <c r="L81" s="59"/>
      <c r="M81" s="59"/>
    </row>
    <row r="82" spans="1:13" ht="12.75">
      <c r="A82" s="59"/>
      <c r="B82" s="59"/>
      <c r="C82" s="59"/>
      <c r="D82" s="59"/>
      <c r="E82" s="59"/>
      <c r="F82" s="59"/>
      <c r="G82" s="59"/>
      <c r="H82" s="59"/>
      <c r="I82" s="59"/>
      <c r="J82" s="59"/>
      <c r="K82" s="59"/>
      <c r="L82" s="59"/>
      <c r="M82" s="59"/>
    </row>
    <row r="83" spans="1:13" ht="12.75">
      <c r="A83" s="59"/>
      <c r="B83" s="59"/>
      <c r="C83" s="59"/>
      <c r="D83" s="59"/>
      <c r="E83" s="59"/>
      <c r="F83" s="59"/>
      <c r="G83" s="59"/>
      <c r="H83" s="59"/>
      <c r="I83" s="59"/>
      <c r="J83" s="59"/>
      <c r="K83" s="59"/>
      <c r="L83" s="59"/>
      <c r="M83" s="59"/>
    </row>
    <row r="84" spans="1:13" ht="12.75">
      <c r="A84" s="59"/>
      <c r="B84" s="59"/>
      <c r="C84" s="59"/>
      <c r="D84" s="59"/>
      <c r="E84" s="59"/>
      <c r="F84" s="59"/>
      <c r="G84" s="59"/>
      <c r="H84" s="59"/>
      <c r="I84" s="59"/>
      <c r="J84" s="59"/>
      <c r="K84" s="59"/>
      <c r="L84" s="59"/>
      <c r="M84" s="59"/>
    </row>
    <row r="85" spans="1:13" ht="12.75">
      <c r="A85" s="59"/>
      <c r="B85" s="59"/>
      <c r="C85" s="59"/>
      <c r="D85" s="59"/>
      <c r="E85" s="59"/>
      <c r="F85" s="59"/>
      <c r="G85" s="59"/>
      <c r="H85" s="59"/>
      <c r="I85" s="59"/>
      <c r="J85" s="59"/>
      <c r="K85" s="59"/>
      <c r="L85" s="59"/>
      <c r="M85" s="59"/>
    </row>
    <row r="86" spans="1:13" ht="12.75">
      <c r="A86" s="59"/>
      <c r="B86" s="59"/>
      <c r="C86" s="59"/>
      <c r="D86" s="59"/>
      <c r="E86" s="59"/>
      <c r="F86" s="59"/>
      <c r="G86" s="59"/>
      <c r="H86" s="59"/>
      <c r="I86" s="59"/>
      <c r="J86" s="59"/>
      <c r="K86" s="59"/>
      <c r="L86" s="59"/>
      <c r="M86" s="59"/>
    </row>
    <row r="87" spans="1:13" ht="12.75">
      <c r="A87" s="59"/>
      <c r="B87" s="59"/>
      <c r="C87" s="59"/>
      <c r="D87" s="59"/>
      <c r="E87" s="59"/>
      <c r="F87" s="59"/>
      <c r="G87" s="59"/>
      <c r="H87" s="59"/>
      <c r="I87" s="59"/>
      <c r="J87" s="59"/>
      <c r="K87" s="59"/>
      <c r="L87" s="59"/>
      <c r="M87" s="59"/>
    </row>
    <row r="88" spans="1:13" ht="12.75">
      <c r="A88" s="59"/>
      <c r="B88" s="59"/>
      <c r="C88" s="59"/>
      <c r="D88" s="59"/>
      <c r="E88" s="59"/>
      <c r="F88" s="59"/>
      <c r="G88" s="59"/>
      <c r="H88" s="59"/>
      <c r="I88" s="59"/>
      <c r="J88" s="59"/>
      <c r="K88" s="59"/>
      <c r="L88" s="59"/>
      <c r="M88" s="59"/>
    </row>
    <row r="89" spans="1:13" ht="12.75">
      <c r="A89" s="59"/>
      <c r="B89" s="59"/>
      <c r="C89" s="59"/>
      <c r="D89" s="59"/>
      <c r="E89" s="59"/>
      <c r="F89" s="59"/>
      <c r="G89" s="59"/>
      <c r="H89" s="59"/>
      <c r="I89" s="59"/>
      <c r="J89" s="59"/>
      <c r="K89" s="59"/>
      <c r="L89" s="59"/>
      <c r="M89" s="59"/>
    </row>
    <row r="90" spans="1:13" ht="12.75">
      <c r="A90" s="59"/>
      <c r="B90" s="59"/>
      <c r="C90" s="59"/>
      <c r="D90" s="59"/>
      <c r="E90" s="59"/>
      <c r="F90" s="59"/>
      <c r="G90" s="59"/>
      <c r="H90" s="59"/>
      <c r="I90" s="59"/>
      <c r="J90" s="59"/>
      <c r="K90" s="59"/>
      <c r="L90" s="59"/>
      <c r="M90" s="59"/>
    </row>
    <row r="91" spans="1:13" ht="12.75">
      <c r="A91" s="59"/>
      <c r="B91" s="59"/>
      <c r="C91" s="59"/>
      <c r="D91" s="59"/>
      <c r="E91" s="59"/>
      <c r="F91" s="59"/>
      <c r="G91" s="59"/>
      <c r="H91" s="59"/>
      <c r="I91" s="59"/>
      <c r="J91" s="59"/>
      <c r="K91" s="59"/>
      <c r="L91" s="59"/>
      <c r="M91" s="59"/>
    </row>
    <row r="92" spans="1:13" ht="12.75">
      <c r="A92" s="59"/>
      <c r="B92" s="59"/>
      <c r="C92" s="59"/>
      <c r="D92" s="59"/>
      <c r="E92" s="59"/>
      <c r="F92" s="59"/>
      <c r="G92" s="59"/>
      <c r="H92" s="59"/>
      <c r="I92" s="59"/>
      <c r="J92" s="59"/>
      <c r="K92" s="59"/>
      <c r="L92" s="59"/>
      <c r="M92" s="59"/>
    </row>
    <row r="93" spans="1:13" ht="12.75">
      <c r="A93" s="59"/>
      <c r="B93" s="59"/>
      <c r="C93" s="59"/>
      <c r="D93" s="59"/>
      <c r="E93" s="59"/>
      <c r="F93" s="59"/>
      <c r="G93" s="59"/>
      <c r="H93" s="59"/>
      <c r="I93" s="59"/>
      <c r="J93" s="59"/>
      <c r="K93" s="59"/>
      <c r="L93" s="59"/>
      <c r="M93" s="59"/>
    </row>
    <row r="94" spans="1:13" ht="12.75">
      <c r="A94" s="59"/>
      <c r="B94" s="59"/>
      <c r="C94" s="59"/>
      <c r="D94" s="59"/>
      <c r="E94" s="59"/>
      <c r="F94" s="59"/>
      <c r="G94" s="59"/>
      <c r="H94" s="59"/>
      <c r="I94" s="59"/>
      <c r="J94" s="59"/>
      <c r="K94" s="59"/>
      <c r="L94" s="59"/>
      <c r="M94" s="59"/>
    </row>
    <row r="95" spans="1:13" ht="12.75">
      <c r="A95" s="59"/>
      <c r="B95" s="59"/>
      <c r="C95" s="59"/>
      <c r="D95" s="59"/>
      <c r="E95" s="59"/>
      <c r="F95" s="59"/>
      <c r="G95" s="59"/>
      <c r="H95" s="59"/>
      <c r="I95" s="59"/>
      <c r="J95" s="59"/>
      <c r="K95" s="59"/>
      <c r="L95" s="59"/>
      <c r="M95" s="59"/>
    </row>
    <row r="96" spans="1:13" ht="12.75">
      <c r="A96" s="59"/>
      <c r="B96" s="59"/>
      <c r="C96" s="59"/>
      <c r="D96" s="59"/>
      <c r="E96" s="59"/>
      <c r="F96" s="59"/>
      <c r="G96" s="59"/>
      <c r="H96" s="59"/>
      <c r="I96" s="59"/>
      <c r="J96" s="59"/>
      <c r="K96" s="59"/>
      <c r="L96" s="59"/>
      <c r="M96" s="59"/>
    </row>
    <row r="97" spans="1:13" ht="12.75">
      <c r="A97" s="59"/>
      <c r="B97" s="59"/>
      <c r="C97" s="59"/>
      <c r="D97" s="59"/>
      <c r="E97" s="59"/>
      <c r="F97" s="59"/>
      <c r="G97" s="59"/>
      <c r="H97" s="59"/>
      <c r="I97" s="59"/>
      <c r="J97" s="59"/>
      <c r="K97" s="59"/>
      <c r="L97" s="59"/>
      <c r="M97" s="59"/>
    </row>
    <row r="98" spans="1:13" ht="12.75">
      <c r="A98" s="59"/>
      <c r="B98" s="59"/>
      <c r="C98" s="59"/>
      <c r="D98" s="59"/>
      <c r="E98" s="59"/>
      <c r="F98" s="59"/>
      <c r="G98" s="59"/>
      <c r="H98" s="59"/>
      <c r="I98" s="59"/>
      <c r="J98" s="59"/>
      <c r="K98" s="59"/>
      <c r="L98" s="59"/>
      <c r="M98" s="59"/>
    </row>
    <row r="99" spans="1:13" ht="12.75">
      <c r="A99" s="59"/>
      <c r="B99" s="59"/>
      <c r="C99" s="59"/>
      <c r="D99" s="59"/>
      <c r="E99" s="59"/>
      <c r="F99" s="59"/>
      <c r="G99" s="59"/>
      <c r="H99" s="59"/>
      <c r="I99" s="59"/>
      <c r="J99" s="59"/>
      <c r="K99" s="59"/>
      <c r="L99" s="59"/>
      <c r="M99" s="59"/>
    </row>
    <row r="100" spans="1:13" ht="12.75">
      <c r="A100" s="59"/>
      <c r="B100" s="59"/>
      <c r="C100" s="59"/>
      <c r="D100" s="59"/>
      <c r="E100" s="59"/>
      <c r="F100" s="59"/>
      <c r="G100" s="59"/>
      <c r="H100" s="59"/>
      <c r="I100" s="59"/>
      <c r="J100" s="59"/>
      <c r="K100" s="59"/>
      <c r="L100" s="59"/>
      <c r="M100" s="59"/>
    </row>
    <row r="101" spans="1:13" ht="12.75">
      <c r="A101" s="59"/>
      <c r="B101" s="59"/>
      <c r="C101" s="59"/>
      <c r="D101" s="59"/>
      <c r="E101" s="59"/>
      <c r="F101" s="59"/>
      <c r="G101" s="59"/>
      <c r="H101" s="59"/>
      <c r="I101" s="59"/>
      <c r="J101" s="59"/>
      <c r="K101" s="59"/>
      <c r="L101" s="59"/>
      <c r="M101" s="59"/>
    </row>
    <row r="102" spans="1:13" ht="12.75">
      <c r="A102" s="59"/>
      <c r="B102" s="59"/>
      <c r="C102" s="59"/>
      <c r="D102" s="59"/>
      <c r="E102" s="59"/>
      <c r="F102" s="59"/>
      <c r="G102" s="59"/>
      <c r="H102" s="59"/>
      <c r="I102" s="59"/>
      <c r="J102" s="59"/>
      <c r="K102" s="59"/>
      <c r="L102" s="59"/>
      <c r="M102" s="59"/>
    </row>
  </sheetData>
  <sheetProtection/>
  <printOptions/>
  <pageMargins left="0.25" right="0.25" top="1" bottom="1" header="0.5" footer="0.5"/>
  <pageSetup fitToHeight="1" fitToWidth="1" horizontalDpi="600" verticalDpi="600" orientation="landscape" scale="80" r:id="rId1"/>
</worksheet>
</file>

<file path=xl/worksheets/sheet4.xml><?xml version="1.0" encoding="utf-8"?>
<worksheet xmlns="http://schemas.openxmlformats.org/spreadsheetml/2006/main" xmlns:r="http://schemas.openxmlformats.org/officeDocument/2006/relationships">
  <sheetPr>
    <pageSetUpPr fitToPage="1"/>
  </sheetPr>
  <dimension ref="A1:N121"/>
  <sheetViews>
    <sheetView showGridLines="0" zoomScalePageLayoutView="0" workbookViewId="0" topLeftCell="A1">
      <selection activeCell="A2" sqref="A2"/>
    </sheetView>
  </sheetViews>
  <sheetFormatPr defaultColWidth="9.140625" defaultRowHeight="12.75"/>
  <cols>
    <col min="2" max="2" width="3.7109375" style="0" customWidth="1"/>
    <col min="3" max="12" width="12.7109375" style="0" customWidth="1"/>
  </cols>
  <sheetData>
    <row r="1" spans="1:2" ht="12.75">
      <c r="A1" s="51" t="str">
        <f>"Commodity Pricing:  "&amp;TEXT(A7,"mmm-yy")&amp;" - "&amp;TEXT(A12,"mmm-yy")</f>
        <v>Commodity Pricing:  May-18 - Oct-18</v>
      </c>
      <c r="B1" s="52"/>
    </row>
    <row r="2" spans="1:2" ht="12.75">
      <c r="A2" s="53" t="s">
        <v>19</v>
      </c>
      <c r="B2" s="53"/>
    </row>
    <row r="3" spans="1:2" ht="12.75">
      <c r="A3" s="53"/>
      <c r="B3" s="53"/>
    </row>
    <row r="4" spans="2:13" ht="12.75">
      <c r="B4" s="63"/>
      <c r="C4" s="55" t="s">
        <v>20</v>
      </c>
      <c r="D4" s="55" t="s">
        <v>21</v>
      </c>
      <c r="E4" s="55" t="s">
        <v>53</v>
      </c>
      <c r="F4" s="55" t="s">
        <v>22</v>
      </c>
      <c r="G4" s="55" t="s">
        <v>23</v>
      </c>
      <c r="H4" s="55" t="s">
        <v>24</v>
      </c>
      <c r="I4" s="55" t="s">
        <v>25</v>
      </c>
      <c r="J4" s="55" t="s">
        <v>26</v>
      </c>
      <c r="K4" s="55" t="s">
        <v>27</v>
      </c>
      <c r="L4" s="55" t="s">
        <v>28</v>
      </c>
      <c r="M4" s="55"/>
    </row>
    <row r="5" spans="2:13" ht="12.75">
      <c r="B5" s="63"/>
      <c r="C5" s="105">
        <v>69</v>
      </c>
      <c r="D5" s="105">
        <v>71</v>
      </c>
      <c r="E5" s="105">
        <v>72</v>
      </c>
      <c r="F5" s="105">
        <v>67</v>
      </c>
      <c r="G5" s="105">
        <v>64</v>
      </c>
      <c r="H5" s="105">
        <v>74</v>
      </c>
      <c r="I5" s="105">
        <v>68</v>
      </c>
      <c r="J5" s="105">
        <v>68</v>
      </c>
      <c r="K5" s="105">
        <v>65</v>
      </c>
      <c r="L5" s="105">
        <v>73</v>
      </c>
      <c r="M5" s="63"/>
    </row>
    <row r="6" spans="2:13" ht="12.75">
      <c r="B6" s="63"/>
      <c r="C6" s="63"/>
      <c r="D6" s="63"/>
      <c r="E6" s="63"/>
      <c r="F6" s="63"/>
      <c r="G6" s="63"/>
      <c r="H6" s="63"/>
      <c r="I6" s="63"/>
      <c r="J6" s="63"/>
      <c r="K6" s="63"/>
      <c r="L6" s="63"/>
      <c r="M6" s="63"/>
    </row>
    <row r="7" spans="1:13" ht="12.75">
      <c r="A7" s="58">
        <f>+'Commodity Tonnages'!A7</f>
        <v>43221</v>
      </c>
      <c r="B7" s="63"/>
      <c r="C7" s="64">
        <f>HLOOKUP($A7,'Single Family'!$C$6:$N$79,C$5,FALSE)</f>
        <v>1082.85</v>
      </c>
      <c r="D7" s="68">
        <f>HLOOKUP($A7,'Single Family'!$C$6:$N$79,D$5,FALSE)</f>
        <v>-25.26</v>
      </c>
      <c r="E7" s="68">
        <f>HLOOKUP($A7,'Single Family'!$C$6:$N$79,E$5,FALSE)</f>
        <v>0</v>
      </c>
      <c r="F7" s="64">
        <f>HLOOKUP($A7,'Single Family'!$C$6:$N$79,F$5,FALSE)</f>
        <v>90.64</v>
      </c>
      <c r="G7" s="64">
        <f>HLOOKUP($A7,'Single Family'!$C$6:$N$79,G$5,FALSE)</f>
        <v>0</v>
      </c>
      <c r="H7" s="64">
        <f>HLOOKUP($A7,'Single Family'!$C$6:$N$79,H$5,FALSE)</f>
        <v>-14.309999999999999</v>
      </c>
      <c r="I7" s="64">
        <f>HLOOKUP($A7,'Single Family'!$C$6:$N$79,I$5,FALSE)</f>
        <v>100.47</v>
      </c>
      <c r="J7" s="64">
        <f>HLOOKUP($A7,'Single Family'!$C$6:$N$79,J$5,FALSE)</f>
        <v>100.47</v>
      </c>
      <c r="K7" s="64">
        <f>HLOOKUP($A7,'Single Family'!$C$6:$N$79,K$5,FALSE)</f>
        <v>43.519999999999996</v>
      </c>
      <c r="L7" s="68">
        <f>HLOOKUP($A7,'Single Family'!$C$6:$N$79,L$5,FALSE)</f>
        <v>-134.59</v>
      </c>
      <c r="M7" s="63"/>
    </row>
    <row r="8" spans="1:13" ht="12.75">
      <c r="A8" s="58">
        <f>+'Commodity Tonnages'!A8</f>
        <v>43281</v>
      </c>
      <c r="B8" s="63"/>
      <c r="C8" s="64">
        <f>HLOOKUP($A8,'Single Family'!$C$6:$N$79,C$5,FALSE)</f>
        <v>1119.26</v>
      </c>
      <c r="D8" s="68">
        <f>HLOOKUP($A8,'Single Family'!$C$6:$N$79,D$5,FALSE)</f>
        <v>-19.13</v>
      </c>
      <c r="E8" s="68">
        <f>HLOOKUP($A8,'Single Family'!$C$6:$N$79,E$5,FALSE)</f>
        <v>0</v>
      </c>
      <c r="F8" s="64">
        <f>HLOOKUP($A8,'Single Family'!$C$6:$N$79,F$5,FALSE)</f>
        <v>93.07</v>
      </c>
      <c r="G8" s="64">
        <f>HLOOKUP($A8,'Single Family'!$C$6:$N$79,G$5,FALSE)</f>
        <v>0</v>
      </c>
      <c r="H8" s="64">
        <f>HLOOKUP($A8,'Single Family'!$C$6:$N$79,H$5,FALSE)</f>
        <v>2</v>
      </c>
      <c r="I8" s="64">
        <f>HLOOKUP($A8,'Single Family'!$C$6:$N$79,I$5,FALSE)</f>
        <v>87.96</v>
      </c>
      <c r="J8" s="64">
        <f>HLOOKUP($A8,'Single Family'!$C$6:$N$79,J$5,FALSE)</f>
        <v>87.96</v>
      </c>
      <c r="K8" s="64">
        <f>HLOOKUP($A8,'Single Family'!$C$6:$N$79,K$5,FALSE)</f>
        <v>60.11</v>
      </c>
      <c r="L8" s="68">
        <f>HLOOKUP($A8,'Single Family'!$C$6:$N$79,L$5,FALSE)</f>
        <v>-134.59</v>
      </c>
      <c r="M8" s="63"/>
    </row>
    <row r="9" spans="1:13" ht="12.75">
      <c r="A9" s="58">
        <f>+'Commodity Tonnages'!A9</f>
        <v>43312</v>
      </c>
      <c r="B9" s="59"/>
      <c r="C9" s="64">
        <f>HLOOKUP($A9,'Single Family'!$C$6:$N$79,C$5,FALSE)</f>
        <v>1065.13</v>
      </c>
      <c r="D9" s="68">
        <f>HLOOKUP($A9,'Single Family'!$C$6:$N$79,D$5,FALSE)</f>
        <v>-3.5700000000000003</v>
      </c>
      <c r="E9" s="68">
        <f>HLOOKUP($A9,'Single Family'!$C$6:$N$79,E$5,FALSE)</f>
        <v>0</v>
      </c>
      <c r="F9" s="64">
        <f>HLOOKUP($A9,'Single Family'!$C$6:$N$79,F$5,FALSE)</f>
        <v>91.06</v>
      </c>
      <c r="G9" s="64">
        <f>HLOOKUP($A9,'Single Family'!$C$6:$N$79,G$5,FALSE)</f>
        <v>0</v>
      </c>
      <c r="H9" s="64">
        <f>HLOOKUP($A9,'Single Family'!$C$6:$N$79,H$5,FALSE)</f>
        <v>4.19</v>
      </c>
      <c r="I9" s="64">
        <f>HLOOKUP($A9,'Single Family'!$C$6:$N$79,I$5,FALSE)</f>
        <v>109.23</v>
      </c>
      <c r="J9" s="64">
        <f>HLOOKUP($A9,'Single Family'!$C$6:$N$79,J$5,FALSE)</f>
        <v>109.23</v>
      </c>
      <c r="K9" s="64">
        <f>HLOOKUP($A9,'Single Family'!$C$6:$N$79,K$5,FALSE)</f>
        <v>68.38</v>
      </c>
      <c r="L9" s="68">
        <f>HLOOKUP($A9,'Single Family'!$C$6:$N$79,L$5,FALSE)</f>
        <v>-134.59</v>
      </c>
      <c r="M9" s="60"/>
    </row>
    <row r="10" spans="1:13" ht="12.75">
      <c r="A10" s="58">
        <f>+'Commodity Tonnages'!A10</f>
        <v>43343</v>
      </c>
      <c r="B10" s="59"/>
      <c r="C10" s="64">
        <f>HLOOKUP($A10,'Single Family'!$C$6:$N$79,C$5,FALSE)</f>
        <v>1065.13</v>
      </c>
      <c r="D10" s="68">
        <f>HLOOKUP($A10,'Single Family'!$C$6:$N$79,D$5,FALSE)</f>
        <v>0.74</v>
      </c>
      <c r="E10" s="68">
        <f>HLOOKUP($A10,'Single Family'!$C$6:$N$79,E$5,FALSE)</f>
        <v>0</v>
      </c>
      <c r="F10" s="64">
        <f>HLOOKUP($A10,'Single Family'!$C$6:$N$79,F$5,FALSE)</f>
        <v>61.85</v>
      </c>
      <c r="G10" s="64">
        <f>HLOOKUP($A10,'Single Family'!$C$6:$N$79,G$5,FALSE)</f>
        <v>0</v>
      </c>
      <c r="H10" s="64">
        <f>HLOOKUP($A10,'Single Family'!$C$6:$N$79,H$5,FALSE)</f>
        <v>8.42</v>
      </c>
      <c r="I10" s="64">
        <f>HLOOKUP($A10,'Single Family'!$C$6:$N$79,I$5,FALSE)</f>
        <v>168.5</v>
      </c>
      <c r="J10" s="64">
        <f>HLOOKUP($A10,'Single Family'!$C$6:$N$79,J$5,FALSE)</f>
        <v>168.5</v>
      </c>
      <c r="K10" s="64">
        <f>HLOOKUP($A10,'Single Family'!$C$6:$N$79,K$5,FALSE)</f>
        <v>60.64</v>
      </c>
      <c r="L10" s="68">
        <f>HLOOKUP($A10,'Single Family'!$C$6:$N$79,L$5,FALSE)</f>
        <v>-134.59</v>
      </c>
      <c r="M10" s="60"/>
    </row>
    <row r="11" spans="1:13" ht="12.75">
      <c r="A11" s="58">
        <f>+'Commodity Tonnages'!A11</f>
        <v>43373</v>
      </c>
      <c r="B11" s="59"/>
      <c r="C11" s="64">
        <f>HLOOKUP($A11,'Single Family'!$C$6:$N$79,C$5,FALSE)</f>
        <v>940.58</v>
      </c>
      <c r="D11" s="68">
        <f>HLOOKUP($A11,'Single Family'!$C$6:$N$79,D$5,FALSE)</f>
        <v>-14.63</v>
      </c>
      <c r="E11" s="68">
        <f>HLOOKUP($A11,'Single Family'!$C$6:$N$79,E$5,FALSE)</f>
        <v>0</v>
      </c>
      <c r="F11" s="64">
        <f>HLOOKUP($A11,'Single Family'!$C$6:$N$79,F$5,FALSE)</f>
        <v>69.65</v>
      </c>
      <c r="G11" s="64">
        <f>HLOOKUP($A11,'Single Family'!$C$6:$N$79,G$5,FALSE)</f>
        <v>0</v>
      </c>
      <c r="H11" s="64">
        <f>HLOOKUP($A11,'Single Family'!$C$6:$N$79,H$5,FALSE)</f>
        <v>26.9</v>
      </c>
      <c r="I11" s="64">
        <f>HLOOKUP($A11,'Single Family'!$C$6:$N$79,I$5,FALSE)</f>
        <v>78.83</v>
      </c>
      <c r="J11" s="64">
        <f>HLOOKUP($A11,'Single Family'!$C$6:$N$79,J$5,FALSE)</f>
        <v>78.83</v>
      </c>
      <c r="K11" s="64">
        <f>HLOOKUP($A11,'Single Family'!$C$6:$N$79,K$5,FALSE)</f>
        <v>63.85</v>
      </c>
      <c r="L11" s="68">
        <f>HLOOKUP($A11,'Single Family'!$C$6:$N$79,L$5,FALSE)</f>
        <v>-134.59</v>
      </c>
      <c r="M11" s="60"/>
    </row>
    <row r="12" spans="1:13" ht="12.75">
      <c r="A12" s="58">
        <f>+'Commodity Tonnages'!A12</f>
        <v>43404</v>
      </c>
      <c r="B12" s="59"/>
      <c r="C12" s="64">
        <f>HLOOKUP($A12,'Single Family'!$C$6:$N$79,C$5,FALSE)</f>
        <v>918.23</v>
      </c>
      <c r="D12" s="68">
        <f>HLOOKUP($A12,'Single Family'!$C$6:$N$79,D$5,FALSE)</f>
        <v>-16.67</v>
      </c>
      <c r="E12" s="68">
        <f>HLOOKUP($A12,'Single Family'!$C$6:$N$79,E$5,FALSE)</f>
        <v>0</v>
      </c>
      <c r="F12" s="64">
        <f>HLOOKUP($A12,'Single Family'!$C$6:$N$79,F$5,FALSE)</f>
        <v>78.18</v>
      </c>
      <c r="G12" s="64">
        <f>HLOOKUP($A12,'Single Family'!$C$6:$N$79,G$5,FALSE)</f>
        <v>0</v>
      </c>
      <c r="H12" s="64">
        <f>HLOOKUP($A12,'Single Family'!$C$6:$N$79,H$5,FALSE)</f>
        <v>25.77</v>
      </c>
      <c r="I12" s="64">
        <f>HLOOKUP($A12,'Single Family'!$C$6:$N$79,I$5,FALSE)</f>
        <v>75.26</v>
      </c>
      <c r="J12" s="64">
        <f>HLOOKUP($A12,'Single Family'!$C$6:$N$79,J$5,FALSE)</f>
        <v>75.26</v>
      </c>
      <c r="K12" s="64">
        <f>HLOOKUP($A12,'Single Family'!$C$6:$N$79,K$5,FALSE)</f>
        <v>71.68</v>
      </c>
      <c r="L12" s="68">
        <f>HLOOKUP($A12,'Single Family'!$C$6:$N$79,L$5,FALSE)</f>
        <v>-134.59</v>
      </c>
      <c r="M12" s="60"/>
    </row>
    <row r="13" spans="1:13" ht="12.75">
      <c r="A13" s="58">
        <f>+'Commodity Tonnages'!A13</f>
        <v>43434</v>
      </c>
      <c r="B13" s="59"/>
      <c r="C13" s="64">
        <f>HLOOKUP($A13,'Single Family'!$C$6:$N$79,C$5,FALSE)</f>
        <v>0</v>
      </c>
      <c r="D13" s="68">
        <f>HLOOKUP($A13,'Single Family'!$C$6:$N$79,D$5,FALSE)</f>
        <v>0</v>
      </c>
      <c r="E13" s="68">
        <f>HLOOKUP($A13,'Single Family'!$C$6:$N$79,E$5,FALSE)</f>
        <v>0</v>
      </c>
      <c r="F13" s="64">
        <f>HLOOKUP($A13,'Single Family'!$C$6:$N$79,F$5,FALSE)</f>
        <v>0</v>
      </c>
      <c r="G13" s="64">
        <f>HLOOKUP($A13,'Single Family'!$C$6:$N$79,G$5,FALSE)</f>
        <v>0</v>
      </c>
      <c r="H13" s="64">
        <f>HLOOKUP($A13,'Single Family'!$C$6:$N$79,H$5,FALSE)</f>
        <v>0</v>
      </c>
      <c r="I13" s="64">
        <f>HLOOKUP($A13,'Single Family'!$C$6:$N$79,I$5,FALSE)</f>
        <v>0</v>
      </c>
      <c r="J13" s="64">
        <f>HLOOKUP($A13,'Single Family'!$C$6:$N$79,J$5,FALSE)</f>
        <v>0</v>
      </c>
      <c r="K13" s="64">
        <f>HLOOKUP($A13,'Single Family'!$C$6:$N$79,K$5,FALSE)</f>
        <v>0</v>
      </c>
      <c r="L13" s="68">
        <f>HLOOKUP($A13,'Single Family'!$C$6:$N$79,L$5,FALSE)</f>
        <v>0</v>
      </c>
      <c r="M13" s="60"/>
    </row>
    <row r="14" spans="1:13" ht="12.75">
      <c r="A14" s="58">
        <f>+'Commodity Tonnages'!A14</f>
        <v>43465</v>
      </c>
      <c r="B14" s="59"/>
      <c r="C14" s="64">
        <f>HLOOKUP($A14,'Single Family'!$C$6:$N$79,C$5,FALSE)</f>
        <v>0</v>
      </c>
      <c r="D14" s="68">
        <f>HLOOKUP($A14,'Single Family'!$C$6:$N$79,D$5,FALSE)</f>
        <v>0</v>
      </c>
      <c r="E14" s="68">
        <f>HLOOKUP($A14,'Single Family'!$C$6:$N$79,E$5,FALSE)</f>
        <v>0</v>
      </c>
      <c r="F14" s="64">
        <f>HLOOKUP($A14,'Single Family'!$C$6:$N$79,F$5,FALSE)</f>
        <v>0</v>
      </c>
      <c r="G14" s="64">
        <f>HLOOKUP($A14,'Single Family'!$C$6:$N$79,G$5,FALSE)</f>
        <v>0</v>
      </c>
      <c r="H14" s="64">
        <f>HLOOKUP($A14,'Single Family'!$C$6:$N$79,H$5,FALSE)</f>
        <v>0</v>
      </c>
      <c r="I14" s="64">
        <f>HLOOKUP($A14,'Single Family'!$C$6:$N$79,I$5,FALSE)</f>
        <v>0</v>
      </c>
      <c r="J14" s="64">
        <f>HLOOKUP($A14,'Single Family'!$C$6:$N$79,J$5,FALSE)</f>
        <v>0</v>
      </c>
      <c r="K14" s="64">
        <f>HLOOKUP($A14,'Single Family'!$C$6:$N$79,K$5,FALSE)</f>
        <v>0</v>
      </c>
      <c r="L14" s="68">
        <f>HLOOKUP($A14,'Single Family'!$C$6:$N$79,L$5,FALSE)</f>
        <v>0</v>
      </c>
      <c r="M14" s="60"/>
    </row>
    <row r="15" spans="1:13" ht="12.75">
      <c r="A15" s="58">
        <f>+'Commodity Tonnages'!A15</f>
        <v>43496</v>
      </c>
      <c r="B15" s="59"/>
      <c r="C15" s="64">
        <f>HLOOKUP($A15,'Single Family'!$C$6:$N$79,C$5,FALSE)</f>
        <v>0</v>
      </c>
      <c r="D15" s="68">
        <f>HLOOKUP($A15,'Single Family'!$C$6:$N$79,D$5,FALSE)</f>
        <v>0</v>
      </c>
      <c r="E15" s="68">
        <f>HLOOKUP($A15,'Single Family'!$C$6:$N$79,E$5,FALSE)</f>
        <v>0</v>
      </c>
      <c r="F15" s="64">
        <f>HLOOKUP($A15,'Single Family'!$C$6:$N$79,F$5,FALSE)</f>
        <v>0</v>
      </c>
      <c r="G15" s="64">
        <f>HLOOKUP($A15,'Single Family'!$C$6:$N$79,G$5,FALSE)</f>
        <v>0</v>
      </c>
      <c r="H15" s="64">
        <f>HLOOKUP($A15,'Single Family'!$C$6:$N$79,H$5,FALSE)</f>
        <v>0</v>
      </c>
      <c r="I15" s="64">
        <f>HLOOKUP($A15,'Single Family'!$C$6:$N$79,I$5,FALSE)</f>
        <v>0</v>
      </c>
      <c r="J15" s="64">
        <f>HLOOKUP($A15,'Single Family'!$C$6:$N$79,J$5,FALSE)</f>
        <v>0</v>
      </c>
      <c r="K15" s="64">
        <f>HLOOKUP($A15,'Single Family'!$C$6:$N$79,K$5,FALSE)</f>
        <v>0</v>
      </c>
      <c r="L15" s="68">
        <f>HLOOKUP($A15,'Single Family'!$C$6:$N$79,L$5,FALSE)</f>
        <v>0</v>
      </c>
      <c r="M15" s="60"/>
    </row>
    <row r="16" spans="1:13" ht="12.75">
      <c r="A16" s="58">
        <f>+'Commodity Tonnages'!A16</f>
        <v>43524</v>
      </c>
      <c r="B16" s="59"/>
      <c r="C16" s="64">
        <f>HLOOKUP($A16,'Single Family'!$C$6:$N$79,C$5,FALSE)</f>
        <v>0</v>
      </c>
      <c r="D16" s="68">
        <f>HLOOKUP($A16,'Single Family'!$C$6:$N$79,D$5,FALSE)</f>
        <v>0</v>
      </c>
      <c r="E16" s="68">
        <f>HLOOKUP($A16,'Single Family'!$C$6:$N$79,E$5,FALSE)</f>
        <v>0</v>
      </c>
      <c r="F16" s="64">
        <f>HLOOKUP($A16,'Single Family'!$C$6:$N$79,F$5,FALSE)</f>
        <v>0</v>
      </c>
      <c r="G16" s="64">
        <f>HLOOKUP($A16,'Single Family'!$C$6:$N$79,G$5,FALSE)</f>
        <v>0</v>
      </c>
      <c r="H16" s="64">
        <f>HLOOKUP($A16,'Single Family'!$C$6:$N$79,H$5,FALSE)</f>
        <v>0</v>
      </c>
      <c r="I16" s="64">
        <f>HLOOKUP($A16,'Single Family'!$C$6:$N$79,I$5,FALSE)</f>
        <v>0</v>
      </c>
      <c r="J16" s="64">
        <f>HLOOKUP($A16,'Single Family'!$C$6:$N$79,J$5,FALSE)</f>
        <v>0</v>
      </c>
      <c r="K16" s="64">
        <f>HLOOKUP($A16,'Single Family'!$C$6:$N$79,K$5,FALSE)</f>
        <v>0</v>
      </c>
      <c r="L16" s="68">
        <f>HLOOKUP($A16,'Single Family'!$C$6:$N$79,L$5,FALSE)</f>
        <v>0</v>
      </c>
      <c r="M16" s="60"/>
    </row>
    <row r="17" spans="1:13" ht="12.75">
      <c r="A17" s="58">
        <f>+'Commodity Tonnages'!A17</f>
        <v>43555</v>
      </c>
      <c r="B17" s="59"/>
      <c r="C17" s="64">
        <f>HLOOKUP($A17,'Single Family'!$C$6:$N$79,C$5,FALSE)</f>
        <v>0</v>
      </c>
      <c r="D17" s="68">
        <f>HLOOKUP($A17,'Single Family'!$C$6:$N$79,D$5,FALSE)</f>
        <v>0</v>
      </c>
      <c r="E17" s="68">
        <f>HLOOKUP($A17,'Single Family'!$C$6:$N$79,E$5,FALSE)</f>
        <v>0</v>
      </c>
      <c r="F17" s="64">
        <f>HLOOKUP($A17,'Single Family'!$C$6:$N$79,F$5,FALSE)</f>
        <v>0</v>
      </c>
      <c r="G17" s="64">
        <f>HLOOKUP($A17,'Single Family'!$C$6:$N$79,G$5,FALSE)</f>
        <v>0</v>
      </c>
      <c r="H17" s="64">
        <f>HLOOKUP($A17,'Single Family'!$C$6:$N$79,H$5,FALSE)</f>
        <v>0</v>
      </c>
      <c r="I17" s="64">
        <f>HLOOKUP($A17,'Single Family'!$C$6:$N$79,I$5,FALSE)</f>
        <v>0</v>
      </c>
      <c r="J17" s="64">
        <f>HLOOKUP($A17,'Single Family'!$C$6:$N$79,J$5,FALSE)</f>
        <v>0</v>
      </c>
      <c r="K17" s="64">
        <f>HLOOKUP($A17,'Single Family'!$C$6:$N$79,K$5,FALSE)</f>
        <v>0</v>
      </c>
      <c r="L17" s="68">
        <f>HLOOKUP($A17,'Single Family'!$C$6:$N$79,L$5,FALSE)</f>
        <v>0</v>
      </c>
      <c r="M17" s="60"/>
    </row>
    <row r="18" spans="1:13" ht="12.75">
      <c r="A18" s="58">
        <f>+'Commodity Tonnages'!A18</f>
        <v>43585</v>
      </c>
      <c r="B18" s="59"/>
      <c r="C18" s="64">
        <f>HLOOKUP($A18,'Single Family'!$C$6:$N$79,C$5,FALSE)</f>
        <v>0</v>
      </c>
      <c r="D18" s="68">
        <f>HLOOKUP($A18,'Single Family'!$C$6:$N$79,D$5,FALSE)</f>
        <v>0</v>
      </c>
      <c r="E18" s="68">
        <f>HLOOKUP($A18,'Single Family'!$C$6:$N$79,E$5,FALSE)</f>
        <v>0</v>
      </c>
      <c r="F18" s="64">
        <f>HLOOKUP($A18,'Single Family'!$C$6:$N$79,F$5,FALSE)</f>
        <v>0</v>
      </c>
      <c r="G18" s="64">
        <f>HLOOKUP($A18,'Single Family'!$C$6:$N$79,G$5,FALSE)</f>
        <v>0</v>
      </c>
      <c r="H18" s="64">
        <f>HLOOKUP($A18,'Single Family'!$C$6:$N$79,H$5,FALSE)</f>
        <v>0</v>
      </c>
      <c r="I18" s="64">
        <f>HLOOKUP($A18,'Single Family'!$C$6:$N$79,I$5,FALSE)</f>
        <v>0</v>
      </c>
      <c r="J18" s="64">
        <f>HLOOKUP($A18,'Single Family'!$C$6:$N$79,J$5,FALSE)</f>
        <v>0</v>
      </c>
      <c r="K18" s="64">
        <f>HLOOKUP($A18,'Single Family'!$C$6:$N$79,K$5,FALSE)</f>
        <v>0</v>
      </c>
      <c r="L18" s="68">
        <f>HLOOKUP($A18,'Single Family'!$C$6:$N$79,L$5,FALSE)</f>
        <v>0</v>
      </c>
      <c r="M18" s="60"/>
    </row>
    <row r="19" spans="1:13" ht="12.75">
      <c r="A19" s="59"/>
      <c r="B19" s="59"/>
      <c r="C19" s="60"/>
      <c r="D19" s="60"/>
      <c r="E19" s="60"/>
      <c r="F19" s="60"/>
      <c r="G19" s="60"/>
      <c r="H19" s="60"/>
      <c r="I19" s="60"/>
      <c r="J19" s="60"/>
      <c r="K19" s="60"/>
      <c r="L19" s="59"/>
      <c r="M19" s="60"/>
    </row>
    <row r="20" spans="1:14" ht="12.75">
      <c r="A20" s="62"/>
      <c r="B20" s="59"/>
      <c r="C20" s="60"/>
      <c r="D20" s="60"/>
      <c r="E20" s="60"/>
      <c r="F20" s="60"/>
      <c r="G20" s="60"/>
      <c r="H20" s="60"/>
      <c r="I20" s="60"/>
      <c r="J20" s="60"/>
      <c r="K20" s="60"/>
      <c r="L20" s="60"/>
      <c r="M20" s="60"/>
      <c r="N20" s="60" t="s">
        <v>30</v>
      </c>
    </row>
    <row r="21" spans="1:13" ht="12.75">
      <c r="A21" s="59"/>
      <c r="B21" s="59"/>
      <c r="C21" s="59"/>
      <c r="D21" s="59"/>
      <c r="E21" s="59"/>
      <c r="F21" s="59"/>
      <c r="G21" s="59"/>
      <c r="H21" s="59"/>
      <c r="I21" s="59"/>
      <c r="J21" s="59"/>
      <c r="K21" s="59"/>
      <c r="L21" s="59"/>
      <c r="M21" s="60"/>
    </row>
    <row r="22" spans="1:13" ht="12.75">
      <c r="A22" s="59"/>
      <c r="B22" s="59"/>
      <c r="C22" s="59"/>
      <c r="D22" s="59"/>
      <c r="E22" s="59"/>
      <c r="F22" s="59"/>
      <c r="G22" s="59"/>
      <c r="H22" s="59"/>
      <c r="I22" s="59"/>
      <c r="J22" s="59"/>
      <c r="K22" s="59"/>
      <c r="L22" s="59"/>
      <c r="M22" s="60"/>
    </row>
    <row r="23" spans="1:13" ht="12.75">
      <c r="A23" s="59"/>
      <c r="B23" s="59"/>
      <c r="C23" s="59"/>
      <c r="D23" s="59"/>
      <c r="E23" s="59"/>
      <c r="F23" s="59"/>
      <c r="G23" s="59"/>
      <c r="H23" s="59"/>
      <c r="I23" s="59"/>
      <c r="J23" s="59"/>
      <c r="K23" s="59"/>
      <c r="L23" s="59"/>
      <c r="M23" s="60"/>
    </row>
    <row r="24" spans="1:13" ht="12.75">
      <c r="A24" s="59"/>
      <c r="B24" s="59"/>
      <c r="C24" s="59"/>
      <c r="D24" s="59"/>
      <c r="E24" s="59"/>
      <c r="F24" s="59"/>
      <c r="G24" s="59"/>
      <c r="H24" s="59"/>
      <c r="I24" s="59"/>
      <c r="J24" s="59"/>
      <c r="K24" s="59"/>
      <c r="L24" s="59"/>
      <c r="M24" s="60"/>
    </row>
    <row r="25" spans="1:13" ht="12.75">
      <c r="A25" s="59"/>
      <c r="B25" s="59"/>
      <c r="C25" s="59"/>
      <c r="D25" s="59"/>
      <c r="E25" s="59"/>
      <c r="F25" s="59"/>
      <c r="G25" s="59"/>
      <c r="H25" s="59"/>
      <c r="I25" s="59"/>
      <c r="J25" s="59"/>
      <c r="K25" s="59"/>
      <c r="L25" s="59"/>
      <c r="M25" s="60"/>
    </row>
    <row r="26" spans="1:13" ht="12.75">
      <c r="A26" s="59"/>
      <c r="B26" s="59"/>
      <c r="C26" s="59"/>
      <c r="D26" s="59"/>
      <c r="E26" s="59"/>
      <c r="F26" s="59"/>
      <c r="G26" s="59"/>
      <c r="H26" s="59"/>
      <c r="I26" s="59"/>
      <c r="J26" s="59"/>
      <c r="K26" s="59"/>
      <c r="L26" s="59"/>
      <c r="M26" s="60"/>
    </row>
    <row r="27" spans="1:13" ht="12.75">
      <c r="A27" s="59"/>
      <c r="B27" s="59"/>
      <c r="C27" s="59"/>
      <c r="D27" s="59"/>
      <c r="E27" s="59"/>
      <c r="F27" s="59"/>
      <c r="G27" s="59"/>
      <c r="H27" s="59"/>
      <c r="I27" s="59"/>
      <c r="J27" s="59"/>
      <c r="K27" s="59"/>
      <c r="L27" s="59"/>
      <c r="M27" s="60"/>
    </row>
    <row r="28" spans="1:13" ht="12.75">
      <c r="A28" s="59"/>
      <c r="B28" s="59"/>
      <c r="C28" s="59"/>
      <c r="D28" s="59"/>
      <c r="E28" s="59"/>
      <c r="F28" s="59"/>
      <c r="G28" s="59"/>
      <c r="H28" s="59"/>
      <c r="I28" s="59"/>
      <c r="J28" s="59"/>
      <c r="K28" s="59"/>
      <c r="L28" s="59"/>
      <c r="M28" s="60"/>
    </row>
    <row r="29" spans="1:13" ht="12.75">
      <c r="A29" s="59"/>
      <c r="B29" s="59"/>
      <c r="C29" s="59"/>
      <c r="D29" s="59"/>
      <c r="E29" s="59"/>
      <c r="F29" s="59"/>
      <c r="G29" s="59"/>
      <c r="H29" s="59"/>
      <c r="I29" s="59"/>
      <c r="J29" s="59"/>
      <c r="K29" s="59"/>
      <c r="L29" s="59"/>
      <c r="M29" s="60"/>
    </row>
    <row r="30" spans="1:13" ht="12.75">
      <c r="A30" s="59"/>
      <c r="B30" s="59"/>
      <c r="C30" s="59"/>
      <c r="D30" s="59"/>
      <c r="E30" s="59"/>
      <c r="F30" s="59"/>
      <c r="G30" s="59"/>
      <c r="H30" s="59"/>
      <c r="I30" s="59"/>
      <c r="J30" s="59"/>
      <c r="K30" s="59"/>
      <c r="L30" s="59"/>
      <c r="M30" s="60"/>
    </row>
    <row r="31" spans="1:13" ht="12.75">
      <c r="A31" s="59"/>
      <c r="B31" s="59"/>
      <c r="C31" s="59"/>
      <c r="D31" s="59"/>
      <c r="E31" s="59"/>
      <c r="F31" s="59"/>
      <c r="G31" s="59"/>
      <c r="H31" s="59"/>
      <c r="I31" s="59"/>
      <c r="J31" s="59"/>
      <c r="K31" s="59"/>
      <c r="L31" s="59"/>
      <c r="M31" s="59"/>
    </row>
    <row r="32" spans="1:13" ht="12.75">
      <c r="A32" s="59"/>
      <c r="B32" s="59"/>
      <c r="C32" s="59"/>
      <c r="D32" s="59"/>
      <c r="E32" s="59"/>
      <c r="F32" s="59"/>
      <c r="G32" s="59"/>
      <c r="H32" s="59"/>
      <c r="I32" s="59"/>
      <c r="J32" s="59"/>
      <c r="K32" s="59"/>
      <c r="L32" s="59"/>
      <c r="M32" s="59"/>
    </row>
    <row r="33" spans="1:13" ht="12.75">
      <c r="A33" s="59"/>
      <c r="B33" s="59"/>
      <c r="C33" s="59"/>
      <c r="D33" s="59"/>
      <c r="E33" s="59"/>
      <c r="F33" s="59"/>
      <c r="G33" s="59"/>
      <c r="H33" s="59"/>
      <c r="I33" s="59"/>
      <c r="J33" s="59"/>
      <c r="K33" s="59"/>
      <c r="L33" s="59"/>
      <c r="M33" s="59"/>
    </row>
    <row r="34" spans="1:13" ht="12.75">
      <c r="A34" s="59"/>
      <c r="B34" s="59"/>
      <c r="C34" s="59"/>
      <c r="D34" s="59"/>
      <c r="E34" s="59"/>
      <c r="F34" s="59"/>
      <c r="G34" s="59"/>
      <c r="H34" s="59"/>
      <c r="I34" s="59"/>
      <c r="J34" s="59"/>
      <c r="K34" s="59"/>
      <c r="L34" s="59"/>
      <c r="M34" s="59"/>
    </row>
    <row r="35" spans="1:13" ht="12.75">
      <c r="A35" s="59"/>
      <c r="B35" s="59"/>
      <c r="C35" s="59"/>
      <c r="D35" s="59"/>
      <c r="E35" s="59"/>
      <c r="F35" s="59"/>
      <c r="G35" s="59"/>
      <c r="H35" s="59"/>
      <c r="I35" s="59"/>
      <c r="J35" s="59"/>
      <c r="K35" s="59"/>
      <c r="L35" s="59"/>
      <c r="M35" s="59"/>
    </row>
    <row r="36" spans="1:13" ht="12.75">
      <c r="A36" s="59"/>
      <c r="B36" s="59"/>
      <c r="C36" s="59"/>
      <c r="D36" s="59"/>
      <c r="E36" s="59"/>
      <c r="F36" s="59"/>
      <c r="G36" s="59"/>
      <c r="H36" s="59"/>
      <c r="I36" s="59"/>
      <c r="J36" s="59"/>
      <c r="K36" s="59"/>
      <c r="L36" s="59"/>
      <c r="M36" s="59"/>
    </row>
    <row r="37" spans="1:13" ht="12.75">
      <c r="A37" s="59"/>
      <c r="B37" s="59"/>
      <c r="C37" s="59"/>
      <c r="D37" s="59"/>
      <c r="E37" s="59"/>
      <c r="F37" s="59"/>
      <c r="G37" s="59"/>
      <c r="H37" s="59"/>
      <c r="I37" s="59"/>
      <c r="J37" s="59"/>
      <c r="K37" s="59"/>
      <c r="L37" s="59"/>
      <c r="M37" s="59"/>
    </row>
    <row r="38" spans="1:13" ht="12.75">
      <c r="A38" s="59"/>
      <c r="B38" s="59"/>
      <c r="C38" s="59"/>
      <c r="D38" s="59"/>
      <c r="E38" s="59"/>
      <c r="F38" s="59"/>
      <c r="G38" s="59"/>
      <c r="H38" s="59"/>
      <c r="I38" s="59"/>
      <c r="J38" s="59"/>
      <c r="K38" s="59"/>
      <c r="L38" s="59"/>
      <c r="M38" s="59"/>
    </row>
    <row r="39" spans="1:13" ht="12.75">
      <c r="A39" s="59"/>
      <c r="B39" s="59"/>
      <c r="C39" s="59"/>
      <c r="D39" s="59"/>
      <c r="E39" s="59"/>
      <c r="F39" s="59"/>
      <c r="G39" s="59"/>
      <c r="H39" s="59"/>
      <c r="I39" s="59"/>
      <c r="J39" s="59"/>
      <c r="K39" s="59"/>
      <c r="L39" s="59"/>
      <c r="M39" s="59"/>
    </row>
    <row r="40" spans="1:13" ht="12.75">
      <c r="A40" s="59"/>
      <c r="B40" s="59"/>
      <c r="C40" s="59"/>
      <c r="D40" s="59"/>
      <c r="E40" s="59"/>
      <c r="F40" s="59"/>
      <c r="G40" s="59"/>
      <c r="H40" s="59"/>
      <c r="I40" s="59"/>
      <c r="J40" s="59"/>
      <c r="K40" s="59"/>
      <c r="L40" s="59"/>
      <c r="M40" s="59"/>
    </row>
    <row r="41" spans="1:13" ht="12.75">
      <c r="A41" s="59"/>
      <c r="B41" s="59"/>
      <c r="C41" s="59"/>
      <c r="D41" s="59"/>
      <c r="E41" s="59"/>
      <c r="F41" s="59"/>
      <c r="G41" s="59"/>
      <c r="H41" s="59"/>
      <c r="I41" s="59"/>
      <c r="J41" s="59"/>
      <c r="K41" s="59"/>
      <c r="L41" s="59"/>
      <c r="M41" s="59"/>
    </row>
    <row r="42" spans="1:13" ht="12.75">
      <c r="A42" s="59"/>
      <c r="B42" s="59"/>
      <c r="C42" s="59"/>
      <c r="D42" s="59"/>
      <c r="E42" s="59"/>
      <c r="F42" s="59"/>
      <c r="G42" s="59"/>
      <c r="H42" s="59"/>
      <c r="I42" s="59"/>
      <c r="J42" s="59"/>
      <c r="K42" s="59"/>
      <c r="L42" s="59"/>
      <c r="M42" s="59"/>
    </row>
    <row r="43" spans="1:13" ht="12.75">
      <c r="A43" s="59"/>
      <c r="B43" s="59"/>
      <c r="C43" s="59"/>
      <c r="D43" s="59"/>
      <c r="E43" s="59"/>
      <c r="F43" s="59"/>
      <c r="G43" s="59"/>
      <c r="H43" s="59"/>
      <c r="I43" s="59"/>
      <c r="J43" s="59"/>
      <c r="K43" s="59"/>
      <c r="L43" s="59"/>
      <c r="M43" s="59"/>
    </row>
    <row r="44" spans="1:13" ht="12.75">
      <c r="A44" s="59"/>
      <c r="B44" s="59"/>
      <c r="C44" s="59"/>
      <c r="D44" s="59"/>
      <c r="E44" s="59"/>
      <c r="F44" s="59"/>
      <c r="G44" s="59"/>
      <c r="H44" s="59"/>
      <c r="I44" s="59"/>
      <c r="J44" s="59"/>
      <c r="K44" s="59"/>
      <c r="L44" s="59"/>
      <c r="M44" s="59"/>
    </row>
    <row r="45" spans="1:13" ht="12.75">
      <c r="A45" s="59"/>
      <c r="B45" s="59"/>
      <c r="C45" s="59"/>
      <c r="D45" s="59"/>
      <c r="E45" s="59"/>
      <c r="F45" s="59"/>
      <c r="G45" s="59"/>
      <c r="H45" s="59"/>
      <c r="I45" s="59"/>
      <c r="J45" s="59"/>
      <c r="K45" s="59"/>
      <c r="L45" s="59"/>
      <c r="M45" s="59"/>
    </row>
    <row r="46" spans="1:13" ht="12.75">
      <c r="A46" s="59"/>
      <c r="B46" s="59"/>
      <c r="C46" s="59"/>
      <c r="D46" s="59"/>
      <c r="E46" s="59"/>
      <c r="F46" s="59"/>
      <c r="G46" s="59"/>
      <c r="H46" s="59"/>
      <c r="I46" s="59"/>
      <c r="J46" s="59"/>
      <c r="K46" s="59"/>
      <c r="L46" s="59"/>
      <c r="M46" s="59"/>
    </row>
    <row r="47" spans="1:13" ht="12.75">
      <c r="A47" s="59"/>
      <c r="B47" s="59"/>
      <c r="C47" s="59"/>
      <c r="D47" s="59"/>
      <c r="E47" s="59"/>
      <c r="F47" s="59"/>
      <c r="G47" s="59"/>
      <c r="H47" s="59"/>
      <c r="I47" s="59"/>
      <c r="J47" s="59"/>
      <c r="K47" s="59"/>
      <c r="L47" s="59"/>
      <c r="M47" s="59"/>
    </row>
    <row r="48" spans="1:13" ht="12.75">
      <c r="A48" s="59"/>
      <c r="B48" s="59"/>
      <c r="C48" s="59"/>
      <c r="D48" s="59"/>
      <c r="E48" s="59"/>
      <c r="F48" s="59"/>
      <c r="G48" s="59"/>
      <c r="H48" s="59"/>
      <c r="I48" s="59"/>
      <c r="J48" s="59"/>
      <c r="K48" s="59"/>
      <c r="L48" s="59"/>
      <c r="M48" s="59"/>
    </row>
    <row r="49" spans="1:13" ht="12.75">
      <c r="A49" s="59"/>
      <c r="B49" s="59"/>
      <c r="C49" s="59"/>
      <c r="D49" s="59"/>
      <c r="E49" s="59"/>
      <c r="F49" s="59"/>
      <c r="G49" s="59"/>
      <c r="H49" s="59"/>
      <c r="I49" s="59"/>
      <c r="J49" s="59"/>
      <c r="K49" s="59"/>
      <c r="L49" s="59"/>
      <c r="M49" s="59"/>
    </row>
    <row r="50" spans="1:13" ht="12.75">
      <c r="A50" s="59"/>
      <c r="B50" s="59"/>
      <c r="C50" s="59"/>
      <c r="D50" s="59"/>
      <c r="E50" s="59"/>
      <c r="F50" s="59"/>
      <c r="G50" s="59"/>
      <c r="H50" s="59"/>
      <c r="I50" s="59"/>
      <c r="J50" s="59"/>
      <c r="K50" s="59"/>
      <c r="L50" s="59"/>
      <c r="M50" s="59"/>
    </row>
    <row r="51" spans="1:13" ht="12.75">
      <c r="A51" s="59"/>
      <c r="B51" s="59"/>
      <c r="C51" s="59"/>
      <c r="D51" s="59"/>
      <c r="E51" s="59"/>
      <c r="F51" s="59"/>
      <c r="G51" s="59"/>
      <c r="H51" s="59"/>
      <c r="I51" s="59"/>
      <c r="J51" s="59"/>
      <c r="K51" s="59"/>
      <c r="L51" s="59"/>
      <c r="M51" s="59"/>
    </row>
    <row r="52" spans="1:13" ht="12.75">
      <c r="A52" s="59"/>
      <c r="B52" s="59"/>
      <c r="C52" s="59"/>
      <c r="D52" s="59"/>
      <c r="E52" s="59"/>
      <c r="F52" s="59"/>
      <c r="G52" s="59"/>
      <c r="H52" s="59"/>
      <c r="I52" s="59"/>
      <c r="J52" s="59"/>
      <c r="K52" s="59"/>
      <c r="L52" s="59"/>
      <c r="M52" s="59"/>
    </row>
    <row r="53" spans="1:13" ht="12.75">
      <c r="A53" s="59"/>
      <c r="B53" s="59"/>
      <c r="C53" s="59"/>
      <c r="D53" s="59"/>
      <c r="E53" s="59"/>
      <c r="F53" s="59"/>
      <c r="G53" s="59"/>
      <c r="H53" s="59"/>
      <c r="I53" s="59"/>
      <c r="J53" s="59"/>
      <c r="K53" s="59"/>
      <c r="L53" s="59"/>
      <c r="M53" s="59"/>
    </row>
    <row r="54" spans="1:13" ht="12.75">
      <c r="A54" s="59"/>
      <c r="B54" s="59"/>
      <c r="C54" s="59"/>
      <c r="D54" s="59"/>
      <c r="E54" s="59"/>
      <c r="F54" s="59"/>
      <c r="G54" s="59"/>
      <c r="H54" s="59"/>
      <c r="I54" s="59"/>
      <c r="J54" s="59"/>
      <c r="K54" s="59"/>
      <c r="L54" s="59"/>
      <c r="M54" s="59"/>
    </row>
    <row r="55" spans="1:13" ht="12.75">
      <c r="A55" s="59"/>
      <c r="B55" s="59"/>
      <c r="C55" s="59"/>
      <c r="D55" s="59"/>
      <c r="E55" s="59"/>
      <c r="F55" s="59"/>
      <c r="G55" s="59"/>
      <c r="H55" s="59"/>
      <c r="I55" s="59"/>
      <c r="J55" s="59"/>
      <c r="K55" s="59"/>
      <c r="L55" s="59"/>
      <c r="M55" s="59"/>
    </row>
    <row r="56" spans="1:13" ht="12.75">
      <c r="A56" s="59"/>
      <c r="B56" s="59"/>
      <c r="C56" s="59"/>
      <c r="D56" s="59"/>
      <c r="E56" s="59"/>
      <c r="F56" s="59"/>
      <c r="G56" s="59"/>
      <c r="H56" s="59"/>
      <c r="I56" s="59"/>
      <c r="J56" s="59"/>
      <c r="K56" s="59"/>
      <c r="L56" s="59"/>
      <c r="M56" s="59"/>
    </row>
    <row r="57" spans="1:13" ht="12.75">
      <c r="A57" s="59"/>
      <c r="B57" s="59"/>
      <c r="C57" s="59"/>
      <c r="D57" s="59"/>
      <c r="E57" s="59"/>
      <c r="F57" s="59"/>
      <c r="G57" s="59"/>
      <c r="H57" s="59"/>
      <c r="I57" s="59"/>
      <c r="J57" s="59"/>
      <c r="K57" s="59"/>
      <c r="L57" s="59"/>
      <c r="M57" s="59"/>
    </row>
    <row r="58" spans="1:13" ht="12.75">
      <c r="A58" s="59"/>
      <c r="B58" s="59"/>
      <c r="C58" s="59"/>
      <c r="D58" s="59"/>
      <c r="E58" s="59"/>
      <c r="F58" s="59"/>
      <c r="G58" s="59"/>
      <c r="H58" s="59"/>
      <c r="I58" s="59"/>
      <c r="J58" s="59"/>
      <c r="K58" s="59"/>
      <c r="L58" s="59"/>
      <c r="M58" s="59"/>
    </row>
    <row r="59" spans="1:13" ht="12.75">
      <c r="A59" s="59"/>
      <c r="B59" s="59"/>
      <c r="C59" s="59"/>
      <c r="D59" s="59"/>
      <c r="E59" s="59"/>
      <c r="F59" s="59"/>
      <c r="G59" s="59"/>
      <c r="H59" s="59"/>
      <c r="I59" s="59"/>
      <c r="J59" s="59"/>
      <c r="K59" s="59"/>
      <c r="L59" s="59"/>
      <c r="M59" s="59"/>
    </row>
    <row r="60" spans="1:13" ht="12.75">
      <c r="A60" s="59"/>
      <c r="B60" s="59"/>
      <c r="C60" s="59"/>
      <c r="D60" s="59"/>
      <c r="E60" s="59"/>
      <c r="F60" s="59"/>
      <c r="G60" s="59"/>
      <c r="H60" s="59"/>
      <c r="I60" s="59"/>
      <c r="J60" s="59"/>
      <c r="K60" s="59"/>
      <c r="L60" s="59"/>
      <c r="M60" s="59"/>
    </row>
    <row r="61" spans="1:13" ht="12.75">
      <c r="A61" s="59"/>
      <c r="B61" s="59"/>
      <c r="C61" s="59"/>
      <c r="D61" s="59"/>
      <c r="E61" s="59"/>
      <c r="F61" s="59"/>
      <c r="G61" s="59"/>
      <c r="H61" s="59"/>
      <c r="I61" s="59"/>
      <c r="J61" s="59"/>
      <c r="K61" s="59"/>
      <c r="L61" s="59"/>
      <c r="M61" s="59"/>
    </row>
    <row r="62" spans="1:13" ht="12.75">
      <c r="A62" s="59"/>
      <c r="B62" s="59"/>
      <c r="C62" s="59"/>
      <c r="D62" s="59"/>
      <c r="E62" s="59"/>
      <c r="F62" s="59"/>
      <c r="G62" s="59"/>
      <c r="H62" s="59"/>
      <c r="I62" s="59"/>
      <c r="J62" s="59"/>
      <c r="K62" s="59"/>
      <c r="L62" s="59"/>
      <c r="M62" s="59"/>
    </row>
    <row r="63" spans="1:13" ht="12.75">
      <c r="A63" s="59"/>
      <c r="B63" s="59"/>
      <c r="C63" s="59"/>
      <c r="D63" s="59"/>
      <c r="E63" s="59"/>
      <c r="F63" s="59"/>
      <c r="G63" s="59"/>
      <c r="H63" s="59"/>
      <c r="I63" s="59"/>
      <c r="J63" s="59"/>
      <c r="K63" s="59"/>
      <c r="L63" s="59"/>
      <c r="M63" s="59"/>
    </row>
    <row r="64" spans="1:13" ht="12.75">
      <c r="A64" s="59"/>
      <c r="B64" s="59"/>
      <c r="C64" s="59"/>
      <c r="D64" s="59"/>
      <c r="E64" s="59"/>
      <c r="F64" s="59"/>
      <c r="G64" s="59"/>
      <c r="H64" s="59"/>
      <c r="I64" s="59"/>
      <c r="J64" s="59"/>
      <c r="K64" s="59"/>
      <c r="L64" s="59"/>
      <c r="M64" s="59"/>
    </row>
    <row r="65" spans="1:13" ht="12.75">
      <c r="A65" s="59"/>
      <c r="B65" s="59"/>
      <c r="C65" s="59"/>
      <c r="D65" s="59"/>
      <c r="E65" s="59"/>
      <c r="F65" s="59"/>
      <c r="G65" s="59"/>
      <c r="H65" s="59"/>
      <c r="I65" s="59"/>
      <c r="J65" s="59"/>
      <c r="K65" s="59"/>
      <c r="L65" s="59"/>
      <c r="M65" s="59"/>
    </row>
    <row r="66" spans="1:13" ht="12.75">
      <c r="A66" s="59"/>
      <c r="B66" s="59"/>
      <c r="C66" s="59"/>
      <c r="D66" s="59"/>
      <c r="E66" s="59"/>
      <c r="F66" s="59"/>
      <c r="G66" s="59"/>
      <c r="H66" s="59"/>
      <c r="I66" s="59"/>
      <c r="J66" s="59"/>
      <c r="K66" s="59"/>
      <c r="L66" s="59"/>
      <c r="M66" s="59"/>
    </row>
    <row r="67" spans="1:13" ht="12.75">
      <c r="A67" s="59"/>
      <c r="B67" s="59"/>
      <c r="C67" s="59"/>
      <c r="D67" s="59"/>
      <c r="E67" s="59"/>
      <c r="F67" s="59"/>
      <c r="G67" s="59"/>
      <c r="H67" s="59"/>
      <c r="I67" s="59"/>
      <c r="J67" s="59"/>
      <c r="K67" s="59"/>
      <c r="L67" s="59"/>
      <c r="M67" s="59"/>
    </row>
    <row r="68" spans="1:13" ht="12.75">
      <c r="A68" s="59"/>
      <c r="B68" s="59"/>
      <c r="C68" s="59"/>
      <c r="D68" s="59"/>
      <c r="E68" s="59"/>
      <c r="F68" s="59"/>
      <c r="G68" s="59"/>
      <c r="H68" s="59"/>
      <c r="I68" s="59"/>
      <c r="J68" s="59"/>
      <c r="K68" s="59"/>
      <c r="L68" s="59"/>
      <c r="M68" s="59"/>
    </row>
    <row r="69" spans="1:13" ht="12.75">
      <c r="A69" s="59"/>
      <c r="B69" s="59"/>
      <c r="C69" s="59"/>
      <c r="D69" s="59"/>
      <c r="E69" s="59"/>
      <c r="F69" s="59"/>
      <c r="G69" s="59"/>
      <c r="H69" s="59"/>
      <c r="I69" s="59"/>
      <c r="J69" s="59"/>
      <c r="K69" s="59"/>
      <c r="L69" s="59"/>
      <c r="M69" s="59"/>
    </row>
    <row r="70" spans="1:13" ht="12.75">
      <c r="A70" s="59"/>
      <c r="B70" s="59"/>
      <c r="C70" s="59"/>
      <c r="D70" s="59"/>
      <c r="E70" s="59"/>
      <c r="F70" s="59"/>
      <c r="G70" s="59"/>
      <c r="H70" s="59"/>
      <c r="I70" s="59"/>
      <c r="J70" s="59"/>
      <c r="K70" s="59"/>
      <c r="L70" s="59"/>
      <c r="M70" s="59"/>
    </row>
    <row r="71" spans="1:13" ht="12.75">
      <c r="A71" s="59"/>
      <c r="B71" s="59"/>
      <c r="C71" s="59"/>
      <c r="D71" s="59"/>
      <c r="E71" s="59"/>
      <c r="F71" s="59"/>
      <c r="G71" s="59"/>
      <c r="H71" s="59"/>
      <c r="I71" s="59"/>
      <c r="J71" s="59"/>
      <c r="K71" s="59"/>
      <c r="L71" s="59"/>
      <c r="M71" s="59"/>
    </row>
    <row r="72" spans="1:13" ht="12.75">
      <c r="A72" s="59"/>
      <c r="B72" s="59"/>
      <c r="C72" s="59"/>
      <c r="D72" s="59"/>
      <c r="E72" s="59"/>
      <c r="F72" s="59"/>
      <c r="G72" s="59"/>
      <c r="H72" s="59"/>
      <c r="I72" s="59"/>
      <c r="J72" s="59"/>
      <c r="K72" s="59"/>
      <c r="L72" s="59"/>
      <c r="M72" s="59"/>
    </row>
    <row r="73" spans="1:13" ht="12.75">
      <c r="A73" s="59"/>
      <c r="B73" s="59"/>
      <c r="C73" s="59"/>
      <c r="D73" s="59"/>
      <c r="E73" s="59"/>
      <c r="F73" s="59"/>
      <c r="G73" s="59"/>
      <c r="H73" s="59"/>
      <c r="I73" s="59"/>
      <c r="J73" s="59"/>
      <c r="K73" s="59"/>
      <c r="L73" s="59"/>
      <c r="M73" s="59"/>
    </row>
    <row r="74" spans="1:13" ht="12.75">
      <c r="A74" s="59"/>
      <c r="B74" s="59"/>
      <c r="C74" s="59"/>
      <c r="D74" s="59"/>
      <c r="E74" s="59"/>
      <c r="F74" s="59"/>
      <c r="G74" s="59"/>
      <c r="H74" s="59"/>
      <c r="I74" s="59"/>
      <c r="J74" s="59"/>
      <c r="K74" s="59"/>
      <c r="L74" s="59"/>
      <c r="M74" s="59"/>
    </row>
    <row r="75" spans="1:13" ht="12.75">
      <c r="A75" s="59"/>
      <c r="B75" s="59"/>
      <c r="C75" s="59"/>
      <c r="D75" s="59"/>
      <c r="E75" s="59"/>
      <c r="F75" s="59"/>
      <c r="G75" s="59"/>
      <c r="H75" s="59"/>
      <c r="I75" s="59"/>
      <c r="J75" s="59"/>
      <c r="K75" s="59"/>
      <c r="L75" s="59"/>
      <c r="M75" s="59"/>
    </row>
    <row r="76" spans="1:13" ht="12.75">
      <c r="A76" s="59"/>
      <c r="B76" s="59"/>
      <c r="C76" s="59"/>
      <c r="D76" s="59"/>
      <c r="E76" s="59"/>
      <c r="F76" s="59"/>
      <c r="G76" s="59"/>
      <c r="H76" s="59"/>
      <c r="I76" s="59"/>
      <c r="J76" s="59"/>
      <c r="K76" s="59"/>
      <c r="L76" s="59"/>
      <c r="M76" s="59"/>
    </row>
    <row r="77" spans="1:13" ht="12.75">
      <c r="A77" s="59"/>
      <c r="B77" s="59"/>
      <c r="C77" s="59"/>
      <c r="D77" s="59"/>
      <c r="E77" s="59"/>
      <c r="F77" s="59"/>
      <c r="G77" s="59"/>
      <c r="H77" s="59"/>
      <c r="I77" s="59"/>
      <c r="J77" s="59"/>
      <c r="K77" s="59"/>
      <c r="L77" s="59"/>
      <c r="M77" s="59"/>
    </row>
    <row r="78" spans="1:13" ht="12.75">
      <c r="A78" s="59"/>
      <c r="B78" s="59"/>
      <c r="C78" s="59"/>
      <c r="D78" s="59"/>
      <c r="E78" s="59"/>
      <c r="F78" s="59"/>
      <c r="G78" s="59"/>
      <c r="H78" s="59"/>
      <c r="I78" s="59"/>
      <c r="J78" s="59"/>
      <c r="K78" s="59"/>
      <c r="L78" s="59"/>
      <c r="M78" s="59"/>
    </row>
    <row r="79" spans="1:13" ht="12.75">
      <c r="A79" s="59"/>
      <c r="B79" s="59"/>
      <c r="C79" s="59"/>
      <c r="D79" s="59"/>
      <c r="E79" s="59"/>
      <c r="F79" s="59"/>
      <c r="G79" s="59"/>
      <c r="H79" s="59"/>
      <c r="I79" s="59"/>
      <c r="J79" s="59"/>
      <c r="K79" s="59"/>
      <c r="L79" s="59"/>
      <c r="M79" s="59"/>
    </row>
    <row r="80" spans="1:13" ht="12.75">
      <c r="A80" s="59"/>
      <c r="B80" s="59"/>
      <c r="C80" s="59"/>
      <c r="D80" s="59"/>
      <c r="E80" s="59"/>
      <c r="F80" s="59"/>
      <c r="G80" s="59"/>
      <c r="H80" s="59"/>
      <c r="I80" s="59"/>
      <c r="J80" s="59"/>
      <c r="K80" s="59"/>
      <c r="L80" s="59"/>
      <c r="M80" s="59"/>
    </row>
    <row r="81" spans="1:13" ht="12.75">
      <c r="A81" s="59"/>
      <c r="B81" s="59"/>
      <c r="C81" s="59"/>
      <c r="D81" s="59"/>
      <c r="E81" s="59"/>
      <c r="F81" s="59"/>
      <c r="G81" s="59"/>
      <c r="H81" s="59"/>
      <c r="I81" s="59"/>
      <c r="J81" s="59"/>
      <c r="K81" s="59"/>
      <c r="L81" s="59"/>
      <c r="M81" s="59"/>
    </row>
    <row r="82" spans="1:13" ht="12.75">
      <c r="A82" s="59"/>
      <c r="B82" s="59"/>
      <c r="C82" s="59"/>
      <c r="D82" s="59"/>
      <c r="E82" s="59"/>
      <c r="F82" s="59"/>
      <c r="G82" s="59"/>
      <c r="H82" s="59"/>
      <c r="I82" s="59"/>
      <c r="J82" s="59"/>
      <c r="K82" s="59"/>
      <c r="L82" s="59"/>
      <c r="M82" s="59"/>
    </row>
    <row r="83" spans="1:13" ht="12.75">
      <c r="A83" s="59"/>
      <c r="B83" s="59"/>
      <c r="C83" s="59"/>
      <c r="D83" s="59"/>
      <c r="E83" s="59"/>
      <c r="F83" s="59"/>
      <c r="G83" s="59"/>
      <c r="H83" s="59"/>
      <c r="I83" s="59"/>
      <c r="J83" s="59"/>
      <c r="K83" s="59"/>
      <c r="L83" s="59"/>
      <c r="M83" s="59"/>
    </row>
    <row r="84" spans="1:13" ht="12.75">
      <c r="A84" s="59"/>
      <c r="B84" s="59"/>
      <c r="C84" s="59"/>
      <c r="D84" s="59"/>
      <c r="E84" s="59"/>
      <c r="F84" s="59"/>
      <c r="G84" s="59"/>
      <c r="H84" s="59"/>
      <c r="I84" s="59"/>
      <c r="J84" s="59"/>
      <c r="K84" s="59"/>
      <c r="L84" s="59"/>
      <c r="M84" s="59"/>
    </row>
    <row r="85" spans="1:13" ht="12.75">
      <c r="A85" s="59"/>
      <c r="B85" s="59"/>
      <c r="C85" s="59"/>
      <c r="D85" s="59"/>
      <c r="E85" s="59"/>
      <c r="F85" s="59"/>
      <c r="G85" s="59"/>
      <c r="H85" s="59"/>
      <c r="I85" s="59"/>
      <c r="J85" s="59"/>
      <c r="K85" s="59"/>
      <c r="L85" s="59"/>
      <c r="M85" s="59"/>
    </row>
    <row r="86" spans="1:13" ht="12.75">
      <c r="A86" s="59"/>
      <c r="B86" s="59"/>
      <c r="C86" s="59"/>
      <c r="D86" s="59"/>
      <c r="E86" s="59"/>
      <c r="F86" s="59"/>
      <c r="G86" s="59"/>
      <c r="H86" s="59"/>
      <c r="I86" s="59"/>
      <c r="J86" s="59"/>
      <c r="K86" s="59"/>
      <c r="L86" s="59"/>
      <c r="M86" s="59"/>
    </row>
    <row r="87" spans="1:13" ht="12.75">
      <c r="A87" s="59"/>
      <c r="B87" s="59"/>
      <c r="C87" s="59"/>
      <c r="D87" s="59"/>
      <c r="E87" s="59"/>
      <c r="F87" s="59"/>
      <c r="G87" s="59"/>
      <c r="H87" s="59"/>
      <c r="I87" s="59"/>
      <c r="J87" s="59"/>
      <c r="K87" s="59"/>
      <c r="L87" s="59"/>
      <c r="M87" s="59"/>
    </row>
    <row r="88" spans="1:13" ht="12.75">
      <c r="A88" s="59"/>
      <c r="B88" s="59"/>
      <c r="C88" s="59"/>
      <c r="D88" s="59"/>
      <c r="E88" s="59"/>
      <c r="F88" s="59"/>
      <c r="G88" s="59"/>
      <c r="H88" s="59"/>
      <c r="I88" s="59"/>
      <c r="J88" s="59"/>
      <c r="K88" s="59"/>
      <c r="L88" s="59"/>
      <c r="M88" s="59"/>
    </row>
    <row r="89" spans="1:13" ht="12.75">
      <c r="A89" s="59"/>
      <c r="B89" s="59"/>
      <c r="C89" s="59"/>
      <c r="D89" s="59"/>
      <c r="E89" s="59"/>
      <c r="F89" s="59"/>
      <c r="G89" s="59"/>
      <c r="H89" s="59"/>
      <c r="I89" s="59"/>
      <c r="J89" s="59"/>
      <c r="K89" s="59"/>
      <c r="L89" s="59"/>
      <c r="M89" s="59"/>
    </row>
    <row r="90" spans="1:13" ht="12.75">
      <c r="A90" s="59"/>
      <c r="B90" s="59"/>
      <c r="C90" s="59"/>
      <c r="D90" s="59"/>
      <c r="E90" s="59"/>
      <c r="F90" s="59"/>
      <c r="G90" s="59"/>
      <c r="H90" s="59"/>
      <c r="I90" s="59"/>
      <c r="J90" s="59"/>
      <c r="K90" s="59"/>
      <c r="L90" s="59"/>
      <c r="M90" s="59"/>
    </row>
    <row r="91" spans="1:13" ht="12.75">
      <c r="A91" s="59"/>
      <c r="B91" s="59"/>
      <c r="C91" s="59"/>
      <c r="D91" s="59"/>
      <c r="E91" s="59"/>
      <c r="F91" s="59"/>
      <c r="G91" s="59"/>
      <c r="H91" s="59"/>
      <c r="I91" s="59"/>
      <c r="J91" s="59"/>
      <c r="K91" s="59"/>
      <c r="L91" s="59"/>
      <c r="M91" s="59"/>
    </row>
    <row r="92" spans="1:13" ht="12.75">
      <c r="A92" s="59"/>
      <c r="B92" s="59"/>
      <c r="C92" s="59"/>
      <c r="D92" s="59"/>
      <c r="E92" s="59"/>
      <c r="F92" s="59"/>
      <c r="G92" s="59"/>
      <c r="H92" s="59"/>
      <c r="I92" s="59"/>
      <c r="J92" s="59"/>
      <c r="K92" s="59"/>
      <c r="L92" s="59"/>
      <c r="M92" s="59"/>
    </row>
    <row r="93" spans="1:13" ht="12.75">
      <c r="A93" s="59"/>
      <c r="B93" s="59"/>
      <c r="C93" s="59"/>
      <c r="D93" s="59"/>
      <c r="E93" s="59"/>
      <c r="F93" s="59"/>
      <c r="G93" s="59"/>
      <c r="H93" s="59"/>
      <c r="I93" s="59"/>
      <c r="J93" s="59"/>
      <c r="K93" s="59"/>
      <c r="L93" s="59"/>
      <c r="M93" s="59"/>
    </row>
    <row r="94" spans="1:13" ht="12.75">
      <c r="A94" s="59"/>
      <c r="B94" s="59"/>
      <c r="C94" s="59"/>
      <c r="D94" s="59"/>
      <c r="E94" s="59"/>
      <c r="F94" s="59"/>
      <c r="G94" s="59"/>
      <c r="H94" s="59"/>
      <c r="I94" s="59"/>
      <c r="J94" s="59"/>
      <c r="K94" s="59"/>
      <c r="L94" s="59"/>
      <c r="M94" s="59"/>
    </row>
    <row r="95" spans="1:13" ht="12.75">
      <c r="A95" s="59"/>
      <c r="B95" s="59"/>
      <c r="C95" s="59"/>
      <c r="D95" s="59"/>
      <c r="E95" s="59"/>
      <c r="F95" s="59"/>
      <c r="G95" s="59"/>
      <c r="H95" s="59"/>
      <c r="I95" s="59"/>
      <c r="J95" s="59"/>
      <c r="K95" s="59"/>
      <c r="L95" s="59"/>
      <c r="M95" s="59"/>
    </row>
    <row r="96" spans="1:13" ht="12.75">
      <c r="A96" s="59"/>
      <c r="B96" s="59"/>
      <c r="C96" s="59"/>
      <c r="D96" s="59"/>
      <c r="E96" s="59"/>
      <c r="F96" s="59"/>
      <c r="G96" s="59"/>
      <c r="H96" s="59"/>
      <c r="I96" s="59"/>
      <c r="J96" s="59"/>
      <c r="K96" s="59"/>
      <c r="L96" s="59"/>
      <c r="M96" s="59"/>
    </row>
    <row r="97" spans="1:13" ht="12.75">
      <c r="A97" s="59"/>
      <c r="B97" s="59"/>
      <c r="C97" s="59"/>
      <c r="D97" s="59"/>
      <c r="E97" s="59"/>
      <c r="F97" s="59"/>
      <c r="G97" s="59"/>
      <c r="H97" s="59"/>
      <c r="I97" s="59"/>
      <c r="J97" s="59"/>
      <c r="K97" s="59"/>
      <c r="L97" s="59"/>
      <c r="M97" s="59"/>
    </row>
    <row r="98" spans="1:13" ht="12.75">
      <c r="A98" s="59"/>
      <c r="B98" s="59"/>
      <c r="C98" s="59"/>
      <c r="D98" s="59"/>
      <c r="E98" s="59"/>
      <c r="F98" s="59"/>
      <c r="G98" s="59"/>
      <c r="H98" s="59"/>
      <c r="I98" s="59"/>
      <c r="J98" s="59"/>
      <c r="K98" s="59"/>
      <c r="L98" s="59"/>
      <c r="M98" s="59"/>
    </row>
    <row r="99" spans="1:13" ht="12.75">
      <c r="A99" s="59"/>
      <c r="B99" s="59"/>
      <c r="C99" s="59"/>
      <c r="D99" s="59"/>
      <c r="E99" s="59"/>
      <c r="F99" s="59"/>
      <c r="G99" s="59"/>
      <c r="H99" s="59"/>
      <c r="I99" s="59"/>
      <c r="J99" s="59"/>
      <c r="K99" s="59"/>
      <c r="L99" s="59"/>
      <c r="M99" s="59"/>
    </row>
    <row r="100" spans="1:13" ht="12.75">
      <c r="A100" s="59"/>
      <c r="B100" s="59"/>
      <c r="C100" s="59"/>
      <c r="D100" s="59"/>
      <c r="E100" s="59"/>
      <c r="F100" s="59"/>
      <c r="G100" s="59"/>
      <c r="H100" s="59"/>
      <c r="I100" s="59"/>
      <c r="J100" s="59"/>
      <c r="K100" s="59"/>
      <c r="L100" s="59"/>
      <c r="M100" s="59"/>
    </row>
    <row r="101" spans="1:13" ht="12.75">
      <c r="A101" s="59"/>
      <c r="B101" s="59"/>
      <c r="C101" s="59"/>
      <c r="D101" s="59"/>
      <c r="E101" s="59"/>
      <c r="F101" s="59"/>
      <c r="G101" s="59"/>
      <c r="H101" s="59"/>
      <c r="I101" s="59"/>
      <c r="J101" s="59"/>
      <c r="K101" s="59"/>
      <c r="L101" s="59"/>
      <c r="M101" s="59"/>
    </row>
    <row r="102" spans="1:13" ht="12.75">
      <c r="A102" s="59"/>
      <c r="B102" s="59"/>
      <c r="C102" s="59"/>
      <c r="D102" s="59"/>
      <c r="E102" s="59"/>
      <c r="F102" s="59"/>
      <c r="G102" s="59"/>
      <c r="H102" s="59"/>
      <c r="I102" s="59"/>
      <c r="J102" s="59"/>
      <c r="K102" s="59"/>
      <c r="L102" s="59"/>
      <c r="M102" s="59"/>
    </row>
    <row r="103" spans="1:13" ht="12.75">
      <c r="A103" s="59"/>
      <c r="B103" s="59"/>
      <c r="C103" s="59"/>
      <c r="D103" s="59"/>
      <c r="E103" s="59"/>
      <c r="F103" s="59"/>
      <c r="G103" s="59"/>
      <c r="H103" s="59"/>
      <c r="I103" s="59"/>
      <c r="J103" s="59"/>
      <c r="K103" s="59"/>
      <c r="L103" s="59"/>
      <c r="M103" s="59"/>
    </row>
    <row r="104" spans="1:13" ht="12.75">
      <c r="A104" s="59"/>
      <c r="B104" s="59"/>
      <c r="C104" s="59"/>
      <c r="D104" s="59"/>
      <c r="E104" s="59"/>
      <c r="F104" s="59"/>
      <c r="G104" s="59"/>
      <c r="H104" s="59"/>
      <c r="I104" s="59"/>
      <c r="J104" s="59"/>
      <c r="K104" s="59"/>
      <c r="L104" s="59"/>
      <c r="M104" s="59"/>
    </row>
    <row r="105" spans="1:13" ht="12.75">
      <c r="A105" s="59"/>
      <c r="B105" s="59"/>
      <c r="C105" s="59"/>
      <c r="D105" s="59"/>
      <c r="E105" s="59"/>
      <c r="F105" s="59"/>
      <c r="G105" s="59"/>
      <c r="H105" s="59"/>
      <c r="I105" s="59"/>
      <c r="J105" s="59"/>
      <c r="K105" s="59"/>
      <c r="L105" s="59"/>
      <c r="M105" s="59"/>
    </row>
    <row r="106" spans="1:13" ht="12.75">
      <c r="A106" s="59"/>
      <c r="B106" s="59"/>
      <c r="C106" s="59"/>
      <c r="D106" s="59"/>
      <c r="E106" s="59"/>
      <c r="F106" s="59"/>
      <c r="G106" s="59"/>
      <c r="H106" s="59"/>
      <c r="I106" s="59"/>
      <c r="J106" s="59"/>
      <c r="K106" s="59"/>
      <c r="L106" s="59"/>
      <c r="M106" s="59"/>
    </row>
    <row r="107" spans="1:13" ht="12.75">
      <c r="A107" s="59"/>
      <c r="B107" s="59"/>
      <c r="C107" s="59"/>
      <c r="D107" s="59"/>
      <c r="E107" s="59"/>
      <c r="F107" s="59"/>
      <c r="G107" s="59"/>
      <c r="H107" s="59"/>
      <c r="I107" s="59"/>
      <c r="J107" s="59"/>
      <c r="K107" s="59"/>
      <c r="L107" s="59"/>
      <c r="M107" s="59"/>
    </row>
    <row r="108" spans="1:13" ht="12.75">
      <c r="A108" s="59"/>
      <c r="B108" s="59"/>
      <c r="C108" s="59"/>
      <c r="D108" s="59"/>
      <c r="E108" s="59"/>
      <c r="F108" s="59"/>
      <c r="G108" s="59"/>
      <c r="H108" s="59"/>
      <c r="I108" s="59"/>
      <c r="J108" s="59"/>
      <c r="K108" s="59"/>
      <c r="L108" s="59"/>
      <c r="M108" s="59"/>
    </row>
    <row r="109" spans="1:13" ht="12.75">
      <c r="A109" s="59"/>
      <c r="B109" s="59"/>
      <c r="C109" s="59"/>
      <c r="D109" s="59"/>
      <c r="E109" s="59"/>
      <c r="F109" s="59"/>
      <c r="G109" s="59"/>
      <c r="H109" s="59"/>
      <c r="I109" s="59"/>
      <c r="J109" s="59"/>
      <c r="K109" s="59"/>
      <c r="L109" s="59"/>
      <c r="M109" s="59"/>
    </row>
    <row r="110" spans="1:13" ht="12.75">
      <c r="A110" s="59"/>
      <c r="B110" s="59"/>
      <c r="C110" s="59"/>
      <c r="D110" s="59"/>
      <c r="E110" s="59"/>
      <c r="F110" s="59"/>
      <c r="G110" s="59"/>
      <c r="H110" s="59"/>
      <c r="I110" s="59"/>
      <c r="J110" s="59"/>
      <c r="K110" s="59"/>
      <c r="L110" s="59"/>
      <c r="M110" s="59"/>
    </row>
    <row r="111" spans="1:13" ht="12.75">
      <c r="A111" s="59"/>
      <c r="B111" s="59"/>
      <c r="C111" s="59"/>
      <c r="D111" s="59"/>
      <c r="E111" s="59"/>
      <c r="F111" s="59"/>
      <c r="G111" s="59"/>
      <c r="H111" s="59"/>
      <c r="I111" s="59"/>
      <c r="J111" s="59"/>
      <c r="K111" s="59"/>
      <c r="L111" s="59"/>
      <c r="M111" s="59"/>
    </row>
    <row r="112" spans="1:13" ht="12.75">
      <c r="A112" s="59"/>
      <c r="B112" s="59"/>
      <c r="C112" s="59"/>
      <c r="D112" s="59"/>
      <c r="E112" s="59"/>
      <c r="F112" s="59"/>
      <c r="G112" s="59"/>
      <c r="H112" s="59"/>
      <c r="I112" s="59"/>
      <c r="J112" s="59"/>
      <c r="K112" s="59"/>
      <c r="L112" s="59"/>
      <c r="M112" s="59"/>
    </row>
    <row r="113" spans="1:13" ht="12.75">
      <c r="A113" s="59"/>
      <c r="B113" s="59"/>
      <c r="C113" s="59"/>
      <c r="D113" s="59"/>
      <c r="E113" s="59"/>
      <c r="F113" s="59"/>
      <c r="G113" s="59"/>
      <c r="H113" s="59"/>
      <c r="I113" s="59"/>
      <c r="J113" s="59"/>
      <c r="K113" s="59"/>
      <c r="L113" s="59"/>
      <c r="M113" s="59"/>
    </row>
    <row r="114" spans="1:13" ht="12.75">
      <c r="A114" s="59"/>
      <c r="B114" s="59"/>
      <c r="C114" s="59"/>
      <c r="D114" s="59"/>
      <c r="E114" s="59"/>
      <c r="F114" s="59"/>
      <c r="G114" s="59"/>
      <c r="H114" s="59"/>
      <c r="I114" s="59"/>
      <c r="J114" s="59"/>
      <c r="K114" s="59"/>
      <c r="L114" s="59"/>
      <c r="M114" s="59"/>
    </row>
    <row r="115" spans="1:13" ht="12.75">
      <c r="A115" s="59"/>
      <c r="B115" s="59"/>
      <c r="C115" s="59"/>
      <c r="D115" s="59"/>
      <c r="E115" s="59"/>
      <c r="F115" s="59"/>
      <c r="G115" s="59"/>
      <c r="H115" s="59"/>
      <c r="I115" s="59"/>
      <c r="J115" s="59"/>
      <c r="K115" s="59"/>
      <c r="L115" s="59"/>
      <c r="M115" s="59"/>
    </row>
    <row r="116" spans="1:13" ht="12.75">
      <c r="A116" s="59"/>
      <c r="B116" s="59"/>
      <c r="C116" s="59"/>
      <c r="D116" s="59"/>
      <c r="E116" s="59"/>
      <c r="F116" s="59"/>
      <c r="G116" s="59"/>
      <c r="H116" s="59"/>
      <c r="I116" s="59"/>
      <c r="J116" s="59"/>
      <c r="K116" s="59"/>
      <c r="L116" s="59"/>
      <c r="M116" s="59"/>
    </row>
    <row r="117" spans="1:13" ht="12.75">
      <c r="A117" s="59"/>
      <c r="B117" s="59"/>
      <c r="C117" s="59"/>
      <c r="D117" s="59"/>
      <c r="E117" s="59"/>
      <c r="F117" s="59"/>
      <c r="G117" s="59"/>
      <c r="H117" s="59"/>
      <c r="I117" s="59"/>
      <c r="J117" s="59"/>
      <c r="K117" s="59"/>
      <c r="L117" s="59"/>
      <c r="M117" s="59"/>
    </row>
    <row r="118" spans="1:13" ht="12.75">
      <c r="A118" s="59"/>
      <c r="B118" s="59"/>
      <c r="C118" s="59"/>
      <c r="D118" s="59"/>
      <c r="E118" s="59"/>
      <c r="F118" s="59"/>
      <c r="G118" s="59"/>
      <c r="H118" s="59"/>
      <c r="I118" s="59"/>
      <c r="J118" s="59"/>
      <c r="K118" s="59"/>
      <c r="L118" s="59"/>
      <c r="M118" s="59"/>
    </row>
    <row r="119" spans="1:13" ht="12.75">
      <c r="A119" s="59"/>
      <c r="B119" s="59"/>
      <c r="C119" s="59"/>
      <c r="D119" s="59"/>
      <c r="E119" s="59"/>
      <c r="F119" s="59"/>
      <c r="G119" s="59"/>
      <c r="H119" s="59"/>
      <c r="I119" s="59"/>
      <c r="J119" s="59"/>
      <c r="K119" s="59"/>
      <c r="L119" s="59"/>
      <c r="M119" s="59"/>
    </row>
    <row r="120" spans="1:13" ht="12.75">
      <c r="A120" s="59"/>
      <c r="B120" s="59"/>
      <c r="C120" s="59"/>
      <c r="D120" s="59"/>
      <c r="E120" s="59"/>
      <c r="F120" s="59"/>
      <c r="G120" s="59"/>
      <c r="H120" s="59"/>
      <c r="I120" s="59"/>
      <c r="J120" s="59"/>
      <c r="K120" s="59"/>
      <c r="L120" s="59"/>
      <c r="M120" s="59"/>
    </row>
    <row r="121" spans="1:13" ht="12.75">
      <c r="A121" s="59"/>
      <c r="B121" s="59"/>
      <c r="C121" s="59"/>
      <c r="D121" s="59"/>
      <c r="E121" s="59"/>
      <c r="F121" s="59"/>
      <c r="G121" s="59"/>
      <c r="H121" s="59"/>
      <c r="I121" s="59"/>
      <c r="J121" s="59"/>
      <c r="K121" s="59"/>
      <c r="L121" s="59"/>
      <c r="M121" s="59"/>
    </row>
  </sheetData>
  <sheetProtection/>
  <printOptions/>
  <pageMargins left="0" right="0" top="0.5" bottom="0.5" header="0.5" footer="0.5"/>
  <pageSetup fitToHeight="1" fitToWidth="1" horizontalDpi="600" verticalDpi="600" orientation="landscape" scale="87" r:id="rId1"/>
</worksheet>
</file>

<file path=xl/worksheets/sheet5.xml><?xml version="1.0" encoding="utf-8"?>
<worksheet xmlns="http://schemas.openxmlformats.org/spreadsheetml/2006/main" xmlns:r="http://schemas.openxmlformats.org/officeDocument/2006/relationships">
  <sheetPr>
    <pageSetUpPr fitToPage="1"/>
  </sheetPr>
  <dimension ref="A2:U102"/>
  <sheetViews>
    <sheetView zoomScalePageLayoutView="0" workbookViewId="0" topLeftCell="A1">
      <pane xSplit="2" ySplit="6" topLeftCell="C70" activePane="bottomRight" state="frozen"/>
      <selection pane="topLeft" activeCell="A3" sqref="A3:IV5"/>
      <selection pane="topRight" activeCell="A3" sqref="A3:IV5"/>
      <selection pane="bottomLeft" activeCell="A3" sqref="A3:IV5"/>
      <selection pane="bottomRight" activeCell="N95" sqref="N95:N97"/>
    </sheetView>
  </sheetViews>
  <sheetFormatPr defaultColWidth="9.140625" defaultRowHeight="12.75"/>
  <cols>
    <col min="1" max="1" width="6.00390625" style="59" customWidth="1"/>
    <col min="2" max="2" width="17.8515625" style="59" customWidth="1"/>
    <col min="3" max="4" width="9.8515625" style="59" customWidth="1"/>
    <col min="5" max="5" width="11.28125" style="59" customWidth="1"/>
    <col min="6" max="7" width="9.57421875" style="59" customWidth="1"/>
    <col min="8" max="8" width="9.8515625" style="59" customWidth="1"/>
    <col min="9" max="9" width="10.421875" style="59" customWidth="1"/>
    <col min="10" max="10" width="10.7109375" style="59" customWidth="1"/>
    <col min="11" max="13" width="9.140625" style="59" customWidth="1"/>
    <col min="14" max="14" width="11.28125" style="59" bestFit="1" customWidth="1"/>
    <col min="15" max="15" width="10.7109375" style="59" bestFit="1" customWidth="1"/>
    <col min="16" max="16" width="12.28125" style="59" hidden="1" customWidth="1"/>
    <col min="17" max="17" width="9.8515625" style="59" hidden="1" customWidth="1"/>
    <col min="18" max="18" width="15.140625" style="59" hidden="1" customWidth="1"/>
    <col min="19" max="21" width="0" style="59" hidden="1" customWidth="1"/>
    <col min="22" max="16384" width="9.140625" style="59" customWidth="1"/>
  </cols>
  <sheetData>
    <row r="1" ht="11.25"/>
    <row r="2" spans="2:3" ht="11.25">
      <c r="B2" s="77" t="str">
        <f>WUTC_KENT_SF!A1</f>
        <v>Kent-Meridian Disposal</v>
      </c>
      <c r="C2" s="78"/>
    </row>
    <row r="3" spans="2:3" ht="11.25">
      <c r="B3" s="77" t="str">
        <f>WUTC_KENT_SF!A4</f>
        <v>Single Family</v>
      </c>
      <c r="C3" s="78"/>
    </row>
    <row r="4" spans="3:10" ht="11.25">
      <c r="C4" s="79"/>
      <c r="D4" s="79"/>
      <c r="E4" s="79"/>
      <c r="F4" s="79"/>
      <c r="G4" s="79"/>
      <c r="H4" s="80"/>
      <c r="I4" s="80"/>
      <c r="J4" s="77"/>
    </row>
    <row r="5" spans="3:10" ht="11.25">
      <c r="C5" s="79"/>
      <c r="D5" s="79"/>
      <c r="E5" s="79"/>
      <c r="F5" s="79"/>
      <c r="G5" s="79"/>
      <c r="H5" s="80"/>
      <c r="I5" s="80"/>
      <c r="J5" s="79"/>
    </row>
    <row r="6" spans="3:14" ht="9.75" customHeight="1">
      <c r="C6" s="81">
        <v>43221</v>
      </c>
      <c r="D6" s="82">
        <f aca="true" t="shared" si="0" ref="D6:N6">EOMONTH(C6,1)</f>
        <v>43281</v>
      </c>
      <c r="E6" s="82">
        <f t="shared" si="0"/>
        <v>43312</v>
      </c>
      <c r="F6" s="82">
        <f t="shared" si="0"/>
        <v>43343</v>
      </c>
      <c r="G6" s="82">
        <f t="shared" si="0"/>
        <v>43373</v>
      </c>
      <c r="H6" s="82">
        <f t="shared" si="0"/>
        <v>43404</v>
      </c>
      <c r="I6" s="82">
        <f t="shared" si="0"/>
        <v>43434</v>
      </c>
      <c r="J6" s="82">
        <f t="shared" si="0"/>
        <v>43465</v>
      </c>
      <c r="K6" s="82">
        <f t="shared" si="0"/>
        <v>43496</v>
      </c>
      <c r="L6" s="82">
        <f t="shared" si="0"/>
        <v>43524</v>
      </c>
      <c r="M6" s="82">
        <f t="shared" si="0"/>
        <v>43555</v>
      </c>
      <c r="N6" s="82">
        <f t="shared" si="0"/>
        <v>43585</v>
      </c>
    </row>
    <row r="7" spans="1:14" s="60" customFormat="1" ht="11.25">
      <c r="A7" s="83" t="s">
        <v>33</v>
      </c>
      <c r="C7" s="84">
        <v>623.16</v>
      </c>
      <c r="D7" s="84">
        <v>620.62</v>
      </c>
      <c r="E7" s="84">
        <v>648.62</v>
      </c>
      <c r="F7" s="84">
        <v>674.98</v>
      </c>
      <c r="G7" s="84">
        <v>550.19</v>
      </c>
      <c r="H7" s="84">
        <v>657.09</v>
      </c>
      <c r="I7" s="84"/>
      <c r="J7" s="84"/>
      <c r="K7" s="84"/>
      <c r="L7" s="84"/>
      <c r="M7" s="84"/>
      <c r="N7" s="84"/>
    </row>
    <row r="8" spans="1:14" ht="11.25">
      <c r="A8" s="59" t="s">
        <v>34</v>
      </c>
      <c r="C8" s="85">
        <v>0</v>
      </c>
      <c r="D8" s="85">
        <v>0</v>
      </c>
      <c r="E8" s="85">
        <v>0</v>
      </c>
      <c r="F8" s="85">
        <v>0</v>
      </c>
      <c r="G8" s="85">
        <v>0</v>
      </c>
      <c r="H8" s="85">
        <v>0</v>
      </c>
      <c r="I8" s="85">
        <v>0</v>
      </c>
      <c r="J8" s="85">
        <v>0</v>
      </c>
      <c r="K8" s="85">
        <v>0</v>
      </c>
      <c r="L8" s="85">
        <v>0</v>
      </c>
      <c r="M8" s="85">
        <v>0</v>
      </c>
      <c r="N8" s="85">
        <v>0</v>
      </c>
    </row>
    <row r="9" spans="1:14" ht="11.25">
      <c r="A9" s="59" t="s">
        <v>35</v>
      </c>
      <c r="C9" s="86">
        <f aca="true" t="shared" si="1" ref="C9:N9">+C7*C8</f>
        <v>0</v>
      </c>
      <c r="D9" s="86">
        <f t="shared" si="1"/>
        <v>0</v>
      </c>
      <c r="E9" s="86">
        <f t="shared" si="1"/>
        <v>0</v>
      </c>
      <c r="F9" s="86">
        <f t="shared" si="1"/>
        <v>0</v>
      </c>
      <c r="G9" s="86">
        <f t="shared" si="1"/>
        <v>0</v>
      </c>
      <c r="H9" s="86">
        <f t="shared" si="1"/>
        <v>0</v>
      </c>
      <c r="I9" s="86">
        <f t="shared" si="1"/>
        <v>0</v>
      </c>
      <c r="J9" s="86">
        <f t="shared" si="1"/>
        <v>0</v>
      </c>
      <c r="K9" s="86">
        <f t="shared" si="1"/>
        <v>0</v>
      </c>
      <c r="L9" s="86">
        <f t="shared" si="1"/>
        <v>0</v>
      </c>
      <c r="M9" s="86">
        <f t="shared" si="1"/>
        <v>0</v>
      </c>
      <c r="N9" s="86">
        <f t="shared" si="1"/>
        <v>0</v>
      </c>
    </row>
    <row r="10" spans="1:14" ht="11.25">
      <c r="A10" s="77" t="s">
        <v>36</v>
      </c>
      <c r="C10" s="87">
        <f aca="true" t="shared" si="2" ref="C10:N10">+C7-C9</f>
        <v>623.16</v>
      </c>
      <c r="D10" s="87">
        <f t="shared" si="2"/>
        <v>620.62</v>
      </c>
      <c r="E10" s="87">
        <f t="shared" si="2"/>
        <v>648.62</v>
      </c>
      <c r="F10" s="87">
        <f t="shared" si="2"/>
        <v>674.98</v>
      </c>
      <c r="G10" s="87">
        <f t="shared" si="2"/>
        <v>550.19</v>
      </c>
      <c r="H10" s="87">
        <f t="shared" si="2"/>
        <v>657.09</v>
      </c>
      <c r="I10" s="87">
        <f t="shared" si="2"/>
        <v>0</v>
      </c>
      <c r="J10" s="87">
        <f t="shared" si="2"/>
        <v>0</v>
      </c>
      <c r="K10" s="87">
        <f t="shared" si="2"/>
        <v>0</v>
      </c>
      <c r="L10" s="87">
        <f t="shared" si="2"/>
        <v>0</v>
      </c>
      <c r="M10" s="87">
        <f t="shared" si="2"/>
        <v>0</v>
      </c>
      <c r="N10" s="87">
        <f t="shared" si="2"/>
        <v>0</v>
      </c>
    </row>
    <row r="11" ht="11.25"/>
    <row r="12" ht="11.25">
      <c r="A12" s="77" t="s">
        <v>37</v>
      </c>
    </row>
    <row r="13" spans="2:16" s="88" customFormat="1" ht="11.25">
      <c r="B13" s="88" t="s">
        <v>23</v>
      </c>
      <c r="C13" s="89">
        <v>0</v>
      </c>
      <c r="D13" s="89">
        <v>0</v>
      </c>
      <c r="E13" s="89">
        <v>0</v>
      </c>
      <c r="F13" s="89">
        <v>0</v>
      </c>
      <c r="G13" s="89">
        <v>0</v>
      </c>
      <c r="H13" s="89">
        <v>0</v>
      </c>
      <c r="I13" s="89">
        <v>0</v>
      </c>
      <c r="J13" s="89">
        <v>0</v>
      </c>
      <c r="K13" s="89">
        <v>0</v>
      </c>
      <c r="L13" s="89">
        <v>0</v>
      </c>
      <c r="M13" s="89">
        <v>0</v>
      </c>
      <c r="N13" s="89">
        <v>0</v>
      </c>
      <c r="P13" s="121"/>
    </row>
    <row r="14" spans="2:16" s="88" customFormat="1" ht="11.25">
      <c r="B14" s="88" t="s">
        <v>27</v>
      </c>
      <c r="C14" s="89">
        <v>0.1782</v>
      </c>
      <c r="D14" s="89">
        <v>0.1782</v>
      </c>
      <c r="E14" s="89">
        <v>0.1782</v>
      </c>
      <c r="F14" s="89">
        <v>0.1782</v>
      </c>
      <c r="G14" s="89">
        <v>0.1782</v>
      </c>
      <c r="H14" s="89">
        <v>0.1782</v>
      </c>
      <c r="I14" s="89">
        <v>0.1782</v>
      </c>
      <c r="J14" s="89">
        <v>0.1782</v>
      </c>
      <c r="K14" s="89">
        <v>0.1782</v>
      </c>
      <c r="L14" s="89">
        <v>0.1782</v>
      </c>
      <c r="M14" s="89">
        <v>0.1782</v>
      </c>
      <c r="N14" s="89">
        <v>0.1782</v>
      </c>
      <c r="P14" s="121"/>
    </row>
    <row r="15" spans="2:16" s="88" customFormat="1" ht="11.25">
      <c r="B15" s="88" t="s">
        <v>38</v>
      </c>
      <c r="C15" s="89">
        <v>0</v>
      </c>
      <c r="D15" s="89">
        <v>0</v>
      </c>
      <c r="E15" s="89">
        <v>0</v>
      </c>
      <c r="F15" s="89">
        <v>0</v>
      </c>
      <c r="G15" s="89">
        <v>0</v>
      </c>
      <c r="H15" s="89">
        <v>0</v>
      </c>
      <c r="I15" s="89">
        <v>0</v>
      </c>
      <c r="J15" s="89">
        <v>0</v>
      </c>
      <c r="K15" s="89">
        <v>0</v>
      </c>
      <c r="L15" s="89">
        <v>0</v>
      </c>
      <c r="M15" s="89">
        <v>0</v>
      </c>
      <c r="N15" s="89">
        <v>0</v>
      </c>
      <c r="P15" s="121"/>
    </row>
    <row r="16" spans="2:16" s="88" customFormat="1" ht="11.25">
      <c r="B16" s="88" t="s">
        <v>39</v>
      </c>
      <c r="C16" s="89">
        <v>0.0165</v>
      </c>
      <c r="D16" s="89">
        <v>0.0165</v>
      </c>
      <c r="E16" s="89">
        <v>0.0165</v>
      </c>
      <c r="F16" s="89">
        <v>0.0165</v>
      </c>
      <c r="G16" s="89">
        <v>0.0165</v>
      </c>
      <c r="H16" s="89">
        <v>0.0165</v>
      </c>
      <c r="I16" s="89">
        <v>0.0165</v>
      </c>
      <c r="J16" s="89">
        <v>0.0165</v>
      </c>
      <c r="K16" s="89">
        <v>0.0165</v>
      </c>
      <c r="L16" s="89">
        <v>0.0165</v>
      </c>
      <c r="M16" s="89">
        <v>0.0165</v>
      </c>
      <c r="N16" s="89">
        <v>0.0165</v>
      </c>
      <c r="P16" s="121"/>
    </row>
    <row r="17" spans="2:16" s="88" customFormat="1" ht="11.25">
      <c r="B17" s="88" t="s">
        <v>40</v>
      </c>
      <c r="C17" s="89">
        <v>0.0449</v>
      </c>
      <c r="D17" s="89">
        <v>0.0449</v>
      </c>
      <c r="E17" s="89">
        <v>0.0449</v>
      </c>
      <c r="F17" s="89">
        <v>0.0449</v>
      </c>
      <c r="G17" s="89">
        <v>0.0449</v>
      </c>
      <c r="H17" s="89">
        <v>0.0449</v>
      </c>
      <c r="I17" s="89">
        <v>0.0449</v>
      </c>
      <c r="J17" s="89">
        <v>0.0449</v>
      </c>
      <c r="K17" s="89">
        <v>0.0449</v>
      </c>
      <c r="L17" s="89">
        <v>0.0449</v>
      </c>
      <c r="M17" s="89">
        <v>0.0449</v>
      </c>
      <c r="N17" s="89">
        <v>0.0449</v>
      </c>
      <c r="P17" s="121"/>
    </row>
    <row r="18" spans="2:16" s="88" customFormat="1" ht="11.25">
      <c r="B18" s="88" t="s">
        <v>41</v>
      </c>
      <c r="C18" s="89">
        <v>0.0075</v>
      </c>
      <c r="D18" s="89">
        <v>0.0075</v>
      </c>
      <c r="E18" s="89">
        <v>0.0075</v>
      </c>
      <c r="F18" s="89">
        <v>0.0075</v>
      </c>
      <c r="G18" s="89">
        <v>0.0075</v>
      </c>
      <c r="H18" s="89">
        <v>0.0075</v>
      </c>
      <c r="I18" s="89">
        <v>0.0075</v>
      </c>
      <c r="J18" s="89">
        <v>0.0075</v>
      </c>
      <c r="K18" s="89">
        <v>0.0075</v>
      </c>
      <c r="L18" s="89">
        <v>0.0075</v>
      </c>
      <c r="M18" s="89">
        <v>0.0075</v>
      </c>
      <c r="N18" s="89">
        <v>0.0075</v>
      </c>
      <c r="P18" s="121"/>
    </row>
    <row r="19" spans="2:16" s="88" customFormat="1" ht="11.25">
      <c r="B19" s="59" t="s">
        <v>42</v>
      </c>
      <c r="C19" s="89">
        <v>0</v>
      </c>
      <c r="D19" s="89">
        <v>0</v>
      </c>
      <c r="E19" s="89">
        <v>0</v>
      </c>
      <c r="F19" s="89">
        <v>0</v>
      </c>
      <c r="G19" s="89">
        <v>0</v>
      </c>
      <c r="H19" s="89">
        <v>0</v>
      </c>
      <c r="I19" s="89">
        <v>0</v>
      </c>
      <c r="J19" s="89">
        <v>0</v>
      </c>
      <c r="K19" s="89">
        <v>0</v>
      </c>
      <c r="L19" s="89">
        <v>0</v>
      </c>
      <c r="M19" s="89">
        <v>0</v>
      </c>
      <c r="N19" s="89">
        <v>0</v>
      </c>
      <c r="P19" s="121"/>
    </row>
    <row r="20" spans="2:16" s="88" customFormat="1" ht="11.25">
      <c r="B20" s="59" t="s">
        <v>21</v>
      </c>
      <c r="C20" s="89">
        <v>0.1768</v>
      </c>
      <c r="D20" s="89">
        <v>0.1768</v>
      </c>
      <c r="E20" s="89">
        <v>0.1768</v>
      </c>
      <c r="F20" s="89">
        <v>0.1768</v>
      </c>
      <c r="G20" s="89">
        <v>0.1768</v>
      </c>
      <c r="H20" s="89">
        <v>0.1768</v>
      </c>
      <c r="I20" s="89">
        <v>0.1768</v>
      </c>
      <c r="J20" s="89">
        <v>0.1768</v>
      </c>
      <c r="K20" s="89">
        <v>0.1768</v>
      </c>
      <c r="L20" s="89">
        <v>0.1768</v>
      </c>
      <c r="M20" s="89">
        <v>0.1768</v>
      </c>
      <c r="N20" s="89">
        <v>0.1768</v>
      </c>
      <c r="P20" s="121"/>
    </row>
    <row r="21" spans="2:16" s="88" customFormat="1" ht="11.25">
      <c r="B21" s="88" t="s">
        <v>43</v>
      </c>
      <c r="C21" s="89">
        <v>0</v>
      </c>
      <c r="D21" s="89">
        <v>0</v>
      </c>
      <c r="E21" s="89">
        <v>0</v>
      </c>
      <c r="F21" s="89">
        <v>0</v>
      </c>
      <c r="G21" s="89">
        <v>0</v>
      </c>
      <c r="H21" s="89">
        <v>0</v>
      </c>
      <c r="I21" s="89">
        <v>0</v>
      </c>
      <c r="J21" s="89">
        <v>0</v>
      </c>
      <c r="K21" s="89">
        <v>0</v>
      </c>
      <c r="L21" s="89">
        <v>0</v>
      </c>
      <c r="M21" s="89">
        <v>0</v>
      </c>
      <c r="N21" s="89">
        <v>0</v>
      </c>
      <c r="P21" s="121"/>
    </row>
    <row r="22" spans="2:16" s="88" customFormat="1" ht="11.25">
      <c r="B22" s="88" t="s">
        <v>44</v>
      </c>
      <c r="C22" s="89">
        <v>0.05930000000000013</v>
      </c>
      <c r="D22" s="89">
        <v>0.05930000000000013</v>
      </c>
      <c r="E22" s="89">
        <v>0.05930000000000013</v>
      </c>
      <c r="F22" s="89">
        <v>0.05930000000000013</v>
      </c>
      <c r="G22" s="89">
        <v>0.05930000000000013</v>
      </c>
      <c r="H22" s="89">
        <v>0.05930000000000013</v>
      </c>
      <c r="I22" s="89">
        <v>0.05930000000000013</v>
      </c>
      <c r="J22" s="89">
        <v>0.05930000000000013</v>
      </c>
      <c r="K22" s="89">
        <v>0.05930000000000013</v>
      </c>
      <c r="L22" s="89">
        <v>0.05930000000000013</v>
      </c>
      <c r="M22" s="89">
        <v>0.05930000000000013</v>
      </c>
      <c r="N22" s="89">
        <v>0.05930000000000013</v>
      </c>
      <c r="P22" s="121"/>
    </row>
    <row r="23" spans="2:16" s="88" customFormat="1" ht="11.25">
      <c r="B23" s="88" t="s">
        <v>45</v>
      </c>
      <c r="C23" s="90">
        <v>0.5168</v>
      </c>
      <c r="D23" s="89">
        <v>0.5168</v>
      </c>
      <c r="E23" s="89">
        <v>0.5168</v>
      </c>
      <c r="F23" s="89">
        <v>0.5168</v>
      </c>
      <c r="G23" s="89">
        <v>0.5168</v>
      </c>
      <c r="H23" s="89">
        <v>0.5168</v>
      </c>
      <c r="I23" s="89">
        <v>0.5168</v>
      </c>
      <c r="J23" s="89">
        <v>0.5168</v>
      </c>
      <c r="K23" s="89">
        <v>0.5168</v>
      </c>
      <c r="L23" s="89">
        <v>0.5168</v>
      </c>
      <c r="M23" s="89">
        <v>0.5168</v>
      </c>
      <c r="N23" s="89">
        <v>0.5168</v>
      </c>
      <c r="P23" s="121"/>
    </row>
    <row r="24" spans="3:16" ht="11.25">
      <c r="C24" s="91">
        <v>1</v>
      </c>
      <c r="D24" s="91">
        <v>1</v>
      </c>
      <c r="E24" s="91">
        <v>1</v>
      </c>
      <c r="F24" s="91">
        <v>1</v>
      </c>
      <c r="G24" s="91">
        <v>1</v>
      </c>
      <c r="H24" s="91">
        <v>1</v>
      </c>
      <c r="I24" s="91">
        <v>1</v>
      </c>
      <c r="J24" s="91">
        <v>1</v>
      </c>
      <c r="K24" s="91">
        <v>1</v>
      </c>
      <c r="L24" s="91">
        <v>1</v>
      </c>
      <c r="M24" s="91">
        <v>1</v>
      </c>
      <c r="N24" s="91">
        <v>1</v>
      </c>
      <c r="P24" s="121"/>
    </row>
    <row r="26" ht="11.25">
      <c r="A26" s="77" t="s">
        <v>46</v>
      </c>
    </row>
    <row r="27" spans="2:14" ht="11.25">
      <c r="B27" s="59" t="s">
        <v>23</v>
      </c>
      <c r="C27" s="69">
        <f aca="true" t="shared" si="3" ref="C27:N27">+C$10*C13</f>
        <v>0</v>
      </c>
      <c r="D27" s="69">
        <f t="shared" si="3"/>
        <v>0</v>
      </c>
      <c r="E27" s="69">
        <f t="shared" si="3"/>
        <v>0</v>
      </c>
      <c r="F27" s="69">
        <f t="shared" si="3"/>
        <v>0</v>
      </c>
      <c r="G27" s="69">
        <f t="shared" si="3"/>
        <v>0</v>
      </c>
      <c r="H27" s="69">
        <f t="shared" si="3"/>
        <v>0</v>
      </c>
      <c r="I27" s="69">
        <f t="shared" si="3"/>
        <v>0</v>
      </c>
      <c r="J27" s="69">
        <f t="shared" si="3"/>
        <v>0</v>
      </c>
      <c r="K27" s="69">
        <f t="shared" si="3"/>
        <v>0</v>
      </c>
      <c r="L27" s="69">
        <f t="shared" si="3"/>
        <v>0</v>
      </c>
      <c r="M27" s="69">
        <f t="shared" si="3"/>
        <v>0</v>
      </c>
      <c r="N27" s="69">
        <f t="shared" si="3"/>
        <v>0</v>
      </c>
    </row>
    <row r="28" spans="2:14" ht="11.25">
      <c r="B28" s="59" t="s">
        <v>27</v>
      </c>
      <c r="C28" s="69">
        <f aca="true" t="shared" si="4" ref="C28:N28">+C$10*C14</f>
        <v>111.047112</v>
      </c>
      <c r="D28" s="69">
        <f t="shared" si="4"/>
        <v>110.594484</v>
      </c>
      <c r="E28" s="69">
        <f t="shared" si="4"/>
        <v>115.584084</v>
      </c>
      <c r="F28" s="69">
        <f t="shared" si="4"/>
        <v>120.281436</v>
      </c>
      <c r="G28" s="69">
        <f t="shared" si="4"/>
        <v>98.04385800000001</v>
      </c>
      <c r="H28" s="69">
        <f t="shared" si="4"/>
        <v>117.093438</v>
      </c>
      <c r="I28" s="69">
        <f t="shared" si="4"/>
        <v>0</v>
      </c>
      <c r="J28" s="69">
        <f t="shared" si="4"/>
        <v>0</v>
      </c>
      <c r="K28" s="69">
        <f t="shared" si="4"/>
        <v>0</v>
      </c>
      <c r="L28" s="69">
        <f t="shared" si="4"/>
        <v>0</v>
      </c>
      <c r="M28" s="69">
        <f t="shared" si="4"/>
        <v>0</v>
      </c>
      <c r="N28" s="69">
        <f t="shared" si="4"/>
        <v>0</v>
      </c>
    </row>
    <row r="29" spans="2:14" ht="11.25">
      <c r="B29" s="59" t="s">
        <v>38</v>
      </c>
      <c r="C29" s="69">
        <f aca="true" t="shared" si="5" ref="C29:N29">+C$10*C15</f>
        <v>0</v>
      </c>
      <c r="D29" s="69">
        <f t="shared" si="5"/>
        <v>0</v>
      </c>
      <c r="E29" s="69">
        <f t="shared" si="5"/>
        <v>0</v>
      </c>
      <c r="F29" s="69">
        <f t="shared" si="5"/>
        <v>0</v>
      </c>
      <c r="G29" s="69">
        <f t="shared" si="5"/>
        <v>0</v>
      </c>
      <c r="H29" s="69">
        <f t="shared" si="5"/>
        <v>0</v>
      </c>
      <c r="I29" s="69">
        <f t="shared" si="5"/>
        <v>0</v>
      </c>
      <c r="J29" s="69">
        <f t="shared" si="5"/>
        <v>0</v>
      </c>
      <c r="K29" s="69">
        <f t="shared" si="5"/>
        <v>0</v>
      </c>
      <c r="L29" s="69">
        <f t="shared" si="5"/>
        <v>0</v>
      </c>
      <c r="M29" s="69">
        <f t="shared" si="5"/>
        <v>0</v>
      </c>
      <c r="N29" s="69">
        <f t="shared" si="5"/>
        <v>0</v>
      </c>
    </row>
    <row r="30" spans="2:14" ht="11.25">
      <c r="B30" s="59" t="s">
        <v>39</v>
      </c>
      <c r="C30" s="69">
        <f aca="true" t="shared" si="6" ref="C30:N30">+C$10*C16</f>
        <v>10.28214</v>
      </c>
      <c r="D30" s="69">
        <f t="shared" si="6"/>
        <v>10.24023</v>
      </c>
      <c r="E30" s="69">
        <f t="shared" si="6"/>
        <v>10.70223</v>
      </c>
      <c r="F30" s="69">
        <f t="shared" si="6"/>
        <v>11.137170000000001</v>
      </c>
      <c r="G30" s="69">
        <f t="shared" si="6"/>
        <v>9.078135000000001</v>
      </c>
      <c r="H30" s="69">
        <f t="shared" si="6"/>
        <v>10.841985000000001</v>
      </c>
      <c r="I30" s="69">
        <f t="shared" si="6"/>
        <v>0</v>
      </c>
      <c r="J30" s="69">
        <f t="shared" si="6"/>
        <v>0</v>
      </c>
      <c r="K30" s="69">
        <f t="shared" si="6"/>
        <v>0</v>
      </c>
      <c r="L30" s="69">
        <f t="shared" si="6"/>
        <v>0</v>
      </c>
      <c r="M30" s="69">
        <f t="shared" si="6"/>
        <v>0</v>
      </c>
      <c r="N30" s="69">
        <f t="shared" si="6"/>
        <v>0</v>
      </c>
    </row>
    <row r="31" spans="2:14" ht="11.25">
      <c r="B31" s="59" t="s">
        <v>40</v>
      </c>
      <c r="C31" s="69">
        <f aca="true" t="shared" si="7" ref="C31:N31">+C$10*C17</f>
        <v>27.979884</v>
      </c>
      <c r="D31" s="69">
        <f t="shared" si="7"/>
        <v>27.865838</v>
      </c>
      <c r="E31" s="69">
        <f t="shared" si="7"/>
        <v>29.123038</v>
      </c>
      <c r="F31" s="69">
        <f t="shared" si="7"/>
        <v>30.306602</v>
      </c>
      <c r="G31" s="69">
        <f t="shared" si="7"/>
        <v>24.703531000000005</v>
      </c>
      <c r="H31" s="69">
        <f t="shared" si="7"/>
        <v>29.503341000000002</v>
      </c>
      <c r="I31" s="69">
        <f t="shared" si="7"/>
        <v>0</v>
      </c>
      <c r="J31" s="69">
        <f t="shared" si="7"/>
        <v>0</v>
      </c>
      <c r="K31" s="69">
        <f t="shared" si="7"/>
        <v>0</v>
      </c>
      <c r="L31" s="69">
        <f t="shared" si="7"/>
        <v>0</v>
      </c>
      <c r="M31" s="69">
        <f t="shared" si="7"/>
        <v>0</v>
      </c>
      <c r="N31" s="69">
        <f t="shared" si="7"/>
        <v>0</v>
      </c>
    </row>
    <row r="32" spans="2:14" ht="11.25">
      <c r="B32" s="59" t="s">
        <v>41</v>
      </c>
      <c r="C32" s="69">
        <f aca="true" t="shared" si="8" ref="C32:N32">+C$10*C18</f>
        <v>4.673699999999999</v>
      </c>
      <c r="D32" s="69">
        <f t="shared" si="8"/>
        <v>4.65465</v>
      </c>
      <c r="E32" s="69">
        <f t="shared" si="8"/>
        <v>4.86465</v>
      </c>
      <c r="F32" s="69">
        <f t="shared" si="8"/>
        <v>5.06235</v>
      </c>
      <c r="G32" s="69">
        <f t="shared" si="8"/>
        <v>4.126425</v>
      </c>
      <c r="H32" s="69">
        <f t="shared" si="8"/>
        <v>4.928175</v>
      </c>
      <c r="I32" s="69">
        <f t="shared" si="8"/>
        <v>0</v>
      </c>
      <c r="J32" s="69">
        <f t="shared" si="8"/>
        <v>0</v>
      </c>
      <c r="K32" s="69">
        <f t="shared" si="8"/>
        <v>0</v>
      </c>
      <c r="L32" s="69">
        <f t="shared" si="8"/>
        <v>0</v>
      </c>
      <c r="M32" s="69">
        <f t="shared" si="8"/>
        <v>0</v>
      </c>
      <c r="N32" s="69">
        <f t="shared" si="8"/>
        <v>0</v>
      </c>
    </row>
    <row r="33" spans="2:14" ht="11.25">
      <c r="B33" s="59" t="s">
        <v>42</v>
      </c>
      <c r="C33" s="69">
        <f aca="true" t="shared" si="9" ref="C33:N33">+C$10*C19</f>
        <v>0</v>
      </c>
      <c r="D33" s="69">
        <f t="shared" si="9"/>
        <v>0</v>
      </c>
      <c r="E33" s="69">
        <f t="shared" si="9"/>
        <v>0</v>
      </c>
      <c r="F33" s="69">
        <f t="shared" si="9"/>
        <v>0</v>
      </c>
      <c r="G33" s="69">
        <f t="shared" si="9"/>
        <v>0</v>
      </c>
      <c r="H33" s="69">
        <f t="shared" si="9"/>
        <v>0</v>
      </c>
      <c r="I33" s="69">
        <f t="shared" si="9"/>
        <v>0</v>
      </c>
      <c r="J33" s="69">
        <f t="shared" si="9"/>
        <v>0</v>
      </c>
      <c r="K33" s="69">
        <f t="shared" si="9"/>
        <v>0</v>
      </c>
      <c r="L33" s="69">
        <f t="shared" si="9"/>
        <v>0</v>
      </c>
      <c r="M33" s="69">
        <f t="shared" si="9"/>
        <v>0</v>
      </c>
      <c r="N33" s="69">
        <f t="shared" si="9"/>
        <v>0</v>
      </c>
    </row>
    <row r="34" spans="2:14" ht="11.25">
      <c r="B34" s="59" t="s">
        <v>21</v>
      </c>
      <c r="C34" s="69">
        <f aca="true" t="shared" si="10" ref="C34:N34">+C$10*C20</f>
        <v>110.174688</v>
      </c>
      <c r="D34" s="69">
        <f t="shared" si="10"/>
        <v>109.725616</v>
      </c>
      <c r="E34" s="69">
        <f t="shared" si="10"/>
        <v>114.676016</v>
      </c>
      <c r="F34" s="69">
        <f t="shared" si="10"/>
        <v>119.336464</v>
      </c>
      <c r="G34" s="69">
        <f t="shared" si="10"/>
        <v>97.27359200000002</v>
      </c>
      <c r="H34" s="69">
        <f t="shared" si="10"/>
        <v>116.17351200000002</v>
      </c>
      <c r="I34" s="69">
        <f t="shared" si="10"/>
        <v>0</v>
      </c>
      <c r="J34" s="69">
        <f t="shared" si="10"/>
        <v>0</v>
      </c>
      <c r="K34" s="69">
        <f t="shared" si="10"/>
        <v>0</v>
      </c>
      <c r="L34" s="69">
        <f t="shared" si="10"/>
        <v>0</v>
      </c>
      <c r="M34" s="69">
        <f t="shared" si="10"/>
        <v>0</v>
      </c>
      <c r="N34" s="69">
        <f t="shared" si="10"/>
        <v>0</v>
      </c>
    </row>
    <row r="35" spans="2:14" ht="11.25">
      <c r="B35" s="59" t="s">
        <v>43</v>
      </c>
      <c r="C35" s="69">
        <f aca="true" t="shared" si="11" ref="C35:N35">+C$10*C21</f>
        <v>0</v>
      </c>
      <c r="D35" s="69">
        <f t="shared" si="11"/>
        <v>0</v>
      </c>
      <c r="E35" s="69">
        <f t="shared" si="11"/>
        <v>0</v>
      </c>
      <c r="F35" s="69">
        <f t="shared" si="11"/>
        <v>0</v>
      </c>
      <c r="G35" s="69">
        <f t="shared" si="11"/>
        <v>0</v>
      </c>
      <c r="H35" s="69">
        <f t="shared" si="11"/>
        <v>0</v>
      </c>
      <c r="I35" s="69">
        <f t="shared" si="11"/>
        <v>0</v>
      </c>
      <c r="J35" s="69">
        <f t="shared" si="11"/>
        <v>0</v>
      </c>
      <c r="K35" s="69">
        <f t="shared" si="11"/>
        <v>0</v>
      </c>
      <c r="L35" s="69">
        <f t="shared" si="11"/>
        <v>0</v>
      </c>
      <c r="M35" s="69">
        <f t="shared" si="11"/>
        <v>0</v>
      </c>
      <c r="N35" s="69">
        <f t="shared" si="11"/>
        <v>0</v>
      </c>
    </row>
    <row r="36" spans="2:14" ht="11.25">
      <c r="B36" s="59" t="s">
        <v>44</v>
      </c>
      <c r="C36" s="69">
        <f aca="true" t="shared" si="12" ref="C36:N36">+C$10*C22</f>
        <v>36.95338800000008</v>
      </c>
      <c r="D36" s="69">
        <f t="shared" si="12"/>
        <v>36.802766000000084</v>
      </c>
      <c r="E36" s="69">
        <f t="shared" si="12"/>
        <v>38.463166000000086</v>
      </c>
      <c r="F36" s="69">
        <f t="shared" si="12"/>
        <v>40.02631400000009</v>
      </c>
      <c r="G36" s="69">
        <f t="shared" si="12"/>
        <v>32.62626700000008</v>
      </c>
      <c r="H36" s="69">
        <f t="shared" si="12"/>
        <v>38.96543700000009</v>
      </c>
      <c r="I36" s="69">
        <f t="shared" si="12"/>
        <v>0</v>
      </c>
      <c r="J36" s="69">
        <f t="shared" si="12"/>
        <v>0</v>
      </c>
      <c r="K36" s="69">
        <f t="shared" si="12"/>
        <v>0</v>
      </c>
      <c r="L36" s="69">
        <f t="shared" si="12"/>
        <v>0</v>
      </c>
      <c r="M36" s="69">
        <f t="shared" si="12"/>
        <v>0</v>
      </c>
      <c r="N36" s="69">
        <f t="shared" si="12"/>
        <v>0</v>
      </c>
    </row>
    <row r="37" spans="2:14" ht="11.25">
      <c r="B37" s="59" t="s">
        <v>45</v>
      </c>
      <c r="C37" s="86">
        <f aca="true" t="shared" si="13" ref="C37:N37">+C$10*C23</f>
        <v>322.049088</v>
      </c>
      <c r="D37" s="86">
        <f t="shared" si="13"/>
        <v>320.736416</v>
      </c>
      <c r="E37" s="86">
        <f t="shared" si="13"/>
        <v>335.206816</v>
      </c>
      <c r="F37" s="86">
        <f t="shared" si="13"/>
        <v>348.82966400000004</v>
      </c>
      <c r="G37" s="86">
        <f t="shared" si="13"/>
        <v>284.33819200000005</v>
      </c>
      <c r="H37" s="86">
        <f t="shared" si="13"/>
        <v>339.58411200000006</v>
      </c>
      <c r="I37" s="86">
        <f t="shared" si="13"/>
        <v>0</v>
      </c>
      <c r="J37" s="86">
        <f t="shared" si="13"/>
        <v>0</v>
      </c>
      <c r="K37" s="86">
        <f t="shared" si="13"/>
        <v>0</v>
      </c>
      <c r="L37" s="86">
        <f t="shared" si="13"/>
        <v>0</v>
      </c>
      <c r="M37" s="86">
        <f t="shared" si="13"/>
        <v>0</v>
      </c>
      <c r="N37" s="86">
        <f t="shared" si="13"/>
        <v>0</v>
      </c>
    </row>
    <row r="38" spans="3:14" ht="11.25">
      <c r="C38" s="69">
        <f aca="true" t="shared" si="14" ref="C38:N38">SUM(C27:C37)</f>
        <v>623.1600000000001</v>
      </c>
      <c r="D38" s="69">
        <f t="shared" si="14"/>
        <v>620.6200000000001</v>
      </c>
      <c r="E38" s="69">
        <f t="shared" si="14"/>
        <v>648.6200000000001</v>
      </c>
      <c r="F38" s="69">
        <f t="shared" si="14"/>
        <v>674.9800000000001</v>
      </c>
      <c r="G38" s="69">
        <f t="shared" si="14"/>
        <v>550.1900000000003</v>
      </c>
      <c r="H38" s="69">
        <f t="shared" si="14"/>
        <v>657.0900000000001</v>
      </c>
      <c r="I38" s="69">
        <f>SUM(I27:I37)</f>
        <v>0</v>
      </c>
      <c r="J38" s="69">
        <f t="shared" si="14"/>
        <v>0</v>
      </c>
      <c r="K38" s="69">
        <f t="shared" si="14"/>
        <v>0</v>
      </c>
      <c r="L38" s="69">
        <f t="shared" si="14"/>
        <v>0</v>
      </c>
      <c r="M38" s="69">
        <f t="shared" si="14"/>
        <v>0</v>
      </c>
      <c r="N38" s="69">
        <f t="shared" si="14"/>
        <v>0</v>
      </c>
    </row>
    <row r="40" ht="11.25">
      <c r="A40" s="77" t="s">
        <v>47</v>
      </c>
    </row>
    <row r="41" spans="2:14" ht="11.25">
      <c r="B41" s="59" t="s">
        <v>23</v>
      </c>
      <c r="C41" s="92">
        <v>1</v>
      </c>
      <c r="D41" s="93">
        <v>1</v>
      </c>
      <c r="E41" s="93">
        <v>1</v>
      </c>
      <c r="F41" s="93">
        <v>1</v>
      </c>
      <c r="G41" s="93">
        <v>1</v>
      </c>
      <c r="H41" s="93">
        <v>1</v>
      </c>
      <c r="I41" s="93">
        <v>1</v>
      </c>
      <c r="J41" s="93">
        <v>1</v>
      </c>
      <c r="K41" s="93">
        <v>1</v>
      </c>
      <c r="L41" s="93">
        <v>1</v>
      </c>
      <c r="M41" s="93">
        <v>1</v>
      </c>
      <c r="N41" s="93">
        <v>1</v>
      </c>
    </row>
    <row r="42" spans="2:14" ht="11.25">
      <c r="B42" s="59" t="s">
        <v>27</v>
      </c>
      <c r="C42" s="92">
        <v>1</v>
      </c>
      <c r="D42" s="93">
        <v>1</v>
      </c>
      <c r="E42" s="93">
        <v>1</v>
      </c>
      <c r="F42" s="93">
        <v>1</v>
      </c>
      <c r="G42" s="93">
        <v>1</v>
      </c>
      <c r="H42" s="93">
        <v>1</v>
      </c>
      <c r="I42" s="93">
        <v>1</v>
      </c>
      <c r="J42" s="93">
        <v>1</v>
      </c>
      <c r="K42" s="93">
        <v>1</v>
      </c>
      <c r="L42" s="93">
        <v>1</v>
      </c>
      <c r="M42" s="93">
        <v>1</v>
      </c>
      <c r="N42" s="93">
        <v>1</v>
      </c>
    </row>
    <row r="43" spans="2:14" ht="11.25">
      <c r="B43" s="59" t="s">
        <v>38</v>
      </c>
      <c r="C43" s="92">
        <v>1</v>
      </c>
      <c r="D43" s="93">
        <v>1</v>
      </c>
      <c r="E43" s="93">
        <v>1</v>
      </c>
      <c r="F43" s="93">
        <v>1</v>
      </c>
      <c r="G43" s="93">
        <v>1</v>
      </c>
      <c r="H43" s="93">
        <v>1</v>
      </c>
      <c r="I43" s="93">
        <v>1</v>
      </c>
      <c r="J43" s="93">
        <v>1</v>
      </c>
      <c r="K43" s="93">
        <v>1</v>
      </c>
      <c r="L43" s="93">
        <v>1</v>
      </c>
      <c r="M43" s="93">
        <v>1</v>
      </c>
      <c r="N43" s="93">
        <v>1</v>
      </c>
    </row>
    <row r="44" spans="2:14" ht="11.25">
      <c r="B44" s="59" t="s">
        <v>39</v>
      </c>
      <c r="C44" s="92">
        <v>1</v>
      </c>
      <c r="D44" s="93">
        <v>1</v>
      </c>
      <c r="E44" s="93">
        <v>1</v>
      </c>
      <c r="F44" s="93">
        <v>1</v>
      </c>
      <c r="G44" s="93">
        <v>1</v>
      </c>
      <c r="H44" s="93">
        <v>1</v>
      </c>
      <c r="I44" s="93">
        <v>1</v>
      </c>
      <c r="J44" s="93">
        <v>1</v>
      </c>
      <c r="K44" s="93">
        <v>1</v>
      </c>
      <c r="L44" s="93">
        <v>1</v>
      </c>
      <c r="M44" s="93">
        <v>1</v>
      </c>
      <c r="N44" s="93">
        <v>1</v>
      </c>
    </row>
    <row r="45" spans="2:14" ht="11.25">
      <c r="B45" s="59" t="s">
        <v>40</v>
      </c>
      <c r="C45" s="92">
        <v>1</v>
      </c>
      <c r="D45" s="93">
        <v>1</v>
      </c>
      <c r="E45" s="93">
        <v>1</v>
      </c>
      <c r="F45" s="93">
        <v>1</v>
      </c>
      <c r="G45" s="93">
        <v>1</v>
      </c>
      <c r="H45" s="93">
        <v>1</v>
      </c>
      <c r="I45" s="93">
        <v>1</v>
      </c>
      <c r="J45" s="93">
        <v>1</v>
      </c>
      <c r="K45" s="93">
        <v>1</v>
      </c>
      <c r="L45" s="93">
        <v>1</v>
      </c>
      <c r="M45" s="93">
        <v>1</v>
      </c>
      <c r="N45" s="93">
        <v>1</v>
      </c>
    </row>
    <row r="46" spans="2:14" ht="11.25">
      <c r="B46" s="59" t="s">
        <v>41</v>
      </c>
      <c r="C46" s="92">
        <v>1</v>
      </c>
      <c r="D46" s="93">
        <v>1</v>
      </c>
      <c r="E46" s="93">
        <v>1</v>
      </c>
      <c r="F46" s="93">
        <v>1</v>
      </c>
      <c r="G46" s="93">
        <v>1</v>
      </c>
      <c r="H46" s="93">
        <v>1</v>
      </c>
      <c r="I46" s="93">
        <v>1</v>
      </c>
      <c r="J46" s="93">
        <v>1</v>
      </c>
      <c r="K46" s="93">
        <v>1</v>
      </c>
      <c r="L46" s="93">
        <v>1</v>
      </c>
      <c r="M46" s="93">
        <v>1</v>
      </c>
      <c r="N46" s="93">
        <v>1</v>
      </c>
    </row>
    <row r="47" spans="2:14" ht="11.25">
      <c r="B47" s="59" t="s">
        <v>42</v>
      </c>
      <c r="C47" s="92">
        <v>1</v>
      </c>
      <c r="D47" s="93">
        <v>1</v>
      </c>
      <c r="E47" s="93">
        <v>1</v>
      </c>
      <c r="F47" s="93">
        <v>1</v>
      </c>
      <c r="G47" s="93">
        <v>1</v>
      </c>
      <c r="H47" s="93">
        <v>1</v>
      </c>
      <c r="I47" s="93">
        <v>1</v>
      </c>
      <c r="J47" s="93">
        <v>1</v>
      </c>
      <c r="K47" s="93">
        <v>1</v>
      </c>
      <c r="L47" s="93">
        <v>1</v>
      </c>
      <c r="M47" s="93">
        <v>1</v>
      </c>
      <c r="N47" s="93">
        <v>1</v>
      </c>
    </row>
    <row r="48" spans="2:14" ht="11.25">
      <c r="B48" s="59" t="s">
        <v>21</v>
      </c>
      <c r="C48" s="92">
        <v>1</v>
      </c>
      <c r="D48" s="93">
        <v>1</v>
      </c>
      <c r="E48" s="93">
        <v>1</v>
      </c>
      <c r="F48" s="93">
        <v>1</v>
      </c>
      <c r="G48" s="93">
        <v>1</v>
      </c>
      <c r="H48" s="93">
        <v>1</v>
      </c>
      <c r="I48" s="93">
        <v>1</v>
      </c>
      <c r="J48" s="93">
        <v>1</v>
      </c>
      <c r="K48" s="93">
        <v>1</v>
      </c>
      <c r="L48" s="93">
        <v>1</v>
      </c>
      <c r="M48" s="93">
        <v>1</v>
      </c>
      <c r="N48" s="93">
        <v>1</v>
      </c>
    </row>
    <row r="49" spans="2:14" ht="11.25">
      <c r="B49" s="59" t="s">
        <v>43</v>
      </c>
      <c r="C49" s="92">
        <v>1</v>
      </c>
      <c r="D49" s="93">
        <v>1</v>
      </c>
      <c r="E49" s="93">
        <v>1</v>
      </c>
      <c r="F49" s="93">
        <v>1</v>
      </c>
      <c r="G49" s="93">
        <v>1</v>
      </c>
      <c r="H49" s="93">
        <v>1</v>
      </c>
      <c r="I49" s="93">
        <v>1</v>
      </c>
      <c r="J49" s="93">
        <v>1</v>
      </c>
      <c r="K49" s="93">
        <v>1</v>
      </c>
      <c r="L49" s="93">
        <v>1</v>
      </c>
      <c r="M49" s="93">
        <v>1</v>
      </c>
      <c r="N49" s="93">
        <v>1</v>
      </c>
    </row>
    <row r="50" spans="2:18" ht="12.75">
      <c r="B50" s="59" t="s">
        <v>44</v>
      </c>
      <c r="C50" s="92">
        <v>1</v>
      </c>
      <c r="D50" s="93">
        <v>1</v>
      </c>
      <c r="E50" s="93">
        <v>1</v>
      </c>
      <c r="F50" s="93">
        <v>1</v>
      </c>
      <c r="G50" s="93">
        <v>1</v>
      </c>
      <c r="H50" s="93">
        <v>1</v>
      </c>
      <c r="I50" s="93">
        <v>1</v>
      </c>
      <c r="J50" s="93">
        <v>1</v>
      </c>
      <c r="K50" s="93">
        <v>1</v>
      </c>
      <c r="L50" s="93">
        <v>1</v>
      </c>
      <c r="M50" s="93">
        <v>1</v>
      </c>
      <c r="N50" s="93">
        <v>1</v>
      </c>
      <c r="R50" s="131"/>
    </row>
    <row r="51" spans="3:18" ht="14.25" customHeight="1">
      <c r="C51" s="91"/>
      <c r="D51" s="93"/>
      <c r="E51" s="93"/>
      <c r="F51" s="93"/>
      <c r="G51" s="93"/>
      <c r="H51" s="93"/>
      <c r="I51" s="93"/>
      <c r="J51" s="93"/>
      <c r="K51" s="93"/>
      <c r="L51" s="93"/>
      <c r="M51" s="93"/>
      <c r="N51" s="93"/>
      <c r="P51" s="103"/>
      <c r="R51" s="131"/>
    </row>
    <row r="52" spans="1:18" ht="12.75">
      <c r="A52" s="59" t="s">
        <v>45</v>
      </c>
      <c r="C52" s="91">
        <f>+C65/C37</f>
        <v>0.9999999999999998</v>
      </c>
      <c r="D52" s="93">
        <v>1</v>
      </c>
      <c r="E52" s="93">
        <v>1</v>
      </c>
      <c r="F52" s="93">
        <v>1</v>
      </c>
      <c r="G52" s="93">
        <v>1</v>
      </c>
      <c r="H52" s="93">
        <v>1</v>
      </c>
      <c r="I52" s="93">
        <v>1</v>
      </c>
      <c r="J52" s="93">
        <v>1</v>
      </c>
      <c r="K52" s="93">
        <v>1</v>
      </c>
      <c r="L52" s="93">
        <v>1</v>
      </c>
      <c r="M52" s="93">
        <v>1</v>
      </c>
      <c r="N52" s="93">
        <v>1</v>
      </c>
      <c r="P52" s="52"/>
      <c r="R52" s="131"/>
    </row>
    <row r="53" spans="12:18" ht="12.75">
      <c r="L53" s="91"/>
      <c r="N53" s="93"/>
      <c r="P53" s="52"/>
      <c r="Q53" s="103"/>
      <c r="R53" s="131"/>
    </row>
    <row r="54" spans="1:18" ht="12.75">
      <c r="A54" s="77" t="s">
        <v>48</v>
      </c>
      <c r="L54" s="91"/>
      <c r="N54" s="93"/>
      <c r="P54" s="52"/>
      <c r="Q54" s="131"/>
      <c r="R54" s="131"/>
    </row>
    <row r="55" spans="2:18" ht="12.75">
      <c r="B55" s="59" t="s">
        <v>23</v>
      </c>
      <c r="C55" s="69">
        <f aca="true" t="shared" si="15" ref="C55:N55">+C27*C41</f>
        <v>0</v>
      </c>
      <c r="D55" s="69">
        <f t="shared" si="15"/>
        <v>0</v>
      </c>
      <c r="E55" s="69">
        <f t="shared" si="15"/>
        <v>0</v>
      </c>
      <c r="F55" s="69">
        <f t="shared" si="15"/>
        <v>0</v>
      </c>
      <c r="G55" s="69">
        <f t="shared" si="15"/>
        <v>0</v>
      </c>
      <c r="H55" s="69">
        <f t="shared" si="15"/>
        <v>0</v>
      </c>
      <c r="I55" s="69">
        <f>+I27*I41</f>
        <v>0</v>
      </c>
      <c r="J55" s="69">
        <f t="shared" si="15"/>
        <v>0</v>
      </c>
      <c r="K55" s="69">
        <f t="shared" si="15"/>
        <v>0</v>
      </c>
      <c r="L55" s="69">
        <f t="shared" si="15"/>
        <v>0</v>
      </c>
      <c r="M55" s="69">
        <f t="shared" si="15"/>
        <v>0</v>
      </c>
      <c r="N55" s="69">
        <f t="shared" si="15"/>
        <v>0</v>
      </c>
      <c r="P55" s="52"/>
      <c r="Q55" s="131"/>
      <c r="R55" s="131"/>
    </row>
    <row r="56" spans="2:18" ht="12.75">
      <c r="B56" s="59" t="s">
        <v>27</v>
      </c>
      <c r="C56" s="69">
        <f aca="true" t="shared" si="16" ref="C56:N56">+C28*C42</f>
        <v>111.047112</v>
      </c>
      <c r="D56" s="69">
        <f t="shared" si="16"/>
        <v>110.594484</v>
      </c>
      <c r="E56" s="69">
        <f t="shared" si="16"/>
        <v>115.584084</v>
      </c>
      <c r="F56" s="69">
        <f t="shared" si="16"/>
        <v>120.281436</v>
      </c>
      <c r="G56" s="69">
        <f t="shared" si="16"/>
        <v>98.04385800000001</v>
      </c>
      <c r="H56" s="69">
        <f t="shared" si="16"/>
        <v>117.093438</v>
      </c>
      <c r="I56" s="69">
        <f>+I28*I42</f>
        <v>0</v>
      </c>
      <c r="J56" s="69">
        <f t="shared" si="16"/>
        <v>0</v>
      </c>
      <c r="K56" s="69">
        <f t="shared" si="16"/>
        <v>0</v>
      </c>
      <c r="L56" s="69">
        <f t="shared" si="16"/>
        <v>0</v>
      </c>
      <c r="M56" s="69">
        <f t="shared" si="16"/>
        <v>0</v>
      </c>
      <c r="N56" s="69">
        <f t="shared" si="16"/>
        <v>0</v>
      </c>
      <c r="P56" s="52"/>
      <c r="Q56" s="131"/>
      <c r="R56" s="131"/>
    </row>
    <row r="57" spans="2:18" ht="12.75">
      <c r="B57" s="59" t="s">
        <v>38</v>
      </c>
      <c r="C57" s="69">
        <f aca="true" t="shared" si="17" ref="C57:N57">+C29*C43</f>
        <v>0</v>
      </c>
      <c r="D57" s="69">
        <f t="shared" si="17"/>
        <v>0</v>
      </c>
      <c r="E57" s="69">
        <f t="shared" si="17"/>
        <v>0</v>
      </c>
      <c r="F57" s="69">
        <f t="shared" si="17"/>
        <v>0</v>
      </c>
      <c r="G57" s="69">
        <f t="shared" si="17"/>
        <v>0</v>
      </c>
      <c r="H57" s="69">
        <f t="shared" si="17"/>
        <v>0</v>
      </c>
      <c r="I57" s="69">
        <f t="shared" si="17"/>
        <v>0</v>
      </c>
      <c r="J57" s="69">
        <f t="shared" si="17"/>
        <v>0</v>
      </c>
      <c r="K57" s="69">
        <f t="shared" si="17"/>
        <v>0</v>
      </c>
      <c r="L57" s="69">
        <f t="shared" si="17"/>
        <v>0</v>
      </c>
      <c r="M57" s="69">
        <f t="shared" si="17"/>
        <v>0</v>
      </c>
      <c r="N57" s="69">
        <f t="shared" si="17"/>
        <v>0</v>
      </c>
      <c r="P57" s="52"/>
      <c r="Q57" s="131"/>
      <c r="R57" s="131"/>
    </row>
    <row r="58" spans="2:17" ht="12.75">
      <c r="B58" s="59" t="s">
        <v>39</v>
      </c>
      <c r="C58" s="69">
        <f aca="true" t="shared" si="18" ref="C58:N58">+C30*C44</f>
        <v>10.28214</v>
      </c>
      <c r="D58" s="69">
        <f t="shared" si="18"/>
        <v>10.24023</v>
      </c>
      <c r="E58" s="69">
        <f t="shared" si="18"/>
        <v>10.70223</v>
      </c>
      <c r="F58" s="69">
        <f t="shared" si="18"/>
        <v>11.137170000000001</v>
      </c>
      <c r="G58" s="69">
        <f t="shared" si="18"/>
        <v>9.078135000000001</v>
      </c>
      <c r="H58" s="69">
        <f t="shared" si="18"/>
        <v>10.841985000000001</v>
      </c>
      <c r="I58" s="69">
        <f t="shared" si="18"/>
        <v>0</v>
      </c>
      <c r="J58" s="69">
        <f t="shared" si="18"/>
        <v>0</v>
      </c>
      <c r="K58" s="69">
        <f t="shared" si="18"/>
        <v>0</v>
      </c>
      <c r="L58" s="69">
        <f t="shared" si="18"/>
        <v>0</v>
      </c>
      <c r="M58" s="69">
        <f t="shared" si="18"/>
        <v>0</v>
      </c>
      <c r="N58" s="69">
        <f t="shared" si="18"/>
        <v>0</v>
      </c>
      <c r="P58" s="52"/>
      <c r="Q58" s="131"/>
    </row>
    <row r="59" spans="2:17" ht="12.75">
      <c r="B59" s="59" t="s">
        <v>40</v>
      </c>
      <c r="C59" s="69">
        <f aca="true" t="shared" si="19" ref="C59:N59">+C31*C45</f>
        <v>27.979884</v>
      </c>
      <c r="D59" s="69">
        <f t="shared" si="19"/>
        <v>27.865838</v>
      </c>
      <c r="E59" s="69">
        <f t="shared" si="19"/>
        <v>29.123038</v>
      </c>
      <c r="F59" s="69">
        <f t="shared" si="19"/>
        <v>30.306602</v>
      </c>
      <c r="G59" s="69">
        <f t="shared" si="19"/>
        <v>24.703531000000005</v>
      </c>
      <c r="H59" s="69">
        <f t="shared" si="19"/>
        <v>29.503341000000002</v>
      </c>
      <c r="I59" s="69">
        <f>+I31*I45</f>
        <v>0</v>
      </c>
      <c r="J59" s="69">
        <f t="shared" si="19"/>
        <v>0</v>
      </c>
      <c r="K59" s="69">
        <f t="shared" si="19"/>
        <v>0</v>
      </c>
      <c r="L59" s="69">
        <f t="shared" si="19"/>
        <v>0</v>
      </c>
      <c r="M59" s="69">
        <f t="shared" si="19"/>
        <v>0</v>
      </c>
      <c r="N59" s="69">
        <f t="shared" si="19"/>
        <v>0</v>
      </c>
      <c r="P59" s="52"/>
      <c r="Q59" s="131"/>
    </row>
    <row r="60" spans="2:17" ht="12.75">
      <c r="B60" s="59" t="s">
        <v>41</v>
      </c>
      <c r="C60" s="94">
        <f aca="true" t="shared" si="20" ref="C60:N60">+C32*C46</f>
        <v>4.673699999999999</v>
      </c>
      <c r="D60" s="94">
        <f t="shared" si="20"/>
        <v>4.65465</v>
      </c>
      <c r="E60" s="94">
        <f t="shared" si="20"/>
        <v>4.86465</v>
      </c>
      <c r="F60" s="94">
        <f t="shared" si="20"/>
        <v>5.06235</v>
      </c>
      <c r="G60" s="94">
        <f t="shared" si="20"/>
        <v>4.126425</v>
      </c>
      <c r="H60" s="94">
        <f t="shared" si="20"/>
        <v>4.928175</v>
      </c>
      <c r="I60" s="94">
        <f>+I32*I46</f>
        <v>0</v>
      </c>
      <c r="J60" s="94">
        <f t="shared" si="20"/>
        <v>0</v>
      </c>
      <c r="K60" s="94">
        <f t="shared" si="20"/>
        <v>0</v>
      </c>
      <c r="L60" s="94">
        <f t="shared" si="20"/>
        <v>0</v>
      </c>
      <c r="M60" s="94">
        <f t="shared" si="20"/>
        <v>0</v>
      </c>
      <c r="N60" s="94">
        <f t="shared" si="20"/>
        <v>0</v>
      </c>
      <c r="P60" s="52"/>
      <c r="Q60" s="131"/>
    </row>
    <row r="61" spans="2:17" ht="12.75">
      <c r="B61" s="59" t="s">
        <v>42</v>
      </c>
      <c r="C61" s="69">
        <f aca="true" t="shared" si="21" ref="C61:N61">+C33*C47</f>
        <v>0</v>
      </c>
      <c r="D61" s="69">
        <f t="shared" si="21"/>
        <v>0</v>
      </c>
      <c r="E61" s="69">
        <f t="shared" si="21"/>
        <v>0</v>
      </c>
      <c r="F61" s="69">
        <f t="shared" si="21"/>
        <v>0</v>
      </c>
      <c r="G61" s="69">
        <f t="shared" si="21"/>
        <v>0</v>
      </c>
      <c r="H61" s="69">
        <f t="shared" si="21"/>
        <v>0</v>
      </c>
      <c r="I61" s="69">
        <f t="shared" si="21"/>
        <v>0</v>
      </c>
      <c r="J61" s="69">
        <f t="shared" si="21"/>
        <v>0</v>
      </c>
      <c r="K61" s="69">
        <f t="shared" si="21"/>
        <v>0</v>
      </c>
      <c r="L61" s="69">
        <f t="shared" si="21"/>
        <v>0</v>
      </c>
      <c r="M61" s="69">
        <f t="shared" si="21"/>
        <v>0</v>
      </c>
      <c r="N61" s="69">
        <f t="shared" si="21"/>
        <v>0</v>
      </c>
      <c r="P61" s="52"/>
      <c r="Q61" s="131"/>
    </row>
    <row r="62" spans="2:14" ht="11.25">
      <c r="B62" s="59" t="s">
        <v>35</v>
      </c>
      <c r="C62" s="69">
        <f aca="true" t="shared" si="22" ref="C62:N62">+C34*C48</f>
        <v>110.174688</v>
      </c>
      <c r="D62" s="69">
        <f t="shared" si="22"/>
        <v>109.725616</v>
      </c>
      <c r="E62" s="69">
        <f t="shared" si="22"/>
        <v>114.676016</v>
      </c>
      <c r="F62" s="69">
        <f t="shared" si="22"/>
        <v>119.336464</v>
      </c>
      <c r="G62" s="69">
        <f t="shared" si="22"/>
        <v>97.27359200000002</v>
      </c>
      <c r="H62" s="69">
        <f t="shared" si="22"/>
        <v>116.17351200000002</v>
      </c>
      <c r="I62" s="69">
        <f t="shared" si="22"/>
        <v>0</v>
      </c>
      <c r="J62" s="69">
        <f t="shared" si="22"/>
        <v>0</v>
      </c>
      <c r="K62" s="69">
        <f t="shared" si="22"/>
        <v>0</v>
      </c>
      <c r="L62" s="69">
        <f t="shared" si="22"/>
        <v>0</v>
      </c>
      <c r="M62" s="69">
        <f t="shared" si="22"/>
        <v>0</v>
      </c>
      <c r="N62" s="69">
        <f t="shared" si="22"/>
        <v>0</v>
      </c>
    </row>
    <row r="63" spans="2:14" ht="11.25">
      <c r="B63" s="59" t="s">
        <v>43</v>
      </c>
      <c r="C63" s="69">
        <f aca="true" t="shared" si="23" ref="C63:N63">+C35*C49</f>
        <v>0</v>
      </c>
      <c r="D63" s="69">
        <f t="shared" si="23"/>
        <v>0</v>
      </c>
      <c r="E63" s="69">
        <f t="shared" si="23"/>
        <v>0</v>
      </c>
      <c r="F63" s="69">
        <f t="shared" si="23"/>
        <v>0</v>
      </c>
      <c r="G63" s="69">
        <f t="shared" si="23"/>
        <v>0</v>
      </c>
      <c r="H63" s="69">
        <f t="shared" si="23"/>
        <v>0</v>
      </c>
      <c r="I63" s="69">
        <f t="shared" si="23"/>
        <v>0</v>
      </c>
      <c r="J63" s="69">
        <f t="shared" si="23"/>
        <v>0</v>
      </c>
      <c r="K63" s="69">
        <f t="shared" si="23"/>
        <v>0</v>
      </c>
      <c r="L63" s="69">
        <f t="shared" si="23"/>
        <v>0</v>
      </c>
      <c r="M63" s="69">
        <f t="shared" si="23"/>
        <v>0</v>
      </c>
      <c r="N63" s="69">
        <f t="shared" si="23"/>
        <v>0</v>
      </c>
    </row>
    <row r="64" spans="2:14" ht="11.25">
      <c r="B64" s="59" t="s">
        <v>44</v>
      </c>
      <c r="C64" s="69">
        <f aca="true" t="shared" si="24" ref="C64:N64">+C36*C50</f>
        <v>36.95338800000008</v>
      </c>
      <c r="D64" s="69">
        <f t="shared" si="24"/>
        <v>36.802766000000084</v>
      </c>
      <c r="E64" s="69">
        <f t="shared" si="24"/>
        <v>38.463166000000086</v>
      </c>
      <c r="F64" s="69">
        <f t="shared" si="24"/>
        <v>40.02631400000009</v>
      </c>
      <c r="G64" s="69">
        <f t="shared" si="24"/>
        <v>32.62626700000008</v>
      </c>
      <c r="H64" s="69">
        <f t="shared" si="24"/>
        <v>38.96543700000009</v>
      </c>
      <c r="I64" s="69">
        <f t="shared" si="24"/>
        <v>0</v>
      </c>
      <c r="J64" s="69">
        <f t="shared" si="24"/>
        <v>0</v>
      </c>
      <c r="K64" s="69">
        <f t="shared" si="24"/>
        <v>0</v>
      </c>
      <c r="L64" s="69">
        <f t="shared" si="24"/>
        <v>0</v>
      </c>
      <c r="M64" s="69">
        <f t="shared" si="24"/>
        <v>0</v>
      </c>
      <c r="N64" s="69">
        <f t="shared" si="24"/>
        <v>0</v>
      </c>
    </row>
    <row r="65" spans="2:14" ht="11.25">
      <c r="B65" s="59" t="s">
        <v>45</v>
      </c>
      <c r="C65" s="86">
        <f aca="true" t="shared" si="25" ref="C65:N65">+C7-SUM(C55:C64)</f>
        <v>322.0490879999999</v>
      </c>
      <c r="D65" s="86">
        <f t="shared" si="25"/>
        <v>320.7364159999999</v>
      </c>
      <c r="E65" s="86">
        <f t="shared" si="25"/>
        <v>335.2068159999999</v>
      </c>
      <c r="F65" s="86">
        <f t="shared" si="25"/>
        <v>348.8296639999999</v>
      </c>
      <c r="G65" s="86">
        <f t="shared" si="25"/>
        <v>284.3381919999999</v>
      </c>
      <c r="H65" s="86">
        <f t="shared" si="25"/>
        <v>339.5841119999999</v>
      </c>
      <c r="I65" s="86">
        <f t="shared" si="25"/>
        <v>0</v>
      </c>
      <c r="J65" s="86">
        <f t="shared" si="25"/>
        <v>0</v>
      </c>
      <c r="K65" s="86">
        <f t="shared" si="25"/>
        <v>0</v>
      </c>
      <c r="L65" s="86">
        <f t="shared" si="25"/>
        <v>0</v>
      </c>
      <c r="M65" s="86">
        <f t="shared" si="25"/>
        <v>0</v>
      </c>
      <c r="N65" s="86">
        <f t="shared" si="25"/>
        <v>0</v>
      </c>
    </row>
    <row r="66" spans="3:14" ht="13.5" customHeight="1">
      <c r="C66" s="69">
        <f aca="true" t="shared" si="26" ref="C66:N66">SUM(C55:C65)</f>
        <v>623.16</v>
      </c>
      <c r="D66" s="69">
        <f t="shared" si="26"/>
        <v>620.62</v>
      </c>
      <c r="E66" s="69">
        <f t="shared" si="26"/>
        <v>648.62</v>
      </c>
      <c r="F66" s="69">
        <f t="shared" si="26"/>
        <v>674.98</v>
      </c>
      <c r="G66" s="69">
        <f t="shared" si="26"/>
        <v>550.19</v>
      </c>
      <c r="H66" s="69">
        <f t="shared" si="26"/>
        <v>657.09</v>
      </c>
      <c r="I66" s="69">
        <f t="shared" si="26"/>
        <v>0</v>
      </c>
      <c r="J66" s="69">
        <f t="shared" si="26"/>
        <v>0</v>
      </c>
      <c r="K66" s="69">
        <f t="shared" si="26"/>
        <v>0</v>
      </c>
      <c r="L66" s="69">
        <f t="shared" si="26"/>
        <v>0</v>
      </c>
      <c r="M66" s="69">
        <f t="shared" si="26"/>
        <v>0</v>
      </c>
      <c r="N66" s="69">
        <f t="shared" si="26"/>
        <v>0</v>
      </c>
    </row>
    <row r="67" spans="16:20" ht="9.75" customHeight="1">
      <c r="P67" s="128" t="s">
        <v>75</v>
      </c>
      <c r="S67" s="132" t="s">
        <v>69</v>
      </c>
      <c r="T67" s="62" t="s">
        <v>67</v>
      </c>
    </row>
    <row r="68" spans="1:21" ht="12.75">
      <c r="A68" s="95" t="s">
        <v>49</v>
      </c>
      <c r="P68" s="128" t="s">
        <v>73</v>
      </c>
      <c r="R68" s="59" t="s">
        <v>68</v>
      </c>
      <c r="S68" s="59" t="s">
        <v>78</v>
      </c>
      <c r="T68" s="122" t="str">
        <f>TEXT(C6,"mm/yy")&amp;" - "&amp;TEXT(N6,"mm/yy")</f>
        <v>05/18 - 04/19</v>
      </c>
      <c r="U68" s="59" t="s">
        <v>76</v>
      </c>
    </row>
    <row r="69" spans="2:21" ht="12">
      <c r="B69" s="59" t="s">
        <v>23</v>
      </c>
      <c r="C69" s="142"/>
      <c r="D69" s="142"/>
      <c r="E69" s="142"/>
      <c r="F69" s="142"/>
      <c r="G69" s="143"/>
      <c r="H69" s="143"/>
      <c r="I69" s="142"/>
      <c r="J69" s="142"/>
      <c r="K69" s="142"/>
      <c r="L69" s="144"/>
      <c r="M69" s="144"/>
      <c r="N69" s="144"/>
      <c r="P69" s="129" t="e">
        <f>AVERAGE(C69:N69)</f>
        <v>#DIV/0!</v>
      </c>
      <c r="R69" s="59" t="str">
        <f>+B69</f>
        <v>ONP</v>
      </c>
      <c r="S69" s="123">
        <f>'[8]Single Family'!$N$69*'[8]Single Family'!$N$13</f>
        <v>13.35789</v>
      </c>
      <c r="T69" s="124" t="e">
        <f>P69*N13</f>
        <v>#DIV/0!</v>
      </c>
      <c r="U69" s="100" t="e">
        <f>+T69-S69</f>
        <v>#DIV/0!</v>
      </c>
    </row>
    <row r="70" spans="2:21" ht="12">
      <c r="B70" s="59" t="s">
        <v>27</v>
      </c>
      <c r="C70" s="142">
        <v>43.519999999999996</v>
      </c>
      <c r="D70" s="142">
        <v>60.11</v>
      </c>
      <c r="E70" s="142">
        <v>68.38</v>
      </c>
      <c r="F70" s="142">
        <v>60.64</v>
      </c>
      <c r="G70" s="143">
        <v>63.85</v>
      </c>
      <c r="H70" s="143">
        <v>71.68</v>
      </c>
      <c r="I70" s="142"/>
      <c r="J70" s="142"/>
      <c r="K70" s="142"/>
      <c r="L70" s="142"/>
      <c r="M70" s="142"/>
      <c r="N70" s="142"/>
      <c r="P70" s="129">
        <f>AVERAGE(C70:N70)</f>
        <v>61.36333333333334</v>
      </c>
      <c r="R70" s="59" t="str">
        <f aca="true" t="shared" si="27" ref="R70:R79">+B70</f>
        <v>OCC</v>
      </c>
      <c r="S70" s="123">
        <f>'[8]Single Family'!$N$70*'[8]Single Family'!$N$14</f>
        <v>16.3958256</v>
      </c>
      <c r="T70" s="124">
        <f>P70*N14</f>
        <v>10.934946</v>
      </c>
      <c r="U70" s="100">
        <f aca="true" t="shared" si="28" ref="U70:U80">+T70-S70</f>
        <v>-5.460879599999998</v>
      </c>
    </row>
    <row r="71" spans="2:21" ht="12">
      <c r="B71" s="59" t="s">
        <v>38</v>
      </c>
      <c r="C71" s="142"/>
      <c r="D71" s="142"/>
      <c r="E71" s="142"/>
      <c r="F71" s="142"/>
      <c r="G71" s="143"/>
      <c r="H71" s="143"/>
      <c r="I71" s="142"/>
      <c r="J71" s="142"/>
      <c r="K71" s="142"/>
      <c r="L71" s="142"/>
      <c r="M71" s="142"/>
      <c r="N71" s="142"/>
      <c r="P71" s="129" t="e">
        <f aca="true" t="shared" si="29" ref="P71:P79">AVERAGE(C71:N71)</f>
        <v>#DIV/0!</v>
      </c>
      <c r="R71" s="59" t="str">
        <f t="shared" si="27"/>
        <v>Magazines</v>
      </c>
      <c r="S71" s="123">
        <v>0</v>
      </c>
      <c r="T71" s="124" t="e">
        <f aca="true" t="shared" si="30" ref="T71:T79">P71*N15</f>
        <v>#DIV/0!</v>
      </c>
      <c r="U71" s="100" t="e">
        <f t="shared" si="28"/>
        <v>#DIV/0!</v>
      </c>
    </row>
    <row r="72" spans="2:21" ht="12">
      <c r="B72" s="59" t="s">
        <v>39</v>
      </c>
      <c r="C72" s="142">
        <v>90.64</v>
      </c>
      <c r="D72" s="142">
        <v>93.07</v>
      </c>
      <c r="E72" s="142">
        <v>91.06</v>
      </c>
      <c r="F72" s="142">
        <v>61.85</v>
      </c>
      <c r="G72" s="143">
        <v>69.65</v>
      </c>
      <c r="H72" s="143">
        <v>78.18</v>
      </c>
      <c r="I72" s="142"/>
      <c r="J72" s="142"/>
      <c r="K72" s="142"/>
      <c r="L72" s="142"/>
      <c r="M72" s="142"/>
      <c r="N72" s="142"/>
      <c r="P72" s="129">
        <f t="shared" si="29"/>
        <v>80.74166666666666</v>
      </c>
      <c r="R72" s="59" t="str">
        <f t="shared" si="27"/>
        <v>Tin</v>
      </c>
      <c r="S72" s="123">
        <f>'[8]Single Family'!$N$72*'[8]Single Family'!$N$16</f>
        <v>0.8831129999999999</v>
      </c>
      <c r="T72" s="124">
        <f t="shared" si="30"/>
        <v>1.3322375</v>
      </c>
      <c r="U72" s="100">
        <f t="shared" si="28"/>
        <v>0.44912450000000004</v>
      </c>
    </row>
    <row r="73" spans="2:21" ht="12">
      <c r="B73" s="59" t="s">
        <v>40</v>
      </c>
      <c r="C73" s="142">
        <v>100.47</v>
      </c>
      <c r="D73" s="142">
        <v>87.96</v>
      </c>
      <c r="E73" s="142">
        <v>109.23</v>
      </c>
      <c r="F73" s="142">
        <v>168.5</v>
      </c>
      <c r="G73" s="143">
        <v>78.83</v>
      </c>
      <c r="H73" s="143">
        <v>75.26</v>
      </c>
      <c r="I73" s="142"/>
      <c r="J73" s="142"/>
      <c r="K73" s="142"/>
      <c r="L73" s="142"/>
      <c r="M73" s="142"/>
      <c r="N73" s="142"/>
      <c r="P73" s="129">
        <f t="shared" si="29"/>
        <v>103.375</v>
      </c>
      <c r="R73" s="59" t="str">
        <f t="shared" si="27"/>
        <v>Plastic</v>
      </c>
      <c r="S73" s="123">
        <f>'[8]Single Family'!$N$73*'[8]Single Family'!$N$17</f>
        <v>4.613924000000001</v>
      </c>
      <c r="T73" s="124">
        <f t="shared" si="30"/>
        <v>4.6415375</v>
      </c>
      <c r="U73" s="100">
        <f t="shared" si="28"/>
        <v>0.02761349999999929</v>
      </c>
    </row>
    <row r="74" spans="2:21" ht="12">
      <c r="B74" s="59" t="s">
        <v>41</v>
      </c>
      <c r="C74" s="142">
        <v>1082.85</v>
      </c>
      <c r="D74" s="142">
        <v>1119.26</v>
      </c>
      <c r="E74" s="142">
        <v>1065.13</v>
      </c>
      <c r="F74" s="142">
        <v>1065.13</v>
      </c>
      <c r="G74" s="143">
        <v>940.58</v>
      </c>
      <c r="H74" s="143">
        <v>918.23</v>
      </c>
      <c r="I74" s="142"/>
      <c r="J74" s="142"/>
      <c r="K74" s="142"/>
      <c r="L74" s="142"/>
      <c r="M74" s="142"/>
      <c r="N74" s="142"/>
      <c r="P74" s="129">
        <f t="shared" si="29"/>
        <v>1031.8633333333335</v>
      </c>
      <c r="R74" s="59" t="str">
        <f t="shared" si="27"/>
        <v>Aluminum</v>
      </c>
      <c r="S74" s="123">
        <f>'[8]Single Family'!$N$74*'[8]Single Family'!$N$18</f>
        <v>5.7225</v>
      </c>
      <c r="T74" s="124">
        <f t="shared" si="30"/>
        <v>7.738975000000001</v>
      </c>
      <c r="U74" s="100">
        <f t="shared" si="28"/>
        <v>2.0164750000000007</v>
      </c>
    </row>
    <row r="75" spans="2:21" ht="12">
      <c r="B75" s="59" t="s">
        <v>42</v>
      </c>
      <c r="C75" s="142"/>
      <c r="D75" s="142"/>
      <c r="E75" s="142"/>
      <c r="F75" s="142"/>
      <c r="G75" s="143"/>
      <c r="H75" s="143"/>
      <c r="I75" s="142"/>
      <c r="J75" s="142"/>
      <c r="K75" s="142"/>
      <c r="L75" s="142"/>
      <c r="M75" s="142"/>
      <c r="N75" s="142"/>
      <c r="P75" s="129" t="e">
        <f t="shared" si="29"/>
        <v>#DIV/0!</v>
      </c>
      <c r="R75" s="59" t="str">
        <f t="shared" si="27"/>
        <v>Ferris Metal</v>
      </c>
      <c r="S75" s="123">
        <v>0</v>
      </c>
      <c r="T75" s="124" t="e">
        <f t="shared" si="30"/>
        <v>#DIV/0!</v>
      </c>
      <c r="U75" s="100" t="e">
        <f t="shared" si="28"/>
        <v>#DIV/0!</v>
      </c>
    </row>
    <row r="76" spans="2:21" ht="12">
      <c r="B76" s="59" t="s">
        <v>35</v>
      </c>
      <c r="C76" s="142">
        <v>-25.26</v>
      </c>
      <c r="D76" s="142">
        <v>-19.13</v>
      </c>
      <c r="E76" s="142">
        <v>-3.5700000000000003</v>
      </c>
      <c r="F76" s="142">
        <v>0.74</v>
      </c>
      <c r="G76" s="143">
        <v>-14.63</v>
      </c>
      <c r="H76" s="143">
        <v>-16.67</v>
      </c>
      <c r="I76" s="142"/>
      <c r="J76" s="142"/>
      <c r="K76" s="142"/>
      <c r="L76" s="142"/>
      <c r="M76" s="142"/>
      <c r="N76" s="142"/>
      <c r="P76" s="129">
        <f t="shared" si="29"/>
        <v>-13.086666666666668</v>
      </c>
      <c r="R76" s="59" t="str">
        <f t="shared" si="27"/>
        <v>Sorted Glass</v>
      </c>
      <c r="S76" s="123">
        <f>'[8]Single Family'!$N$76*'[8]Single Family'!$N$20</f>
        <v>-1.177488</v>
      </c>
      <c r="T76" s="124">
        <f t="shared" si="30"/>
        <v>-2.313722666666667</v>
      </c>
      <c r="U76" s="100">
        <f t="shared" si="28"/>
        <v>-1.136234666666667</v>
      </c>
    </row>
    <row r="77" spans="2:21" ht="12">
      <c r="B77" s="59" t="s">
        <v>43</v>
      </c>
      <c r="C77" s="144"/>
      <c r="D77" s="144"/>
      <c r="E77" s="144"/>
      <c r="F77" s="144"/>
      <c r="G77" s="145"/>
      <c r="H77" s="145"/>
      <c r="I77" s="144"/>
      <c r="J77" s="144"/>
      <c r="K77" s="144"/>
      <c r="L77" s="144"/>
      <c r="M77" s="144"/>
      <c r="N77" s="144"/>
      <c r="P77" s="129" t="e">
        <f t="shared" si="29"/>
        <v>#DIV/0!</v>
      </c>
      <c r="R77" s="59" t="str">
        <f t="shared" si="27"/>
        <v>Glass Contamination</v>
      </c>
      <c r="S77" s="123">
        <f>'[2]Single Family'!$N$77*'[2]Single Family'!$N$21</f>
        <v>0</v>
      </c>
      <c r="T77" s="124" t="e">
        <f t="shared" si="30"/>
        <v>#DIV/0!</v>
      </c>
      <c r="U77" s="100" t="e">
        <f t="shared" si="28"/>
        <v>#DIV/0!</v>
      </c>
    </row>
    <row r="78" spans="2:21" ht="12">
      <c r="B78" s="59" t="s">
        <v>44</v>
      </c>
      <c r="C78" s="144">
        <v>-134.59</v>
      </c>
      <c r="D78" s="144">
        <v>-134.59</v>
      </c>
      <c r="E78" s="144">
        <v>-134.59</v>
      </c>
      <c r="F78" s="144">
        <v>-134.59</v>
      </c>
      <c r="G78" s="145">
        <v>-134.59</v>
      </c>
      <c r="H78" s="145">
        <v>-134.59</v>
      </c>
      <c r="I78" s="144"/>
      <c r="J78" s="144"/>
      <c r="K78" s="144"/>
      <c r="L78" s="144"/>
      <c r="M78" s="144"/>
      <c r="N78" s="144"/>
      <c r="P78" s="129">
        <f t="shared" si="29"/>
        <v>-134.59</v>
      </c>
      <c r="R78" s="59" t="str">
        <f t="shared" si="27"/>
        <v>Trash</v>
      </c>
      <c r="S78" s="123">
        <f>'[2]Single Family'!$N$78*'[2]Single Family'!$N$22</f>
        <v>-7.126081000000016</v>
      </c>
      <c r="T78" s="124">
        <f t="shared" si="30"/>
        <v>-7.981187000000018</v>
      </c>
      <c r="U78" s="100">
        <f t="shared" si="28"/>
        <v>-0.8551060000000019</v>
      </c>
    </row>
    <row r="79" spans="2:21" ht="12.75" thickBot="1">
      <c r="B79" s="59" t="s">
        <v>45</v>
      </c>
      <c r="C79" s="142">
        <v>-14.309999999999999</v>
      </c>
      <c r="D79" s="142">
        <v>2</v>
      </c>
      <c r="E79" s="142">
        <v>4.19</v>
      </c>
      <c r="F79" s="142">
        <v>8.42</v>
      </c>
      <c r="G79" s="143">
        <v>26.9</v>
      </c>
      <c r="H79" s="143">
        <v>25.77</v>
      </c>
      <c r="I79" s="142"/>
      <c r="J79" s="142"/>
      <c r="K79" s="142"/>
      <c r="L79" s="144"/>
      <c r="M79" s="144"/>
      <c r="N79" s="144"/>
      <c r="O79" s="100">
        <f>SUM(C69:N79)</f>
        <v>6830.9699999999975</v>
      </c>
      <c r="P79" s="129">
        <f t="shared" si="29"/>
        <v>8.828333333333333</v>
      </c>
      <c r="R79" s="59" t="str">
        <f t="shared" si="27"/>
        <v>Mixed Paper</v>
      </c>
      <c r="S79" s="123">
        <f>'[8]Single Family'!$N$79*'[8]Single Family'!$N$23</f>
        <v>20.604532199999998</v>
      </c>
      <c r="T79" s="124">
        <f t="shared" si="30"/>
        <v>4.562482666666667</v>
      </c>
      <c r="U79" s="100">
        <f t="shared" si="28"/>
        <v>-16.04204953333333</v>
      </c>
    </row>
    <row r="80" spans="18:21" ht="11.25" customHeight="1" thickBot="1">
      <c r="R80" s="125" t="s">
        <v>70</v>
      </c>
      <c r="S80" s="126">
        <f>SUMPRODUCT('[8]Single Family'!$N$69:$N$79,'[8]Single Family'!$N$13:$N$23)</f>
        <v>53.27421579999998</v>
      </c>
      <c r="T80" s="127" t="e">
        <f>SUMPRODUCT(P69:P79,N13:N23)</f>
        <v>#DIV/0!</v>
      </c>
      <c r="U80" s="100" t="e">
        <f t="shared" si="28"/>
        <v>#DIV/0!</v>
      </c>
    </row>
    <row r="81" spans="1:20" ht="11.25">
      <c r="A81" s="77" t="s">
        <v>50</v>
      </c>
      <c r="Q81" s="88"/>
      <c r="R81" s="88"/>
      <c r="S81" s="88"/>
      <c r="T81" s="88"/>
    </row>
    <row r="82" spans="2:20" ht="11.25">
      <c r="B82" s="59" t="s">
        <v>23</v>
      </c>
      <c r="C82" s="72">
        <f aca="true" t="shared" si="31" ref="C82:N82">+C69*C55</f>
        <v>0</v>
      </c>
      <c r="D82" s="69">
        <f t="shared" si="31"/>
        <v>0</v>
      </c>
      <c r="E82" s="69">
        <f t="shared" si="31"/>
        <v>0</v>
      </c>
      <c r="F82" s="69">
        <f t="shared" si="31"/>
        <v>0</v>
      </c>
      <c r="G82" s="69">
        <f t="shared" si="31"/>
        <v>0</v>
      </c>
      <c r="H82" s="69">
        <f>+H69*H55</f>
        <v>0</v>
      </c>
      <c r="I82" s="69">
        <f t="shared" si="31"/>
        <v>0</v>
      </c>
      <c r="J82" s="69">
        <f t="shared" si="31"/>
        <v>0</v>
      </c>
      <c r="K82" s="69">
        <f t="shared" si="31"/>
        <v>0</v>
      </c>
      <c r="L82" s="69">
        <f t="shared" si="31"/>
        <v>0</v>
      </c>
      <c r="M82" s="69">
        <f t="shared" si="31"/>
        <v>0</v>
      </c>
      <c r="N82" s="69">
        <f t="shared" si="31"/>
        <v>0</v>
      </c>
      <c r="Q82" s="88" t="s">
        <v>71</v>
      </c>
      <c r="R82" s="88"/>
      <c r="S82" s="88"/>
      <c r="T82" s="133" t="e">
        <f>+T80-S80</f>
        <v>#DIV/0!</v>
      </c>
    </row>
    <row r="83" spans="2:20" ht="11.25">
      <c r="B83" s="59" t="s">
        <v>27</v>
      </c>
      <c r="C83" s="72">
        <f aca="true" t="shared" si="32" ref="C83:N83">+C70*C56</f>
        <v>4832.77031424</v>
      </c>
      <c r="D83" s="69">
        <f t="shared" si="32"/>
        <v>6647.834433239999</v>
      </c>
      <c r="E83" s="69">
        <f t="shared" si="32"/>
        <v>7903.63966392</v>
      </c>
      <c r="F83" s="69">
        <f t="shared" si="32"/>
        <v>7293.86627904</v>
      </c>
      <c r="G83" s="69">
        <f t="shared" si="32"/>
        <v>6260.100333300001</v>
      </c>
      <c r="H83" s="69">
        <f>+H70*H56</f>
        <v>8393.257635840002</v>
      </c>
      <c r="I83" s="69">
        <f t="shared" si="32"/>
        <v>0</v>
      </c>
      <c r="J83" s="69">
        <f>+J70*J56</f>
        <v>0</v>
      </c>
      <c r="K83" s="69">
        <f t="shared" si="32"/>
        <v>0</v>
      </c>
      <c r="L83" s="69">
        <f t="shared" si="32"/>
        <v>0</v>
      </c>
      <c r="M83" s="69">
        <f t="shared" si="32"/>
        <v>0</v>
      </c>
      <c r="N83" s="69">
        <f t="shared" si="32"/>
        <v>0</v>
      </c>
      <c r="Q83" s="88" t="s">
        <v>77</v>
      </c>
      <c r="R83" s="88"/>
      <c r="S83" s="88"/>
      <c r="T83" s="134">
        <f>SUM(C7:N7,'[3]Multi_Family'!$C$7:$N$7,'[4]Single Family'!$C$7:$N$7,'[5]Multi_Family'!$C$7:$N$7,'[6]Single Family'!$C$7:$N$7,'[7]Multi_Family'!$C$7:$N$7)</f>
        <v>10042.370000000003</v>
      </c>
    </row>
    <row r="84" spans="2:20" ht="11.25">
      <c r="B84" s="59" t="s">
        <v>38</v>
      </c>
      <c r="C84" s="69">
        <f>+C71*C57</f>
        <v>0</v>
      </c>
      <c r="D84" s="69">
        <f>+D71*D57</f>
        <v>0</v>
      </c>
      <c r="E84" s="69" t="s">
        <v>74</v>
      </c>
      <c r="F84" s="69" t="s">
        <v>74</v>
      </c>
      <c r="G84" s="69" t="s">
        <v>74</v>
      </c>
      <c r="H84" s="69">
        <f aca="true" t="shared" si="33" ref="H84:H92">+H71*H57</f>
        <v>0</v>
      </c>
      <c r="I84" s="69" t="s">
        <v>74</v>
      </c>
      <c r="J84" s="69" t="s">
        <v>74</v>
      </c>
      <c r="K84" s="69" t="s">
        <v>74</v>
      </c>
      <c r="L84" s="69" t="s">
        <v>74</v>
      </c>
      <c r="M84" s="69" t="s">
        <v>74</v>
      </c>
      <c r="N84" s="69" t="s">
        <v>74</v>
      </c>
      <c r="Q84" s="135" t="s">
        <v>79</v>
      </c>
      <c r="R84" s="135"/>
      <c r="S84" s="88"/>
      <c r="T84" s="137">
        <f>T83/8</f>
        <v>1255.2962500000003</v>
      </c>
    </row>
    <row r="85" spans="2:20" ht="11.25">
      <c r="B85" s="59" t="s">
        <v>39</v>
      </c>
      <c r="C85" s="72">
        <f aca="true" t="shared" si="34" ref="C85:N85">+C72*C58</f>
        <v>931.9731696</v>
      </c>
      <c r="D85" s="69">
        <f t="shared" si="34"/>
        <v>953.0582061</v>
      </c>
      <c r="E85" s="69">
        <f t="shared" si="34"/>
        <v>974.5450638</v>
      </c>
      <c r="F85" s="69">
        <f t="shared" si="34"/>
        <v>688.8339645000001</v>
      </c>
      <c r="G85" s="69">
        <f t="shared" si="34"/>
        <v>632.2921027500001</v>
      </c>
      <c r="H85" s="69">
        <f t="shared" si="33"/>
        <v>847.6263873000001</v>
      </c>
      <c r="I85" s="69">
        <f t="shared" si="34"/>
        <v>0</v>
      </c>
      <c r="J85" s="69">
        <f>+J72*J58</f>
        <v>0</v>
      </c>
      <c r="K85" s="69">
        <f t="shared" si="34"/>
        <v>0</v>
      </c>
      <c r="L85" s="69">
        <f t="shared" si="34"/>
        <v>0</v>
      </c>
      <c r="M85" s="69">
        <f t="shared" si="34"/>
        <v>0</v>
      </c>
      <c r="N85" s="69">
        <f t="shared" si="34"/>
        <v>0</v>
      </c>
      <c r="Q85" s="88" t="s">
        <v>72</v>
      </c>
      <c r="R85" s="88"/>
      <c r="S85" s="88"/>
      <c r="T85" s="136" t="e">
        <f>+T82*T83</f>
        <v>#DIV/0!</v>
      </c>
    </row>
    <row r="86" spans="2:20" ht="11.25">
      <c r="B86" s="59" t="s">
        <v>40</v>
      </c>
      <c r="C86" s="72">
        <f aca="true" t="shared" si="35" ref="C86:N86">+C73*C59</f>
        <v>2811.1389454799996</v>
      </c>
      <c r="D86" s="69">
        <f t="shared" si="35"/>
        <v>2451.07911048</v>
      </c>
      <c r="E86" s="69">
        <f t="shared" si="35"/>
        <v>3181.10944074</v>
      </c>
      <c r="F86" s="69">
        <f t="shared" si="35"/>
        <v>5106.662437</v>
      </c>
      <c r="G86" s="69">
        <f t="shared" si="35"/>
        <v>1947.3793487300004</v>
      </c>
      <c r="H86" s="69">
        <f t="shared" si="33"/>
        <v>2220.4214436600005</v>
      </c>
      <c r="I86" s="69">
        <f t="shared" si="35"/>
        <v>0</v>
      </c>
      <c r="J86" s="69">
        <f>+J73*J59</f>
        <v>0</v>
      </c>
      <c r="K86" s="69">
        <f t="shared" si="35"/>
        <v>0</v>
      </c>
      <c r="L86" s="69">
        <f t="shared" si="35"/>
        <v>0</v>
      </c>
      <c r="M86" s="69">
        <f t="shared" si="35"/>
        <v>0</v>
      </c>
      <c r="N86" s="69">
        <f t="shared" si="35"/>
        <v>0</v>
      </c>
      <c r="Q86" s="88"/>
      <c r="R86" s="88"/>
      <c r="S86" s="88"/>
      <c r="T86" s="88"/>
    </row>
    <row r="87" spans="2:14" ht="11.25">
      <c r="B87" s="59" t="s">
        <v>41</v>
      </c>
      <c r="C87" s="72">
        <f aca="true" t="shared" si="36" ref="C87:N87">+C74*C60</f>
        <v>5060.916044999999</v>
      </c>
      <c r="D87" s="69">
        <f t="shared" si="36"/>
        <v>5209.763559</v>
      </c>
      <c r="E87" s="69">
        <f t="shared" si="36"/>
        <v>5181.484654500001</v>
      </c>
      <c r="F87" s="69">
        <f t="shared" si="36"/>
        <v>5392.060855500001</v>
      </c>
      <c r="G87" s="69">
        <f t="shared" si="36"/>
        <v>3881.2328265000006</v>
      </c>
      <c r="H87" s="69">
        <f t="shared" si="33"/>
        <v>4525.198130250001</v>
      </c>
      <c r="I87" s="69">
        <f t="shared" si="36"/>
        <v>0</v>
      </c>
      <c r="J87" s="69">
        <f>+J74*J60</f>
        <v>0</v>
      </c>
      <c r="K87" s="69">
        <f t="shared" si="36"/>
        <v>0</v>
      </c>
      <c r="L87" s="69">
        <f t="shared" si="36"/>
        <v>0</v>
      </c>
      <c r="M87" s="69">
        <f t="shared" si="36"/>
        <v>0</v>
      </c>
      <c r="N87" s="69">
        <f t="shared" si="36"/>
        <v>0</v>
      </c>
    </row>
    <row r="88" spans="2:17" ht="11.25">
      <c r="B88" s="59" t="s">
        <v>42</v>
      </c>
      <c r="C88" s="72">
        <f>+C75*C61</f>
        <v>0</v>
      </c>
      <c r="D88" s="69">
        <f>+D75*D61</f>
        <v>0</v>
      </c>
      <c r="E88" s="69" t="s">
        <v>74</v>
      </c>
      <c r="F88" s="69" t="s">
        <v>74</v>
      </c>
      <c r="G88" s="69" t="s">
        <v>74</v>
      </c>
      <c r="H88" s="69">
        <f t="shared" si="33"/>
        <v>0</v>
      </c>
      <c r="I88" s="69" t="s">
        <v>74</v>
      </c>
      <c r="J88" s="69" t="s">
        <v>74</v>
      </c>
      <c r="K88" s="69" t="s">
        <v>74</v>
      </c>
      <c r="L88" s="69" t="s">
        <v>74</v>
      </c>
      <c r="M88" s="69" t="s">
        <v>74</v>
      </c>
      <c r="N88" s="69" t="s">
        <v>74</v>
      </c>
      <c r="P88" s="103"/>
      <c r="Q88" s="103"/>
    </row>
    <row r="89" spans="2:19" ht="12.75">
      <c r="B89" s="59" t="s">
        <v>35</v>
      </c>
      <c r="C89" s="72">
        <f aca="true" t="shared" si="37" ref="C89:N89">+C76*C62</f>
        <v>-2783.0126188800004</v>
      </c>
      <c r="D89" s="69">
        <f t="shared" si="37"/>
        <v>-2099.05103408</v>
      </c>
      <c r="E89" s="69">
        <f t="shared" si="37"/>
        <v>-409.39337712</v>
      </c>
      <c r="F89" s="69">
        <f t="shared" si="37"/>
        <v>88.30898336</v>
      </c>
      <c r="G89" s="69">
        <f t="shared" si="37"/>
        <v>-1423.1126509600003</v>
      </c>
      <c r="H89" s="69">
        <f t="shared" si="33"/>
        <v>-1936.6124450400005</v>
      </c>
      <c r="I89" s="69">
        <f t="shared" si="37"/>
        <v>0</v>
      </c>
      <c r="J89" s="69">
        <f>+J76*J62</f>
        <v>0</v>
      </c>
      <c r="K89" s="69">
        <f t="shared" si="37"/>
        <v>0</v>
      </c>
      <c r="L89" s="69">
        <f t="shared" si="37"/>
        <v>0</v>
      </c>
      <c r="M89" s="69">
        <f t="shared" si="37"/>
        <v>0</v>
      </c>
      <c r="N89" s="69">
        <f t="shared" si="37"/>
        <v>0</v>
      </c>
      <c r="P89" s="52"/>
      <c r="Q89" s="103"/>
      <c r="R89" s="103"/>
      <c r="S89" s="103"/>
    </row>
    <row r="90" spans="2:19" ht="12.75">
      <c r="B90" s="59" t="s">
        <v>43</v>
      </c>
      <c r="C90" s="72">
        <f aca="true" t="shared" si="38" ref="C90:N90">+C77*C63</f>
        <v>0</v>
      </c>
      <c r="D90" s="69">
        <f t="shared" si="38"/>
        <v>0</v>
      </c>
      <c r="E90" s="69">
        <f t="shared" si="38"/>
        <v>0</v>
      </c>
      <c r="F90" s="69">
        <f t="shared" si="38"/>
        <v>0</v>
      </c>
      <c r="G90" s="69">
        <f t="shared" si="38"/>
        <v>0</v>
      </c>
      <c r="H90" s="69">
        <f t="shared" si="33"/>
        <v>0</v>
      </c>
      <c r="I90" s="69">
        <f t="shared" si="38"/>
        <v>0</v>
      </c>
      <c r="J90" s="69">
        <f>+J77*J63</f>
        <v>0</v>
      </c>
      <c r="K90" s="69">
        <f t="shared" si="38"/>
        <v>0</v>
      </c>
      <c r="L90" s="69">
        <f t="shared" si="38"/>
        <v>0</v>
      </c>
      <c r="M90" s="69">
        <f t="shared" si="38"/>
        <v>0</v>
      </c>
      <c r="N90" s="69">
        <f t="shared" si="38"/>
        <v>0</v>
      </c>
      <c r="P90" s="52"/>
      <c r="Q90" s="103"/>
      <c r="R90" s="52"/>
      <c r="S90" s="103"/>
    </row>
    <row r="91" spans="2:19" ht="12.75">
      <c r="B91" s="59" t="s">
        <v>44</v>
      </c>
      <c r="C91" s="72">
        <f aca="true" t="shared" si="39" ref="C91:N91">+C78*C64</f>
        <v>-4973.556490920011</v>
      </c>
      <c r="D91" s="69">
        <f t="shared" si="39"/>
        <v>-4953.284275940011</v>
      </c>
      <c r="E91" s="69">
        <f t="shared" si="39"/>
        <v>-5176.757511940012</v>
      </c>
      <c r="F91" s="69">
        <f t="shared" si="39"/>
        <v>-5387.141601260012</v>
      </c>
      <c r="G91" s="69">
        <f t="shared" si="39"/>
        <v>-4391.16927553001</v>
      </c>
      <c r="H91" s="69">
        <f>+H78*H64</f>
        <v>-5244.358165830012</v>
      </c>
      <c r="I91" s="69">
        <f t="shared" si="39"/>
        <v>0</v>
      </c>
      <c r="J91" s="69">
        <f>+J78*J64</f>
        <v>0</v>
      </c>
      <c r="K91" s="69">
        <f t="shared" si="39"/>
        <v>0</v>
      </c>
      <c r="L91" s="69">
        <f t="shared" si="39"/>
        <v>0</v>
      </c>
      <c r="M91" s="69">
        <f t="shared" si="39"/>
        <v>0</v>
      </c>
      <c r="N91" s="69">
        <f t="shared" si="39"/>
        <v>0</v>
      </c>
      <c r="P91" s="52"/>
      <c r="Q91" s="103"/>
      <c r="R91" s="52"/>
      <c r="S91" s="103"/>
    </row>
    <row r="92" spans="2:19" ht="12.75">
      <c r="B92" s="59" t="s">
        <v>45</v>
      </c>
      <c r="C92" s="96">
        <f aca="true" t="shared" si="40" ref="C92:N92">+C79*C65</f>
        <v>-4608.522449279999</v>
      </c>
      <c r="D92" s="86">
        <f t="shared" si="40"/>
        <v>641.4728319999998</v>
      </c>
      <c r="E92" s="86">
        <f t="shared" si="40"/>
        <v>1404.5165590399997</v>
      </c>
      <c r="F92" s="86">
        <f t="shared" si="40"/>
        <v>2937.1457708799994</v>
      </c>
      <c r="G92" s="86">
        <f t="shared" si="40"/>
        <v>7648.697364799997</v>
      </c>
      <c r="H92" s="69">
        <f t="shared" si="33"/>
        <v>8751.082566239997</v>
      </c>
      <c r="I92" s="86">
        <f t="shared" si="40"/>
        <v>0</v>
      </c>
      <c r="J92" s="86">
        <f>+J79*J65</f>
        <v>0</v>
      </c>
      <c r="K92" s="69">
        <f t="shared" si="40"/>
        <v>0</v>
      </c>
      <c r="L92" s="69">
        <f t="shared" si="40"/>
        <v>0</v>
      </c>
      <c r="M92" s="69">
        <f t="shared" si="40"/>
        <v>0</v>
      </c>
      <c r="N92" s="69">
        <f t="shared" si="40"/>
        <v>0</v>
      </c>
      <c r="P92" s="52"/>
      <c r="Q92" s="103"/>
      <c r="R92" s="52"/>
      <c r="S92" s="103"/>
    </row>
    <row r="93" spans="1:19" ht="12.75">
      <c r="A93" s="77" t="s">
        <v>51</v>
      </c>
      <c r="B93" s="77"/>
      <c r="C93" s="97">
        <f aca="true" t="shared" si="41" ref="C93:N93">SUM(C82:C92)</f>
        <v>1271.706915239989</v>
      </c>
      <c r="D93" s="98">
        <f t="shared" si="41"/>
        <v>8850.872830799988</v>
      </c>
      <c r="E93" s="98">
        <f t="shared" si="41"/>
        <v>13059.14449293999</v>
      </c>
      <c r="F93" s="98">
        <f t="shared" si="41"/>
        <v>16119.736689019986</v>
      </c>
      <c r="G93" s="98">
        <f t="shared" si="41"/>
        <v>14555.420049589988</v>
      </c>
      <c r="H93" s="98">
        <f t="shared" si="41"/>
        <v>17556.61555241999</v>
      </c>
      <c r="I93" s="98">
        <f t="shared" si="41"/>
        <v>0</v>
      </c>
      <c r="J93" s="98">
        <f t="shared" si="41"/>
        <v>0</v>
      </c>
      <c r="K93" s="99">
        <f t="shared" si="41"/>
        <v>0</v>
      </c>
      <c r="L93" s="99">
        <f t="shared" si="41"/>
        <v>0</v>
      </c>
      <c r="M93" s="99">
        <f t="shared" si="41"/>
        <v>0</v>
      </c>
      <c r="N93" s="99">
        <f t="shared" si="41"/>
        <v>0</v>
      </c>
      <c r="O93" s="100">
        <f>SUM(C93:N93)</f>
        <v>71413.49653000993</v>
      </c>
      <c r="P93" s="138">
        <f>O93/2</f>
        <v>35706.748265004964</v>
      </c>
      <c r="Q93" s="103"/>
      <c r="R93" s="52"/>
      <c r="S93" s="103"/>
    </row>
    <row r="94" spans="1:19" ht="12.75">
      <c r="A94" s="77" t="s">
        <v>52</v>
      </c>
      <c r="B94" s="77"/>
      <c r="C94" s="97">
        <f aca="true" t="shared" si="42" ref="C94:N94">+C93/C66</f>
        <v>2.0407389999999825</v>
      </c>
      <c r="D94" s="98">
        <f t="shared" si="42"/>
        <v>14.261339999999981</v>
      </c>
      <c r="E94" s="98">
        <f t="shared" si="42"/>
        <v>20.133736999999982</v>
      </c>
      <c r="F94" s="98">
        <f t="shared" si="42"/>
        <v>23.88179899999998</v>
      </c>
      <c r="G94" s="98">
        <f t="shared" si="42"/>
        <v>26.455260999999975</v>
      </c>
      <c r="H94" s="98">
        <f t="shared" si="42"/>
        <v>26.718737999999984</v>
      </c>
      <c r="I94" s="98" t="e">
        <f t="shared" si="42"/>
        <v>#DIV/0!</v>
      </c>
      <c r="J94" s="98" t="e">
        <f t="shared" si="42"/>
        <v>#DIV/0!</v>
      </c>
      <c r="K94" s="69" t="e">
        <f t="shared" si="42"/>
        <v>#DIV/0!</v>
      </c>
      <c r="L94" s="69" t="e">
        <f t="shared" si="42"/>
        <v>#DIV/0!</v>
      </c>
      <c r="M94" s="69" t="e">
        <f t="shared" si="42"/>
        <v>#DIV/0!</v>
      </c>
      <c r="N94" s="69" t="e">
        <f t="shared" si="42"/>
        <v>#DIV/0!</v>
      </c>
      <c r="P94" s="52"/>
      <c r="Q94" s="103"/>
      <c r="R94" s="52"/>
      <c r="S94" s="103"/>
    </row>
    <row r="95" spans="3:19" ht="11.25" customHeight="1">
      <c r="C95" s="100"/>
      <c r="D95" s="100"/>
      <c r="E95" s="100"/>
      <c r="F95" s="100"/>
      <c r="G95" s="100"/>
      <c r="H95" s="100"/>
      <c r="I95" s="100"/>
      <c r="J95" s="100"/>
      <c r="K95" s="100"/>
      <c r="L95" s="100"/>
      <c r="M95" s="100"/>
      <c r="N95" s="100"/>
      <c r="P95" s="52"/>
      <c r="Q95" s="103"/>
      <c r="R95" s="52"/>
      <c r="S95" s="103"/>
    </row>
    <row r="96" spans="1:19" ht="12.75">
      <c r="A96" s="77"/>
      <c r="C96" s="100"/>
      <c r="D96" s="100"/>
      <c r="E96" s="100"/>
      <c r="F96" s="100"/>
      <c r="G96" s="100"/>
      <c r="H96" s="100"/>
      <c r="I96" s="100"/>
      <c r="J96" s="100"/>
      <c r="K96" s="100"/>
      <c r="L96" s="100"/>
      <c r="M96" s="100"/>
      <c r="N96" s="100"/>
      <c r="P96" s="52"/>
      <c r="Q96" s="103"/>
      <c r="R96" s="52"/>
      <c r="S96" s="103"/>
    </row>
    <row r="97" spans="3:19" ht="12.75">
      <c r="C97" s="101"/>
      <c r="D97" s="101"/>
      <c r="E97" s="101"/>
      <c r="F97" s="101"/>
      <c r="G97" s="101"/>
      <c r="H97" s="101"/>
      <c r="I97" s="101"/>
      <c r="J97" s="101"/>
      <c r="K97" s="101"/>
      <c r="L97" s="101"/>
      <c r="M97" s="101"/>
      <c r="N97" s="101"/>
      <c r="P97" s="103"/>
      <c r="Q97" s="103"/>
      <c r="R97" s="52"/>
      <c r="S97" s="103"/>
    </row>
    <row r="98" spans="1:10" ht="11.25">
      <c r="A98" s="77"/>
      <c r="B98" s="77"/>
      <c r="C98" s="97"/>
      <c r="D98" s="97"/>
      <c r="E98" s="97"/>
      <c r="F98" s="97"/>
      <c r="G98" s="97"/>
      <c r="H98" s="97"/>
      <c r="I98" s="97"/>
      <c r="J98" s="102"/>
    </row>
    <row r="99" spans="3:10" ht="7.5" customHeight="1">
      <c r="C99" s="103"/>
      <c r="D99" s="103"/>
      <c r="E99" s="103"/>
      <c r="F99" s="103"/>
      <c r="G99" s="103"/>
      <c r="H99" s="103"/>
      <c r="I99" s="103"/>
      <c r="J99" s="103"/>
    </row>
    <row r="100" spans="1:10" ht="11.25">
      <c r="A100" s="77"/>
      <c r="B100" s="77"/>
      <c r="C100" s="102"/>
      <c r="D100" s="102"/>
      <c r="E100" s="102"/>
      <c r="F100" s="102"/>
      <c r="G100" s="102"/>
      <c r="H100" s="102"/>
      <c r="I100" s="102"/>
      <c r="J100" s="102"/>
    </row>
    <row r="101" spans="3:10" ht="7.5" customHeight="1">
      <c r="C101" s="103"/>
      <c r="D101" s="103"/>
      <c r="E101" s="103"/>
      <c r="F101" s="103"/>
      <c r="G101" s="103"/>
      <c r="H101" s="103"/>
      <c r="I101" s="103"/>
      <c r="J101" s="103"/>
    </row>
    <row r="102" spans="1:10" ht="11.25">
      <c r="A102" s="77"/>
      <c r="C102" s="101"/>
      <c r="D102" s="101"/>
      <c r="E102" s="101"/>
      <c r="F102" s="101"/>
      <c r="G102" s="101"/>
      <c r="H102" s="101"/>
      <c r="I102" s="101"/>
      <c r="J102" s="104"/>
    </row>
  </sheetData>
  <sheetProtection/>
  <printOptions/>
  <pageMargins left="0.25" right="0.25" top="0.75" bottom="0.75" header="0.3" footer="0.3"/>
  <pageSetup fitToWidth="0" fitToHeight="1" horizontalDpi="600" verticalDpi="600" orientation="portrait" scale="58" r:id="rId4"/>
  <rowBreaks count="1" manualBreakCount="1">
    <brk id="53" max="1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Cramer, Diane</cp:lastModifiedBy>
  <cp:lastPrinted>2018-12-04T16:40:19Z</cp:lastPrinted>
  <dcterms:created xsi:type="dcterms:W3CDTF">2008-05-23T15:47:44Z</dcterms:created>
  <dcterms:modified xsi:type="dcterms:W3CDTF">2018-12-04T16:43:12Z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Workpapers</vt:lpwstr>
  </property>
  <property fmtid="{D5CDD505-2E9C-101B-9397-08002B2CF9AE}" pid="4" name="IsDocumentOrd">
    <vt:lpwstr>0</vt:lpwstr>
  </property>
  <property fmtid="{D5CDD505-2E9C-101B-9397-08002B2CF9AE}" pid="5" name="IsHighlyConfidenti">
    <vt:lpwstr>0</vt:lpwstr>
  </property>
  <property fmtid="{D5CDD505-2E9C-101B-9397-08002B2CF9AE}" pid="6" name="CaseCompanyNam">
    <vt:lpwstr>Fiorito Enterprises Inc. &amp; Rabanco Companies</vt:lpwstr>
  </property>
  <property fmtid="{D5CDD505-2E9C-101B-9397-08002B2CF9AE}" pid="7" name="IsConfidenti">
    <vt:lpwstr>0</vt:lpwstr>
  </property>
  <property fmtid="{D5CDD505-2E9C-101B-9397-08002B2CF9AE}" pid="8" name="IsEFS">
    <vt:lpwstr>0</vt:lpwstr>
  </property>
  <property fmtid="{D5CDD505-2E9C-101B-9397-08002B2CF9AE}" pid="9" name="DocketNumb">
    <vt:lpwstr>181017</vt:lpwstr>
  </property>
  <property fmtid="{D5CDD505-2E9C-101B-9397-08002B2CF9AE}" pid="10" name="Dat">
    <vt:lpwstr>2018-12-04T00:00:00Z</vt:lpwstr>
  </property>
  <property fmtid="{D5CDD505-2E9C-101B-9397-08002B2CF9AE}" pid="11" name="Nickna">
    <vt:lpwstr/>
  </property>
  <property fmtid="{D5CDD505-2E9C-101B-9397-08002B2CF9AE}" pid="12" name="CaseTy">
    <vt:lpwstr>Tariff Revision</vt:lpwstr>
  </property>
  <property fmtid="{D5CDD505-2E9C-101B-9397-08002B2CF9AE}" pid="13" name="OpenedDa">
    <vt:lpwstr>2018-12-04T00:00:00Z</vt:lpwstr>
  </property>
  <property fmtid="{D5CDD505-2E9C-101B-9397-08002B2CF9AE}" pid="14" name="Pref">
    <vt:lpwstr>TG</vt:lpwstr>
  </property>
  <property fmtid="{D5CDD505-2E9C-101B-9397-08002B2CF9AE}" pid="15" name="IndustryCo">
    <vt:lpwstr>227</vt:lpwstr>
  </property>
  <property fmtid="{D5CDD505-2E9C-101B-9397-08002B2CF9AE}" pid="16" name="CaseStat">
    <vt:lpwstr>Closed</vt:lpwstr>
  </property>
  <property fmtid="{D5CDD505-2E9C-101B-9397-08002B2CF9AE}" pid="17" name="_docset_NoMedatataSyncRequir">
    <vt:lpwstr>False</vt:lpwstr>
  </property>
</Properties>
</file>