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 8 Effective 1.1.12\1.1.19 Commodity\Submission\"/>
    </mc:Choice>
  </mc:AlternateContent>
  <bookViews>
    <workbookView xWindow="360" yWindow="225" windowWidth="15570" windowHeight="9855"/>
  </bookViews>
  <sheets>
    <sheet name="per lb increase" sheetId="6" r:id="rId1"/>
    <sheet name="Calculation" sheetId="13" r:id="rId2"/>
  </sheets>
  <externalReferences>
    <externalReference r:id="rId3"/>
    <externalReference r:id="rId4"/>
  </externalReferences>
  <definedNames>
    <definedName name="_xlnm.Print_Area" localSheetId="1">Calculation!$A$1:$S$119</definedName>
    <definedName name="_xlnm.Print_Area" localSheetId="0">'per lb increase'!$A$1:$H$35</definedName>
    <definedName name="_xlnm.Print_Titles" localSheetId="1">Calculation!$1:$10</definedName>
  </definedNames>
  <calcPr calcId="162913" calcMode="manual"/>
</workbook>
</file>

<file path=xl/calcChain.xml><?xml version="1.0" encoding="utf-8"?>
<calcChain xmlns="http://schemas.openxmlformats.org/spreadsheetml/2006/main">
  <c r="I29" i="6" l="1"/>
  <c r="M10" i="13" l="1"/>
  <c r="C19" i="6" l="1"/>
  <c r="C23" i="6" s="1"/>
  <c r="B23" i="6"/>
  <c r="B24" i="6"/>
  <c r="F10" i="6" l="1"/>
  <c r="H10" i="6" l="1"/>
  <c r="F14" i="6"/>
  <c r="H14" i="6" s="1"/>
  <c r="B11" i="13"/>
  <c r="B85" i="13"/>
  <c r="E85" i="13" s="1"/>
  <c r="H16" i="6" l="1"/>
  <c r="E118" i="13"/>
  <c r="B10" i="6" l="1"/>
  <c r="D10" i="6" l="1"/>
  <c r="C20" i="6" s="1"/>
  <c r="C21" i="6" s="1"/>
  <c r="B14" i="6"/>
  <c r="D14" i="6" s="1"/>
  <c r="I7" i="13"/>
  <c r="B36" i="13"/>
  <c r="E36" i="13" s="1"/>
  <c r="B31" i="13"/>
  <c r="H104" i="13"/>
  <c r="E104" i="13"/>
  <c r="E95" i="13"/>
  <c r="E91" i="13"/>
  <c r="H72" i="13"/>
  <c r="B84" i="13"/>
  <c r="B83" i="13"/>
  <c r="B82" i="13"/>
  <c r="B81" i="13"/>
  <c r="H81" i="13" s="1"/>
  <c r="B80" i="13"/>
  <c r="B79" i="13"/>
  <c r="H79" i="13" s="1"/>
  <c r="B78" i="13"/>
  <c r="B77" i="13"/>
  <c r="B76" i="13"/>
  <c r="B75" i="13"/>
  <c r="B74" i="13"/>
  <c r="B73" i="13"/>
  <c r="B71" i="13"/>
  <c r="B70" i="13"/>
  <c r="B69" i="13"/>
  <c r="B68" i="13"/>
  <c r="B67" i="13"/>
  <c r="B66" i="13"/>
  <c r="B65" i="13"/>
  <c r="B64" i="13"/>
  <c r="F106" i="13"/>
  <c r="B106" i="13"/>
  <c r="E106" i="13" s="1"/>
  <c r="B105" i="13"/>
  <c r="E105" i="13" s="1"/>
  <c r="B103" i="13"/>
  <c r="E103" i="13" s="1"/>
  <c r="B102" i="13"/>
  <c r="B101" i="13"/>
  <c r="E101" i="13" s="1"/>
  <c r="B100" i="13"/>
  <c r="B99" i="13"/>
  <c r="E99" i="13" s="1"/>
  <c r="B98" i="13"/>
  <c r="B63" i="13"/>
  <c r="B62" i="13"/>
  <c r="B61" i="13"/>
  <c r="B60" i="13"/>
  <c r="B59" i="13"/>
  <c r="B58" i="13"/>
  <c r="B57" i="13"/>
  <c r="E57" i="13" s="1"/>
  <c r="F56" i="13"/>
  <c r="F41" i="13"/>
  <c r="F49" i="13"/>
  <c r="B56" i="13"/>
  <c r="B55" i="13"/>
  <c r="B53" i="13"/>
  <c r="B52" i="13"/>
  <c r="B51" i="13"/>
  <c r="B50" i="13"/>
  <c r="E50" i="13" s="1"/>
  <c r="B49" i="13"/>
  <c r="B97" i="13"/>
  <c r="E97" i="13" s="1"/>
  <c r="B96" i="13"/>
  <c r="B94" i="13"/>
  <c r="B93" i="13"/>
  <c r="E93" i="13" s="1"/>
  <c r="B92" i="13"/>
  <c r="B48" i="13"/>
  <c r="B47" i="13"/>
  <c r="H47" i="13" s="1"/>
  <c r="B46" i="13"/>
  <c r="G46" i="13"/>
  <c r="B45" i="13"/>
  <c r="B44" i="13"/>
  <c r="B43" i="13"/>
  <c r="B42" i="13"/>
  <c r="B41" i="13"/>
  <c r="B40" i="13"/>
  <c r="G40" i="13"/>
  <c r="B39" i="13"/>
  <c r="B38" i="13"/>
  <c r="B37" i="13"/>
  <c r="B90" i="13"/>
  <c r="B89" i="13"/>
  <c r="E89" i="13" s="1"/>
  <c r="B88" i="13"/>
  <c r="B87" i="13"/>
  <c r="E87" i="13" s="1"/>
  <c r="B86" i="13"/>
  <c r="B35" i="13"/>
  <c r="B34" i="13"/>
  <c r="B33" i="13"/>
  <c r="B32" i="13"/>
  <c r="G29" i="6"/>
  <c r="B23" i="13"/>
  <c r="B22" i="13"/>
  <c r="E22" i="13" s="1"/>
  <c r="B21" i="13"/>
  <c r="E21" i="13" s="1"/>
  <c r="B20" i="13"/>
  <c r="B19" i="13"/>
  <c r="B18" i="13"/>
  <c r="B17" i="13"/>
  <c r="E17" i="13" s="1"/>
  <c r="B16" i="13"/>
  <c r="E16" i="13" s="1"/>
  <c r="B15" i="13"/>
  <c r="B14" i="13"/>
  <c r="B13" i="13"/>
  <c r="E13" i="13" s="1"/>
  <c r="B12" i="13"/>
  <c r="E12" i="13" s="1"/>
  <c r="C24" i="6" l="1"/>
  <c r="C25" i="6" s="1"/>
  <c r="C27" i="6" s="1"/>
  <c r="C28" i="6" s="1"/>
  <c r="D16" i="6"/>
  <c r="E55" i="13"/>
  <c r="H41" i="13"/>
  <c r="E23" i="13"/>
  <c r="H46" i="13"/>
  <c r="H49" i="13"/>
  <c r="H20" i="6"/>
  <c r="H35" i="13"/>
  <c r="H106" i="13"/>
  <c r="H40" i="13"/>
  <c r="H56" i="13"/>
  <c r="E20" i="13"/>
  <c r="E19" i="13"/>
  <c r="E15" i="13"/>
  <c r="E56" i="13"/>
  <c r="E64" i="13"/>
  <c r="E74" i="13"/>
  <c r="E86" i="13"/>
  <c r="E88" i="13"/>
  <c r="E90" i="13"/>
  <c r="E92" i="13"/>
  <c r="E94" i="13"/>
  <c r="E96" i="13"/>
  <c r="E98" i="13"/>
  <c r="E100" i="13"/>
  <c r="E102" i="13"/>
  <c r="H71" i="13"/>
  <c r="E18" i="13"/>
  <c r="E14" i="13"/>
  <c r="E42" i="13"/>
  <c r="B109" i="13"/>
  <c r="E31" i="13"/>
  <c r="H130" i="13" l="1"/>
  <c r="A130" i="13"/>
  <c r="F105" i="13"/>
  <c r="H105" i="13" s="1"/>
  <c r="F101" i="13"/>
  <c r="H101" i="13" s="1"/>
  <c r="F98" i="13"/>
  <c r="F99" i="13" s="1"/>
  <c r="H99" i="13" s="1"/>
  <c r="F95" i="13"/>
  <c r="H95" i="13" s="1"/>
  <c r="F92" i="13"/>
  <c r="H92" i="13" s="1"/>
  <c r="F89" i="13"/>
  <c r="H89" i="13" s="1"/>
  <c r="F84" i="13"/>
  <c r="H84" i="13" s="1"/>
  <c r="E84" i="13"/>
  <c r="G83" i="13"/>
  <c r="H83" i="13" s="1"/>
  <c r="E83" i="13"/>
  <c r="G82" i="13"/>
  <c r="H82" i="13" s="1"/>
  <c r="E82" i="13"/>
  <c r="E81" i="13"/>
  <c r="F80" i="13"/>
  <c r="H80" i="13" s="1"/>
  <c r="E80" i="13"/>
  <c r="G78" i="13"/>
  <c r="H78" i="13" s="1"/>
  <c r="G77" i="13"/>
  <c r="H77" i="13" s="1"/>
  <c r="G76" i="13"/>
  <c r="H76" i="13" s="1"/>
  <c r="G75" i="13"/>
  <c r="H75" i="13" s="1"/>
  <c r="G74" i="13"/>
  <c r="H74" i="13" s="1"/>
  <c r="G73" i="13"/>
  <c r="H73" i="13" s="1"/>
  <c r="E73" i="13"/>
  <c r="E72" i="13"/>
  <c r="E71" i="13"/>
  <c r="E70" i="13"/>
  <c r="G69" i="13"/>
  <c r="H69" i="13" s="1"/>
  <c r="G68" i="13"/>
  <c r="H68" i="13" s="1"/>
  <c r="G66" i="13"/>
  <c r="H66" i="13" s="1"/>
  <c r="G65" i="13"/>
  <c r="H65" i="13" s="1"/>
  <c r="G64" i="13"/>
  <c r="H64" i="13" s="1"/>
  <c r="G63" i="13"/>
  <c r="H63" i="13" s="1"/>
  <c r="G62" i="13"/>
  <c r="H62" i="13" s="1"/>
  <c r="G61" i="13"/>
  <c r="H61" i="13" s="1"/>
  <c r="G59" i="13"/>
  <c r="H59" i="13" s="1"/>
  <c r="G58" i="13"/>
  <c r="H58" i="13" s="1"/>
  <c r="G57" i="13"/>
  <c r="H57" i="13" s="1"/>
  <c r="G54" i="13"/>
  <c r="H54" i="13" s="1"/>
  <c r="G52" i="13"/>
  <c r="H52" i="13" s="1"/>
  <c r="G51" i="13"/>
  <c r="H51" i="13" s="1"/>
  <c r="G50" i="13"/>
  <c r="H50" i="13" s="1"/>
  <c r="E49" i="13"/>
  <c r="G48" i="13"/>
  <c r="H48" i="13" s="1"/>
  <c r="G44" i="13"/>
  <c r="H44" i="13" s="1"/>
  <c r="G43" i="13"/>
  <c r="H43" i="13" s="1"/>
  <c r="G42" i="13"/>
  <c r="H42" i="13" s="1"/>
  <c r="E41" i="13"/>
  <c r="G38" i="13"/>
  <c r="H38" i="13" s="1"/>
  <c r="G37" i="13"/>
  <c r="H37" i="13" s="1"/>
  <c r="G36" i="13"/>
  <c r="H36" i="13" s="1"/>
  <c r="G34" i="13"/>
  <c r="G45" i="13" s="1"/>
  <c r="H45" i="13" s="1"/>
  <c r="H33" i="13"/>
  <c r="H32" i="13"/>
  <c r="F23" i="13"/>
  <c r="H23" i="13" s="1"/>
  <c r="G22" i="13"/>
  <c r="G21" i="13"/>
  <c r="F21" i="13"/>
  <c r="G20" i="13"/>
  <c r="H20" i="13" s="1"/>
  <c r="G19" i="13"/>
  <c r="G18" i="13"/>
  <c r="F18" i="13"/>
  <c r="G17" i="13"/>
  <c r="H17" i="13" s="1"/>
  <c r="G16" i="13"/>
  <c r="G15" i="13"/>
  <c r="F15" i="13"/>
  <c r="F70" i="13" s="1"/>
  <c r="H70" i="13" s="1"/>
  <c r="G14" i="13"/>
  <c r="H14" i="13" s="1"/>
  <c r="F12" i="13"/>
  <c r="H12" i="13" s="1"/>
  <c r="E48" i="13" l="1"/>
  <c r="H18" i="13"/>
  <c r="H15" i="13"/>
  <c r="E32" i="13"/>
  <c r="E54" i="13"/>
  <c r="E58" i="13"/>
  <c r="E61" i="13"/>
  <c r="F13" i="13"/>
  <c r="F55" i="13" s="1"/>
  <c r="H55" i="13" s="1"/>
  <c r="G39" i="13"/>
  <c r="H39" i="13" s="1"/>
  <c r="F86" i="13"/>
  <c r="H86" i="13" s="1"/>
  <c r="H31" i="13"/>
  <c r="H21" i="13"/>
  <c r="E51" i="13"/>
  <c r="G53" i="13"/>
  <c r="H53" i="13" s="1"/>
  <c r="E59" i="13"/>
  <c r="E62" i="13"/>
  <c r="E65" i="13"/>
  <c r="E66" i="13"/>
  <c r="E69" i="13"/>
  <c r="E76" i="13"/>
  <c r="E39" i="13"/>
  <c r="E77" i="13"/>
  <c r="E33" i="13"/>
  <c r="E40" i="13"/>
  <c r="E37" i="13"/>
  <c r="E46" i="13"/>
  <c r="E43" i="13"/>
  <c r="F93" i="13"/>
  <c r="H93" i="13" s="1"/>
  <c r="E53" i="13"/>
  <c r="E68" i="13"/>
  <c r="E75" i="13"/>
  <c r="E79" i="13"/>
  <c r="E47" i="13"/>
  <c r="E44" i="13"/>
  <c r="G60" i="13"/>
  <c r="H60" i="13" s="1"/>
  <c r="H34" i="13"/>
  <c r="G67" i="13"/>
  <c r="H67" i="13" s="1"/>
  <c r="E38" i="13"/>
  <c r="E45" i="13"/>
  <c r="E52" i="13"/>
  <c r="E60" i="13"/>
  <c r="E63" i="13"/>
  <c r="E67" i="13"/>
  <c r="E78" i="13"/>
  <c r="F100" i="13"/>
  <c r="H100" i="13" s="1"/>
  <c r="H98" i="13"/>
  <c r="F16" i="13"/>
  <c r="H16" i="13" s="1"/>
  <c r="F19" i="13"/>
  <c r="H19" i="13" s="1"/>
  <c r="F22" i="13"/>
  <c r="H22" i="13" s="1"/>
  <c r="F96" i="13"/>
  <c r="H96" i="13" s="1"/>
  <c r="F102" i="13"/>
  <c r="H102" i="13" s="1"/>
  <c r="F85" i="13"/>
  <c r="H85" i="13" s="1"/>
  <c r="F90" i="13"/>
  <c r="H90" i="13" s="1"/>
  <c r="F94" i="13" l="1"/>
  <c r="H94" i="13" s="1"/>
  <c r="F88" i="13"/>
  <c r="H88" i="13" s="1"/>
  <c r="F87" i="13"/>
  <c r="H87" i="13" s="1"/>
  <c r="H13" i="13"/>
  <c r="E35" i="13"/>
  <c r="E34" i="13"/>
  <c r="F91" i="13"/>
  <c r="H91" i="13" s="1"/>
  <c r="F103" i="13"/>
  <c r="H103" i="13" s="1"/>
  <c r="F97" i="13"/>
  <c r="H97" i="13" s="1"/>
  <c r="H109" i="13" l="1"/>
  <c r="E109" i="13"/>
  <c r="D117" i="13" s="1"/>
  <c r="F117" i="13" l="1"/>
  <c r="G117" i="13" s="1"/>
  <c r="H117" i="13" s="1"/>
  <c r="H18" i="6" l="1"/>
  <c r="H22" i="6" s="1"/>
  <c r="H28" i="6" l="1"/>
  <c r="H29" i="6" s="1"/>
  <c r="K10" i="13" l="1"/>
  <c r="B25" i="13" l="1"/>
  <c r="E11" i="13"/>
  <c r="E25" i="13" s="1"/>
  <c r="D116" i="13" s="1"/>
  <c r="D118" i="13" s="1"/>
  <c r="F118" i="13" s="1"/>
  <c r="G118" i="13" s="1"/>
  <c r="H118" i="13" s="1"/>
  <c r="H11" i="13"/>
  <c r="H25" i="13" s="1"/>
  <c r="H113" i="13" s="1"/>
  <c r="H7" i="13" s="1"/>
  <c r="I8" i="13" s="1"/>
  <c r="I23" i="13" s="1"/>
  <c r="I11" i="13" l="1"/>
  <c r="K11" i="13" s="1"/>
  <c r="I22" i="13"/>
  <c r="J22" i="13" s="1"/>
  <c r="J6" i="13"/>
  <c r="F116" i="13"/>
  <c r="G116" i="13" s="1"/>
  <c r="H116" i="13" s="1"/>
  <c r="I98" i="13"/>
  <c r="I102" i="13"/>
  <c r="I95" i="13"/>
  <c r="I101" i="13"/>
  <c r="I130" i="13"/>
  <c r="J130" i="13" s="1"/>
  <c r="K130" i="13" s="1"/>
  <c r="L130" i="13" s="1"/>
  <c r="M130" i="13" s="1"/>
  <c r="I19" i="13"/>
  <c r="I86" i="13"/>
  <c r="I14" i="13"/>
  <c r="I16" i="13"/>
  <c r="I89" i="13"/>
  <c r="I88" i="13"/>
  <c r="I20" i="13"/>
  <c r="I106" i="13"/>
  <c r="I96" i="13"/>
  <c r="I91" i="13"/>
  <c r="I33" i="13"/>
  <c r="I100" i="13"/>
  <c r="I97" i="13"/>
  <c r="I21" i="13"/>
  <c r="I94" i="13"/>
  <c r="I58" i="13"/>
  <c r="I44" i="13"/>
  <c r="I99" i="13"/>
  <c r="I15" i="13"/>
  <c r="I18" i="13"/>
  <c r="I13" i="13"/>
  <c r="I104" i="13"/>
  <c r="I39" i="13"/>
  <c r="I103" i="13"/>
  <c r="I105" i="13"/>
  <c r="I12" i="13"/>
  <c r="I92" i="13"/>
  <c r="I61" i="13"/>
  <c r="I36" i="13"/>
  <c r="I68" i="13"/>
  <c r="I74" i="13"/>
  <c r="I52" i="13"/>
  <c r="I83" i="13"/>
  <c r="I51" i="13"/>
  <c r="I64" i="13"/>
  <c r="I81" i="13"/>
  <c r="I60" i="13"/>
  <c r="I17" i="13"/>
  <c r="I76" i="13"/>
  <c r="I78" i="13"/>
  <c r="I50" i="13"/>
  <c r="I49" i="13"/>
  <c r="I79" i="13"/>
  <c r="I55" i="13"/>
  <c r="I53" i="13"/>
  <c r="I67" i="13"/>
  <c r="I48" i="13"/>
  <c r="I90" i="13"/>
  <c r="I31" i="13"/>
  <c r="I72" i="13"/>
  <c r="I42" i="13"/>
  <c r="I65" i="13"/>
  <c r="I75" i="13"/>
  <c r="I82" i="13"/>
  <c r="I69" i="13"/>
  <c r="I63" i="13"/>
  <c r="I62" i="13"/>
  <c r="I59" i="13"/>
  <c r="I87" i="13"/>
  <c r="I93" i="13"/>
  <c r="I85" i="13"/>
  <c r="I54" i="13"/>
  <c r="I66" i="13"/>
  <c r="I73" i="13"/>
  <c r="I84" i="13"/>
  <c r="I71" i="13"/>
  <c r="I35" i="13"/>
  <c r="I45" i="13"/>
  <c r="I70" i="13"/>
  <c r="I47" i="13"/>
  <c r="I57" i="13"/>
  <c r="I46" i="13"/>
  <c r="I77" i="13"/>
  <c r="I34" i="13"/>
  <c r="I37" i="13"/>
  <c r="I80" i="13"/>
  <c r="I56" i="13"/>
  <c r="I41" i="13"/>
  <c r="I43" i="13"/>
  <c r="I40" i="13"/>
  <c r="I38" i="13"/>
  <c r="I32" i="13"/>
  <c r="K22" i="13" l="1"/>
  <c r="L22" i="13" s="1"/>
  <c r="M22" i="13" s="1"/>
  <c r="N22" i="13" s="1"/>
  <c r="S22" i="13" s="1"/>
  <c r="J37" i="13"/>
  <c r="K37" i="13"/>
  <c r="M37" i="13" s="1"/>
  <c r="J73" i="13"/>
  <c r="K73" i="13"/>
  <c r="M73" i="13" s="1"/>
  <c r="J65" i="13"/>
  <c r="K65" i="13"/>
  <c r="M65" i="13" s="1"/>
  <c r="J67" i="13"/>
  <c r="K67" i="13"/>
  <c r="M67" i="13" s="1"/>
  <c r="J64" i="13"/>
  <c r="K64" i="13"/>
  <c r="M64" i="13" s="1"/>
  <c r="J92" i="13"/>
  <c r="K92" i="13"/>
  <c r="M92" i="13" s="1"/>
  <c r="N92" i="13" s="1"/>
  <c r="S92" i="13" s="1"/>
  <c r="J18" i="13"/>
  <c r="K18" i="13"/>
  <c r="L18" i="13" s="1"/>
  <c r="M18" i="13" s="1"/>
  <c r="N18" i="13" s="1"/>
  <c r="S18" i="13" s="1"/>
  <c r="K91" i="13"/>
  <c r="M91" i="13" s="1"/>
  <c r="N91" i="13" s="1"/>
  <c r="S91" i="13" s="1"/>
  <c r="J91" i="13"/>
  <c r="J20" i="13"/>
  <c r="K20" i="13"/>
  <c r="L20" i="13" s="1"/>
  <c r="M20" i="13" s="1"/>
  <c r="N20" i="13" s="1"/>
  <c r="S20" i="13" s="1"/>
  <c r="J32" i="13"/>
  <c r="K32" i="13"/>
  <c r="M32" i="13" s="1"/>
  <c r="J41" i="13"/>
  <c r="K41" i="13"/>
  <c r="M41" i="13" s="1"/>
  <c r="J34" i="13"/>
  <c r="K34" i="13"/>
  <c r="M34" i="13" s="1"/>
  <c r="J47" i="13"/>
  <c r="K47" i="13"/>
  <c r="M47" i="13" s="1"/>
  <c r="J35" i="13"/>
  <c r="K35" i="13"/>
  <c r="M35" i="13" s="1"/>
  <c r="J66" i="13"/>
  <c r="K66" i="13"/>
  <c r="M66" i="13" s="1"/>
  <c r="J87" i="13"/>
  <c r="K87" i="13"/>
  <c r="M87" i="13" s="1"/>
  <c r="N87" i="13" s="1"/>
  <c r="S87" i="13" s="1"/>
  <c r="J69" i="13"/>
  <c r="K69" i="13"/>
  <c r="M69" i="13" s="1"/>
  <c r="J42" i="13"/>
  <c r="K42" i="13"/>
  <c r="M42" i="13" s="1"/>
  <c r="J53" i="13"/>
  <c r="K53" i="13"/>
  <c r="M53" i="13" s="1"/>
  <c r="J50" i="13"/>
  <c r="K50" i="13"/>
  <c r="M50" i="13" s="1"/>
  <c r="J17" i="13"/>
  <c r="K17" i="13"/>
  <c r="L17" i="13" s="1"/>
  <c r="M17" i="13" s="1"/>
  <c r="N17" i="13" s="1"/>
  <c r="S17" i="13" s="1"/>
  <c r="J51" i="13"/>
  <c r="K51" i="13"/>
  <c r="M51" i="13" s="1"/>
  <c r="J68" i="13"/>
  <c r="K68" i="13"/>
  <c r="M68" i="13" s="1"/>
  <c r="J12" i="13"/>
  <c r="K12" i="13"/>
  <c r="L12" i="13" s="1"/>
  <c r="M12" i="13" s="1"/>
  <c r="N12" i="13" s="1"/>
  <c r="S12" i="13" s="1"/>
  <c r="J39" i="13"/>
  <c r="K39" i="13"/>
  <c r="M39" i="13" s="1"/>
  <c r="J15" i="13"/>
  <c r="K15" i="13"/>
  <c r="L15" i="13" s="1"/>
  <c r="M15" i="13" s="1"/>
  <c r="N15" i="13" s="1"/>
  <c r="S15" i="13" s="1"/>
  <c r="J44" i="13"/>
  <c r="K44" i="13"/>
  <c r="M44" i="13" s="1"/>
  <c r="J97" i="13"/>
  <c r="K97" i="13"/>
  <c r="M97" i="13" s="1"/>
  <c r="N97" i="13" s="1"/>
  <c r="S97" i="13" s="1"/>
  <c r="J96" i="13"/>
  <c r="K96" i="13"/>
  <c r="M96" i="13" s="1"/>
  <c r="N96" i="13" s="1"/>
  <c r="S96" i="13" s="1"/>
  <c r="J88" i="13"/>
  <c r="K88" i="13"/>
  <c r="M88" i="13" s="1"/>
  <c r="N88" i="13" s="1"/>
  <c r="S88" i="13" s="1"/>
  <c r="K14" i="13"/>
  <c r="L14" i="13" s="1"/>
  <c r="M14" i="13" s="1"/>
  <c r="N14" i="13" s="1"/>
  <c r="S14" i="13" s="1"/>
  <c r="J14" i="13"/>
  <c r="J101" i="13"/>
  <c r="K101" i="13"/>
  <c r="M101" i="13" s="1"/>
  <c r="N101" i="13" s="1"/>
  <c r="S101" i="13" s="1"/>
  <c r="K95" i="13"/>
  <c r="M95" i="13" s="1"/>
  <c r="N95" i="13" s="1"/>
  <c r="S95" i="13" s="1"/>
  <c r="J95" i="13"/>
  <c r="J43" i="13"/>
  <c r="K43" i="13"/>
  <c r="M43" i="13" s="1"/>
  <c r="J45" i="13"/>
  <c r="K45" i="13"/>
  <c r="M45" i="13" s="1"/>
  <c r="J63" i="13"/>
  <c r="K63" i="13"/>
  <c r="M63" i="13" s="1"/>
  <c r="K99" i="13"/>
  <c r="M99" i="13" s="1"/>
  <c r="N99" i="13" s="1"/>
  <c r="S99" i="13" s="1"/>
  <c r="J99" i="13"/>
  <c r="J56" i="13"/>
  <c r="K56" i="13"/>
  <c r="M56" i="13" s="1"/>
  <c r="J54" i="13"/>
  <c r="K54" i="13"/>
  <c r="M54" i="13" s="1"/>
  <c r="J55" i="13"/>
  <c r="K55" i="13"/>
  <c r="M55" i="13" s="1"/>
  <c r="J36" i="13"/>
  <c r="K36" i="13"/>
  <c r="M36" i="13" s="1"/>
  <c r="K106" i="13"/>
  <c r="M106" i="13" s="1"/>
  <c r="N106" i="13" s="1"/>
  <c r="S106" i="13" s="1"/>
  <c r="J106" i="13"/>
  <c r="K86" i="13"/>
  <c r="M86" i="13" s="1"/>
  <c r="N86" i="13" s="1"/>
  <c r="S86" i="13" s="1"/>
  <c r="J86" i="13"/>
  <c r="J102" i="13"/>
  <c r="K102" i="13"/>
  <c r="M102" i="13" s="1"/>
  <c r="N102" i="13" s="1"/>
  <c r="S102" i="13" s="1"/>
  <c r="J57" i="13"/>
  <c r="K57" i="13"/>
  <c r="M57" i="13" s="1"/>
  <c r="J93" i="13"/>
  <c r="K93" i="13"/>
  <c r="M93" i="13" s="1"/>
  <c r="N93" i="13" s="1"/>
  <c r="S93" i="13" s="1"/>
  <c r="J90" i="13"/>
  <c r="K90" i="13"/>
  <c r="M90" i="13" s="1"/>
  <c r="N90" i="13" s="1"/>
  <c r="S90" i="13" s="1"/>
  <c r="J49" i="13"/>
  <c r="K49" i="13"/>
  <c r="M49" i="13" s="1"/>
  <c r="J74" i="13"/>
  <c r="K74" i="13"/>
  <c r="M74" i="13" s="1"/>
  <c r="J21" i="13"/>
  <c r="K21" i="13"/>
  <c r="L21" i="13" s="1"/>
  <c r="M21" i="13" s="1"/>
  <c r="N21" i="13" s="1"/>
  <c r="S21" i="13" s="1"/>
  <c r="J16" i="13"/>
  <c r="K16" i="13"/>
  <c r="L16" i="13" s="1"/>
  <c r="M16" i="13" s="1"/>
  <c r="N16" i="13" s="1"/>
  <c r="S16" i="13" s="1"/>
  <c r="J38" i="13"/>
  <c r="K38" i="13"/>
  <c r="M38" i="13" s="1"/>
  <c r="J77" i="13"/>
  <c r="K77" i="13"/>
  <c r="M77" i="13" s="1"/>
  <c r="J70" i="13"/>
  <c r="K70" i="13"/>
  <c r="M70" i="13" s="1"/>
  <c r="J71" i="13"/>
  <c r="K71" i="13"/>
  <c r="M71" i="13" s="1"/>
  <c r="J59" i="13"/>
  <c r="K59" i="13"/>
  <c r="M59" i="13" s="1"/>
  <c r="J82" i="13"/>
  <c r="K82" i="13"/>
  <c r="M82" i="13" s="1"/>
  <c r="J72" i="13"/>
  <c r="K72" i="13"/>
  <c r="M72" i="13" s="1"/>
  <c r="J78" i="13"/>
  <c r="K78" i="13"/>
  <c r="M78" i="13" s="1"/>
  <c r="J60" i="13"/>
  <c r="K60" i="13"/>
  <c r="M60" i="13" s="1"/>
  <c r="J83" i="13"/>
  <c r="K83" i="13"/>
  <c r="M83" i="13" s="1"/>
  <c r="J105" i="13"/>
  <c r="K105" i="13"/>
  <c r="M105" i="13" s="1"/>
  <c r="N105" i="13" s="1"/>
  <c r="S105" i="13" s="1"/>
  <c r="J104" i="13"/>
  <c r="K104" i="13"/>
  <c r="M104" i="13" s="1"/>
  <c r="N104" i="13" s="1"/>
  <c r="S104" i="13" s="1"/>
  <c r="J58" i="13"/>
  <c r="K58" i="13"/>
  <c r="M58" i="13" s="1"/>
  <c r="J100" i="13"/>
  <c r="K100" i="13"/>
  <c r="M100" i="13" s="1"/>
  <c r="N100" i="13" s="1"/>
  <c r="S100" i="13" s="1"/>
  <c r="J89" i="13"/>
  <c r="K89" i="13"/>
  <c r="M89" i="13" s="1"/>
  <c r="N89" i="13" s="1"/>
  <c r="S89" i="13" s="1"/>
  <c r="J40" i="13"/>
  <c r="K40" i="13"/>
  <c r="M40" i="13" s="1"/>
  <c r="J80" i="13"/>
  <c r="K80" i="13"/>
  <c r="M80" i="13" s="1"/>
  <c r="J46" i="13"/>
  <c r="K46" i="13"/>
  <c r="M46" i="13" s="1"/>
  <c r="I25" i="13"/>
  <c r="L11" i="13"/>
  <c r="M11" i="13" s="1"/>
  <c r="N11" i="13" s="1"/>
  <c r="S11" i="13" s="1"/>
  <c r="J11" i="13"/>
  <c r="J84" i="13"/>
  <c r="K84" i="13"/>
  <c r="M84" i="13" s="1"/>
  <c r="J85" i="13"/>
  <c r="K85" i="13"/>
  <c r="M85" i="13" s="1"/>
  <c r="N85" i="13" s="1"/>
  <c r="S85" i="13" s="1"/>
  <c r="J62" i="13"/>
  <c r="K62" i="13"/>
  <c r="M62" i="13" s="1"/>
  <c r="J75" i="13"/>
  <c r="K75" i="13"/>
  <c r="M75" i="13" s="1"/>
  <c r="I109" i="13"/>
  <c r="J31" i="13"/>
  <c r="K31" i="13"/>
  <c r="M31" i="13" s="1"/>
  <c r="J48" i="13"/>
  <c r="K48" i="13"/>
  <c r="M48" i="13" s="1"/>
  <c r="J79" i="13"/>
  <c r="K79" i="13"/>
  <c r="M79" i="13" s="1"/>
  <c r="J76" i="13"/>
  <c r="K76" i="13"/>
  <c r="M76" i="13" s="1"/>
  <c r="J81" i="13"/>
  <c r="K81" i="13"/>
  <c r="M81" i="13" s="1"/>
  <c r="J52" i="13"/>
  <c r="K52" i="13"/>
  <c r="M52" i="13" s="1"/>
  <c r="J61" i="13"/>
  <c r="K61" i="13"/>
  <c r="M61" i="13" s="1"/>
  <c r="J103" i="13"/>
  <c r="K103" i="13"/>
  <c r="M103" i="13" s="1"/>
  <c r="N103" i="13" s="1"/>
  <c r="S103" i="13" s="1"/>
  <c r="J13" i="13"/>
  <c r="K13" i="13"/>
  <c r="L13" i="13" s="1"/>
  <c r="M13" i="13" s="1"/>
  <c r="N13" i="13" s="1"/>
  <c r="S13" i="13" s="1"/>
  <c r="J23" i="13"/>
  <c r="K23" i="13"/>
  <c r="L23" i="13" s="1"/>
  <c r="M23" i="13" s="1"/>
  <c r="N23" i="13" s="1"/>
  <c r="S23" i="13" s="1"/>
  <c r="J94" i="13"/>
  <c r="K94" i="13"/>
  <c r="M94" i="13" s="1"/>
  <c r="N94" i="13" s="1"/>
  <c r="S94" i="13" s="1"/>
  <c r="J33" i="13"/>
  <c r="K33" i="13"/>
  <c r="M33" i="13" s="1"/>
  <c r="J19" i="13"/>
  <c r="K19" i="13"/>
  <c r="L19" i="13" s="1"/>
  <c r="M19" i="13" s="1"/>
  <c r="N19" i="13" s="1"/>
  <c r="S19" i="13" s="1"/>
  <c r="K98" i="13"/>
  <c r="M98" i="13" s="1"/>
  <c r="N98" i="13" s="1"/>
  <c r="S98" i="13" s="1"/>
  <c r="J98" i="13"/>
  <c r="P23" i="13" l="1"/>
  <c r="Q23" i="13" s="1"/>
  <c r="P85" i="13"/>
  <c r="Q85" i="13" s="1"/>
  <c r="P22" i="13"/>
  <c r="Q22" i="13" s="1"/>
  <c r="N33" i="13"/>
  <c r="S33" i="13" s="1"/>
  <c r="O33" i="13"/>
  <c r="P103" i="13"/>
  <c r="Q103" i="13" s="1"/>
  <c r="O48" i="13"/>
  <c r="N48" i="13"/>
  <c r="S48" i="13" s="1"/>
  <c r="P100" i="13"/>
  <c r="Q100" i="13" s="1"/>
  <c r="O78" i="13"/>
  <c r="N78" i="13"/>
  <c r="S78" i="13" s="1"/>
  <c r="P21" i="13"/>
  <c r="Q21" i="13" s="1"/>
  <c r="P102" i="13"/>
  <c r="Q102" i="13" s="1"/>
  <c r="P96" i="13"/>
  <c r="Q96" i="13" s="1"/>
  <c r="O44" i="13"/>
  <c r="N44" i="13"/>
  <c r="S44" i="13" s="1"/>
  <c r="O68" i="13"/>
  <c r="N68" i="13"/>
  <c r="S68" i="13" s="1"/>
  <c r="P17" i="13"/>
  <c r="Q17" i="13" s="1"/>
  <c r="O53" i="13"/>
  <c r="N53" i="13"/>
  <c r="S53" i="13" s="1"/>
  <c r="O42" i="13"/>
  <c r="N42" i="13"/>
  <c r="S42" i="13" s="1"/>
  <c r="P87" i="13"/>
  <c r="Q87" i="13" s="1"/>
  <c r="O35" i="13"/>
  <c r="N35" i="13"/>
  <c r="S35" i="13" s="1"/>
  <c r="O34" i="13"/>
  <c r="N34" i="13"/>
  <c r="S34" i="13" s="1"/>
  <c r="O32" i="13"/>
  <c r="N32" i="13"/>
  <c r="S32" i="13" s="1"/>
  <c r="P92" i="13"/>
  <c r="Q92" i="13" s="1"/>
  <c r="O67" i="13"/>
  <c r="N67" i="13"/>
  <c r="S67" i="13" s="1"/>
  <c r="O73" i="13"/>
  <c r="N73" i="13"/>
  <c r="S73" i="13" s="1"/>
  <c r="P98" i="13"/>
  <c r="Q98" i="13" s="1"/>
  <c r="O75" i="13"/>
  <c r="N75" i="13"/>
  <c r="S75" i="13" s="1"/>
  <c r="J25" i="13"/>
  <c r="P86" i="13"/>
  <c r="Q86" i="13" s="1"/>
  <c r="P95" i="13"/>
  <c r="Q95" i="13" s="1"/>
  <c r="P14" i="13"/>
  <c r="Q14" i="13" s="1"/>
  <c r="P91" i="13"/>
  <c r="Q91" i="13" s="1"/>
  <c r="O46" i="13"/>
  <c r="N46" i="13"/>
  <c r="S46" i="13" s="1"/>
  <c r="O40" i="13"/>
  <c r="N40" i="13"/>
  <c r="S40" i="13" s="1"/>
  <c r="O83" i="13"/>
  <c r="N83" i="13"/>
  <c r="S83" i="13" s="1"/>
  <c r="N70" i="13"/>
  <c r="S70" i="13" s="1"/>
  <c r="O70" i="13"/>
  <c r="P90" i="13"/>
  <c r="Q90" i="13" s="1"/>
  <c r="O57" i="13"/>
  <c r="N57" i="13"/>
  <c r="S57" i="13" s="1"/>
  <c r="O55" i="13"/>
  <c r="N55" i="13"/>
  <c r="S55" i="13" s="1"/>
  <c r="P19" i="13"/>
  <c r="Q19" i="13" s="1"/>
  <c r="P94" i="13"/>
  <c r="Q94" i="13" s="1"/>
  <c r="O61" i="13"/>
  <c r="N61" i="13"/>
  <c r="S61" i="13" s="1"/>
  <c r="O79" i="13"/>
  <c r="N79" i="13"/>
  <c r="S79" i="13" s="1"/>
  <c r="O80" i="13"/>
  <c r="N80" i="13"/>
  <c r="S80" i="13" s="1"/>
  <c r="P105" i="13"/>
  <c r="Q105" i="13" s="1"/>
  <c r="O60" i="13"/>
  <c r="N60" i="13"/>
  <c r="S60" i="13" s="1"/>
  <c r="O71" i="13"/>
  <c r="N71" i="13"/>
  <c r="S71" i="13" s="1"/>
  <c r="P16" i="13"/>
  <c r="Q16" i="13" s="1"/>
  <c r="N49" i="13"/>
  <c r="S49" i="13" s="1"/>
  <c r="O49" i="13"/>
  <c r="O36" i="13"/>
  <c r="N36" i="13"/>
  <c r="S36" i="13" s="1"/>
  <c r="O54" i="13"/>
  <c r="N54" i="13"/>
  <c r="S54" i="13" s="1"/>
  <c r="O63" i="13"/>
  <c r="N63" i="13"/>
  <c r="S63" i="13" s="1"/>
  <c r="O43" i="13"/>
  <c r="N43" i="13"/>
  <c r="S43" i="13" s="1"/>
  <c r="P101" i="13"/>
  <c r="Q101" i="13" s="1"/>
  <c r="P88" i="13"/>
  <c r="Q88" i="13" s="1"/>
  <c r="P97" i="13"/>
  <c r="Q97" i="13" s="1"/>
  <c r="P15" i="13"/>
  <c r="Q15" i="13" s="1"/>
  <c r="P12" i="13"/>
  <c r="Q12" i="13" s="1"/>
  <c r="O51" i="13"/>
  <c r="N51" i="13"/>
  <c r="S51" i="13" s="1"/>
  <c r="O50" i="13"/>
  <c r="N50" i="13"/>
  <c r="S50" i="13" s="1"/>
  <c r="O69" i="13"/>
  <c r="N69" i="13"/>
  <c r="S69" i="13" s="1"/>
  <c r="O66" i="13"/>
  <c r="N66" i="13"/>
  <c r="S66" i="13" s="1"/>
  <c r="O47" i="13"/>
  <c r="N47" i="13"/>
  <c r="S47" i="13" s="1"/>
  <c r="O41" i="13"/>
  <c r="N41" i="13"/>
  <c r="S41" i="13" s="1"/>
  <c r="P20" i="13"/>
  <c r="Q20" i="13" s="1"/>
  <c r="P18" i="13"/>
  <c r="Q18" i="13" s="1"/>
  <c r="O64" i="13"/>
  <c r="N64" i="13"/>
  <c r="S64" i="13" s="1"/>
  <c r="O65" i="13"/>
  <c r="N65" i="13"/>
  <c r="S65" i="13" s="1"/>
  <c r="O37" i="13"/>
  <c r="N37" i="13"/>
  <c r="S37" i="13" s="1"/>
  <c r="O52" i="13"/>
  <c r="N52" i="13"/>
  <c r="S52" i="13" s="1"/>
  <c r="N76" i="13"/>
  <c r="S76" i="13" s="1"/>
  <c r="O76" i="13"/>
  <c r="P104" i="13"/>
  <c r="Q104" i="13" s="1"/>
  <c r="N72" i="13"/>
  <c r="S72" i="13" s="1"/>
  <c r="O72" i="13"/>
  <c r="O59" i="13"/>
  <c r="N59" i="13"/>
  <c r="S59" i="13" s="1"/>
  <c r="O38" i="13"/>
  <c r="N38" i="13"/>
  <c r="S38" i="13" s="1"/>
  <c r="O74" i="13"/>
  <c r="N74" i="13"/>
  <c r="S74" i="13" s="1"/>
  <c r="O56" i="13"/>
  <c r="N56" i="13"/>
  <c r="S56" i="13" s="1"/>
  <c r="O45" i="13"/>
  <c r="N45" i="13"/>
  <c r="S45" i="13" s="1"/>
  <c r="O39" i="13"/>
  <c r="N39" i="13"/>
  <c r="S39" i="13" s="1"/>
  <c r="P13" i="13"/>
  <c r="Q13" i="13" s="1"/>
  <c r="O81" i="13"/>
  <c r="N81" i="13"/>
  <c r="S81" i="13" s="1"/>
  <c r="O31" i="13"/>
  <c r="N31" i="13"/>
  <c r="S31" i="13" s="1"/>
  <c r="P11" i="13"/>
  <c r="P89" i="13"/>
  <c r="Q89" i="13" s="1"/>
  <c r="O58" i="13"/>
  <c r="N58" i="13"/>
  <c r="S58" i="13" s="1"/>
  <c r="O82" i="13"/>
  <c r="N82" i="13"/>
  <c r="S82" i="13" s="1"/>
  <c r="O77" i="13"/>
  <c r="N77" i="13"/>
  <c r="S77" i="13" s="1"/>
  <c r="P93" i="13"/>
  <c r="Q93" i="13" s="1"/>
  <c r="J109" i="13"/>
  <c r="N62" i="13"/>
  <c r="S62" i="13" s="1"/>
  <c r="O62" i="13"/>
  <c r="O84" i="13"/>
  <c r="N84" i="13"/>
  <c r="S84" i="13" s="1"/>
  <c r="I113" i="13"/>
  <c r="P106" i="13"/>
  <c r="Q106" i="13" s="1"/>
  <c r="P99" i="13"/>
  <c r="Q99" i="13" s="1"/>
  <c r="P84" i="13" l="1"/>
  <c r="Q84" i="13" s="1"/>
  <c r="P70" i="13"/>
  <c r="Q70" i="13" s="1"/>
  <c r="P35" i="13"/>
  <c r="Q35" i="13" s="1"/>
  <c r="P42" i="13"/>
  <c r="Q42" i="13" s="1"/>
  <c r="P44" i="13"/>
  <c r="Q44" i="13" s="1"/>
  <c r="P82" i="13"/>
  <c r="Q82" i="13" s="1"/>
  <c r="P58" i="13"/>
  <c r="Q58" i="13" s="1"/>
  <c r="Q11" i="13"/>
  <c r="Q27" i="13" s="1"/>
  <c r="P25" i="13"/>
  <c r="P81" i="13"/>
  <c r="Q81" i="13" s="1"/>
  <c r="P45" i="13"/>
  <c r="Q45" i="13" s="1"/>
  <c r="P38" i="13"/>
  <c r="Q38" i="13" s="1"/>
  <c r="P65" i="13"/>
  <c r="Q65" i="13" s="1"/>
  <c r="P41" i="13"/>
  <c r="Q41" i="13" s="1"/>
  <c r="P66" i="13"/>
  <c r="Q66" i="13" s="1"/>
  <c r="P51" i="13"/>
  <c r="Q51" i="13" s="1"/>
  <c r="P43" i="13"/>
  <c r="Q43" i="13" s="1"/>
  <c r="P54" i="13"/>
  <c r="Q54" i="13" s="1"/>
  <c r="P71" i="13"/>
  <c r="Q71" i="13" s="1"/>
  <c r="P79" i="13"/>
  <c r="Q79" i="13" s="1"/>
  <c r="P55" i="13"/>
  <c r="Q55" i="13" s="1"/>
  <c r="P83" i="13"/>
  <c r="Q83" i="13" s="1"/>
  <c r="P46" i="13"/>
  <c r="Q46" i="13" s="1"/>
  <c r="P73" i="13"/>
  <c r="Q73" i="13" s="1"/>
  <c r="P76" i="13"/>
  <c r="Q76" i="13" s="1"/>
  <c r="P49" i="13"/>
  <c r="Q49" i="13" s="1"/>
  <c r="P75" i="13"/>
  <c r="Q75" i="13" s="1"/>
  <c r="P67" i="13"/>
  <c r="Q67" i="13" s="1"/>
  <c r="P34" i="13"/>
  <c r="Q34" i="13" s="1"/>
  <c r="P53" i="13"/>
  <c r="Q53" i="13" s="1"/>
  <c r="P68" i="13"/>
  <c r="Q68" i="13" s="1"/>
  <c r="P78" i="13"/>
  <c r="Q78" i="13" s="1"/>
  <c r="P48" i="13"/>
  <c r="Q48" i="13" s="1"/>
  <c r="P32" i="13"/>
  <c r="Q32" i="13" s="1"/>
  <c r="P72" i="13"/>
  <c r="Q72" i="13" s="1"/>
  <c r="P62" i="13"/>
  <c r="Q62" i="13" s="1"/>
  <c r="P77" i="13"/>
  <c r="Q77" i="13" s="1"/>
  <c r="P31" i="13"/>
  <c r="P39" i="13"/>
  <c r="Q39" i="13" s="1"/>
  <c r="P56" i="13"/>
  <c r="Q56" i="13" s="1"/>
  <c r="P74" i="13"/>
  <c r="Q74" i="13" s="1"/>
  <c r="P59" i="13"/>
  <c r="Q59" i="13" s="1"/>
  <c r="P52" i="13"/>
  <c r="Q52" i="13" s="1"/>
  <c r="P37" i="13"/>
  <c r="Q37" i="13" s="1"/>
  <c r="P64" i="13"/>
  <c r="Q64" i="13" s="1"/>
  <c r="P47" i="13"/>
  <c r="Q47" i="13" s="1"/>
  <c r="P69" i="13"/>
  <c r="Q69" i="13" s="1"/>
  <c r="P50" i="13"/>
  <c r="Q50" i="13" s="1"/>
  <c r="P63" i="13"/>
  <c r="Q63" i="13" s="1"/>
  <c r="P36" i="13"/>
  <c r="Q36" i="13" s="1"/>
  <c r="P60" i="13"/>
  <c r="Q60" i="13" s="1"/>
  <c r="P80" i="13"/>
  <c r="Q80" i="13" s="1"/>
  <c r="P61" i="13"/>
  <c r="Q61" i="13" s="1"/>
  <c r="P57" i="13"/>
  <c r="Q57" i="13" s="1"/>
  <c r="P40" i="13"/>
  <c r="Q40" i="13" s="1"/>
  <c r="J113" i="13"/>
  <c r="P33" i="13"/>
  <c r="Q33" i="13" s="1"/>
  <c r="P27" i="13" l="1"/>
  <c r="Q31" i="13"/>
  <c r="P109" i="13"/>
  <c r="P111" i="13" s="1"/>
  <c r="Q111" i="13" l="1"/>
  <c r="Q7" i="13" s="1"/>
  <c r="P7" i="13"/>
  <c r="H31" i="6" l="1"/>
  <c r="H33" i="6" s="1"/>
  <c r="H34" i="6" s="1"/>
</calcChain>
</file>

<file path=xl/comments1.xml><?xml version="1.0" encoding="utf-8"?>
<comments xmlns="http://schemas.openxmlformats.org/spreadsheetml/2006/main">
  <authors>
    <author>Amber Jones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</rPr>
          <t>Amber Jones:</t>
        </r>
        <r>
          <rPr>
            <sz val="9"/>
            <color indexed="81"/>
            <rFont val="Tahoma"/>
            <family val="2"/>
          </rPr>
          <t xml:space="preserve">
Tons from TG-102202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Amber Jones:</t>
        </r>
        <r>
          <rPr>
            <sz val="9"/>
            <color indexed="81"/>
            <rFont val="Tahoma"/>
            <family val="2"/>
          </rPr>
          <t xml:space="preserve">
Cost from TG-143879</t>
        </r>
      </text>
    </comment>
  </commentList>
</comments>
</file>

<file path=xl/sharedStrings.xml><?xml version="1.0" encoding="utf-8"?>
<sst xmlns="http://schemas.openxmlformats.org/spreadsheetml/2006/main" count="214" uniqueCount="164">
  <si>
    <t>Tons</t>
  </si>
  <si>
    <t>Rate</t>
  </si>
  <si>
    <t>Total</t>
  </si>
  <si>
    <t>RDS - County Packer</t>
  </si>
  <si>
    <t>Revenue Need</t>
  </si>
  <si>
    <t>Annual Increase</t>
  </si>
  <si>
    <t>Total Annual Increase</t>
  </si>
  <si>
    <t>CANS WEEKLY X 1</t>
  </si>
  <si>
    <t>90 WEEKLY X 6</t>
  </si>
  <si>
    <t>90 WEEKLY X 3</t>
  </si>
  <si>
    <t>90 WEEKLY X 2</t>
  </si>
  <si>
    <t>90 WEEKLY X 1</t>
  </si>
  <si>
    <t>8 YD EOW</t>
  </si>
  <si>
    <t>8 YD CONTAINER WEEKLY X 5</t>
  </si>
  <si>
    <t>8 YD CONTAINER WEEKLY X 4</t>
  </si>
  <si>
    <t>8 YD CONTAINER WEEKLY X 3</t>
  </si>
  <si>
    <t>8 YD CONTAINER WEEKLY X 2</t>
  </si>
  <si>
    <t>8 YD CONTAINER WEEKLY X 1</t>
  </si>
  <si>
    <t>60 WEEKLY X 6</t>
  </si>
  <si>
    <t>60 WEEKLY X 2</t>
  </si>
  <si>
    <t>60 WEEKLY X 1</t>
  </si>
  <si>
    <t>6 YD WEEKLY X 5</t>
  </si>
  <si>
    <t>6 YD WEEKLY X 4</t>
  </si>
  <si>
    <t>6 YD WEEKLY X 3</t>
  </si>
  <si>
    <t>6 YD WEEKLY X 2</t>
  </si>
  <si>
    <t>6 YD WEEKLY X 1</t>
  </si>
  <si>
    <t>6 YD EOW</t>
  </si>
  <si>
    <t>4 YD WEEKLY X 6</t>
  </si>
  <si>
    <t>4 YD WEEKLY X 5</t>
  </si>
  <si>
    <t>4 YD WEEKLY X 4</t>
  </si>
  <si>
    <t>4 YD WEEKLY X 3</t>
  </si>
  <si>
    <t>4 YD WEEKLY X 2</t>
  </si>
  <si>
    <t>4 YD WEEKLY X 1</t>
  </si>
  <si>
    <t>4 YD EOW</t>
  </si>
  <si>
    <t>3 YD WEEKLY X 5</t>
  </si>
  <si>
    <t>3 YD WEEKLY X 3</t>
  </si>
  <si>
    <t>3 YD WEEKLY X 2</t>
  </si>
  <si>
    <t>3 YD WEEKLY X 1</t>
  </si>
  <si>
    <t>3 YD EOW</t>
  </si>
  <si>
    <t>3 YD COMPACTOR WEEKLY X 2</t>
  </si>
  <si>
    <t>2 YD WEEKLY X 6</t>
  </si>
  <si>
    <t>2 YD WEEKLY X 3</t>
  </si>
  <si>
    <t>2 YD WEEKLY X 2</t>
  </si>
  <si>
    <t>2 YD WEEKLY X 1</t>
  </si>
  <si>
    <t>2 YD EOW</t>
  </si>
  <si>
    <t>2 YD  COMPACTOR WEEKLY X 1</t>
  </si>
  <si>
    <t>1.5 YD WEEKLY X 3</t>
  </si>
  <si>
    <t>1.5 YD WEEKLY X 2</t>
  </si>
  <si>
    <t>1.5 YD WEEKLY X 1</t>
  </si>
  <si>
    <t>1.5 YD EOW</t>
  </si>
  <si>
    <t>1 YD WEEKLY X 3</t>
  </si>
  <si>
    <t>1 YD WEEKLY X 2</t>
  </si>
  <si>
    <t>1 YD WEEKLY X 1</t>
  </si>
  <si>
    <t>1 YD EOW</t>
  </si>
  <si>
    <t>MINI WEEKLY</t>
  </si>
  <si>
    <t>MINI MONTHLY</t>
  </si>
  <si>
    <t>MINI EOW</t>
  </si>
  <si>
    <t>90 WEEKLY</t>
  </si>
  <si>
    <t>90 MONTHLY</t>
  </si>
  <si>
    <t>90 EOW</t>
  </si>
  <si>
    <t>60 WEEKLY</t>
  </si>
  <si>
    <t>60 MONTHLY</t>
  </si>
  <si>
    <t>60 EOW</t>
  </si>
  <si>
    <t>Service Level</t>
  </si>
  <si>
    <t>Increase</t>
  </si>
  <si>
    <t>1st pickup</t>
  </si>
  <si>
    <t>Add Pick</t>
  </si>
  <si>
    <t>Annual Revenue</t>
  </si>
  <si>
    <t>Total Tons</t>
  </si>
  <si>
    <t>Total Cost</t>
  </si>
  <si>
    <t>Proforma Present Level</t>
  </si>
  <si>
    <t>Average Cost</t>
  </si>
  <si>
    <t>Per ton increase</t>
  </si>
  <si>
    <t>Per pound increase</t>
  </si>
  <si>
    <t>Proforma Proposed Level</t>
  </si>
  <si>
    <t>Unadjusted</t>
  </si>
  <si>
    <t>weight</t>
  </si>
  <si>
    <t xml:space="preserve">Unadjusted </t>
  </si>
  <si>
    <t>Pickups</t>
  </si>
  <si>
    <t>per year</t>
  </si>
  <si>
    <t>Adjusted</t>
  </si>
  <si>
    <t>Actual Tons</t>
  </si>
  <si>
    <t>Unadjusted Tons</t>
  </si>
  <si>
    <t>Per Pound</t>
  </si>
  <si>
    <t>Disposal</t>
  </si>
  <si>
    <t xml:space="preserve">Monthly </t>
  </si>
  <si>
    <t>Revenue</t>
  </si>
  <si>
    <t>Tax</t>
  </si>
  <si>
    <t>Gross-up</t>
  </si>
  <si>
    <t>Per pick-up</t>
  </si>
  <si>
    <t>INCREASED RATES</t>
  </si>
  <si>
    <t xml:space="preserve">Revenue </t>
  </si>
  <si>
    <t>Revenue from disposal increase sheet</t>
  </si>
  <si>
    <t>Difference</t>
  </si>
  <si>
    <t>Extra Can</t>
  </si>
  <si>
    <t xml:space="preserve">Extra Can </t>
  </si>
  <si>
    <t>1 yard additional/ extra</t>
  </si>
  <si>
    <t>1 yard Special PU</t>
  </si>
  <si>
    <t>8 yard Special PU</t>
  </si>
  <si>
    <t>1.5 yard additional/ extra</t>
  </si>
  <si>
    <t>1.5 yard Special PU</t>
  </si>
  <si>
    <t>2 yard additional/ extra</t>
  </si>
  <si>
    <t>2yard Special PU</t>
  </si>
  <si>
    <t>3 yard Temp Haul</t>
  </si>
  <si>
    <t>3 yard additional/ extra</t>
  </si>
  <si>
    <t>3 yard Special PU</t>
  </si>
  <si>
    <t>4yard Temp Haul</t>
  </si>
  <si>
    <t>4 yard additional/ extra</t>
  </si>
  <si>
    <t>4yard Special PU</t>
  </si>
  <si>
    <t>6 yard Temp Haul</t>
  </si>
  <si>
    <t>6 yard additional/ extra</t>
  </si>
  <si>
    <t>6 yard Special PU</t>
  </si>
  <si>
    <t>1 yd temp haul</t>
  </si>
  <si>
    <t>1.5 yard Temp</t>
  </si>
  <si>
    <t>2 yd temp haul</t>
  </si>
  <si>
    <t>monthly or</t>
  </si>
  <si>
    <t>1st PU</t>
  </si>
  <si>
    <t>Addtl PU</t>
  </si>
  <si>
    <t>total resl &amp; coml</t>
  </si>
  <si>
    <t>total increase</t>
  </si>
  <si>
    <t>Total Commercial</t>
  </si>
  <si>
    <t>Total Residential</t>
  </si>
  <si>
    <t>Total Residential Increase</t>
  </si>
  <si>
    <t>Commercial revenue at proforma</t>
  </si>
  <si>
    <t xml:space="preserve">Residential revenue at proforma </t>
  </si>
  <si>
    <t>At Pro forma</t>
  </si>
  <si>
    <t>Proposed</t>
  </si>
  <si>
    <t xml:space="preserve">Per </t>
  </si>
  <si>
    <t>Priceout</t>
  </si>
  <si>
    <t>%</t>
  </si>
  <si>
    <t>Gross Up</t>
  </si>
  <si>
    <t>8 yard Temp Haul</t>
  </si>
  <si>
    <t>RDS - Tribal Packer</t>
  </si>
  <si>
    <t>60 WEEKLY X 4</t>
  </si>
  <si>
    <t>Change</t>
  </si>
  <si>
    <t>Round</t>
  </si>
  <si>
    <t>Customer Count</t>
  </si>
  <si>
    <t>Pecentage</t>
  </si>
  <si>
    <t>Adjust Lbs</t>
  </si>
  <si>
    <t>Lbs</t>
  </si>
  <si>
    <t>gross</t>
  </si>
  <si>
    <t>Notes</t>
  </si>
  <si>
    <t>TG-102022</t>
  </si>
  <si>
    <t>2 YD WEEKLY X 4</t>
  </si>
  <si>
    <t>1 YD WEEKLY X 4</t>
  </si>
  <si>
    <t>1.5 YD WEEKLY X 4</t>
  </si>
  <si>
    <t>2 YD WEEKLY X 5</t>
  </si>
  <si>
    <t>4 YD COMPACTOR WEEKLY X 1</t>
  </si>
  <si>
    <t>8 yard additional/extra</t>
  </si>
  <si>
    <t>*</t>
  </si>
  <si>
    <t>32 gallon can</t>
  </si>
  <si>
    <t>32 EOW</t>
  </si>
  <si>
    <t>32 MONTHLY</t>
  </si>
  <si>
    <t>32 WEEKLY</t>
  </si>
  <si>
    <t>Resi. Customer Change</t>
  </si>
  <si>
    <t>Percentage Change</t>
  </si>
  <si>
    <t>Sanitary Service Company, Inc.  (SSC)</t>
  </si>
  <si>
    <t>Effective 1-1-2019</t>
  </si>
  <si>
    <t>TG-143879</t>
  </si>
  <si>
    <t>Proforma Tons From TG-102202, Rate from TG-143879</t>
  </si>
  <si>
    <t>RDS Tons reported in TG-102022</t>
  </si>
  <si>
    <t>RDS Rates Reported in TG-143879</t>
  </si>
  <si>
    <t>RDS Disposal Fee Increase - All Residential and Commercial Customers</t>
  </si>
  <si>
    <t>TG-102202/TG-143879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</si>
</sst>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159">
    <xf numFmtId="0" fontId="0" fillId="0" borderId="0" xfId="0"/>
    <xf numFmtId="43" fontId="0" fillId="0" borderId="0" xfId="1" applyFont="1"/>
    <xf numFmtId="0" fontId="0" fillId="0" borderId="0" xfId="0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ont="1" applyAlignment="1">
      <alignment horizontal="right"/>
    </xf>
    <xf numFmtId="43" fontId="2" fillId="4" borderId="1" xfId="1" applyFont="1" applyFill="1" applyBorder="1"/>
    <xf numFmtId="43" fontId="2" fillId="4" borderId="1" xfId="1" applyFont="1" applyFill="1" applyBorder="1" applyAlignment="1">
      <alignment horizontal="center"/>
    </xf>
    <xf numFmtId="44" fontId="2" fillId="4" borderId="1" xfId="2" applyFont="1" applyFill="1" applyBorder="1"/>
    <xf numFmtId="44" fontId="2" fillId="0" borderId="0" xfId="2" applyFont="1" applyFill="1" applyBorder="1"/>
    <xf numFmtId="0" fontId="2" fillId="0" borderId="0" xfId="0" applyFont="1"/>
    <xf numFmtId="43" fontId="5" fillId="0" borderId="0" xfId="0" applyNumberFormat="1" applyFont="1"/>
    <xf numFmtId="43" fontId="0" fillId="0" borderId="0" xfId="1" applyFont="1" applyFill="1"/>
    <xf numFmtId="0" fontId="5" fillId="0" borderId="0" xfId="0" applyFont="1"/>
    <xf numFmtId="0" fontId="6" fillId="3" borderId="2" xfId="3" applyFont="1" applyFill="1" applyBorder="1" applyAlignment="1">
      <alignment horizontal="center" vertical="top"/>
    </xf>
    <xf numFmtId="0" fontId="6" fillId="3" borderId="14" xfId="3" applyFont="1" applyFill="1" applyBorder="1" applyAlignment="1">
      <alignment horizontal="center" vertical="top"/>
    </xf>
    <xf numFmtId="0" fontId="7" fillId="0" borderId="0" xfId="3" applyFont="1">
      <alignment vertical="top"/>
    </xf>
    <xf numFmtId="0" fontId="5" fillId="6" borderId="0" xfId="0" applyFont="1" applyFill="1"/>
    <xf numFmtId="0" fontId="5" fillId="6" borderId="0" xfId="0" applyFont="1" applyFill="1" applyBorder="1"/>
    <xf numFmtId="0" fontId="0" fillId="0" borderId="0" xfId="0" applyFont="1" applyFill="1"/>
    <xf numFmtId="44" fontId="0" fillId="0" borderId="0" xfId="0" applyNumberFormat="1" applyFont="1" applyFill="1" applyBorder="1"/>
    <xf numFmtId="43" fontId="0" fillId="0" borderId="0" xfId="0" applyNumberFormat="1" applyFont="1" applyFill="1" applyBorder="1"/>
    <xf numFmtId="44" fontId="0" fillId="0" borderId="0" xfId="2" applyFont="1" applyFill="1" applyBorder="1"/>
    <xf numFmtId="164" fontId="2" fillId="0" borderId="0" xfId="1" applyNumberFormat="1" applyFont="1" applyFill="1" applyBorder="1"/>
    <xf numFmtId="0" fontId="4" fillId="0" borderId="0" xfId="0" applyFont="1"/>
    <xf numFmtId="0" fontId="4" fillId="0" borderId="0" xfId="0" applyFont="1" applyFill="1"/>
    <xf numFmtId="165" fontId="7" fillId="0" borderId="0" xfId="1" applyNumberFormat="1" applyFont="1" applyFill="1" applyBorder="1" applyAlignment="1">
      <alignment vertical="top"/>
    </xf>
    <xf numFmtId="165" fontId="5" fillId="0" borderId="0" xfId="1" applyNumberFormat="1" applyFont="1" applyBorder="1"/>
    <xf numFmtId="165" fontId="5" fillId="0" borderId="0" xfId="1" applyNumberFormat="1" applyFont="1"/>
    <xf numFmtId="0" fontId="9" fillId="0" borderId="0" xfId="0" applyFont="1"/>
    <xf numFmtId="43" fontId="10" fillId="0" borderId="0" xfId="1" applyFont="1"/>
    <xf numFmtId="43" fontId="9" fillId="0" borderId="0" xfId="0" applyNumberFormat="1" applyFont="1"/>
    <xf numFmtId="43" fontId="9" fillId="0" borderId="0" xfId="1" applyFont="1"/>
    <xf numFmtId="166" fontId="9" fillId="0" borderId="0" xfId="4" applyNumberFormat="1" applyFont="1"/>
    <xf numFmtId="10" fontId="10" fillId="0" borderId="0" xfId="4" applyNumberFormat="1" applyFont="1"/>
    <xf numFmtId="0" fontId="5" fillId="0" borderId="0" xfId="0" applyFont="1" applyBorder="1"/>
    <xf numFmtId="0" fontId="10" fillId="0" borderId="0" xfId="0" applyFont="1" applyAlignment="1">
      <alignment horizontal="center"/>
    </xf>
    <xf numFmtId="0" fontId="5" fillId="0" borderId="0" xfId="0" applyFont="1" applyFill="1" applyBorder="1"/>
    <xf numFmtId="0" fontId="11" fillId="0" borderId="0" xfId="0" applyFont="1"/>
    <xf numFmtId="0" fontId="5" fillId="0" borderId="0" xfId="0" applyFont="1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0" fontId="5" fillId="0" borderId="0" xfId="0" applyNumberFormat="1" applyFont="1"/>
    <xf numFmtId="0" fontId="5" fillId="7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3" fontId="5" fillId="7" borderId="3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10" fontId="5" fillId="0" borderId="0" xfId="4" applyNumberFormat="1" applyFont="1"/>
    <xf numFmtId="10" fontId="5" fillId="0" borderId="0" xfId="4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43" fontId="5" fillId="0" borderId="0" xfId="1" applyFont="1" applyFill="1"/>
    <xf numFmtId="0" fontId="12" fillId="0" borderId="0" xfId="0" applyFont="1" applyFill="1" applyBorder="1" applyAlignment="1">
      <alignment horizontal="center"/>
    </xf>
    <xf numFmtId="43" fontId="6" fillId="3" borderId="2" xfId="3" applyNumberFormat="1" applyFont="1" applyFill="1" applyBorder="1" applyAlignment="1">
      <alignment horizontal="center" vertical="top"/>
    </xf>
    <xf numFmtId="164" fontId="7" fillId="0" borderId="17" xfId="3" applyNumberFormat="1" applyFont="1" applyBorder="1">
      <alignment vertical="top"/>
    </xf>
    <xf numFmtId="43" fontId="6" fillId="3" borderId="15" xfId="3" applyNumberFormat="1" applyFont="1" applyFill="1" applyBorder="1" applyAlignment="1">
      <alignment horizontal="center" vertical="top"/>
    </xf>
    <xf numFmtId="0" fontId="7" fillId="0" borderId="0" xfId="3" applyFont="1" applyBorder="1">
      <alignment vertical="top"/>
    </xf>
    <xf numFmtId="43" fontId="7" fillId="0" borderId="0" xfId="3" applyNumberFormat="1" applyFont="1" applyBorder="1">
      <alignment vertical="top"/>
    </xf>
    <xf numFmtId="43" fontId="5" fillId="0" borderId="0" xfId="1" applyFont="1"/>
    <xf numFmtId="43" fontId="5" fillId="0" borderId="0" xfId="0" applyNumberFormat="1" applyFont="1" applyBorder="1"/>
    <xf numFmtId="0" fontId="7" fillId="0" borderId="0" xfId="3" applyFont="1" applyFill="1" applyBorder="1">
      <alignment vertical="top"/>
    </xf>
    <xf numFmtId="43" fontId="7" fillId="0" borderId="0" xfId="3" applyNumberFormat="1" applyFont="1" applyFill="1" applyBorder="1">
      <alignment vertical="top"/>
    </xf>
    <xf numFmtId="43" fontId="6" fillId="0" borderId="0" xfId="3" applyNumberFormat="1" applyFont="1" applyFill="1" applyBorder="1">
      <alignment vertical="top"/>
    </xf>
    <xf numFmtId="165" fontId="11" fillId="0" borderId="17" xfId="1" applyNumberFormat="1" applyFont="1" applyBorder="1"/>
    <xf numFmtId="165" fontId="5" fillId="0" borderId="0" xfId="0" applyNumberFormat="1" applyFont="1"/>
    <xf numFmtId="3" fontId="6" fillId="3" borderId="14" xfId="3" applyNumberFormat="1" applyFont="1" applyFill="1" applyBorder="1">
      <alignment vertical="top"/>
    </xf>
    <xf numFmtId="43" fontId="6" fillId="3" borderId="0" xfId="3" applyNumberFormat="1" applyFont="1" applyFill="1" applyBorder="1">
      <alignment vertical="top"/>
    </xf>
    <xf numFmtId="4" fontId="7" fillId="0" borderId="0" xfId="3" applyNumberFormat="1" applyFont="1" applyBorder="1">
      <alignment vertical="top"/>
    </xf>
    <xf numFmtId="0" fontId="13" fillId="0" borderId="0" xfId="0" applyFont="1" applyFill="1" applyBorder="1" applyAlignment="1">
      <alignment vertical="center"/>
    </xf>
    <xf numFmtId="43" fontId="13" fillId="0" borderId="0" xfId="0" applyNumberFormat="1" applyFont="1" applyFill="1" applyBorder="1" applyAlignment="1">
      <alignment vertical="center"/>
    </xf>
    <xf numFmtId="43" fontId="7" fillId="9" borderId="16" xfId="3" applyNumberFormat="1" applyFont="1" applyFill="1" applyBorder="1">
      <alignment vertical="top"/>
    </xf>
    <xf numFmtId="165" fontId="5" fillId="0" borderId="0" xfId="1" applyNumberFormat="1" applyFont="1" applyFill="1"/>
    <xf numFmtId="43" fontId="5" fillId="0" borderId="0" xfId="0" applyNumberFormat="1" applyFont="1" applyFill="1"/>
    <xf numFmtId="43" fontId="7" fillId="9" borderId="20" xfId="3" applyNumberFormat="1" applyFont="1" applyFill="1" applyBorder="1">
      <alignment vertical="top"/>
    </xf>
    <xf numFmtId="43" fontId="7" fillId="0" borderId="0" xfId="3" applyNumberFormat="1" applyFont="1">
      <alignment vertical="top"/>
    </xf>
    <xf numFmtId="3" fontId="6" fillId="0" borderId="4" xfId="3" applyNumberFormat="1" applyFont="1" applyBorder="1">
      <alignment vertical="top"/>
    </xf>
    <xf numFmtId="44" fontId="7" fillId="0" borderId="4" xfId="2" applyFont="1" applyBorder="1" applyAlignment="1">
      <alignment vertical="top"/>
    </xf>
    <xf numFmtId="165" fontId="5" fillId="0" borderId="0" xfId="0" applyNumberFormat="1" applyFont="1" applyFill="1"/>
    <xf numFmtId="3" fontId="6" fillId="0" borderId="0" xfId="3" applyNumberFormat="1" applyFont="1" applyBorder="1">
      <alignment vertical="top"/>
    </xf>
    <xf numFmtId="44" fontId="7" fillId="0" borderId="0" xfId="2" applyFont="1" applyBorder="1" applyAlignment="1">
      <alignment vertical="top"/>
    </xf>
    <xf numFmtId="165" fontId="11" fillId="0" borderId="17" xfId="0" applyNumberFormat="1" applyFont="1" applyBorder="1"/>
    <xf numFmtId="0" fontId="6" fillId="0" borderId="0" xfId="3" applyFont="1">
      <alignment vertical="top"/>
    </xf>
    <xf numFmtId="0" fontId="5" fillId="6" borderId="0" xfId="0" applyFont="1" applyFill="1" applyAlignment="1">
      <alignment horizontal="center"/>
    </xf>
    <xf numFmtId="0" fontId="5" fillId="6" borderId="13" xfId="0" applyFont="1" applyFill="1" applyBorder="1" applyAlignment="1">
      <alignment horizontal="center"/>
    </xf>
    <xf numFmtId="165" fontId="5" fillId="0" borderId="0" xfId="0" applyNumberFormat="1" applyFont="1" applyBorder="1"/>
    <xf numFmtId="165" fontId="5" fillId="6" borderId="0" xfId="1" applyNumberFormat="1" applyFont="1" applyFill="1"/>
    <xf numFmtId="165" fontId="5" fillId="6" borderId="0" xfId="0" applyNumberFormat="1" applyFont="1" applyFill="1"/>
    <xf numFmtId="10" fontId="5" fillId="6" borderId="0" xfId="0" applyNumberFormat="1" applyFont="1" applyFill="1"/>
    <xf numFmtId="5" fontId="5" fillId="6" borderId="0" xfId="0" applyNumberFormat="1" applyFont="1" applyFill="1"/>
    <xf numFmtId="164" fontId="5" fillId="0" borderId="0" xfId="1" applyNumberFormat="1" applyFont="1"/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0" fontId="5" fillId="0" borderId="0" xfId="0" applyNumberFormat="1" applyFont="1" applyBorder="1"/>
    <xf numFmtId="43" fontId="5" fillId="0" borderId="0" xfId="0" applyNumberFormat="1" applyFont="1" applyFill="1" applyBorder="1"/>
    <xf numFmtId="10" fontId="5" fillId="0" borderId="0" xfId="4" applyNumberFormat="1" applyFont="1" applyFill="1"/>
    <xf numFmtId="10" fontId="5" fillId="0" borderId="0" xfId="0" applyNumberFormat="1" applyFont="1" applyFill="1"/>
    <xf numFmtId="43" fontId="7" fillId="0" borderId="18" xfId="3" applyNumberFormat="1" applyFont="1" applyFill="1" applyBorder="1">
      <alignment vertical="top"/>
    </xf>
    <xf numFmtId="0" fontId="11" fillId="10" borderId="1" xfId="0" applyFont="1" applyFill="1" applyBorder="1" applyAlignment="1">
      <alignment horizontal="center"/>
    </xf>
    <xf numFmtId="164" fontId="7" fillId="0" borderId="22" xfId="3" applyNumberFormat="1" applyFont="1" applyBorder="1">
      <alignment vertical="top"/>
    </xf>
    <xf numFmtId="0" fontId="6" fillId="3" borderId="3" xfId="3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43" fontId="2" fillId="0" borderId="0" xfId="1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10" fontId="0" fillId="0" borderId="0" xfId="0" applyNumberFormat="1" applyFont="1" applyFill="1" applyBorder="1"/>
    <xf numFmtId="43" fontId="2" fillId="0" borderId="0" xfId="1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44" fontId="2" fillId="4" borderId="1" xfId="2" applyFont="1" applyFill="1" applyBorder="1" applyAlignment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2" fillId="0" borderId="0" xfId="0" applyFont="1" applyFill="1" applyBorder="1"/>
    <xf numFmtId="43" fontId="2" fillId="0" borderId="0" xfId="1" applyFont="1" applyFill="1" applyBorder="1" applyAlignment="1">
      <alignment horizontal="right"/>
    </xf>
    <xf numFmtId="10" fontId="2" fillId="0" borderId="0" xfId="1" applyNumberFormat="1" applyFont="1" applyFill="1" applyBorder="1"/>
    <xf numFmtId="167" fontId="5" fillId="0" borderId="16" xfId="2" applyNumberFormat="1" applyFont="1" applyFill="1" applyBorder="1"/>
    <xf numFmtId="43" fontId="5" fillId="0" borderId="16" xfId="0" applyNumberFormat="1" applyFont="1" applyFill="1" applyBorder="1"/>
    <xf numFmtId="0" fontId="5" fillId="0" borderId="16" xfId="0" applyFont="1" applyFill="1" applyBorder="1"/>
    <xf numFmtId="164" fontId="11" fillId="0" borderId="17" xfId="1" applyNumberFormat="1" applyFont="1" applyFill="1" applyBorder="1"/>
    <xf numFmtId="43" fontId="0" fillId="0" borderId="11" xfId="1" applyFont="1" applyFill="1" applyBorder="1"/>
    <xf numFmtId="43" fontId="0" fillId="0" borderId="6" xfId="1" applyFont="1" applyFill="1" applyBorder="1"/>
    <xf numFmtId="0" fontId="0" fillId="0" borderId="12" xfId="0" applyFont="1" applyFill="1" applyBorder="1"/>
    <xf numFmtId="43" fontId="0" fillId="0" borderId="6" xfId="0" applyNumberFormat="1" applyFont="1" applyFill="1" applyBorder="1"/>
    <xf numFmtId="43" fontId="9" fillId="0" borderId="0" xfId="1" applyFont="1" applyFill="1" applyBorder="1"/>
    <xf numFmtId="43" fontId="11" fillId="0" borderId="18" xfId="1" applyFont="1" applyFill="1" applyBorder="1" applyAlignment="1">
      <alignment horizontal="center"/>
    </xf>
    <xf numFmtId="43" fontId="5" fillId="0" borderId="18" xfId="1" applyFont="1" applyFill="1" applyBorder="1"/>
    <xf numFmtId="44" fontId="5" fillId="0" borderId="20" xfId="2" applyFont="1" applyFill="1" applyBorder="1"/>
    <xf numFmtId="10" fontId="2" fillId="4" borderId="1" xfId="4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5" fillId="0" borderId="19" xfId="0" applyNumberFormat="1" applyFont="1" applyBorder="1"/>
    <xf numFmtId="0" fontId="5" fillId="0" borderId="21" xfId="0" applyFont="1" applyBorder="1"/>
    <xf numFmtId="43" fontId="5" fillId="0" borderId="5" xfId="0" applyNumberFormat="1" applyFont="1" applyBorder="1"/>
    <xf numFmtId="0" fontId="5" fillId="0" borderId="6" xfId="0" applyFont="1" applyBorder="1"/>
    <xf numFmtId="165" fontId="16" fillId="0" borderId="7" xfId="1" applyNumberFormat="1" applyFont="1" applyBorder="1"/>
    <xf numFmtId="0" fontId="5" fillId="0" borderId="7" xfId="0" applyFont="1" applyBorder="1"/>
    <xf numFmtId="165" fontId="5" fillId="0" borderId="7" xfId="1" applyNumberFormat="1" applyFont="1" applyBorder="1"/>
    <xf numFmtId="43" fontId="5" fillId="0" borderId="7" xfId="0" applyNumberFormat="1" applyFont="1" applyBorder="1"/>
    <xf numFmtId="0" fontId="5" fillId="0" borderId="8" xfId="0" applyFont="1" applyBorder="1"/>
    <xf numFmtId="0" fontId="5" fillId="0" borderId="9" xfId="0" applyFont="1" applyBorder="1"/>
    <xf numFmtId="10" fontId="5" fillId="0" borderId="10" xfId="4" applyNumberFormat="1" applyFont="1" applyBorder="1"/>
    <xf numFmtId="0" fontId="5" fillId="0" borderId="1" xfId="0" applyFont="1" applyBorder="1"/>
    <xf numFmtId="43" fontId="6" fillId="3" borderId="1" xfId="3" applyNumberFormat="1" applyFont="1" applyFill="1" applyBorder="1">
      <alignment vertical="top"/>
    </xf>
    <xf numFmtId="43" fontId="6" fillId="3" borderId="1" xfId="3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11" fillId="0" borderId="0" xfId="0" applyFont="1" applyAlignment="1"/>
    <xf numFmtId="10" fontId="0" fillId="0" borderId="0" xfId="1" applyNumberFormat="1" applyFont="1"/>
    <xf numFmtId="0" fontId="8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3" fontId="2" fillId="5" borderId="1" xfId="1" applyFont="1" applyFill="1" applyBorder="1" applyAlignment="1">
      <alignment horizontal="center"/>
    </xf>
    <xf numFmtId="43" fontId="2" fillId="12" borderId="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2" borderId="0" xfId="0" applyFont="1" applyFill="1" applyBorder="1" applyAlignment="1"/>
  </cellXfs>
  <cellStyles count="6">
    <cellStyle name="Comma" xfId="1" builtinId="3"/>
    <cellStyle name="Currency" xfId="2" builtinId="4"/>
    <cellStyle name="Normal" xfId="0" builtinId="0"/>
    <cellStyle name="Normal 2" xfId="3"/>
    <cellStyle name="Normal 3" xfId="5"/>
    <cellStyle name="Percent" xfId="4" builtinId="5"/>
  </cellStyles>
  <dxfs count="0"/>
  <tableStyles count="0" defaultTableStyle="TableStyleMedium9" defaultPivotStyle="PivotStyleLight16"/>
  <colors>
    <mruColors>
      <color rgb="FFFFFF99"/>
      <color rgb="FFF8F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G-143879%20(Disposal)\Staff%20Workpapers\grc%20tons%20RDS%20Proforma%20Adjustment%20102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G-143879%20(Disposal)\Prior%20Cases\TG-102022\STAFFRate%20Case%20File%20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S"/>
    </sheetNames>
    <sheetDataSet>
      <sheetData sheetId="0">
        <row r="36">
          <cell r="B36">
            <v>3298.82</v>
          </cell>
          <cell r="C36">
            <v>14799.349999999999</v>
          </cell>
          <cell r="D36">
            <v>4624.2700000000004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urito - Total Regulated"/>
      <sheetName val="Lurito - Garbage Total"/>
      <sheetName val="Lurito - Recycling Total"/>
      <sheetName val="Lurito - Yard Total"/>
      <sheetName val="Lurito - Multi"/>
      <sheetName val="Cost of Debt"/>
      <sheetName val="Inc Stmt as reported combined "/>
      <sheetName val="Restating Adjustments"/>
      <sheetName val="Restating Tax"/>
      <sheetName val="Restating Bad Debt"/>
      <sheetName val="Restating Advertising"/>
      <sheetName val="Restating Depreciation"/>
      <sheetName val="Commodity Adjustment"/>
      <sheetName val="MF Commodity Adjustment"/>
      <sheetName val="Restating Legal and Accounting"/>
      <sheetName val="Restating Traffic &amp; Solicit"/>
      <sheetName val="Directors Restatement"/>
      <sheetName val="Communications Restatement"/>
      <sheetName val="Yard Waste Expense Adj"/>
      <sheetName val="Executive Payroll"/>
      <sheetName val="Proforma Statement"/>
      <sheetName val="Office Lease"/>
      <sheetName val="Office Improvements"/>
      <sheetName val="Wage Increase"/>
      <sheetName val="Fuel"/>
      <sheetName val="Income Statement"/>
      <sheetName val="SSC Average Investment"/>
      <sheetName val="SSC Average Investment for RSI"/>
      <sheetName val="RSI Average Investment"/>
      <sheetName val="BBR Average Investment"/>
      <sheetName val="Balance Sheet Standard"/>
      <sheetName val="Residential rates final"/>
      <sheetName val="Commercial Final"/>
      <sheetName val="Drop Box Price out"/>
      <sheetName val="Recycling Rates"/>
      <sheetName val="Multi Family Proposed"/>
      <sheetName val="Yard Waste Rate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Q12">
            <v>3876593.0900000003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8">
          <cell r="C8">
            <v>381</v>
          </cell>
        </row>
        <row r="9">
          <cell r="C9">
            <v>160</v>
          </cell>
        </row>
        <row r="10">
          <cell r="C10">
            <v>182</v>
          </cell>
        </row>
        <row r="11">
          <cell r="C11">
            <v>74</v>
          </cell>
        </row>
        <row r="12">
          <cell r="C12">
            <v>269</v>
          </cell>
        </row>
        <row r="13">
          <cell r="C13">
            <v>346</v>
          </cell>
        </row>
        <row r="14">
          <cell r="C14">
            <v>8559</v>
          </cell>
        </row>
        <row r="15">
          <cell r="C15">
            <v>887</v>
          </cell>
        </row>
        <row r="16">
          <cell r="C16">
            <v>1819</v>
          </cell>
        </row>
        <row r="17">
          <cell r="C17">
            <v>187</v>
          </cell>
        </row>
        <row r="18">
          <cell r="C18">
            <v>5636</v>
          </cell>
        </row>
        <row r="19">
          <cell r="C19">
            <v>1098</v>
          </cell>
        </row>
        <row r="20">
          <cell r="C20">
            <v>320</v>
          </cell>
        </row>
        <row r="21">
          <cell r="C21">
            <v>6</v>
          </cell>
        </row>
        <row r="22">
          <cell r="C22">
            <v>41</v>
          </cell>
        </row>
        <row r="23">
          <cell r="C23">
            <v>447</v>
          </cell>
        </row>
        <row r="24">
          <cell r="C24">
            <v>11</v>
          </cell>
        </row>
        <row r="25">
          <cell r="C25">
            <v>514</v>
          </cell>
        </row>
        <row r="26">
          <cell r="C26">
            <v>1940</v>
          </cell>
        </row>
        <row r="27">
          <cell r="C27">
            <v>5</v>
          </cell>
        </row>
        <row r="28">
          <cell r="C28">
            <v>21</v>
          </cell>
        </row>
        <row r="29">
          <cell r="C29">
            <v>2</v>
          </cell>
        </row>
        <row r="30">
          <cell r="C30">
            <v>1</v>
          </cell>
        </row>
      </sheetData>
      <sheetData sheetId="33">
        <row r="7">
          <cell r="D7">
            <v>1</v>
          </cell>
        </row>
        <row r="8">
          <cell r="D8">
            <v>3</v>
          </cell>
        </row>
        <row r="9">
          <cell r="D9">
            <v>1</v>
          </cell>
        </row>
        <row r="11">
          <cell r="D11">
            <v>11</v>
          </cell>
        </row>
        <row r="12">
          <cell r="D12">
            <v>39</v>
          </cell>
        </row>
        <row r="13">
          <cell r="D13">
            <v>297</v>
          </cell>
        </row>
        <row r="14">
          <cell r="D14">
            <v>11</v>
          </cell>
        </row>
        <row r="15">
          <cell r="D15">
            <v>2</v>
          </cell>
        </row>
        <row r="16">
          <cell r="D16">
            <v>5</v>
          </cell>
        </row>
        <row r="17">
          <cell r="D17">
            <v>1</v>
          </cell>
        </row>
        <row r="18">
          <cell r="D18">
            <v>146</v>
          </cell>
        </row>
        <row r="19">
          <cell r="D19">
            <v>4</v>
          </cell>
        </row>
        <row r="20">
          <cell r="D20">
            <v>66</v>
          </cell>
        </row>
        <row r="21">
          <cell r="D21">
            <v>1</v>
          </cell>
        </row>
        <row r="23">
          <cell r="D23">
            <v>11</v>
          </cell>
        </row>
        <row r="24">
          <cell r="D24">
            <v>1</v>
          </cell>
        </row>
        <row r="25">
          <cell r="D25">
            <v>16</v>
          </cell>
        </row>
        <row r="26">
          <cell r="D26">
            <v>213</v>
          </cell>
        </row>
        <row r="27">
          <cell r="D27">
            <v>27</v>
          </cell>
        </row>
        <row r="28">
          <cell r="D28">
            <v>12</v>
          </cell>
        </row>
        <row r="29">
          <cell r="D29">
            <v>1</v>
          </cell>
        </row>
        <row r="30">
          <cell r="D30">
            <v>4</v>
          </cell>
        </row>
        <row r="32">
          <cell r="D32">
            <v>6</v>
          </cell>
        </row>
        <row r="33">
          <cell r="D33">
            <v>105</v>
          </cell>
        </row>
        <row r="34">
          <cell r="D34">
            <v>6</v>
          </cell>
        </row>
        <row r="35">
          <cell r="D35">
            <v>4</v>
          </cell>
        </row>
        <row r="36">
          <cell r="D36">
            <v>1</v>
          </cell>
        </row>
        <row r="37">
          <cell r="D37">
            <v>8</v>
          </cell>
        </row>
        <row r="39">
          <cell r="D39">
            <v>21</v>
          </cell>
        </row>
        <row r="40">
          <cell r="D40">
            <v>60</v>
          </cell>
        </row>
        <row r="41">
          <cell r="D41">
            <v>393</v>
          </cell>
        </row>
        <row r="42">
          <cell r="D42">
            <v>17</v>
          </cell>
        </row>
        <row r="43">
          <cell r="D43">
            <v>38</v>
          </cell>
        </row>
        <row r="44">
          <cell r="D44">
            <v>24.999233974751807</v>
          </cell>
        </row>
        <row r="45">
          <cell r="D45">
            <v>2</v>
          </cell>
        </row>
        <row r="46">
          <cell r="D46">
            <v>1</v>
          </cell>
        </row>
        <row r="48">
          <cell r="D48">
            <v>3</v>
          </cell>
        </row>
        <row r="50">
          <cell r="D50">
            <v>1</v>
          </cell>
        </row>
        <row r="51">
          <cell r="D51">
            <v>42</v>
          </cell>
        </row>
        <row r="52">
          <cell r="D52">
            <v>5</v>
          </cell>
        </row>
        <row r="53">
          <cell r="D53">
            <v>1</v>
          </cell>
        </row>
        <row r="55">
          <cell r="D55">
            <v>1</v>
          </cell>
        </row>
        <row r="56">
          <cell r="D56">
            <v>6</v>
          </cell>
        </row>
        <row r="57">
          <cell r="D57">
            <v>22</v>
          </cell>
        </row>
        <row r="58">
          <cell r="D58">
            <v>235</v>
          </cell>
        </row>
        <row r="59">
          <cell r="D59">
            <v>13</v>
          </cell>
        </row>
        <row r="60">
          <cell r="D60">
            <v>54</v>
          </cell>
        </row>
        <row r="61">
          <cell r="D61">
            <v>2</v>
          </cell>
        </row>
        <row r="62">
          <cell r="D62">
            <v>14</v>
          </cell>
        </row>
        <row r="63">
          <cell r="D63">
            <v>5</v>
          </cell>
        </row>
        <row r="64">
          <cell r="D64">
            <v>3</v>
          </cell>
        </row>
        <row r="66">
          <cell r="D66">
            <v>1</v>
          </cell>
        </row>
        <row r="67">
          <cell r="D67">
            <v>41</v>
          </cell>
        </row>
        <row r="68">
          <cell r="D68">
            <v>12</v>
          </cell>
        </row>
        <row r="69">
          <cell r="D69">
            <v>8</v>
          </cell>
        </row>
        <row r="70">
          <cell r="D70">
            <v>5</v>
          </cell>
        </row>
        <row r="72">
          <cell r="D72">
            <v>5</v>
          </cell>
        </row>
        <row r="73">
          <cell r="D73">
            <v>3</v>
          </cell>
        </row>
        <row r="74">
          <cell r="D74">
            <v>21</v>
          </cell>
        </row>
        <row r="75">
          <cell r="D75">
            <v>295</v>
          </cell>
        </row>
        <row r="76">
          <cell r="D76">
            <v>2</v>
          </cell>
        </row>
        <row r="77">
          <cell r="D77">
            <v>87.999999999999986</v>
          </cell>
        </row>
        <row r="78">
          <cell r="D78">
            <v>25</v>
          </cell>
        </row>
        <row r="79">
          <cell r="D79">
            <v>2</v>
          </cell>
        </row>
        <row r="80">
          <cell r="D80">
            <v>5</v>
          </cell>
        </row>
        <row r="81">
          <cell r="D81">
            <v>3</v>
          </cell>
        </row>
        <row r="83">
          <cell r="D83">
            <v>27</v>
          </cell>
        </row>
        <row r="84">
          <cell r="D84">
            <v>8</v>
          </cell>
        </row>
        <row r="85">
          <cell r="D85">
            <v>8</v>
          </cell>
        </row>
        <row r="86">
          <cell r="D86">
            <v>30</v>
          </cell>
        </row>
        <row r="89">
          <cell r="D89">
            <v>9</v>
          </cell>
        </row>
        <row r="90">
          <cell r="D90">
            <v>192</v>
          </cell>
        </row>
        <row r="91">
          <cell r="D91">
            <v>5</v>
          </cell>
        </row>
        <row r="92">
          <cell r="D92">
            <v>89</v>
          </cell>
        </row>
        <row r="93">
          <cell r="D93">
            <v>25</v>
          </cell>
        </row>
        <row r="94">
          <cell r="D94">
            <v>2</v>
          </cell>
        </row>
        <row r="95">
          <cell r="D95">
            <v>1</v>
          </cell>
        </row>
        <row r="96">
          <cell r="D96">
            <v>3</v>
          </cell>
        </row>
        <row r="97">
          <cell r="D97">
            <v>66</v>
          </cell>
        </row>
        <row r="99">
          <cell r="D99">
            <v>3</v>
          </cell>
        </row>
        <row r="100">
          <cell r="D100">
            <v>527</v>
          </cell>
        </row>
        <row r="101">
          <cell r="D101">
            <v>6</v>
          </cell>
        </row>
        <row r="103">
          <cell r="D103">
            <v>15</v>
          </cell>
        </row>
        <row r="104">
          <cell r="D104">
            <v>1</v>
          </cell>
        </row>
        <row r="105">
          <cell r="D105">
            <v>24</v>
          </cell>
        </row>
        <row r="106">
          <cell r="D106">
            <v>6</v>
          </cell>
        </row>
        <row r="107">
          <cell r="D107">
            <v>9</v>
          </cell>
        </row>
        <row r="108">
          <cell r="D108">
            <v>4</v>
          </cell>
        </row>
        <row r="109">
          <cell r="D109">
            <v>1</v>
          </cell>
        </row>
        <row r="110">
          <cell r="D110">
            <v>2</v>
          </cell>
        </row>
        <row r="111">
          <cell r="D111">
            <v>1</v>
          </cell>
        </row>
        <row r="112">
          <cell r="D112">
            <v>3</v>
          </cell>
        </row>
        <row r="113">
          <cell r="D113">
            <v>14</v>
          </cell>
        </row>
        <row r="115">
          <cell r="D115">
            <v>3</v>
          </cell>
        </row>
        <row r="116">
          <cell r="D116">
            <v>590</v>
          </cell>
        </row>
        <row r="117">
          <cell r="D117">
            <v>13</v>
          </cell>
        </row>
        <row r="118">
          <cell r="D118">
            <v>11</v>
          </cell>
        </row>
        <row r="119">
          <cell r="D119">
            <v>4</v>
          </cell>
        </row>
        <row r="120">
          <cell r="D120">
            <v>116</v>
          </cell>
        </row>
        <row r="121">
          <cell r="D121">
            <v>3537</v>
          </cell>
        </row>
        <row r="122">
          <cell r="D122">
            <v>3</v>
          </cell>
        </row>
        <row r="123">
          <cell r="D123">
            <v>1</v>
          </cell>
        </row>
      </sheetData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4"/>
  <sheetViews>
    <sheetView tabSelected="1" zoomScale="80" zoomScaleNormal="80" workbookViewId="0">
      <selection activeCell="J11" sqref="J11"/>
    </sheetView>
  </sheetViews>
  <sheetFormatPr defaultColWidth="8.85546875" defaultRowHeight="15" x14ac:dyDescent="0.25"/>
  <cols>
    <col min="1" max="1" width="2.85546875" style="2" customWidth="1"/>
    <col min="2" max="2" width="24.7109375" style="22" customWidth="1"/>
    <col min="3" max="3" width="23.5703125" style="22" customWidth="1"/>
    <col min="4" max="4" width="14.28515625" style="22" customWidth="1"/>
    <col min="5" max="5" width="3.140625" style="5" customWidth="1"/>
    <col min="6" max="6" width="17.5703125" style="2" customWidth="1"/>
    <col min="7" max="7" width="21.5703125" style="2" customWidth="1"/>
    <col min="8" max="8" width="15.28515625" style="2" customWidth="1"/>
    <col min="9" max="9" width="8.85546875" style="2"/>
    <col min="10" max="10" width="14.28515625" style="2" customWidth="1"/>
    <col min="11" max="11" width="25.7109375" style="2" customWidth="1"/>
    <col min="12" max="14" width="15.140625" style="2" bestFit="1" customWidth="1"/>
    <col min="15" max="15" width="12.28515625" style="2" bestFit="1" customWidth="1"/>
    <col min="16" max="16" width="8.85546875" style="2"/>
    <col min="17" max="17" width="16.7109375" style="2" customWidth="1"/>
    <col min="18" max="18" width="12.5703125" style="27" customWidth="1"/>
    <col min="19" max="16384" width="8.85546875" style="2"/>
  </cols>
  <sheetData>
    <row r="1" spans="1:18" x14ac:dyDescent="0.25">
      <c r="A1" s="13" t="s">
        <v>156</v>
      </c>
    </row>
    <row r="2" spans="1:18" x14ac:dyDescent="0.25">
      <c r="A2" s="13" t="s">
        <v>162</v>
      </c>
    </row>
    <row r="3" spans="1:18" x14ac:dyDescent="0.25">
      <c r="A3" s="13" t="s">
        <v>160</v>
      </c>
    </row>
    <row r="4" spans="1:18" x14ac:dyDescent="0.25">
      <c r="A4" s="13" t="s">
        <v>161</v>
      </c>
    </row>
    <row r="5" spans="1:18" x14ac:dyDescent="0.25">
      <c r="A5" s="13" t="s">
        <v>157</v>
      </c>
      <c r="K5" s="150"/>
      <c r="L5" s="150"/>
      <c r="M5" s="150"/>
      <c r="N5" s="150"/>
    </row>
    <row r="6" spans="1:18" s="22" customFormat="1" x14ac:dyDescent="0.25">
      <c r="C6" s="146"/>
      <c r="E6" s="5"/>
      <c r="G6" s="146"/>
      <c r="K6" s="28"/>
      <c r="L6" s="28"/>
      <c r="M6" s="28"/>
      <c r="N6" s="28"/>
      <c r="O6" s="28"/>
      <c r="R6" s="28"/>
    </row>
    <row r="7" spans="1:18" x14ac:dyDescent="0.25">
      <c r="B7" s="155" t="s">
        <v>159</v>
      </c>
      <c r="C7" s="155"/>
      <c r="D7" s="155"/>
      <c r="F7" s="155" t="s">
        <v>159</v>
      </c>
      <c r="G7" s="155"/>
      <c r="H7" s="155"/>
      <c r="K7" s="35"/>
      <c r="L7" s="35"/>
      <c r="M7" s="34"/>
      <c r="N7" s="32"/>
      <c r="O7" s="27"/>
    </row>
    <row r="8" spans="1:18" x14ac:dyDescent="0.25">
      <c r="B8" s="152" t="s">
        <v>132</v>
      </c>
      <c r="C8" s="152"/>
      <c r="D8" s="152"/>
      <c r="E8" s="6"/>
      <c r="F8" s="152" t="s">
        <v>3</v>
      </c>
      <c r="G8" s="152"/>
      <c r="H8" s="152"/>
      <c r="K8" s="35"/>
      <c r="L8" s="35"/>
      <c r="M8" s="35"/>
      <c r="N8" s="32"/>
      <c r="O8" s="27"/>
    </row>
    <row r="9" spans="1:18" x14ac:dyDescent="0.25">
      <c r="B9" s="147" t="s">
        <v>0</v>
      </c>
      <c r="C9" s="147" t="s">
        <v>1</v>
      </c>
      <c r="D9" s="147" t="s">
        <v>2</v>
      </c>
      <c r="E9" s="6"/>
      <c r="F9" s="147" t="s">
        <v>0</v>
      </c>
      <c r="G9" s="147" t="s">
        <v>1</v>
      </c>
      <c r="H9" s="147" t="s">
        <v>2</v>
      </c>
      <c r="K9" s="35"/>
      <c r="L9" s="36"/>
      <c r="M9" s="36"/>
      <c r="N9" s="32"/>
      <c r="O9" s="27"/>
    </row>
    <row r="10" spans="1:18" x14ac:dyDescent="0.25">
      <c r="B10" s="9">
        <f>[1]RDS!$B$36</f>
        <v>3298.82</v>
      </c>
      <c r="C10" s="10">
        <v>98.74</v>
      </c>
      <c r="D10" s="11">
        <f>B10*C10</f>
        <v>325725.48680000001</v>
      </c>
      <c r="E10" s="2"/>
      <c r="F10" s="9">
        <f>[1]RDS!$C$36+[1]RDS!$D$36</f>
        <v>19423.62</v>
      </c>
      <c r="G10" s="10">
        <v>98.74</v>
      </c>
      <c r="H10" s="11">
        <f>F10*G10</f>
        <v>1917888.2387999997</v>
      </c>
      <c r="I10" s="1"/>
      <c r="J10" s="1"/>
    </row>
    <row r="11" spans="1:18" x14ac:dyDescent="0.25">
      <c r="B11" s="105"/>
      <c r="C11" s="109"/>
      <c r="D11" s="12"/>
      <c r="E11" s="22"/>
      <c r="F11" s="105"/>
      <c r="G11" s="109"/>
      <c r="H11" s="12"/>
      <c r="I11" s="1"/>
      <c r="J11" s="1"/>
    </row>
    <row r="12" spans="1:18" x14ac:dyDescent="0.25">
      <c r="B12" s="156" t="s">
        <v>126</v>
      </c>
      <c r="C12" s="156"/>
      <c r="D12" s="156"/>
      <c r="E12" s="2"/>
      <c r="F12" s="156" t="s">
        <v>126</v>
      </c>
      <c r="G12" s="156"/>
      <c r="H12" s="156"/>
      <c r="I12" s="1"/>
      <c r="J12" s="1"/>
    </row>
    <row r="13" spans="1:18" x14ac:dyDescent="0.25">
      <c r="B13" s="147" t="s">
        <v>0</v>
      </c>
      <c r="C13" s="147" t="s">
        <v>1</v>
      </c>
      <c r="D13" s="147" t="s">
        <v>2</v>
      </c>
      <c r="E13" s="6"/>
      <c r="F13" s="147" t="s">
        <v>0</v>
      </c>
      <c r="G13" s="147" t="s">
        <v>1</v>
      </c>
      <c r="H13" s="147" t="s">
        <v>2</v>
      </c>
      <c r="K13" s="35"/>
      <c r="L13" s="36"/>
      <c r="M13" s="36"/>
      <c r="N13" s="32"/>
      <c r="O13" s="27"/>
    </row>
    <row r="14" spans="1:18" x14ac:dyDescent="0.25">
      <c r="B14" s="9">
        <f>B10</f>
        <v>3298.82</v>
      </c>
      <c r="C14" s="10">
        <v>105.34</v>
      </c>
      <c r="D14" s="11">
        <f>B14*C14</f>
        <v>347497.69880000001</v>
      </c>
      <c r="E14" s="2"/>
      <c r="F14" s="9">
        <f>F10</f>
        <v>19423.62</v>
      </c>
      <c r="G14" s="10">
        <v>105.34</v>
      </c>
      <c r="H14" s="11">
        <f>F14*G14</f>
        <v>2046084.1307999999</v>
      </c>
      <c r="I14" s="1"/>
      <c r="J14" s="1"/>
    </row>
    <row r="15" spans="1:18" x14ac:dyDescent="0.25">
      <c r="B15" s="111"/>
      <c r="C15" s="111"/>
      <c r="D15" s="12"/>
      <c r="E15" s="7"/>
      <c r="F15" s="111"/>
      <c r="G15" s="111"/>
      <c r="H15" s="12"/>
      <c r="I15" s="1"/>
      <c r="J15" s="149"/>
    </row>
    <row r="16" spans="1:18" x14ac:dyDescent="0.25">
      <c r="B16" s="15"/>
      <c r="C16" s="110" t="s">
        <v>5</v>
      </c>
      <c r="D16" s="112">
        <f>D14-D10</f>
        <v>21772.212</v>
      </c>
      <c r="E16" s="7"/>
      <c r="F16" s="1"/>
      <c r="G16" s="113" t="s">
        <v>5</v>
      </c>
      <c r="H16" s="114">
        <f>H14-H10</f>
        <v>128195.89200000023</v>
      </c>
      <c r="I16" s="1"/>
      <c r="J16" s="1"/>
    </row>
    <row r="17" spans="2:10" ht="15.75" thickBot="1" x14ac:dyDescent="0.3">
      <c r="B17" s="15"/>
      <c r="C17" s="15"/>
      <c r="D17" s="15"/>
      <c r="E17" s="7"/>
      <c r="F17" s="151"/>
      <c r="G17" s="151"/>
      <c r="H17" s="105"/>
      <c r="I17" s="1"/>
      <c r="J17" s="1"/>
    </row>
    <row r="18" spans="2:10" ht="15.75" thickBot="1" x14ac:dyDescent="0.3">
      <c r="B18" s="122" t="s">
        <v>70</v>
      </c>
      <c r="C18" s="127" t="s">
        <v>163</v>
      </c>
      <c r="D18" s="7"/>
      <c r="E18" s="7"/>
      <c r="G18" s="110" t="s">
        <v>6</v>
      </c>
      <c r="H18" s="114">
        <f>D16+H16</f>
        <v>149968.10400000022</v>
      </c>
      <c r="I18" s="1"/>
      <c r="J18" s="1"/>
    </row>
    <row r="19" spans="2:10" x14ac:dyDescent="0.25">
      <c r="B19" s="123" t="s">
        <v>68</v>
      </c>
      <c r="C19" s="128">
        <f>B10+F10</f>
        <v>22722.44</v>
      </c>
      <c r="D19" s="126"/>
      <c r="E19" s="7"/>
      <c r="F19" s="115"/>
      <c r="G19" s="116"/>
      <c r="H19" s="117"/>
      <c r="I19" s="1"/>
      <c r="J19" s="1"/>
    </row>
    <row r="20" spans="2:10" x14ac:dyDescent="0.25">
      <c r="B20" s="123" t="s">
        <v>69</v>
      </c>
      <c r="C20" s="118">
        <f>D10+H10</f>
        <v>2243613.7255999995</v>
      </c>
      <c r="D20" s="23"/>
      <c r="G20" s="113" t="s">
        <v>130</v>
      </c>
      <c r="H20" s="130">
        <f>G29</f>
        <v>0.97989999999999999</v>
      </c>
    </row>
    <row r="21" spans="2:10" x14ac:dyDescent="0.25">
      <c r="B21" s="123" t="s">
        <v>71</v>
      </c>
      <c r="C21" s="119">
        <f>C20/C19</f>
        <v>98.739999999999981</v>
      </c>
      <c r="D21" s="24"/>
      <c r="F21" s="115"/>
      <c r="G21" s="111"/>
      <c r="H21" s="131"/>
      <c r="I21" s="39"/>
      <c r="J21" s="39"/>
    </row>
    <row r="22" spans="2:10" x14ac:dyDescent="0.25">
      <c r="B22" s="124" t="s">
        <v>74</v>
      </c>
      <c r="C22" s="120"/>
      <c r="D22" s="23"/>
      <c r="F22" s="33"/>
      <c r="G22" s="113" t="s">
        <v>4</v>
      </c>
      <c r="H22" s="114">
        <f>H18/G29</f>
        <v>153044.29431574672</v>
      </c>
      <c r="I22" s="33"/>
      <c r="J22" s="37"/>
    </row>
    <row r="23" spans="2:10" x14ac:dyDescent="0.25">
      <c r="B23" s="125" t="str">
        <f>+B19</f>
        <v>Total Tons</v>
      </c>
      <c r="C23" s="119">
        <f>C19</f>
        <v>22722.44</v>
      </c>
      <c r="D23" s="24"/>
      <c r="E23" s="2"/>
      <c r="G23" s="3"/>
      <c r="H23" s="8"/>
    </row>
    <row r="24" spans="2:10" x14ac:dyDescent="0.25">
      <c r="B24" s="125" t="str">
        <f>+B20</f>
        <v>Total Cost</v>
      </c>
      <c r="C24" s="118">
        <f>D14+H14</f>
        <v>2393581.8295999998</v>
      </c>
      <c r="D24" s="23"/>
      <c r="H24" s="4"/>
    </row>
    <row r="25" spans="2:10" x14ac:dyDescent="0.25">
      <c r="B25" s="123" t="s">
        <v>71</v>
      </c>
      <c r="C25" s="119">
        <f>C24/C23</f>
        <v>105.34</v>
      </c>
      <c r="D25" s="24"/>
      <c r="E25" s="2"/>
      <c r="F25" s="5"/>
      <c r="G25" s="5"/>
      <c r="H25" s="108"/>
    </row>
    <row r="26" spans="2:10" x14ac:dyDescent="0.25">
      <c r="B26" s="106"/>
      <c r="C26" s="120"/>
      <c r="D26" s="5"/>
      <c r="F26" s="5"/>
      <c r="G26" s="5"/>
      <c r="H26" s="5"/>
    </row>
    <row r="27" spans="2:10" ht="15.75" thickBot="1" x14ac:dyDescent="0.3">
      <c r="B27" s="106" t="s">
        <v>72</v>
      </c>
      <c r="C27" s="129">
        <f>C25-C21</f>
        <v>6.6000000000000227</v>
      </c>
      <c r="D27" s="25"/>
      <c r="F27" s="5"/>
      <c r="G27" s="5"/>
      <c r="H27" s="5"/>
    </row>
    <row r="28" spans="2:10" ht="15.75" thickBot="1" x14ac:dyDescent="0.3">
      <c r="B28" s="107" t="s">
        <v>73</v>
      </c>
      <c r="C28" s="121">
        <f>C27/2000</f>
        <v>3.3000000000000113E-3</v>
      </c>
      <c r="D28" s="26"/>
      <c r="F28" s="132" t="s">
        <v>6</v>
      </c>
      <c r="G28" s="133"/>
      <c r="H28" s="134">
        <f>H18</f>
        <v>149968.10400000022</v>
      </c>
    </row>
    <row r="29" spans="2:10" ht="15.75" x14ac:dyDescent="0.25">
      <c r="F29" s="135" t="s">
        <v>88</v>
      </c>
      <c r="G29" s="38">
        <f>Calculation!M10</f>
        <v>0.97989999999999999</v>
      </c>
      <c r="H29" s="136">
        <f>+H28/G29</f>
        <v>153044.29431574672</v>
      </c>
      <c r="I29" s="4">
        <f>H29/Calculation!E118</f>
        <v>1.4456231653145555E-2</v>
      </c>
    </row>
    <row r="30" spans="2:10" x14ac:dyDescent="0.25">
      <c r="F30" s="135"/>
      <c r="G30" s="38"/>
      <c r="H30" s="137"/>
    </row>
    <row r="31" spans="2:10" ht="45" customHeight="1" x14ac:dyDescent="0.25">
      <c r="F31" s="153" t="s">
        <v>92</v>
      </c>
      <c r="G31" s="154"/>
      <c r="H31" s="138">
        <f>Calculation!Q7</f>
        <v>153773.0734486329</v>
      </c>
    </row>
    <row r="32" spans="2:10" x14ac:dyDescent="0.25">
      <c r="F32" s="135"/>
      <c r="G32" s="38"/>
      <c r="H32" s="137"/>
    </row>
    <row r="33" spans="6:8" x14ac:dyDescent="0.25">
      <c r="F33" s="135" t="s">
        <v>93</v>
      </c>
      <c r="G33" s="38"/>
      <c r="H33" s="139">
        <f>H31-H29</f>
        <v>728.77913288617856</v>
      </c>
    </row>
    <row r="34" spans="6:8" ht="15.75" thickBot="1" x14ac:dyDescent="0.3">
      <c r="F34" s="140" t="s">
        <v>155</v>
      </c>
      <c r="G34" s="141"/>
      <c r="H34" s="142">
        <f>H33/H31</f>
        <v>4.7393156457240446E-3</v>
      </c>
    </row>
  </sheetData>
  <mergeCells count="9">
    <mergeCell ref="K5:N5"/>
    <mergeCell ref="F17:G17"/>
    <mergeCell ref="F8:H8"/>
    <mergeCell ref="B8:D8"/>
    <mergeCell ref="F31:G31"/>
    <mergeCell ref="B7:D7"/>
    <mergeCell ref="F7:H7"/>
    <mergeCell ref="B12:D12"/>
    <mergeCell ref="F12:H12"/>
  </mergeCells>
  <pageMargins left="0.7" right="0.7" top="0.75" bottom="0.75" header="0.3" footer="0.3"/>
  <pageSetup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147"/>
  <sheetViews>
    <sheetView tabSelected="1" zoomScale="80" zoomScaleNormal="80" workbookViewId="0">
      <pane xSplit="1" ySplit="10" topLeftCell="I106" activePane="bottomRight" state="frozen"/>
      <selection activeCell="J11" sqref="J11"/>
      <selection pane="topRight" activeCell="J11" sqref="J11"/>
      <selection pane="bottomLeft" activeCell="J11" sqref="J11"/>
      <selection pane="bottomRight" activeCell="J11" sqref="J11"/>
    </sheetView>
  </sheetViews>
  <sheetFormatPr defaultRowHeight="15" outlineLevelRow="1" outlineLevelCol="1" x14ac:dyDescent="0.25"/>
  <cols>
    <col min="1" max="2" width="30.28515625" style="16" customWidth="1"/>
    <col min="3" max="3" width="13.140625" style="16" customWidth="1"/>
    <col min="4" max="4" width="16" style="16" customWidth="1"/>
    <col min="5" max="5" width="16.28515625" style="16" customWidth="1"/>
    <col min="6" max="6" width="15.140625" style="16" customWidth="1"/>
    <col min="7" max="7" width="11.85546875" style="16" customWidth="1"/>
    <col min="8" max="8" width="15.5703125" style="16" customWidth="1"/>
    <col min="9" max="10" width="12.28515625" style="16" customWidth="1"/>
    <col min="11" max="11" width="12.7109375" style="16" customWidth="1"/>
    <col min="12" max="12" width="13.28515625" style="16" customWidth="1"/>
    <col min="13" max="13" width="10.85546875" style="16" customWidth="1"/>
    <col min="14" max="14" width="11.28515625" style="38" customWidth="1"/>
    <col min="15" max="15" width="15.5703125" style="38" customWidth="1"/>
    <col min="16" max="16" width="17.7109375" style="16" customWidth="1" outlineLevel="1"/>
    <col min="17" max="17" width="14.140625" style="16" customWidth="1" outlineLevel="1"/>
    <col min="18" max="18" width="4.28515625" style="42" customWidth="1"/>
    <col min="19" max="19" width="17.42578125" style="45" customWidth="1"/>
    <col min="20" max="20" width="3.42578125" style="45" customWidth="1"/>
    <col min="21" max="21" width="9.140625" style="45" customWidth="1"/>
    <col min="22" max="22" width="9.140625" style="16" customWidth="1"/>
    <col min="23" max="16384" width="9.140625" style="16"/>
  </cols>
  <sheetData>
    <row r="1" spans="1:21" x14ac:dyDescent="0.25">
      <c r="A1" s="41" t="s">
        <v>156</v>
      </c>
      <c r="B1" s="41"/>
      <c r="D1" s="94"/>
      <c r="E1" s="94"/>
      <c r="F1" s="41"/>
      <c r="G1" s="41"/>
      <c r="H1" s="38"/>
      <c r="I1" s="38"/>
      <c r="J1" s="38"/>
      <c r="K1" s="38"/>
      <c r="L1" s="38"/>
    </row>
    <row r="2" spans="1:21" ht="17.25" customHeight="1" x14ac:dyDescent="0.25">
      <c r="A2" s="13" t="s">
        <v>162</v>
      </c>
      <c r="B2" s="148"/>
      <c r="D2" s="94"/>
      <c r="E2" s="94"/>
      <c r="F2" s="43"/>
      <c r="H2" s="38"/>
      <c r="I2" s="95"/>
      <c r="J2" s="95"/>
      <c r="K2" s="95"/>
      <c r="L2" s="38"/>
    </row>
    <row r="3" spans="1:21" ht="17.25" customHeight="1" x14ac:dyDescent="0.25">
      <c r="A3" s="13" t="s">
        <v>160</v>
      </c>
      <c r="B3" s="148"/>
      <c r="D3" s="94"/>
      <c r="E3" s="94"/>
      <c r="F3" s="43"/>
      <c r="H3" s="38"/>
      <c r="I3" s="95"/>
      <c r="J3" s="95"/>
      <c r="K3" s="95"/>
      <c r="L3" s="38"/>
    </row>
    <row r="4" spans="1:21" ht="17.25" customHeight="1" x14ac:dyDescent="0.25">
      <c r="A4" s="13" t="s">
        <v>161</v>
      </c>
      <c r="B4" s="148"/>
      <c r="D4" s="94"/>
      <c r="E4" s="94"/>
      <c r="F4" s="43"/>
      <c r="H4" s="38"/>
      <c r="I4" s="95"/>
      <c r="J4" s="95"/>
      <c r="K4" s="95"/>
      <c r="L4" s="38"/>
    </row>
    <row r="5" spans="1:21" x14ac:dyDescent="0.25">
      <c r="A5" s="41" t="s">
        <v>157</v>
      </c>
      <c r="B5" s="41"/>
      <c r="D5" s="94"/>
      <c r="E5" s="94"/>
      <c r="F5" s="44"/>
      <c r="H5" s="38"/>
      <c r="I5" s="95"/>
      <c r="J5" s="95"/>
      <c r="K5" s="95"/>
      <c r="L5" s="38"/>
    </row>
    <row r="6" spans="1:21" ht="44.25" customHeight="1" x14ac:dyDescent="0.25">
      <c r="D6" s="157"/>
      <c r="E6" s="157"/>
      <c r="H6" s="38" t="s">
        <v>82</v>
      </c>
      <c r="I6" s="38" t="s">
        <v>81</v>
      </c>
      <c r="J6" s="96">
        <f>1-I8</f>
        <v>0.61954072552320438</v>
      </c>
      <c r="K6" s="38"/>
      <c r="L6" s="38"/>
      <c r="N6" s="38" t="s">
        <v>135</v>
      </c>
      <c r="O6" s="38" t="s">
        <v>135</v>
      </c>
      <c r="P6" s="46" t="s">
        <v>118</v>
      </c>
      <c r="Q6" s="46" t="s">
        <v>119</v>
      </c>
      <c r="R6" s="47"/>
    </row>
    <row r="7" spans="1:21" x14ac:dyDescent="0.25">
      <c r="D7" s="157"/>
      <c r="E7" s="157"/>
      <c r="H7" s="14">
        <f>+H113</f>
        <v>59723.711641009941</v>
      </c>
      <c r="I7" s="14">
        <f>'per lb increase'!C19</f>
        <v>22722.44</v>
      </c>
      <c r="J7" s="14"/>
      <c r="K7" s="48" t="s">
        <v>83</v>
      </c>
      <c r="M7" s="16" t="s">
        <v>88</v>
      </c>
      <c r="N7" s="158" t="s">
        <v>90</v>
      </c>
      <c r="O7" s="158"/>
      <c r="P7" s="49">
        <f>+P25+P109</f>
        <v>10740508.122236094</v>
      </c>
      <c r="Q7" s="49">
        <f>+Q27+Q111</f>
        <v>153773.0734486329</v>
      </c>
      <c r="R7" s="50"/>
    </row>
    <row r="8" spans="1:21" x14ac:dyDescent="0.25">
      <c r="F8" s="48"/>
      <c r="G8" s="48"/>
      <c r="H8" s="51" t="s">
        <v>149</v>
      </c>
      <c r="I8" s="52">
        <f>+I7/H7</f>
        <v>0.38045927447679567</v>
      </c>
      <c r="J8" s="53" t="s">
        <v>149</v>
      </c>
      <c r="K8" s="48" t="s">
        <v>84</v>
      </c>
      <c r="L8" s="48" t="s">
        <v>85</v>
      </c>
      <c r="M8" s="16" t="s">
        <v>86</v>
      </c>
      <c r="N8" s="54" t="s">
        <v>115</v>
      </c>
      <c r="O8" s="54"/>
      <c r="R8" s="55"/>
      <c r="S8" s="45" t="s">
        <v>116</v>
      </c>
      <c r="U8" s="45" t="s">
        <v>117</v>
      </c>
    </row>
    <row r="9" spans="1:21" ht="15.75" thickBot="1" x14ac:dyDescent="0.3">
      <c r="B9" s="101" t="s">
        <v>142</v>
      </c>
      <c r="C9" s="101" t="s">
        <v>158</v>
      </c>
      <c r="D9" s="101" t="s">
        <v>158</v>
      </c>
      <c r="E9" s="51"/>
      <c r="F9" s="104" t="s">
        <v>75</v>
      </c>
      <c r="G9" s="104" t="s">
        <v>78</v>
      </c>
      <c r="H9" s="104" t="s">
        <v>77</v>
      </c>
      <c r="I9" s="104" t="s">
        <v>80</v>
      </c>
      <c r="J9" s="104" t="s">
        <v>80</v>
      </c>
      <c r="L9" s="48" t="s">
        <v>64</v>
      </c>
      <c r="M9" s="48" t="s">
        <v>87</v>
      </c>
      <c r="N9" s="54" t="s">
        <v>116</v>
      </c>
      <c r="O9" s="56" t="s">
        <v>117</v>
      </c>
      <c r="P9" s="51" t="s">
        <v>149</v>
      </c>
      <c r="Q9" s="57" t="s">
        <v>91</v>
      </c>
      <c r="R9" s="55"/>
      <c r="S9" s="45" t="s">
        <v>137</v>
      </c>
      <c r="U9" s="45" t="s">
        <v>137</v>
      </c>
    </row>
    <row r="10" spans="1:21" ht="15.75" thickBot="1" x14ac:dyDescent="0.3">
      <c r="A10" s="17" t="s">
        <v>63</v>
      </c>
      <c r="B10" s="17" t="s">
        <v>136</v>
      </c>
      <c r="C10" s="17" t="s">
        <v>1</v>
      </c>
      <c r="D10" s="17"/>
      <c r="E10" s="18" t="s">
        <v>67</v>
      </c>
      <c r="F10" s="103" t="s">
        <v>76</v>
      </c>
      <c r="G10" s="103" t="s">
        <v>79</v>
      </c>
      <c r="H10" s="103" t="s">
        <v>0</v>
      </c>
      <c r="I10" s="103" t="s">
        <v>76</v>
      </c>
      <c r="J10" s="103" t="s">
        <v>0</v>
      </c>
      <c r="K10" s="102">
        <f>'per lb increase'!C28</f>
        <v>3.3000000000000113E-3</v>
      </c>
      <c r="M10" s="58">
        <f>1-0.015-0.0051</f>
        <v>0.97989999999999999</v>
      </c>
      <c r="P10" s="59" t="s">
        <v>67</v>
      </c>
      <c r="Q10" s="57" t="s">
        <v>64</v>
      </c>
      <c r="R10" s="55"/>
      <c r="S10" s="45" t="s">
        <v>134</v>
      </c>
      <c r="U10" s="45" t="s">
        <v>134</v>
      </c>
    </row>
    <row r="11" spans="1:21" x14ac:dyDescent="0.25">
      <c r="A11" s="60" t="s">
        <v>151</v>
      </c>
      <c r="B11" s="61">
        <f>'[2]Residential rates final'!$C$8+'[2]Residential rates final'!$C$9</f>
        <v>541</v>
      </c>
      <c r="C11" s="61">
        <v>7.58</v>
      </c>
      <c r="E11" s="61">
        <f t="shared" ref="E11:E22" si="0">B11*C11*12</f>
        <v>49209.36</v>
      </c>
      <c r="F11" s="16">
        <v>34</v>
      </c>
      <c r="G11" s="16">
        <v>26</v>
      </c>
      <c r="H11" s="62">
        <f t="shared" ref="H11:H23" si="1">+G11*F11*B11/2000</f>
        <v>239.12200000000001</v>
      </c>
      <c r="I11" s="62">
        <f>+F11*$I$8</f>
        <v>12.935615332211054</v>
      </c>
      <c r="J11" s="62">
        <f t="shared" ref="J11:J23" si="2">+G11*I11*B11/2000</f>
        <v>90.976182631440324</v>
      </c>
      <c r="K11" s="14">
        <f>+I11*$K$10</f>
        <v>4.2687530596296624E-2</v>
      </c>
      <c r="L11" s="62">
        <f>+K11*4.33/2</f>
        <v>9.2418503740982191E-2</v>
      </c>
      <c r="M11" s="62">
        <f>+L11/$M$10</f>
        <v>9.4314219554017947E-2</v>
      </c>
      <c r="N11" s="63">
        <f>ROUND(C11+M11,2)</f>
        <v>7.67</v>
      </c>
      <c r="P11" s="62">
        <f t="shared" ref="P11:P22" si="3">+N11*B11*12</f>
        <v>49793.64</v>
      </c>
      <c r="Q11" s="62">
        <f t="shared" ref="Q11:Q22" si="4">+P11-E11</f>
        <v>584.27999999999884</v>
      </c>
      <c r="R11" s="55"/>
      <c r="S11" s="52">
        <f>(N11-C11)/C11</f>
        <v>1.1873350923482831E-2</v>
      </c>
    </row>
    <row r="12" spans="1:21" x14ac:dyDescent="0.25">
      <c r="A12" s="60" t="s">
        <v>152</v>
      </c>
      <c r="B12" s="61">
        <f>'[2]Residential rates final'!$C$10+'[2]Residential rates final'!$C$11</f>
        <v>256</v>
      </c>
      <c r="C12" s="61">
        <v>4.34</v>
      </c>
      <c r="E12" s="61">
        <f t="shared" si="0"/>
        <v>13332.48</v>
      </c>
      <c r="F12" s="16">
        <f>+F11</f>
        <v>34</v>
      </c>
      <c r="G12" s="16">
        <v>12</v>
      </c>
      <c r="H12" s="62">
        <f t="shared" si="1"/>
        <v>52.223999999999997</v>
      </c>
      <c r="I12" s="62">
        <f>+F12*$I$8</f>
        <v>12.935615332211054</v>
      </c>
      <c r="J12" s="62">
        <f t="shared" si="2"/>
        <v>19.869105150276177</v>
      </c>
      <c r="K12" s="14">
        <f t="shared" ref="K12:K23" si="5">+I12*$K$10</f>
        <v>4.2687530596296624E-2</v>
      </c>
      <c r="L12" s="62">
        <f>+K12</f>
        <v>4.2687530596296624E-2</v>
      </c>
      <c r="M12" s="62">
        <f t="shared" ref="M12:M22" si="6">+L12/$M$10</f>
        <v>4.3563149909477114E-2</v>
      </c>
      <c r="N12" s="63">
        <f t="shared" ref="N12:N23" si="7">ROUND(C12+M12,2)</f>
        <v>4.38</v>
      </c>
      <c r="P12" s="62">
        <f t="shared" si="3"/>
        <v>13455.36</v>
      </c>
      <c r="Q12" s="62">
        <f t="shared" si="4"/>
        <v>122.88000000000102</v>
      </c>
      <c r="R12" s="55"/>
      <c r="S12" s="52">
        <f t="shared" ref="S12:S23" si="8">(N12-C12)/C12</f>
        <v>9.2165898617511607E-3</v>
      </c>
    </row>
    <row r="13" spans="1:21" x14ac:dyDescent="0.25">
      <c r="A13" s="60" t="s">
        <v>153</v>
      </c>
      <c r="B13" s="61">
        <f>'[2]Residential rates final'!$C$12+'[2]Residential rates final'!$C$13</f>
        <v>615</v>
      </c>
      <c r="C13" s="61">
        <v>11.92</v>
      </c>
      <c r="E13" s="61">
        <f t="shared" si="0"/>
        <v>87969.600000000006</v>
      </c>
      <c r="F13" s="16">
        <f>+F12</f>
        <v>34</v>
      </c>
      <c r="G13" s="16">
        <v>52</v>
      </c>
      <c r="H13" s="62">
        <f t="shared" si="1"/>
        <v>543.66</v>
      </c>
      <c r="I13" s="62">
        <f t="shared" ref="I13:I85" si="9">+F13*$I$8</f>
        <v>12.935615332211054</v>
      </c>
      <c r="J13" s="62">
        <f t="shared" si="2"/>
        <v>206.84048916205472</v>
      </c>
      <c r="K13" s="14">
        <f t="shared" si="5"/>
        <v>4.2687530596296624E-2</v>
      </c>
      <c r="L13" s="62">
        <f t="shared" ref="L13:L22" si="10">+K13*4.33</f>
        <v>0.18483700748196438</v>
      </c>
      <c r="M13" s="62">
        <f t="shared" si="6"/>
        <v>0.18862843910803589</v>
      </c>
      <c r="N13" s="63">
        <f t="shared" si="7"/>
        <v>12.11</v>
      </c>
      <c r="P13" s="62">
        <f t="shared" si="3"/>
        <v>89371.799999999988</v>
      </c>
      <c r="Q13" s="62">
        <f t="shared" si="4"/>
        <v>1402.1999999999825</v>
      </c>
      <c r="R13" s="55"/>
      <c r="S13" s="52">
        <f t="shared" si="8"/>
        <v>1.5939597315436201E-2</v>
      </c>
    </row>
    <row r="14" spans="1:21" x14ac:dyDescent="0.25">
      <c r="A14" s="60" t="s">
        <v>62</v>
      </c>
      <c r="B14" s="61">
        <f>'[2]Residential rates final'!$C$14+'[2]Residential rates final'!$C$15</f>
        <v>9446</v>
      </c>
      <c r="C14" s="61">
        <v>9.9</v>
      </c>
      <c r="E14" s="61">
        <f t="shared" si="0"/>
        <v>1122184.8</v>
      </c>
      <c r="F14" s="16">
        <v>47</v>
      </c>
      <c r="G14" s="16">
        <f>+G11</f>
        <v>26</v>
      </c>
      <c r="H14" s="62">
        <f t="shared" si="1"/>
        <v>5771.5060000000003</v>
      </c>
      <c r="I14" s="62">
        <f t="shared" si="9"/>
        <v>17.881585900409398</v>
      </c>
      <c r="J14" s="62">
        <f t="shared" si="2"/>
        <v>2195.8229853984731</v>
      </c>
      <c r="K14" s="14">
        <f t="shared" si="5"/>
        <v>5.9009233471351216E-2</v>
      </c>
      <c r="L14" s="62">
        <f>+K14*4.33/2</f>
        <v>0.12775499046547539</v>
      </c>
      <c r="M14" s="62">
        <f t="shared" si="6"/>
        <v>0.13037553879526012</v>
      </c>
      <c r="N14" s="63">
        <f t="shared" si="7"/>
        <v>10.029999999999999</v>
      </c>
      <c r="P14" s="62">
        <f t="shared" si="3"/>
        <v>1136920.5599999998</v>
      </c>
      <c r="Q14" s="62">
        <f t="shared" si="4"/>
        <v>14735.759999999776</v>
      </c>
      <c r="R14" s="55"/>
      <c r="S14" s="52">
        <f t="shared" si="8"/>
        <v>1.313131313131303E-2</v>
      </c>
    </row>
    <row r="15" spans="1:21" x14ac:dyDescent="0.25">
      <c r="A15" s="60" t="s">
        <v>61</v>
      </c>
      <c r="B15" s="61">
        <f>'[2]Residential rates final'!$C$16+'[2]Residential rates final'!$C$17</f>
        <v>2006</v>
      </c>
      <c r="C15" s="61">
        <v>6.23</v>
      </c>
      <c r="E15" s="61">
        <f t="shared" si="0"/>
        <v>149968.56</v>
      </c>
      <c r="F15" s="16">
        <f>+F14</f>
        <v>47</v>
      </c>
      <c r="G15" s="16">
        <f>+G12</f>
        <v>12</v>
      </c>
      <c r="H15" s="62">
        <f t="shared" si="1"/>
        <v>565.69200000000001</v>
      </c>
      <c r="I15" s="62">
        <f t="shared" si="9"/>
        <v>17.881585900409398</v>
      </c>
      <c r="J15" s="62">
        <f t="shared" si="2"/>
        <v>215.22276789732751</v>
      </c>
      <c r="K15" s="14">
        <f t="shared" si="5"/>
        <v>5.9009233471351216E-2</v>
      </c>
      <c r="L15" s="62">
        <f>+K15</f>
        <v>5.9009233471351216E-2</v>
      </c>
      <c r="M15" s="62">
        <f t="shared" si="6"/>
        <v>6.0219648404277189E-2</v>
      </c>
      <c r="N15" s="63">
        <f t="shared" si="7"/>
        <v>6.29</v>
      </c>
      <c r="P15" s="62">
        <f t="shared" si="3"/>
        <v>151412.88</v>
      </c>
      <c r="Q15" s="62">
        <f t="shared" si="4"/>
        <v>1444.320000000007</v>
      </c>
      <c r="R15" s="55"/>
      <c r="S15" s="52">
        <f t="shared" si="8"/>
        <v>9.6308186195826016E-3</v>
      </c>
    </row>
    <row r="16" spans="1:21" x14ac:dyDescent="0.25">
      <c r="A16" s="60" t="s">
        <v>60</v>
      </c>
      <c r="B16" s="61">
        <f>'[2]Residential rates final'!$C$18+'[2]Residential rates final'!$C$19</f>
        <v>6734</v>
      </c>
      <c r="C16" s="61">
        <v>16.93</v>
      </c>
      <c r="E16" s="61">
        <f t="shared" si="0"/>
        <v>1368079.44</v>
      </c>
      <c r="F16" s="16">
        <f>+F15</f>
        <v>47</v>
      </c>
      <c r="G16" s="16">
        <f>+G13</f>
        <v>52</v>
      </c>
      <c r="H16" s="62">
        <f t="shared" si="1"/>
        <v>8228.9480000000003</v>
      </c>
      <c r="I16" s="62">
        <f t="shared" si="9"/>
        <v>17.881585900409398</v>
      </c>
      <c r="J16" s="62">
        <f t="shared" si="2"/>
        <v>3130.7795857872788</v>
      </c>
      <c r="K16" s="14">
        <f t="shared" si="5"/>
        <v>5.9009233471351216E-2</v>
      </c>
      <c r="L16" s="62">
        <f t="shared" si="10"/>
        <v>0.25550998093095079</v>
      </c>
      <c r="M16" s="62">
        <f t="shared" si="6"/>
        <v>0.26075107759052024</v>
      </c>
      <c r="N16" s="63">
        <f t="shared" si="7"/>
        <v>17.190000000000001</v>
      </c>
      <c r="P16" s="62">
        <f t="shared" si="3"/>
        <v>1389089.52</v>
      </c>
      <c r="Q16" s="62">
        <f t="shared" si="4"/>
        <v>21010.080000000075</v>
      </c>
      <c r="R16" s="55"/>
      <c r="S16" s="52">
        <f t="shared" si="8"/>
        <v>1.5357353809805172E-2</v>
      </c>
    </row>
    <row r="17" spans="1:21" x14ac:dyDescent="0.25">
      <c r="A17" s="60" t="s">
        <v>59</v>
      </c>
      <c r="B17" s="61">
        <f>'[2]Residential rates final'!$C$20+'[2]Residential rates final'!$C$21</f>
        <v>326</v>
      </c>
      <c r="C17" s="61">
        <v>14.9</v>
      </c>
      <c r="E17" s="61">
        <f t="shared" si="0"/>
        <v>58288.800000000003</v>
      </c>
      <c r="F17" s="16">
        <v>68</v>
      </c>
      <c r="G17" s="16">
        <f>+G11</f>
        <v>26</v>
      </c>
      <c r="H17" s="62">
        <f t="shared" si="1"/>
        <v>288.18400000000003</v>
      </c>
      <c r="I17" s="62">
        <f t="shared" si="9"/>
        <v>25.871230664422107</v>
      </c>
      <c r="J17" s="62">
        <f t="shared" si="2"/>
        <v>109.64227555582089</v>
      </c>
      <c r="K17" s="14">
        <f t="shared" si="5"/>
        <v>8.5375061192593249E-2</v>
      </c>
      <c r="L17" s="62">
        <f>+K17*4.33/2</f>
        <v>0.18483700748196438</v>
      </c>
      <c r="M17" s="62">
        <f t="shared" si="6"/>
        <v>0.18862843910803589</v>
      </c>
      <c r="N17" s="63">
        <f t="shared" si="7"/>
        <v>15.09</v>
      </c>
      <c r="P17" s="62">
        <f t="shared" si="3"/>
        <v>59032.08</v>
      </c>
      <c r="Q17" s="62">
        <f t="shared" si="4"/>
        <v>743.27999999999884</v>
      </c>
      <c r="R17" s="55"/>
      <c r="S17" s="52">
        <f t="shared" si="8"/>
        <v>1.275167785234896E-2</v>
      </c>
    </row>
    <row r="18" spans="1:21" x14ac:dyDescent="0.25">
      <c r="A18" s="60" t="s">
        <v>58</v>
      </c>
      <c r="B18" s="61">
        <f>'[2]Residential rates final'!$C$22</f>
        <v>41</v>
      </c>
      <c r="C18" s="61">
        <v>9.01</v>
      </c>
      <c r="E18" s="61">
        <f t="shared" si="0"/>
        <v>4432.92</v>
      </c>
      <c r="F18" s="16">
        <f>+F17</f>
        <v>68</v>
      </c>
      <c r="G18" s="16">
        <f>+G12</f>
        <v>12</v>
      </c>
      <c r="H18" s="62">
        <f t="shared" si="1"/>
        <v>16.728000000000002</v>
      </c>
      <c r="I18" s="62">
        <f t="shared" si="9"/>
        <v>25.871230664422107</v>
      </c>
      <c r="J18" s="62">
        <f t="shared" si="2"/>
        <v>6.364322743447838</v>
      </c>
      <c r="K18" s="14">
        <f t="shared" si="5"/>
        <v>8.5375061192593249E-2</v>
      </c>
      <c r="L18" s="62">
        <f>+K18</f>
        <v>8.5375061192593249E-2</v>
      </c>
      <c r="M18" s="62">
        <f t="shared" si="6"/>
        <v>8.7126299818954228E-2</v>
      </c>
      <c r="N18" s="63">
        <f t="shared" si="7"/>
        <v>9.1</v>
      </c>
      <c r="P18" s="62">
        <f t="shared" si="3"/>
        <v>4477.2</v>
      </c>
      <c r="Q18" s="62">
        <f t="shared" si="4"/>
        <v>44.279999999999745</v>
      </c>
      <c r="R18" s="55"/>
      <c r="S18" s="52">
        <f t="shared" si="8"/>
        <v>9.98890122086569E-3</v>
      </c>
    </row>
    <row r="19" spans="1:21" x14ac:dyDescent="0.25">
      <c r="A19" s="60" t="s">
        <v>57</v>
      </c>
      <c r="B19" s="61">
        <f>'[2]Residential rates final'!$C$23+'[2]Residential rates final'!$C$24</f>
        <v>458</v>
      </c>
      <c r="C19" s="61">
        <v>27.01</v>
      </c>
      <c r="E19" s="61">
        <f t="shared" si="0"/>
        <v>148446.96</v>
      </c>
      <c r="F19" s="16">
        <f>+F18</f>
        <v>68</v>
      </c>
      <c r="G19" s="16">
        <f>+G13</f>
        <v>52</v>
      </c>
      <c r="H19" s="62">
        <f t="shared" si="1"/>
        <v>809.74400000000003</v>
      </c>
      <c r="I19" s="62">
        <f t="shared" si="9"/>
        <v>25.871230664422107</v>
      </c>
      <c r="J19" s="62">
        <f t="shared" si="2"/>
        <v>308.07461475193844</v>
      </c>
      <c r="K19" s="14">
        <f t="shared" si="5"/>
        <v>8.5375061192593249E-2</v>
      </c>
      <c r="L19" s="62">
        <f t="shared" si="10"/>
        <v>0.36967401496392877</v>
      </c>
      <c r="M19" s="62">
        <f t="shared" si="6"/>
        <v>0.37725687821607179</v>
      </c>
      <c r="N19" s="63">
        <f t="shared" si="7"/>
        <v>27.39</v>
      </c>
      <c r="P19" s="62">
        <f t="shared" si="3"/>
        <v>150535.44</v>
      </c>
      <c r="Q19" s="62">
        <f t="shared" si="4"/>
        <v>2088.4800000000105</v>
      </c>
      <c r="R19" s="55"/>
      <c r="S19" s="52">
        <f t="shared" si="8"/>
        <v>1.4068863383931839E-2</v>
      </c>
    </row>
    <row r="20" spans="1:21" x14ac:dyDescent="0.25">
      <c r="A20" s="60" t="s">
        <v>56</v>
      </c>
      <c r="B20" s="61">
        <f>'[2]Residential rates final'!$C$27</f>
        <v>5</v>
      </c>
      <c r="C20" s="61">
        <v>6.31</v>
      </c>
      <c r="E20" s="61">
        <f t="shared" si="0"/>
        <v>378.59999999999997</v>
      </c>
      <c r="F20" s="16">
        <v>20</v>
      </c>
      <c r="G20" s="16">
        <f>+G11</f>
        <v>26</v>
      </c>
      <c r="H20" s="62">
        <f t="shared" si="1"/>
        <v>1.3</v>
      </c>
      <c r="I20" s="62">
        <f t="shared" si="9"/>
        <v>7.6091854895359132</v>
      </c>
      <c r="J20" s="62">
        <f t="shared" si="2"/>
        <v>0.4945970568198344</v>
      </c>
      <c r="K20" s="14">
        <f t="shared" si="5"/>
        <v>2.5110312115468599E-2</v>
      </c>
      <c r="L20" s="62">
        <f>+K20*4.33/2</f>
        <v>5.4363825729989518E-2</v>
      </c>
      <c r="M20" s="62">
        <f t="shared" si="6"/>
        <v>5.5478952678834084E-2</v>
      </c>
      <c r="N20" s="63">
        <f t="shared" si="7"/>
        <v>6.37</v>
      </c>
      <c r="P20" s="62">
        <f t="shared" si="3"/>
        <v>382.20000000000005</v>
      </c>
      <c r="Q20" s="62">
        <f t="shared" si="4"/>
        <v>3.6000000000000796</v>
      </c>
      <c r="R20" s="55"/>
      <c r="S20" s="52">
        <f t="shared" si="8"/>
        <v>9.5087163232964352E-3</v>
      </c>
    </row>
    <row r="21" spans="1:21" x14ac:dyDescent="0.25">
      <c r="A21" s="60" t="s">
        <v>55</v>
      </c>
      <c r="B21" s="61">
        <f>'[2]Residential rates final'!$C$28</f>
        <v>21</v>
      </c>
      <c r="C21" s="61">
        <v>4.1399999999999997</v>
      </c>
      <c r="E21" s="61">
        <f t="shared" si="0"/>
        <v>1043.28</v>
      </c>
      <c r="F21" s="16">
        <f>+F20</f>
        <v>20</v>
      </c>
      <c r="G21" s="16">
        <f>+G12</f>
        <v>12</v>
      </c>
      <c r="H21" s="62">
        <f t="shared" si="1"/>
        <v>2.52</v>
      </c>
      <c r="I21" s="62">
        <f t="shared" si="9"/>
        <v>7.6091854895359132</v>
      </c>
      <c r="J21" s="62">
        <f t="shared" si="2"/>
        <v>0.95875737168152497</v>
      </c>
      <c r="K21" s="14">
        <f t="shared" si="5"/>
        <v>2.5110312115468599E-2</v>
      </c>
      <c r="L21" s="62">
        <f>+K21</f>
        <v>2.5110312115468599E-2</v>
      </c>
      <c r="M21" s="62">
        <f t="shared" si="6"/>
        <v>2.5625382299692415E-2</v>
      </c>
      <c r="N21" s="63">
        <f t="shared" si="7"/>
        <v>4.17</v>
      </c>
      <c r="P21" s="62">
        <f t="shared" si="3"/>
        <v>1050.8399999999999</v>
      </c>
      <c r="Q21" s="62">
        <f t="shared" si="4"/>
        <v>7.5599999999999454</v>
      </c>
      <c r="R21" s="55"/>
      <c r="S21" s="52">
        <f t="shared" si="8"/>
        <v>7.2463768115942637E-3</v>
      </c>
    </row>
    <row r="22" spans="1:21" x14ac:dyDescent="0.25">
      <c r="A22" s="60" t="s">
        <v>54</v>
      </c>
      <c r="B22" s="61">
        <f>'[2]Residential rates final'!$C$29+'[2]Residential rates final'!$C$30</f>
        <v>3</v>
      </c>
      <c r="C22" s="61">
        <v>9.51</v>
      </c>
      <c r="E22" s="61">
        <f t="shared" si="0"/>
        <v>342.36</v>
      </c>
      <c r="F22" s="16">
        <f>+F21</f>
        <v>20</v>
      </c>
      <c r="G22" s="16">
        <f>+G13</f>
        <v>52</v>
      </c>
      <c r="H22" s="62">
        <f t="shared" si="1"/>
        <v>1.56</v>
      </c>
      <c r="I22" s="62">
        <f t="shared" si="9"/>
        <v>7.6091854895359132</v>
      </c>
      <c r="J22" s="62">
        <f t="shared" si="2"/>
        <v>0.59351646818380122</v>
      </c>
      <c r="K22" s="14">
        <f t="shared" si="5"/>
        <v>2.5110312115468599E-2</v>
      </c>
      <c r="L22" s="62">
        <f t="shared" si="10"/>
        <v>0.10872765145997904</v>
      </c>
      <c r="M22" s="62">
        <f t="shared" si="6"/>
        <v>0.11095790535766817</v>
      </c>
      <c r="N22" s="63">
        <f t="shared" si="7"/>
        <v>9.6199999999999992</v>
      </c>
      <c r="P22" s="62">
        <f t="shared" si="3"/>
        <v>346.32</v>
      </c>
      <c r="Q22" s="62">
        <f t="shared" si="4"/>
        <v>3.9599999999999795</v>
      </c>
      <c r="R22" s="55"/>
      <c r="S22" s="52">
        <f t="shared" si="8"/>
        <v>1.156677181913769E-2</v>
      </c>
    </row>
    <row r="23" spans="1:21" s="42" customFormat="1" x14ac:dyDescent="0.25">
      <c r="A23" s="64" t="s">
        <v>94</v>
      </c>
      <c r="B23" s="65">
        <f>'[2]Residential rates final'!$C$25+'[2]Residential rates final'!$C$26</f>
        <v>2454</v>
      </c>
      <c r="C23" s="65">
        <v>4.3099999999999996</v>
      </c>
      <c r="E23" s="65">
        <f>B23*C23</f>
        <v>10576.74</v>
      </c>
      <c r="F23" s="42">
        <f>+F11</f>
        <v>34</v>
      </c>
      <c r="G23" s="42">
        <v>1</v>
      </c>
      <c r="H23" s="55">
        <f t="shared" si="1"/>
        <v>41.718000000000004</v>
      </c>
      <c r="I23" s="55">
        <f>+F23*$I$8</f>
        <v>12.935615332211054</v>
      </c>
      <c r="J23" s="55">
        <f t="shared" si="2"/>
        <v>15.872000012622962</v>
      </c>
      <c r="K23" s="76">
        <f t="shared" si="5"/>
        <v>4.2687530596296624E-2</v>
      </c>
      <c r="L23" s="55">
        <f>+K23</f>
        <v>4.2687530596296624E-2</v>
      </c>
      <c r="M23" s="55">
        <f>+L23/$M$10</f>
        <v>4.3563149909477114E-2</v>
      </c>
      <c r="N23" s="97">
        <f t="shared" si="7"/>
        <v>4.3499999999999996</v>
      </c>
      <c r="O23" s="40"/>
      <c r="P23" s="55">
        <f>+N23*B23</f>
        <v>10674.9</v>
      </c>
      <c r="Q23" s="55">
        <f>+P23-E23</f>
        <v>98.159999999999854</v>
      </c>
      <c r="R23" s="55"/>
      <c r="S23" s="98">
        <f t="shared" si="8"/>
        <v>9.28074245939676E-3</v>
      </c>
      <c r="T23" s="99"/>
      <c r="U23" s="99"/>
    </row>
    <row r="24" spans="1:21" ht="15.75" thickBot="1" x14ac:dyDescent="0.3">
      <c r="A24" s="64"/>
      <c r="C24" s="64"/>
      <c r="D24" s="65"/>
      <c r="E24" s="42"/>
      <c r="H24" s="62"/>
      <c r="I24" s="62"/>
      <c r="J24" s="62"/>
      <c r="K24" s="14"/>
      <c r="L24" s="62"/>
      <c r="M24" s="62"/>
      <c r="R24" s="55"/>
      <c r="S24" s="52"/>
    </row>
    <row r="25" spans="1:21" ht="15.75" thickBot="1" x14ac:dyDescent="0.3">
      <c r="A25" s="60" t="s">
        <v>121</v>
      </c>
      <c r="B25" s="66">
        <f>SUM(B11:B22)</f>
        <v>20452</v>
      </c>
      <c r="C25" s="60"/>
      <c r="D25" s="61"/>
      <c r="E25" s="14">
        <f>SUM(E11:E23)</f>
        <v>3014253.9</v>
      </c>
      <c r="H25" s="62">
        <f>SUM(H11:H23)</f>
        <v>16562.906000000003</v>
      </c>
      <c r="I25" s="62">
        <f>SUM(I11:I23)</f>
        <v>205.8284674919465</v>
      </c>
      <c r="J25" s="62">
        <f>SUM(J11:J23)</f>
        <v>6301.5111999873661</v>
      </c>
      <c r="K25" s="14"/>
      <c r="L25" s="62"/>
      <c r="M25" s="62"/>
      <c r="P25" s="67">
        <f>SUM(P11:P24)</f>
        <v>3056542.7399999998</v>
      </c>
      <c r="R25" s="55"/>
      <c r="S25" s="52"/>
    </row>
    <row r="26" spans="1:21" ht="15.75" thickBot="1" x14ac:dyDescent="0.3">
      <c r="A26" s="60" t="s">
        <v>154</v>
      </c>
      <c r="B26" s="66"/>
      <c r="C26" s="60"/>
      <c r="D26" s="61"/>
      <c r="E26" s="14"/>
      <c r="H26" s="62"/>
      <c r="I26" s="62"/>
      <c r="J26" s="62"/>
      <c r="K26" s="14"/>
      <c r="L26" s="62"/>
      <c r="M26" s="62"/>
      <c r="P26" s="31"/>
      <c r="R26" s="55"/>
      <c r="S26" s="52"/>
    </row>
    <row r="27" spans="1:21" ht="15.75" thickBot="1" x14ac:dyDescent="0.3">
      <c r="A27" s="60" t="s">
        <v>122</v>
      </c>
      <c r="B27" s="60"/>
      <c r="C27" s="60"/>
      <c r="D27" s="61"/>
      <c r="H27" s="62"/>
      <c r="I27" s="62"/>
      <c r="J27" s="62"/>
      <c r="K27" s="14"/>
      <c r="L27" s="62"/>
      <c r="M27" s="62"/>
      <c r="P27" s="68">
        <f>+P25-E25</f>
        <v>42288.839999999851</v>
      </c>
      <c r="Q27" s="67">
        <f>SUM(Q11:Q23)</f>
        <v>42288.839999999851</v>
      </c>
      <c r="R27" s="55"/>
      <c r="S27" s="52"/>
    </row>
    <row r="28" spans="1:21" x14ac:dyDescent="0.25">
      <c r="E28" s="68"/>
      <c r="I28" s="62"/>
      <c r="J28" s="62"/>
      <c r="R28" s="55"/>
      <c r="S28" s="52"/>
    </row>
    <row r="29" spans="1:21" x14ac:dyDescent="0.25">
      <c r="B29" s="101" t="s">
        <v>142</v>
      </c>
      <c r="C29" s="101" t="s">
        <v>158</v>
      </c>
      <c r="D29" s="101" t="s">
        <v>158</v>
      </c>
      <c r="F29" s="42"/>
      <c r="G29" s="42"/>
      <c r="H29" s="42"/>
      <c r="I29" s="55"/>
      <c r="J29" s="55"/>
      <c r="K29" s="42" t="s">
        <v>89</v>
      </c>
      <c r="R29" s="55"/>
      <c r="S29" s="52"/>
    </row>
    <row r="30" spans="1:21" x14ac:dyDescent="0.25">
      <c r="A30" s="69" t="s">
        <v>63</v>
      </c>
      <c r="B30" s="143" t="s">
        <v>136</v>
      </c>
      <c r="C30" s="144" t="s">
        <v>65</v>
      </c>
      <c r="D30" s="144" t="s">
        <v>66</v>
      </c>
      <c r="E30" s="145" t="s">
        <v>67</v>
      </c>
      <c r="F30" s="42"/>
      <c r="G30" s="42"/>
      <c r="H30" s="42"/>
      <c r="I30" s="55"/>
      <c r="J30" s="55"/>
      <c r="K30" s="42" t="s">
        <v>64</v>
      </c>
      <c r="N30" s="70" t="s">
        <v>65</v>
      </c>
      <c r="O30" s="70" t="s">
        <v>66</v>
      </c>
      <c r="P30" s="59" t="s">
        <v>67</v>
      </c>
      <c r="R30" s="55"/>
      <c r="S30" s="52"/>
    </row>
    <row r="31" spans="1:21" x14ac:dyDescent="0.25">
      <c r="A31" s="60" t="s">
        <v>53</v>
      </c>
      <c r="B31" s="61">
        <f>'[2]Commercial Final'!$D$18+'[2]Commercial Final'!$D$30</f>
        <v>150</v>
      </c>
      <c r="C31" s="61">
        <v>22.86</v>
      </c>
      <c r="D31" s="61">
        <v>13.89</v>
      </c>
      <c r="E31" s="61">
        <f>(B31*C31+B31*D31*1.17)*12</f>
        <v>70400.34</v>
      </c>
      <c r="F31" s="30">
        <v>175</v>
      </c>
      <c r="G31" s="29">
        <v>26</v>
      </c>
      <c r="H31" s="14">
        <f t="shared" ref="H31:H62" si="11">+G31*F31*B31/2000</f>
        <v>341.25</v>
      </c>
      <c r="I31" s="62">
        <f>+F31*$I$8</f>
        <v>66.580373033439244</v>
      </c>
      <c r="J31" s="62">
        <f t="shared" ref="J31:J62" si="12">+G31*I31*B31/2000</f>
        <v>129.83172741520653</v>
      </c>
      <c r="K31" s="14">
        <f>+I31*$K$10</f>
        <v>0.21971523101035026</v>
      </c>
      <c r="M31" s="62">
        <f>+K31/$M$10</f>
        <v>0.22422209512230867</v>
      </c>
      <c r="N31" s="61">
        <f>ROUND(C31+M31,2)</f>
        <v>23.08</v>
      </c>
      <c r="O31" s="61">
        <f>ROUND(D31+M31,2)</f>
        <v>14.11</v>
      </c>
      <c r="P31" s="14">
        <f>(B31*N31+B31*O31*1.17)*12</f>
        <v>71259.659999999989</v>
      </c>
      <c r="Q31" s="14">
        <f t="shared" ref="Q31:Q100" si="13">+P31-E31</f>
        <v>859.31999999999243</v>
      </c>
      <c r="R31" s="55"/>
      <c r="S31" s="52">
        <f>(N31-C31)/C31</f>
        <v>9.6237970253717792E-3</v>
      </c>
      <c r="U31" s="52"/>
    </row>
    <row r="32" spans="1:21" x14ac:dyDescent="0.25">
      <c r="A32" s="60" t="s">
        <v>52</v>
      </c>
      <c r="B32" s="61">
        <f>'[2]Commercial Final'!$D$11+'[2]Commercial Final'!$D$12+'[2]Commercial Final'!$D$13</f>
        <v>347</v>
      </c>
      <c r="C32" s="61">
        <v>22.86</v>
      </c>
      <c r="D32" s="61">
        <v>13.89</v>
      </c>
      <c r="E32" s="61">
        <f>(B32*C32+B32*D32*3.33)*12</f>
        <v>287789.44680000003</v>
      </c>
      <c r="F32" s="30">
        <v>175</v>
      </c>
      <c r="G32" s="29">
        <v>52</v>
      </c>
      <c r="H32" s="14">
        <f t="shared" si="11"/>
        <v>1578.85</v>
      </c>
      <c r="I32" s="62">
        <f t="shared" si="9"/>
        <v>66.580373033439244</v>
      </c>
      <c r="J32" s="62">
        <f t="shared" si="12"/>
        <v>600.68812550768882</v>
      </c>
      <c r="K32" s="14">
        <f t="shared" ref="K32:K101" si="14">+I32*$K$10</f>
        <v>0.21971523101035026</v>
      </c>
      <c r="M32" s="62">
        <f t="shared" ref="M32:M101" si="15">+K32/$M$10</f>
        <v>0.22422209512230867</v>
      </c>
      <c r="N32" s="61">
        <f t="shared" ref="N32:N101" si="16">ROUND(C32+M32,2)</f>
        <v>23.08</v>
      </c>
      <c r="O32" s="61">
        <f t="shared" ref="O32:O84" si="17">ROUND(D32+M32,2)</f>
        <v>14.11</v>
      </c>
      <c r="P32" s="14">
        <f>(B32*N32+B32*O32*3.33)*12</f>
        <v>291756.07319999998</v>
      </c>
      <c r="Q32" s="14">
        <f t="shared" si="13"/>
        <v>3966.6263999999501</v>
      </c>
      <c r="R32" s="55"/>
      <c r="S32" s="52">
        <f t="shared" ref="S32:S95" si="18">(N32-C32)/C32</f>
        <v>9.6237970253717792E-3</v>
      </c>
      <c r="U32" s="52"/>
    </row>
    <row r="33" spans="1:21" x14ac:dyDescent="0.25">
      <c r="A33" s="60" t="s">
        <v>51</v>
      </c>
      <c r="B33" s="61">
        <f>'[2]Commercial Final'!$D$14+'[2]Commercial Final'!$D$15</f>
        <v>13</v>
      </c>
      <c r="C33" s="61">
        <v>22.86</v>
      </c>
      <c r="D33" s="61">
        <v>13.89</v>
      </c>
      <c r="E33" s="61">
        <f>(B33*C33+B33*D33*7.66)*12</f>
        <v>20164.154399999999</v>
      </c>
      <c r="F33" s="30">
        <v>175</v>
      </c>
      <c r="G33" s="29">
        <v>104</v>
      </c>
      <c r="H33" s="14">
        <f t="shared" si="11"/>
        <v>118.3</v>
      </c>
      <c r="I33" s="62">
        <f t="shared" si="9"/>
        <v>66.580373033439244</v>
      </c>
      <c r="J33" s="62">
        <f t="shared" si="12"/>
        <v>45.00833217060493</v>
      </c>
      <c r="K33" s="14">
        <f t="shared" si="14"/>
        <v>0.21971523101035026</v>
      </c>
      <c r="M33" s="62">
        <f t="shared" si="15"/>
        <v>0.22422209512230867</v>
      </c>
      <c r="N33" s="61">
        <f t="shared" si="16"/>
        <v>23.08</v>
      </c>
      <c r="O33" s="61">
        <f t="shared" si="17"/>
        <v>14.11</v>
      </c>
      <c r="P33" s="14">
        <f>(B33*N33+B33*O33*7.66)*12</f>
        <v>20461.365600000001</v>
      </c>
      <c r="Q33" s="14">
        <f t="shared" si="13"/>
        <v>297.21120000000155</v>
      </c>
      <c r="R33" s="55"/>
      <c r="S33" s="52">
        <f t="shared" si="18"/>
        <v>9.6237970253717792E-3</v>
      </c>
      <c r="U33" s="52"/>
    </row>
    <row r="34" spans="1:21" x14ac:dyDescent="0.25">
      <c r="A34" s="60" t="s">
        <v>50</v>
      </c>
      <c r="B34" s="61">
        <f>'[2]Commercial Final'!$D$16</f>
        <v>5</v>
      </c>
      <c r="C34" s="61">
        <v>22.86</v>
      </c>
      <c r="D34" s="61">
        <v>13.89</v>
      </c>
      <c r="E34" s="61">
        <f>(B34*C34+B34*D34*11.99)*12</f>
        <v>11364.065999999999</v>
      </c>
      <c r="F34" s="30">
        <v>175</v>
      </c>
      <c r="G34" s="30">
        <f>52*3</f>
        <v>156</v>
      </c>
      <c r="H34" s="14">
        <f t="shared" si="11"/>
        <v>68.25</v>
      </c>
      <c r="I34" s="62">
        <f t="shared" si="9"/>
        <v>66.580373033439244</v>
      </c>
      <c r="J34" s="62">
        <f t="shared" si="12"/>
        <v>25.966345483041302</v>
      </c>
      <c r="K34" s="14">
        <f t="shared" si="14"/>
        <v>0.21971523101035026</v>
      </c>
      <c r="M34" s="62">
        <f t="shared" si="15"/>
        <v>0.22422209512230867</v>
      </c>
      <c r="N34" s="61">
        <f t="shared" si="16"/>
        <v>23.08</v>
      </c>
      <c r="O34" s="61">
        <f t="shared" si="17"/>
        <v>14.11</v>
      </c>
      <c r="P34" s="14">
        <f>(B34*N34+B34*O34*11.99)*12</f>
        <v>11535.534</v>
      </c>
      <c r="Q34" s="14">
        <f t="shared" si="13"/>
        <v>171.46800000000076</v>
      </c>
      <c r="R34" s="55"/>
      <c r="S34" s="52">
        <f t="shared" si="18"/>
        <v>9.6237970253717792E-3</v>
      </c>
      <c r="U34" s="52"/>
    </row>
    <row r="35" spans="1:21" x14ac:dyDescent="0.25">
      <c r="A35" s="60" t="s">
        <v>144</v>
      </c>
      <c r="B35" s="61">
        <f>'[2]Commercial Final'!$D$17</f>
        <v>1</v>
      </c>
      <c r="C35" s="65">
        <v>22.86</v>
      </c>
      <c r="D35" s="65">
        <v>13.89</v>
      </c>
      <c r="E35" s="61">
        <f>(B35*C35+B35*D35*11.99)*12</f>
        <v>2272.8131999999996</v>
      </c>
      <c r="F35" s="30">
        <v>175</v>
      </c>
      <c r="G35" s="30">
        <v>208</v>
      </c>
      <c r="H35" s="14">
        <f t="shared" si="11"/>
        <v>18.2</v>
      </c>
      <c r="I35" s="62">
        <f t="shared" ref="I35" si="19">+F35*$I$8</f>
        <v>66.580373033439244</v>
      </c>
      <c r="J35" s="62">
        <f t="shared" si="12"/>
        <v>6.9243587954776809</v>
      </c>
      <c r="K35" s="14">
        <f t="shared" ref="K35" si="20">+I35*$K$10</f>
        <v>0.21971523101035026</v>
      </c>
      <c r="M35" s="62">
        <f t="shared" ref="M35" si="21">+K35/$M$10</f>
        <v>0.22422209512230867</v>
      </c>
      <c r="N35" s="61">
        <f t="shared" ref="N35" si="22">ROUND(C35+M35,2)</f>
        <v>23.08</v>
      </c>
      <c r="O35" s="61">
        <f t="shared" ref="O35" si="23">ROUND(D35+M35,2)</f>
        <v>14.11</v>
      </c>
      <c r="P35" s="14">
        <f>(B35*N35+B35*O35*11.99)*12</f>
        <v>2307.1067999999996</v>
      </c>
      <c r="Q35" s="14">
        <f t="shared" ref="Q35" si="24">+P35-E35</f>
        <v>34.293599999999969</v>
      </c>
      <c r="R35" s="55"/>
      <c r="S35" s="52">
        <f t="shared" si="18"/>
        <v>9.6237970253717792E-3</v>
      </c>
      <c r="U35" s="52"/>
    </row>
    <row r="36" spans="1:21" x14ac:dyDescent="0.25">
      <c r="A36" s="60" t="s">
        <v>49</v>
      </c>
      <c r="B36" s="61">
        <f>'[2]Commercial Final'!$D$19+'[2]Commercial Final'!$D$20</f>
        <v>70</v>
      </c>
      <c r="C36" s="61">
        <v>30.22</v>
      </c>
      <c r="D36" s="61">
        <v>19.559999999999999</v>
      </c>
      <c r="E36" s="61">
        <f>(B36*C36+B36*D36*1.17)*12</f>
        <v>44608.367999999995</v>
      </c>
      <c r="F36" s="30">
        <v>250</v>
      </c>
      <c r="G36" s="30">
        <f>+G31</f>
        <v>26</v>
      </c>
      <c r="H36" s="14">
        <f t="shared" si="11"/>
        <v>227.5</v>
      </c>
      <c r="I36" s="62">
        <f t="shared" si="9"/>
        <v>95.114818619198914</v>
      </c>
      <c r="J36" s="62">
        <f t="shared" si="12"/>
        <v>86.55448494347101</v>
      </c>
      <c r="K36" s="14">
        <f t="shared" si="14"/>
        <v>0.31387890144335751</v>
      </c>
      <c r="M36" s="62">
        <f t="shared" si="15"/>
        <v>0.32031727874615523</v>
      </c>
      <c r="N36" s="61">
        <f t="shared" si="16"/>
        <v>30.54</v>
      </c>
      <c r="O36" s="61">
        <f t="shared" si="17"/>
        <v>19.88</v>
      </c>
      <c r="P36" s="14">
        <f>(B36*N36+B36*O36*1.17)*12</f>
        <v>45191.663999999997</v>
      </c>
      <c r="Q36" s="14">
        <f t="shared" si="13"/>
        <v>583.2960000000021</v>
      </c>
      <c r="R36" s="55"/>
      <c r="S36" s="52">
        <f t="shared" si="18"/>
        <v>1.0589013898080752E-2</v>
      </c>
      <c r="U36" s="52"/>
    </row>
    <row r="37" spans="1:21" x14ac:dyDescent="0.25">
      <c r="A37" s="60" t="s">
        <v>48</v>
      </c>
      <c r="B37" s="61">
        <f>'[2]Commercial Final'!$D$23+'[2]Commercial Final'!$D$25+'[2]Commercial Final'!$D$26</f>
        <v>240</v>
      </c>
      <c r="C37" s="61">
        <v>30.22</v>
      </c>
      <c r="D37" s="61">
        <v>19.559999999999999</v>
      </c>
      <c r="E37" s="61">
        <f>(B37*C37+B37*D37*3.33)*12</f>
        <v>274621.82399999996</v>
      </c>
      <c r="F37" s="30">
        <v>250</v>
      </c>
      <c r="G37" s="29">
        <f>+G32</f>
        <v>52</v>
      </c>
      <c r="H37" s="14">
        <f t="shared" si="11"/>
        <v>1560</v>
      </c>
      <c r="I37" s="62">
        <f t="shared" si="9"/>
        <v>95.114818619198914</v>
      </c>
      <c r="J37" s="62">
        <f t="shared" si="12"/>
        <v>593.51646818380118</v>
      </c>
      <c r="K37" s="14">
        <f t="shared" si="14"/>
        <v>0.31387890144335751</v>
      </c>
      <c r="M37" s="62">
        <f t="shared" si="15"/>
        <v>0.32031727874615523</v>
      </c>
      <c r="N37" s="61">
        <f t="shared" si="16"/>
        <v>30.54</v>
      </c>
      <c r="O37" s="61">
        <f t="shared" si="17"/>
        <v>19.88</v>
      </c>
      <c r="P37" s="14">
        <f>(B37*N37+B37*O37*3.33)*12</f>
        <v>278612.35200000001</v>
      </c>
      <c r="Q37" s="14">
        <f t="shared" si="13"/>
        <v>3990.5280000000494</v>
      </c>
      <c r="R37" s="55"/>
      <c r="S37" s="52">
        <f t="shared" si="18"/>
        <v>1.0589013898080752E-2</v>
      </c>
      <c r="U37" s="52"/>
    </row>
    <row r="38" spans="1:21" x14ac:dyDescent="0.25">
      <c r="A38" s="60" t="s">
        <v>47</v>
      </c>
      <c r="B38" s="61">
        <f>'[2]Commercial Final'!$D$24+'[2]Commercial Final'!$D$27</f>
        <v>28</v>
      </c>
      <c r="C38" s="61">
        <v>30.22</v>
      </c>
      <c r="D38" s="61">
        <v>19.559999999999999</v>
      </c>
      <c r="E38" s="61">
        <f>(B38*C38+B38*D38*7.66)*12</f>
        <v>60496.665599999993</v>
      </c>
      <c r="F38" s="30">
        <v>250</v>
      </c>
      <c r="G38" s="29">
        <f>+G33</f>
        <v>104</v>
      </c>
      <c r="H38" s="14">
        <f t="shared" si="11"/>
        <v>364</v>
      </c>
      <c r="I38" s="62">
        <f t="shared" si="9"/>
        <v>95.114818619198914</v>
      </c>
      <c r="J38" s="62">
        <f t="shared" si="12"/>
        <v>138.4871759095536</v>
      </c>
      <c r="K38" s="14">
        <f t="shared" si="14"/>
        <v>0.31387890144335751</v>
      </c>
      <c r="M38" s="62">
        <f t="shared" si="15"/>
        <v>0.32031727874615523</v>
      </c>
      <c r="N38" s="61">
        <f t="shared" si="16"/>
        <v>30.54</v>
      </c>
      <c r="O38" s="61">
        <f t="shared" si="17"/>
        <v>19.88</v>
      </c>
      <c r="P38" s="14">
        <f>(B38*N38+B38*O38*7.66)*12</f>
        <v>61427.788799999995</v>
      </c>
      <c r="Q38" s="14">
        <f t="shared" si="13"/>
        <v>931.12320000000182</v>
      </c>
      <c r="R38" s="55"/>
      <c r="S38" s="52">
        <f t="shared" si="18"/>
        <v>1.0589013898080752E-2</v>
      </c>
      <c r="U38" s="52"/>
    </row>
    <row r="39" spans="1:21" x14ac:dyDescent="0.25">
      <c r="A39" s="60" t="s">
        <v>46</v>
      </c>
      <c r="B39" s="61">
        <f>'[2]Commercial Final'!$D$28</f>
        <v>12</v>
      </c>
      <c r="C39" s="61">
        <v>30.22</v>
      </c>
      <c r="D39" s="61">
        <v>19.559999999999999</v>
      </c>
      <c r="E39" s="61">
        <f>(B39*C39+B39*D39*11.99)*12</f>
        <v>38123.193599999999</v>
      </c>
      <c r="F39" s="30">
        <v>250</v>
      </c>
      <c r="G39" s="30">
        <f>+G34</f>
        <v>156</v>
      </c>
      <c r="H39" s="14">
        <f t="shared" si="11"/>
        <v>234</v>
      </c>
      <c r="I39" s="62">
        <f t="shared" si="9"/>
        <v>95.114818619198914</v>
      </c>
      <c r="J39" s="62">
        <f t="shared" si="12"/>
        <v>89.027470227570191</v>
      </c>
      <c r="K39" s="14">
        <f t="shared" si="14"/>
        <v>0.31387890144335751</v>
      </c>
      <c r="M39" s="62">
        <f t="shared" si="15"/>
        <v>0.32031727874615523</v>
      </c>
      <c r="N39" s="61">
        <f t="shared" si="16"/>
        <v>30.54</v>
      </c>
      <c r="O39" s="61">
        <f t="shared" si="17"/>
        <v>19.88</v>
      </c>
      <c r="P39" s="14">
        <f>(B39*N39+B39*O39*11.99)*12</f>
        <v>38721.772800000006</v>
      </c>
      <c r="Q39" s="14">
        <f t="shared" si="13"/>
        <v>598.5792000000074</v>
      </c>
      <c r="R39" s="55"/>
      <c r="S39" s="52">
        <f t="shared" si="18"/>
        <v>1.0589013898080752E-2</v>
      </c>
      <c r="U39" s="52"/>
    </row>
    <row r="40" spans="1:21" x14ac:dyDescent="0.25">
      <c r="A40" s="60" t="s">
        <v>145</v>
      </c>
      <c r="B40" s="61">
        <f>'[2]Commercial Final'!$D$29</f>
        <v>1</v>
      </c>
      <c r="C40" s="65">
        <v>30.22</v>
      </c>
      <c r="D40" s="65">
        <v>19.559999999999999</v>
      </c>
      <c r="E40" s="61">
        <f>(B40*C40+B40*D40*11.99)*12</f>
        <v>3176.9327999999996</v>
      </c>
      <c r="F40" s="30">
        <v>250</v>
      </c>
      <c r="G40" s="30">
        <f>+G35</f>
        <v>208</v>
      </c>
      <c r="H40" s="14">
        <f t="shared" si="11"/>
        <v>26</v>
      </c>
      <c r="I40" s="62">
        <f t="shared" ref="I40" si="25">+F40*$I$8</f>
        <v>95.114818619198914</v>
      </c>
      <c r="J40" s="62">
        <f t="shared" si="12"/>
        <v>9.8919411363966869</v>
      </c>
      <c r="K40" s="14">
        <f t="shared" ref="K40" si="26">+I40*$K$10</f>
        <v>0.31387890144335751</v>
      </c>
      <c r="M40" s="62">
        <f t="shared" ref="M40" si="27">+K40/$M$10</f>
        <v>0.32031727874615523</v>
      </c>
      <c r="N40" s="61">
        <f t="shared" ref="N40" si="28">ROUND(C40+M40,2)</f>
        <v>30.54</v>
      </c>
      <c r="O40" s="61">
        <f t="shared" ref="O40" si="29">ROUND(D40+M40,2)</f>
        <v>19.88</v>
      </c>
      <c r="P40" s="14">
        <f>(B40*N40+B40*O40*11.99)*12</f>
        <v>3226.8144000000002</v>
      </c>
      <c r="Q40" s="14">
        <f t="shared" ref="Q40" si="30">+P40-E40</f>
        <v>49.881600000000617</v>
      </c>
      <c r="R40" s="55"/>
      <c r="S40" s="52">
        <f t="shared" si="18"/>
        <v>1.0589013898080752E-2</v>
      </c>
      <c r="U40" s="52"/>
    </row>
    <row r="41" spans="1:21" x14ac:dyDescent="0.25">
      <c r="A41" s="60" t="s">
        <v>45</v>
      </c>
      <c r="B41" s="61">
        <f>'[2]Commercial Final'!$D$32</f>
        <v>6</v>
      </c>
      <c r="C41" s="61">
        <v>75.209999999999994</v>
      </c>
      <c r="D41" s="61">
        <v>75.209999999999994</v>
      </c>
      <c r="E41" s="61">
        <f>(B41*C41+B41*D41*3.33)*12</f>
        <v>23447.4696</v>
      </c>
      <c r="F41" s="30">
        <f>+F42*3</f>
        <v>972</v>
      </c>
      <c r="G41" s="29">
        <v>52</v>
      </c>
      <c r="H41" s="14">
        <f t="shared" si="11"/>
        <v>151.63200000000001</v>
      </c>
      <c r="I41" s="62">
        <f t="shared" si="9"/>
        <v>369.80641479144538</v>
      </c>
      <c r="J41" s="62">
        <f t="shared" si="12"/>
        <v>57.68980070746548</v>
      </c>
      <c r="K41" s="14">
        <f t="shared" si="14"/>
        <v>1.2203611688117739</v>
      </c>
      <c r="M41" s="62">
        <f t="shared" si="15"/>
        <v>1.2453935797650515</v>
      </c>
      <c r="N41" s="61">
        <f t="shared" si="16"/>
        <v>76.459999999999994</v>
      </c>
      <c r="O41" s="61">
        <f t="shared" si="17"/>
        <v>76.459999999999994</v>
      </c>
      <c r="P41" s="14">
        <f>(B41*N41+B41*O41*3.33)*12</f>
        <v>23837.169600000001</v>
      </c>
      <c r="Q41" s="14">
        <f t="shared" si="13"/>
        <v>389.70000000000073</v>
      </c>
      <c r="R41" s="55"/>
      <c r="S41" s="52">
        <f t="shared" si="18"/>
        <v>1.6620130301821568E-2</v>
      </c>
      <c r="U41" s="52"/>
    </row>
    <row r="42" spans="1:21" x14ac:dyDescent="0.25">
      <c r="A42" s="60" t="s">
        <v>44</v>
      </c>
      <c r="B42" s="61">
        <f>'[2]Commercial Final'!$D$33+'[2]Commercial Final'!$D$48</f>
        <v>108</v>
      </c>
      <c r="C42" s="61">
        <v>37.47</v>
      </c>
      <c r="D42" s="61">
        <v>25.39</v>
      </c>
      <c r="E42" s="61">
        <f>(B42*C42+B42*D42*1.17)*12</f>
        <v>87060.484800000006</v>
      </c>
      <c r="F42" s="30">
        <v>324</v>
      </c>
      <c r="G42" s="30">
        <f>+G31</f>
        <v>26</v>
      </c>
      <c r="H42" s="14">
        <f t="shared" si="11"/>
        <v>454.89600000000002</v>
      </c>
      <c r="I42" s="62">
        <f t="shared" si="9"/>
        <v>123.26880493048179</v>
      </c>
      <c r="J42" s="62">
        <f t="shared" si="12"/>
        <v>173.06940212239641</v>
      </c>
      <c r="K42" s="14">
        <f t="shared" si="14"/>
        <v>0.40678705627059131</v>
      </c>
      <c r="M42" s="62">
        <f t="shared" si="15"/>
        <v>0.41513119325501713</v>
      </c>
      <c r="N42" s="61">
        <f t="shared" si="16"/>
        <v>37.89</v>
      </c>
      <c r="O42" s="61">
        <f t="shared" si="17"/>
        <v>25.81</v>
      </c>
      <c r="P42" s="14">
        <f>(B42*N42+B42*O42*1.17)*12</f>
        <v>88241.659199999995</v>
      </c>
      <c r="Q42" s="14">
        <f t="shared" si="13"/>
        <v>1181.174399999989</v>
      </c>
      <c r="R42" s="55"/>
      <c r="S42" s="52">
        <f t="shared" si="18"/>
        <v>1.1208967173739037E-2</v>
      </c>
      <c r="U42" s="52"/>
    </row>
    <row r="43" spans="1:21" x14ac:dyDescent="0.25">
      <c r="A43" s="60" t="s">
        <v>43</v>
      </c>
      <c r="B43" s="61">
        <f>'[2]Commercial Final'!$D$39+'[2]Commercial Final'!$D$40+'[2]Commercial Final'!$D$41</f>
        <v>474</v>
      </c>
      <c r="C43" s="61">
        <v>37.47</v>
      </c>
      <c r="D43" s="61">
        <v>25.39</v>
      </c>
      <c r="E43" s="61">
        <f>(B43*C43+B43*D43*3.33)*12</f>
        <v>694042.36560000002</v>
      </c>
      <c r="F43" s="30">
        <v>324</v>
      </c>
      <c r="G43" s="30">
        <f>+G32</f>
        <v>52</v>
      </c>
      <c r="H43" s="14">
        <f t="shared" si="11"/>
        <v>3992.9760000000001</v>
      </c>
      <c r="I43" s="62">
        <f t="shared" si="9"/>
        <v>123.26880493048179</v>
      </c>
      <c r="J43" s="62">
        <f t="shared" si="12"/>
        <v>1519.1647519632575</v>
      </c>
      <c r="K43" s="14">
        <f t="shared" si="14"/>
        <v>0.40678705627059131</v>
      </c>
      <c r="M43" s="62">
        <f t="shared" si="15"/>
        <v>0.41513119325501713</v>
      </c>
      <c r="N43" s="61">
        <f t="shared" si="16"/>
        <v>37.89</v>
      </c>
      <c r="O43" s="61">
        <f t="shared" si="17"/>
        <v>25.81</v>
      </c>
      <c r="P43" s="14">
        <f>(B43*N43+B43*O43*3.33)*12</f>
        <v>704386.56239999994</v>
      </c>
      <c r="Q43" s="14">
        <f t="shared" si="13"/>
        <v>10344.196799999918</v>
      </c>
      <c r="R43" s="55"/>
      <c r="S43" s="52">
        <f t="shared" si="18"/>
        <v>1.1208967173739037E-2</v>
      </c>
      <c r="U43" s="52"/>
    </row>
    <row r="44" spans="1:21" x14ac:dyDescent="0.25">
      <c r="A44" s="60" t="s">
        <v>42</v>
      </c>
      <c r="B44" s="61">
        <f>'[2]Commercial Final'!$D$42+'[2]Commercial Final'!$D$43</f>
        <v>55</v>
      </c>
      <c r="C44" s="61">
        <v>37.47</v>
      </c>
      <c r="D44" s="61">
        <v>25.39</v>
      </c>
      <c r="E44" s="61">
        <f>(B44*C44+B44*D44*7.66)*12</f>
        <v>153091.88400000002</v>
      </c>
      <c r="F44" s="30">
        <v>324</v>
      </c>
      <c r="G44" s="30">
        <f>+G33</f>
        <v>104</v>
      </c>
      <c r="H44" s="14">
        <f t="shared" si="11"/>
        <v>926.64</v>
      </c>
      <c r="I44" s="62">
        <f t="shared" si="9"/>
        <v>123.26880493048179</v>
      </c>
      <c r="J44" s="62">
        <f t="shared" si="12"/>
        <v>352.54878210117789</v>
      </c>
      <c r="K44" s="14">
        <f t="shared" si="14"/>
        <v>0.40678705627059131</v>
      </c>
      <c r="M44" s="62">
        <f t="shared" si="15"/>
        <v>0.41513119325501713</v>
      </c>
      <c r="N44" s="61">
        <f t="shared" si="16"/>
        <v>37.89</v>
      </c>
      <c r="O44" s="61">
        <f t="shared" si="17"/>
        <v>25.81</v>
      </c>
      <c r="P44" s="14">
        <f>(B44*N44+B44*O44*7.66)*12</f>
        <v>155492.43600000002</v>
      </c>
      <c r="Q44" s="14">
        <f t="shared" si="13"/>
        <v>2400.551999999996</v>
      </c>
      <c r="R44" s="55"/>
      <c r="S44" s="52">
        <f t="shared" si="18"/>
        <v>1.1208967173739037E-2</v>
      </c>
      <c r="U44" s="52"/>
    </row>
    <row r="45" spans="1:21" x14ac:dyDescent="0.25">
      <c r="A45" s="60" t="s">
        <v>41</v>
      </c>
      <c r="B45" s="61">
        <f>'[2]Commercial Final'!$D$44</f>
        <v>24.999233974751807</v>
      </c>
      <c r="C45" s="61">
        <v>37.47</v>
      </c>
      <c r="D45" s="61">
        <v>25.39</v>
      </c>
      <c r="E45" s="61">
        <f>(B45*C45+B45*D45*11.99)*12</f>
        <v>102565.68718746171</v>
      </c>
      <c r="F45" s="30">
        <v>324</v>
      </c>
      <c r="G45" s="30">
        <f>+G34</f>
        <v>156</v>
      </c>
      <c r="H45" s="14">
        <f t="shared" si="11"/>
        <v>631.78064100992765</v>
      </c>
      <c r="I45" s="62">
        <f t="shared" si="9"/>
        <v>123.26880493048179</v>
      </c>
      <c r="J45" s="62">
        <f t="shared" si="12"/>
        <v>240.36680430712198</v>
      </c>
      <c r="K45" s="14">
        <f t="shared" si="14"/>
        <v>0.40678705627059131</v>
      </c>
      <c r="M45" s="62">
        <f t="shared" si="15"/>
        <v>0.41513119325501713</v>
      </c>
      <c r="N45" s="61">
        <f t="shared" si="16"/>
        <v>37.89</v>
      </c>
      <c r="O45" s="61">
        <f t="shared" si="17"/>
        <v>25.81</v>
      </c>
      <c r="P45" s="14">
        <f>(B45*N45+B45*O45*11.99)*12</f>
        <v>104202.3770360951</v>
      </c>
      <c r="Q45" s="14">
        <f t="shared" si="13"/>
        <v>1636.6898486333957</v>
      </c>
      <c r="R45" s="55"/>
      <c r="S45" s="52">
        <f t="shared" si="18"/>
        <v>1.1208967173739037E-2</v>
      </c>
      <c r="U45" s="52"/>
    </row>
    <row r="46" spans="1:21" x14ac:dyDescent="0.25">
      <c r="A46" s="60" t="s">
        <v>143</v>
      </c>
      <c r="B46" s="61">
        <f>'[2]Commercial Final'!$D$45</f>
        <v>2</v>
      </c>
      <c r="C46" s="65">
        <v>37.47</v>
      </c>
      <c r="D46" s="65">
        <v>25.39</v>
      </c>
      <c r="E46" s="61">
        <f>(B46*C46+B46*D46*11.99)*12</f>
        <v>8205.506400000002</v>
      </c>
      <c r="F46" s="30">
        <v>324</v>
      </c>
      <c r="G46" s="30">
        <f t="shared" ref="G46" si="31">+G35</f>
        <v>208</v>
      </c>
      <c r="H46" s="14">
        <f t="shared" si="11"/>
        <v>67.391999999999996</v>
      </c>
      <c r="I46" s="62">
        <f t="shared" ref="I46:I47" si="32">+F46*$I$8</f>
        <v>123.26880493048179</v>
      </c>
      <c r="J46" s="62">
        <f t="shared" si="12"/>
        <v>25.639911425540213</v>
      </c>
      <c r="K46" s="14">
        <f t="shared" ref="K46:K47" si="33">+I46*$K$10</f>
        <v>0.40678705627059131</v>
      </c>
      <c r="M46" s="62">
        <f t="shared" ref="M46:M47" si="34">+K46/$M$10</f>
        <v>0.41513119325501713</v>
      </c>
      <c r="N46" s="61">
        <f t="shared" ref="N46:N47" si="35">ROUND(C46+M46,2)</f>
        <v>37.89</v>
      </c>
      <c r="O46" s="61">
        <f t="shared" ref="O46:O47" si="36">ROUND(D46+M46,2)</f>
        <v>25.81</v>
      </c>
      <c r="P46" s="14">
        <f>(B46*N46+B46*O46*11.99)*12</f>
        <v>8336.4455999999991</v>
      </c>
      <c r="Q46" s="14">
        <f t="shared" ref="Q46:Q47" si="37">+P46-E46</f>
        <v>130.93919999999707</v>
      </c>
      <c r="R46" s="55"/>
      <c r="S46" s="52">
        <f t="shared" si="18"/>
        <v>1.1208967173739037E-2</v>
      </c>
      <c r="U46" s="52"/>
    </row>
    <row r="47" spans="1:21" x14ac:dyDescent="0.25">
      <c r="A47" s="60" t="s">
        <v>146</v>
      </c>
      <c r="B47" s="61">
        <f>'[2]Commercial Final'!$D$46</f>
        <v>1</v>
      </c>
      <c r="C47" s="65">
        <v>37.47</v>
      </c>
      <c r="D47" s="65">
        <v>25.39</v>
      </c>
      <c r="E47" s="61">
        <f>(B47*C47+B47*D47*11.99)*12</f>
        <v>4102.753200000001</v>
      </c>
      <c r="F47" s="30">
        <v>324</v>
      </c>
      <c r="G47" s="30">
        <v>260</v>
      </c>
      <c r="H47" s="14">
        <f t="shared" si="11"/>
        <v>42.12</v>
      </c>
      <c r="I47" s="62">
        <f t="shared" si="32"/>
        <v>123.26880493048179</v>
      </c>
      <c r="J47" s="62">
        <f t="shared" si="12"/>
        <v>16.024944640962634</v>
      </c>
      <c r="K47" s="14">
        <f t="shared" si="33"/>
        <v>0.40678705627059131</v>
      </c>
      <c r="M47" s="62">
        <f t="shared" si="34"/>
        <v>0.41513119325501713</v>
      </c>
      <c r="N47" s="61">
        <f t="shared" si="35"/>
        <v>37.89</v>
      </c>
      <c r="O47" s="61">
        <f t="shared" si="36"/>
        <v>25.81</v>
      </c>
      <c r="P47" s="14">
        <f>(B47*N47+B47*O47*11.99)*12</f>
        <v>4168.2227999999996</v>
      </c>
      <c r="Q47" s="14">
        <f t="shared" si="37"/>
        <v>65.469599999998536</v>
      </c>
      <c r="R47" s="55"/>
      <c r="S47" s="52">
        <f t="shared" si="18"/>
        <v>1.1208967173739037E-2</v>
      </c>
      <c r="U47" s="52"/>
    </row>
    <row r="48" spans="1:21" x14ac:dyDescent="0.25">
      <c r="A48" s="60" t="s">
        <v>40</v>
      </c>
      <c r="B48" s="71">
        <f>'[2]Commercial Final'!$D$48</f>
        <v>3</v>
      </c>
      <c r="C48" s="61">
        <v>37.47</v>
      </c>
      <c r="D48" s="61">
        <v>25.39</v>
      </c>
      <c r="E48" s="61">
        <f>(B48*C48+B48*D48*24.98)*12</f>
        <v>24181.639200000001</v>
      </c>
      <c r="F48" s="30">
        <v>324</v>
      </c>
      <c r="G48" s="30">
        <f>52*6</f>
        <v>312</v>
      </c>
      <c r="H48" s="14">
        <f t="shared" si="11"/>
        <v>151.63200000000001</v>
      </c>
      <c r="I48" s="62">
        <f t="shared" si="9"/>
        <v>123.26880493048179</v>
      </c>
      <c r="J48" s="62">
        <f t="shared" si="12"/>
        <v>57.68980070746548</v>
      </c>
      <c r="K48" s="14">
        <f t="shared" si="14"/>
        <v>0.40678705627059131</v>
      </c>
      <c r="M48" s="62">
        <f t="shared" si="15"/>
        <v>0.41513119325501713</v>
      </c>
      <c r="N48" s="61">
        <f t="shared" si="16"/>
        <v>37.89</v>
      </c>
      <c r="O48" s="61">
        <f t="shared" si="17"/>
        <v>25.81</v>
      </c>
      <c r="P48" s="14">
        <f>(B48*N48+B48*O48*24.98)*12</f>
        <v>24574.4568</v>
      </c>
      <c r="Q48" s="14">
        <f t="shared" si="13"/>
        <v>392.81759999999849</v>
      </c>
      <c r="R48" s="55"/>
      <c r="S48" s="52">
        <f t="shared" si="18"/>
        <v>1.1208967173739037E-2</v>
      </c>
      <c r="U48" s="52"/>
    </row>
    <row r="49" spans="1:21" x14ac:dyDescent="0.25">
      <c r="A49" s="60" t="s">
        <v>39</v>
      </c>
      <c r="B49" s="61">
        <f>'[2]Commercial Final'!$D$50</f>
        <v>1</v>
      </c>
      <c r="C49" s="61">
        <v>103.48</v>
      </c>
      <c r="D49" s="61">
        <v>103.48</v>
      </c>
      <c r="E49" s="61">
        <f>(B49*C49+B49*D49*7.66)*12</f>
        <v>10753.641600000001</v>
      </c>
      <c r="F49" s="30">
        <f>+F42*3</f>
        <v>972</v>
      </c>
      <c r="G49" s="29">
        <v>104</v>
      </c>
      <c r="H49" s="14">
        <f t="shared" si="11"/>
        <v>50.543999999999997</v>
      </c>
      <c r="I49" s="62">
        <f t="shared" si="9"/>
        <v>369.80641479144538</v>
      </c>
      <c r="J49" s="62">
        <f t="shared" si="12"/>
        <v>19.229933569155161</v>
      </c>
      <c r="K49" s="14">
        <f t="shared" si="14"/>
        <v>1.2203611688117739</v>
      </c>
      <c r="M49" s="62">
        <f t="shared" si="15"/>
        <v>1.2453935797650515</v>
      </c>
      <c r="N49" s="61">
        <f t="shared" si="16"/>
        <v>104.73</v>
      </c>
      <c r="O49" s="61">
        <f t="shared" si="17"/>
        <v>104.73</v>
      </c>
      <c r="P49" s="14">
        <f>(B49*N49+B49*O49*7.66)*12</f>
        <v>10883.5416</v>
      </c>
      <c r="Q49" s="14">
        <f t="shared" si="13"/>
        <v>129.89999999999964</v>
      </c>
      <c r="R49" s="55"/>
      <c r="S49" s="52">
        <f t="shared" si="18"/>
        <v>1.2079628913799767E-2</v>
      </c>
      <c r="U49" s="52"/>
    </row>
    <row r="50" spans="1:21" x14ac:dyDescent="0.25">
      <c r="A50" s="60" t="s">
        <v>38</v>
      </c>
      <c r="B50" s="61">
        <f>'[2]Commercial Final'!$D$51+'[2]Commercial Final'!$D$64</f>
        <v>45</v>
      </c>
      <c r="C50" s="61">
        <v>50.61</v>
      </c>
      <c r="D50" s="61">
        <v>37.18</v>
      </c>
      <c r="E50" s="61">
        <f>(B50*C50+B50*D50*1.17)*12</f>
        <v>50819.724000000002</v>
      </c>
      <c r="F50" s="30">
        <v>473</v>
      </c>
      <c r="G50" s="30">
        <f>+G31</f>
        <v>26</v>
      </c>
      <c r="H50" s="14">
        <f t="shared" si="11"/>
        <v>276.70499999999998</v>
      </c>
      <c r="I50" s="62">
        <f t="shared" si="9"/>
        <v>179.95723682752435</v>
      </c>
      <c r="J50" s="62">
        <f t="shared" si="12"/>
        <v>105.27498354410173</v>
      </c>
      <c r="K50" s="14">
        <f t="shared" si="14"/>
        <v>0.59385888153083244</v>
      </c>
      <c r="M50" s="62">
        <f t="shared" si="15"/>
        <v>0.60604029138772575</v>
      </c>
      <c r="N50" s="61">
        <f t="shared" si="16"/>
        <v>51.22</v>
      </c>
      <c r="O50" s="61">
        <f t="shared" si="17"/>
        <v>37.79</v>
      </c>
      <c r="P50" s="14">
        <f>(B50*N50+B50*O50*1.17)*12</f>
        <v>51534.521999999997</v>
      </c>
      <c r="Q50" s="14">
        <f t="shared" si="13"/>
        <v>714.79799999999523</v>
      </c>
      <c r="R50" s="55"/>
      <c r="S50" s="52">
        <f t="shared" si="18"/>
        <v>1.2052953961667643E-2</v>
      </c>
      <c r="U50" s="52"/>
    </row>
    <row r="51" spans="1:21" x14ac:dyDescent="0.25">
      <c r="A51" s="60" t="s">
        <v>37</v>
      </c>
      <c r="B51" s="61">
        <f>'[2]Commercial Final'!$D$55+'[2]Commercial Final'!$D$56+'[2]Commercial Final'!$D$57+'[2]Commercial Final'!$D$58</f>
        <v>264</v>
      </c>
      <c r="C51" s="61">
        <v>50.61</v>
      </c>
      <c r="D51" s="61">
        <v>37.18</v>
      </c>
      <c r="E51" s="61">
        <f>(B51*C51+B51*D51*3.33)*12</f>
        <v>552560.65920000011</v>
      </c>
      <c r="F51" s="30">
        <v>473</v>
      </c>
      <c r="G51" s="30">
        <f>+G32</f>
        <v>52</v>
      </c>
      <c r="H51" s="14">
        <f t="shared" si="11"/>
        <v>3246.672</v>
      </c>
      <c r="I51" s="62">
        <f t="shared" si="9"/>
        <v>179.95723682752435</v>
      </c>
      <c r="J51" s="62">
        <f t="shared" si="12"/>
        <v>1235.2264735841272</v>
      </c>
      <c r="K51" s="14">
        <f t="shared" si="14"/>
        <v>0.59385888153083244</v>
      </c>
      <c r="M51" s="62">
        <f t="shared" si="15"/>
        <v>0.60604029138772575</v>
      </c>
      <c r="N51" s="61">
        <f t="shared" si="16"/>
        <v>51.22</v>
      </c>
      <c r="O51" s="61">
        <f t="shared" si="17"/>
        <v>37.79</v>
      </c>
      <c r="P51" s="14">
        <f>(B51*N51+B51*O51*3.33)*12</f>
        <v>560928.29759999993</v>
      </c>
      <c r="Q51" s="14">
        <f t="shared" si="13"/>
        <v>8367.6383999998216</v>
      </c>
      <c r="R51" s="55"/>
      <c r="S51" s="52">
        <f t="shared" si="18"/>
        <v>1.2052953961667643E-2</v>
      </c>
      <c r="U51" s="52"/>
    </row>
    <row r="52" spans="1:21" x14ac:dyDescent="0.25">
      <c r="A52" s="60" t="s">
        <v>36</v>
      </c>
      <c r="B52" s="61">
        <f>'[2]Commercial Final'!$D$56+'[2]Commercial Final'!$D$59+'[2]Commercial Final'!$D$60</f>
        <v>73</v>
      </c>
      <c r="C52" s="61">
        <v>50.61</v>
      </c>
      <c r="D52" s="61">
        <v>37.18</v>
      </c>
      <c r="E52" s="61">
        <f>(B52*C52+B52*D52*7.66)*12</f>
        <v>293818.10879999999</v>
      </c>
      <c r="F52" s="30">
        <v>473</v>
      </c>
      <c r="G52" s="30">
        <f>+G33</f>
        <v>104</v>
      </c>
      <c r="H52" s="14">
        <f t="shared" si="11"/>
        <v>1795.508</v>
      </c>
      <c r="I52" s="62">
        <f t="shared" si="9"/>
        <v>179.95723682752435</v>
      </c>
      <c r="J52" s="62">
        <f t="shared" si="12"/>
        <v>683.1176709972824</v>
      </c>
      <c r="K52" s="14">
        <f t="shared" si="14"/>
        <v>0.59385888153083244</v>
      </c>
      <c r="M52" s="62">
        <f t="shared" si="15"/>
        <v>0.60604029138772575</v>
      </c>
      <c r="N52" s="61">
        <f t="shared" si="16"/>
        <v>51.22</v>
      </c>
      <c r="O52" s="61">
        <f t="shared" si="17"/>
        <v>37.79</v>
      </c>
      <c r="P52" s="14">
        <f>(B52*N52+B52*O52*7.66)*12</f>
        <v>298445.66640000005</v>
      </c>
      <c r="Q52" s="14">
        <f t="shared" si="13"/>
        <v>4627.5576000000583</v>
      </c>
      <c r="R52" s="55"/>
      <c r="S52" s="52">
        <f t="shared" si="18"/>
        <v>1.2052953961667643E-2</v>
      </c>
      <c r="U52" s="52"/>
    </row>
    <row r="53" spans="1:21" x14ac:dyDescent="0.25">
      <c r="A53" s="60" t="s">
        <v>35</v>
      </c>
      <c r="B53" s="61">
        <f>'[2]Commercial Final'!$D$61+'[2]Commercial Final'!$D$62</f>
        <v>16</v>
      </c>
      <c r="C53" s="61">
        <v>50.61</v>
      </c>
      <c r="D53" s="61">
        <v>37.18</v>
      </c>
      <c r="E53" s="61">
        <f>(B53*C53+B53*D53*11.99)*12</f>
        <v>95308.454400000002</v>
      </c>
      <c r="F53" s="30">
        <v>473</v>
      </c>
      <c r="G53" s="30">
        <f>+G34</f>
        <v>156</v>
      </c>
      <c r="H53" s="14">
        <f t="shared" si="11"/>
        <v>590.30399999999997</v>
      </c>
      <c r="I53" s="62">
        <f t="shared" si="9"/>
        <v>179.95723682752435</v>
      </c>
      <c r="J53" s="62">
        <f t="shared" si="12"/>
        <v>224.58663156075039</v>
      </c>
      <c r="K53" s="14">
        <f t="shared" si="14"/>
        <v>0.59385888153083244</v>
      </c>
      <c r="M53" s="62">
        <f t="shared" si="15"/>
        <v>0.60604029138772575</v>
      </c>
      <c r="N53" s="61">
        <f t="shared" si="16"/>
        <v>51.22</v>
      </c>
      <c r="O53" s="61">
        <f t="shared" si="17"/>
        <v>37.79</v>
      </c>
      <c r="P53" s="14">
        <f>(B53*N53+B53*O53*11.99)*12</f>
        <v>96829.843200000003</v>
      </c>
      <c r="Q53" s="14">
        <f t="shared" si="13"/>
        <v>1521.3888000000006</v>
      </c>
      <c r="R53" s="55"/>
      <c r="S53" s="52">
        <f t="shared" si="18"/>
        <v>1.2052953961667643E-2</v>
      </c>
      <c r="U53" s="52"/>
    </row>
    <row r="54" spans="1:21" x14ac:dyDescent="0.25">
      <c r="A54" s="60" t="s">
        <v>34</v>
      </c>
      <c r="B54" s="60">
        <v>0</v>
      </c>
      <c r="C54" s="61">
        <v>50.61</v>
      </c>
      <c r="D54" s="61">
        <v>37.18</v>
      </c>
      <c r="E54" s="61">
        <f>(B54*C54+B54*D54*20.65)*12</f>
        <v>0</v>
      </c>
      <c r="F54" s="31">
        <v>473</v>
      </c>
      <c r="G54" s="31">
        <f>52*5</f>
        <v>260</v>
      </c>
      <c r="H54" s="14">
        <f t="shared" si="11"/>
        <v>0</v>
      </c>
      <c r="I54" s="62">
        <f t="shared" si="9"/>
        <v>179.95723682752435</v>
      </c>
      <c r="J54" s="62">
        <f t="shared" si="12"/>
        <v>0</v>
      </c>
      <c r="K54" s="14">
        <f t="shared" si="14"/>
        <v>0.59385888153083244</v>
      </c>
      <c r="M54" s="62">
        <f t="shared" si="15"/>
        <v>0.60604029138772575</v>
      </c>
      <c r="N54" s="61">
        <f t="shared" si="16"/>
        <v>51.22</v>
      </c>
      <c r="O54" s="61">
        <f t="shared" si="17"/>
        <v>37.79</v>
      </c>
      <c r="P54" s="14">
        <f>(B54*N54+B54*O54*20.65)*12</f>
        <v>0</v>
      </c>
      <c r="Q54" s="14">
        <f t="shared" si="13"/>
        <v>0</v>
      </c>
      <c r="R54" s="55"/>
      <c r="S54" s="52">
        <f t="shared" si="18"/>
        <v>1.2052953961667643E-2</v>
      </c>
      <c r="U54" s="52"/>
    </row>
    <row r="55" spans="1:21" x14ac:dyDescent="0.25">
      <c r="A55" s="60" t="s">
        <v>150</v>
      </c>
      <c r="B55" s="71">
        <f>'[2]Commercial Final'!$D$63</f>
        <v>5</v>
      </c>
      <c r="C55" s="65">
        <v>2.66</v>
      </c>
      <c r="D55" s="65">
        <v>2.66</v>
      </c>
      <c r="E55" s="61">
        <f>(B55*C55+B55*D55*20.65)*12</f>
        <v>3455.34</v>
      </c>
      <c r="F55" s="31">
        <f>F13</f>
        <v>34</v>
      </c>
      <c r="G55" s="31">
        <v>52</v>
      </c>
      <c r="H55" s="14">
        <f t="shared" si="11"/>
        <v>4.42</v>
      </c>
      <c r="I55" s="62">
        <f t="shared" ref="I55" si="38">+F55*$I$8</f>
        <v>12.935615332211054</v>
      </c>
      <c r="J55" s="62">
        <f t="shared" si="12"/>
        <v>1.6816299931874368</v>
      </c>
      <c r="K55" s="14">
        <f t="shared" ref="K55" si="39">+I55*$K$10</f>
        <v>4.2687530596296624E-2</v>
      </c>
      <c r="M55" s="62">
        <f t="shared" ref="M55" si="40">+K55/$M$10</f>
        <v>4.3563149909477114E-2</v>
      </c>
      <c r="N55" s="61">
        <f t="shared" ref="N55" si="41">ROUND(C55+M55,2)</f>
        <v>2.7</v>
      </c>
      <c r="O55" s="61">
        <f t="shared" ref="O55" si="42">ROUND(D55+M55,2)</f>
        <v>2.7</v>
      </c>
      <c r="P55" s="14">
        <f>(B55*N55+B55*O55*20.65)*12</f>
        <v>3507.2999999999997</v>
      </c>
      <c r="Q55" s="14">
        <f t="shared" ref="Q55" si="43">+P55-E55</f>
        <v>51.959999999999582</v>
      </c>
      <c r="R55" s="55"/>
      <c r="S55" s="52">
        <f t="shared" si="18"/>
        <v>1.5037593984962419E-2</v>
      </c>
      <c r="U55" s="52"/>
    </row>
    <row r="56" spans="1:21" x14ac:dyDescent="0.25">
      <c r="A56" s="60" t="s">
        <v>147</v>
      </c>
      <c r="B56" s="71">
        <f>'[2]Commercial Final'!$D$66</f>
        <v>1</v>
      </c>
      <c r="C56" s="65">
        <v>142.21</v>
      </c>
      <c r="D56" s="65">
        <v>142.21</v>
      </c>
      <c r="E56" s="61">
        <f>(B56*C56+B56*D56*20.65)*12</f>
        <v>36946.158000000003</v>
      </c>
      <c r="F56" s="31">
        <f>F57*3</f>
        <v>1839</v>
      </c>
      <c r="G56" s="31">
        <v>52</v>
      </c>
      <c r="H56" s="14">
        <f t="shared" si="11"/>
        <v>47.814</v>
      </c>
      <c r="I56" s="62">
        <f t="shared" ref="I56" si="44">+F56*$I$8</f>
        <v>699.66460576282725</v>
      </c>
      <c r="J56" s="62">
        <f t="shared" si="12"/>
        <v>18.191279749833509</v>
      </c>
      <c r="K56" s="14">
        <f t="shared" ref="K56" si="45">+I56*$K$10</f>
        <v>2.3088931990173376</v>
      </c>
      <c r="M56" s="62">
        <f t="shared" ref="M56" si="46">+K56/$M$10</f>
        <v>2.3562539024567175</v>
      </c>
      <c r="N56" s="61">
        <f t="shared" ref="N56" si="47">ROUND(C56+M56,2)</f>
        <v>144.57</v>
      </c>
      <c r="O56" s="61">
        <f t="shared" ref="O56" si="48">ROUND(D56+M56,2)</f>
        <v>144.57</v>
      </c>
      <c r="P56" s="14">
        <f>(B56*N56+B56*O56*20.65)*12</f>
        <v>37559.285999999993</v>
      </c>
      <c r="Q56" s="14">
        <f t="shared" ref="Q56" si="49">+P56-E56</f>
        <v>613.1279999999897</v>
      </c>
      <c r="R56" s="55"/>
      <c r="S56" s="52">
        <f t="shared" si="18"/>
        <v>1.659517614795011E-2</v>
      </c>
      <c r="U56" s="52"/>
    </row>
    <row r="57" spans="1:21" x14ac:dyDescent="0.25">
      <c r="A57" s="60" t="s">
        <v>33</v>
      </c>
      <c r="B57" s="61">
        <f>'[2]Commercial Final'!$D$67</f>
        <v>41</v>
      </c>
      <c r="C57" s="61">
        <v>67.569999999999993</v>
      </c>
      <c r="D57" s="61">
        <v>47.69</v>
      </c>
      <c r="E57" s="61">
        <f>(B57*C57+B57*D57*1.17)*12</f>
        <v>60696.711599999995</v>
      </c>
      <c r="F57" s="31">
        <v>613</v>
      </c>
      <c r="G57" s="31">
        <f>+G31</f>
        <v>26</v>
      </c>
      <c r="H57" s="14">
        <f t="shared" si="11"/>
        <v>326.72899999999998</v>
      </c>
      <c r="I57" s="62">
        <f t="shared" si="9"/>
        <v>233.22153525427575</v>
      </c>
      <c r="J57" s="62">
        <f t="shared" si="12"/>
        <v>124.30707829052898</v>
      </c>
      <c r="K57" s="14">
        <f t="shared" si="14"/>
        <v>0.7696310663391126</v>
      </c>
      <c r="M57" s="62">
        <f t="shared" si="15"/>
        <v>0.78541796748557258</v>
      </c>
      <c r="N57" s="61">
        <f t="shared" si="16"/>
        <v>68.36</v>
      </c>
      <c r="O57" s="61">
        <f t="shared" si="17"/>
        <v>48.48</v>
      </c>
      <c r="P57" s="14">
        <f>(B57*N57+B57*O57*1.17)*12</f>
        <v>61540.147199999992</v>
      </c>
      <c r="Q57" s="14">
        <f t="shared" si="13"/>
        <v>843.43559999999707</v>
      </c>
      <c r="R57" s="55"/>
      <c r="S57" s="52">
        <f t="shared" si="18"/>
        <v>1.169157910315238E-2</v>
      </c>
      <c r="U57" s="52"/>
    </row>
    <row r="58" spans="1:21" x14ac:dyDescent="0.25">
      <c r="A58" s="60" t="s">
        <v>32</v>
      </c>
      <c r="B58" s="61">
        <f>'[2]Commercial Final'!$D$72+'[2]Commercial Final'!$D$74+'[2]Commercial Final'!$D$75</f>
        <v>321</v>
      </c>
      <c r="C58" s="61">
        <v>67.569999999999993</v>
      </c>
      <c r="D58" s="61">
        <v>47.69</v>
      </c>
      <c r="E58" s="61">
        <f>(B58*C58+B58*D58*3.33)*12</f>
        <v>872006.90039999993</v>
      </c>
      <c r="F58" s="31">
        <v>613</v>
      </c>
      <c r="G58" s="31">
        <f>+G32</f>
        <v>52</v>
      </c>
      <c r="H58" s="14">
        <f t="shared" si="11"/>
        <v>5116.098</v>
      </c>
      <c r="I58" s="62">
        <f t="shared" si="9"/>
        <v>233.22153525427575</v>
      </c>
      <c r="J58" s="62">
        <f t="shared" si="12"/>
        <v>1946.4669332321855</v>
      </c>
      <c r="K58" s="14">
        <f t="shared" si="14"/>
        <v>0.7696310663391126</v>
      </c>
      <c r="M58" s="62">
        <f t="shared" si="15"/>
        <v>0.78541796748557258</v>
      </c>
      <c r="N58" s="61">
        <f t="shared" si="16"/>
        <v>68.36</v>
      </c>
      <c r="O58" s="61">
        <f t="shared" si="17"/>
        <v>48.48</v>
      </c>
      <c r="P58" s="14">
        <f>(B58*N58+B58*O58*3.33)*12</f>
        <v>885183.43680000002</v>
      </c>
      <c r="Q58" s="14">
        <f t="shared" si="13"/>
        <v>13176.536400000099</v>
      </c>
      <c r="R58" s="55"/>
      <c r="S58" s="52">
        <f t="shared" si="18"/>
        <v>1.169157910315238E-2</v>
      </c>
      <c r="U58" s="52"/>
    </row>
    <row r="59" spans="1:21" x14ac:dyDescent="0.25">
      <c r="A59" s="60" t="s">
        <v>31</v>
      </c>
      <c r="B59" s="61">
        <f>'[2]Commercial Final'!$D$73+'[2]Commercial Final'!$D$76+'[2]Commercial Final'!$D$77</f>
        <v>92.999999999999986</v>
      </c>
      <c r="C59" s="61">
        <v>67.569999999999993</v>
      </c>
      <c r="D59" s="61">
        <v>47.69</v>
      </c>
      <c r="E59" s="61">
        <f>(B59*C59+B59*D59*7.66)*12</f>
        <v>483088.9463999999</v>
      </c>
      <c r="F59" s="31">
        <v>613</v>
      </c>
      <c r="G59" s="31">
        <f>+G33</f>
        <v>104</v>
      </c>
      <c r="H59" s="14">
        <f t="shared" si="11"/>
        <v>2964.4679999999994</v>
      </c>
      <c r="I59" s="62">
        <f t="shared" si="9"/>
        <v>233.22153525427575</v>
      </c>
      <c r="J59" s="62">
        <f t="shared" si="12"/>
        <v>1127.8593444896774</v>
      </c>
      <c r="K59" s="14">
        <f t="shared" si="14"/>
        <v>0.7696310663391126</v>
      </c>
      <c r="M59" s="62">
        <f t="shared" si="15"/>
        <v>0.78541796748557258</v>
      </c>
      <c r="N59" s="61">
        <f t="shared" si="16"/>
        <v>68.36</v>
      </c>
      <c r="O59" s="61">
        <f t="shared" si="17"/>
        <v>48.48</v>
      </c>
      <c r="P59" s="14">
        <f>(B59*N59+B59*O59*7.66)*12</f>
        <v>490723.9487999999</v>
      </c>
      <c r="Q59" s="14">
        <f t="shared" si="13"/>
        <v>7635.0023999999976</v>
      </c>
      <c r="R59" s="55"/>
      <c r="S59" s="52">
        <f t="shared" si="18"/>
        <v>1.169157910315238E-2</v>
      </c>
      <c r="U59" s="52"/>
    </row>
    <row r="60" spans="1:21" x14ac:dyDescent="0.25">
      <c r="A60" s="60" t="s">
        <v>30</v>
      </c>
      <c r="B60" s="61">
        <f>'[2]Commercial Final'!$D$78</f>
        <v>25</v>
      </c>
      <c r="C60" s="61">
        <v>67.569999999999993</v>
      </c>
      <c r="D60" s="61">
        <v>47.69</v>
      </c>
      <c r="E60" s="61">
        <f>(B60*C60+B60*D60*11.99)*12</f>
        <v>191811.93</v>
      </c>
      <c r="F60" s="31">
        <v>613</v>
      </c>
      <c r="G60" s="31">
        <f>+G34</f>
        <v>156</v>
      </c>
      <c r="H60" s="14">
        <f t="shared" si="11"/>
        <v>1195.3499999999999</v>
      </c>
      <c r="I60" s="62">
        <f t="shared" si="9"/>
        <v>233.22153525427575</v>
      </c>
      <c r="J60" s="62">
        <f t="shared" si="12"/>
        <v>454.78199374583772</v>
      </c>
      <c r="K60" s="14">
        <f t="shared" si="14"/>
        <v>0.7696310663391126</v>
      </c>
      <c r="M60" s="62">
        <f t="shared" si="15"/>
        <v>0.78541796748557258</v>
      </c>
      <c r="N60" s="61">
        <f t="shared" si="16"/>
        <v>68.36</v>
      </c>
      <c r="O60" s="61">
        <f t="shared" si="17"/>
        <v>48.48</v>
      </c>
      <c r="P60" s="14">
        <f>(B60*N60+B60*O60*11.99)*12</f>
        <v>194890.56</v>
      </c>
      <c r="Q60" s="14">
        <f t="shared" si="13"/>
        <v>3078.6300000000047</v>
      </c>
      <c r="R60" s="55"/>
      <c r="S60" s="52">
        <f t="shared" si="18"/>
        <v>1.169157910315238E-2</v>
      </c>
      <c r="U60" s="52"/>
    </row>
    <row r="61" spans="1:21" x14ac:dyDescent="0.25">
      <c r="A61" s="60" t="s">
        <v>29</v>
      </c>
      <c r="B61" s="61">
        <f>'[2]Commercial Final'!$D$79</f>
        <v>2</v>
      </c>
      <c r="C61" s="61">
        <v>67.569999999999993</v>
      </c>
      <c r="D61" s="61">
        <v>47.69</v>
      </c>
      <c r="E61" s="61">
        <f>(B61*C61+B61*D61*16.32)*12</f>
        <v>20300.8992</v>
      </c>
      <c r="F61" s="31">
        <v>613</v>
      </c>
      <c r="G61" s="31">
        <f>52*4</f>
        <v>208</v>
      </c>
      <c r="H61" s="14">
        <f t="shared" si="11"/>
        <v>127.504</v>
      </c>
      <c r="I61" s="62">
        <f t="shared" si="9"/>
        <v>233.22153525427575</v>
      </c>
      <c r="J61" s="62">
        <f t="shared" si="12"/>
        <v>48.510079332889354</v>
      </c>
      <c r="K61" s="14">
        <f t="shared" si="14"/>
        <v>0.7696310663391126</v>
      </c>
      <c r="M61" s="62">
        <f t="shared" si="15"/>
        <v>0.78541796748557258</v>
      </c>
      <c r="N61" s="61">
        <f t="shared" si="16"/>
        <v>68.36</v>
      </c>
      <c r="O61" s="61">
        <f t="shared" si="17"/>
        <v>48.48</v>
      </c>
      <c r="P61" s="14">
        <f>(B61*N61+B61*O61*16.32)*12</f>
        <v>20629.286399999997</v>
      </c>
      <c r="Q61" s="14">
        <f t="shared" si="13"/>
        <v>328.38719999999739</v>
      </c>
      <c r="R61" s="55"/>
      <c r="S61" s="52">
        <f t="shared" si="18"/>
        <v>1.169157910315238E-2</v>
      </c>
      <c r="U61" s="52"/>
    </row>
    <row r="62" spans="1:21" x14ac:dyDescent="0.25">
      <c r="A62" s="60" t="s">
        <v>28</v>
      </c>
      <c r="B62" s="61">
        <f>'[2]Commercial Final'!$D$80</f>
        <v>5</v>
      </c>
      <c r="C62" s="61">
        <v>67.569999999999993</v>
      </c>
      <c r="D62" s="61">
        <v>47.69</v>
      </c>
      <c r="E62" s="61">
        <f>(B62*C62+B62*D62*20.65)*12</f>
        <v>63142.11</v>
      </c>
      <c r="F62" s="31">
        <v>613</v>
      </c>
      <c r="G62" s="31">
        <f>52*5</f>
        <v>260</v>
      </c>
      <c r="H62" s="14">
        <f t="shared" si="11"/>
        <v>398.45</v>
      </c>
      <c r="I62" s="62">
        <f t="shared" si="9"/>
        <v>233.22153525427575</v>
      </c>
      <c r="J62" s="62">
        <f t="shared" si="12"/>
        <v>151.59399791527923</v>
      </c>
      <c r="K62" s="14">
        <f t="shared" si="14"/>
        <v>0.7696310663391126</v>
      </c>
      <c r="M62" s="62">
        <f t="shared" si="15"/>
        <v>0.78541796748557258</v>
      </c>
      <c r="N62" s="61">
        <f t="shared" si="16"/>
        <v>68.36</v>
      </c>
      <c r="O62" s="61">
        <f t="shared" si="17"/>
        <v>48.48</v>
      </c>
      <c r="P62" s="14">
        <f>(B62*N62+B62*O62*20.65)*12</f>
        <v>64168.319999999992</v>
      </c>
      <c r="Q62" s="14">
        <f t="shared" si="13"/>
        <v>1026.2099999999919</v>
      </c>
      <c r="R62" s="55"/>
      <c r="S62" s="52">
        <f t="shared" si="18"/>
        <v>1.169157910315238E-2</v>
      </c>
      <c r="U62" s="52"/>
    </row>
    <row r="63" spans="1:21" x14ac:dyDescent="0.25">
      <c r="A63" s="60" t="s">
        <v>27</v>
      </c>
      <c r="B63" s="61">
        <f>'[2]Commercial Final'!$D$81</f>
        <v>3</v>
      </c>
      <c r="C63" s="61">
        <v>67.569999999999993</v>
      </c>
      <c r="D63" s="61">
        <v>47.69</v>
      </c>
      <c r="E63" s="61">
        <f>(B63*C63+B63*D63*24.98)*12</f>
        <v>45319.183199999999</v>
      </c>
      <c r="F63" s="31">
        <v>613</v>
      </c>
      <c r="G63" s="31">
        <f>52*6</f>
        <v>312</v>
      </c>
      <c r="H63" s="14">
        <f t="shared" ref="H63:H94" si="50">+G63*F63*B63/2000</f>
        <v>286.88400000000001</v>
      </c>
      <c r="I63" s="62">
        <f t="shared" si="9"/>
        <v>233.22153525427575</v>
      </c>
      <c r="J63" s="62">
        <f t="shared" ref="J63:J94" si="51">+G63*I63*B63/2000</f>
        <v>109.14767849900105</v>
      </c>
      <c r="K63" s="14">
        <f t="shared" si="14"/>
        <v>0.7696310663391126</v>
      </c>
      <c r="M63" s="62">
        <f t="shared" si="15"/>
        <v>0.78541796748557258</v>
      </c>
      <c r="N63" s="61">
        <f t="shared" si="16"/>
        <v>68.36</v>
      </c>
      <c r="O63" s="61">
        <f t="shared" si="17"/>
        <v>48.48</v>
      </c>
      <c r="P63" s="14">
        <f>(B63*N63+B63*O63*24.98)*12</f>
        <v>46058.054399999994</v>
      </c>
      <c r="Q63" s="14">
        <f t="shared" si="13"/>
        <v>738.87119999999413</v>
      </c>
      <c r="R63" s="55"/>
      <c r="S63" s="52">
        <f t="shared" si="18"/>
        <v>1.169157910315238E-2</v>
      </c>
      <c r="U63" s="52"/>
    </row>
    <row r="64" spans="1:21" x14ac:dyDescent="0.25">
      <c r="A64" s="60" t="s">
        <v>26</v>
      </c>
      <c r="B64" s="61">
        <f>'[2]Commercial Final'!$D$83</f>
        <v>27</v>
      </c>
      <c r="C64" s="61">
        <v>91.8</v>
      </c>
      <c r="D64" s="61">
        <v>71.86</v>
      </c>
      <c r="E64" s="61">
        <f>(B64*C64+B64*D64*1.17)*12</f>
        <v>56983.888800000001</v>
      </c>
      <c r="F64" s="31">
        <v>840</v>
      </c>
      <c r="G64" s="31">
        <f>+G31</f>
        <v>26</v>
      </c>
      <c r="H64" s="14">
        <f t="shared" si="50"/>
        <v>294.83999999999997</v>
      </c>
      <c r="I64" s="62">
        <f t="shared" si="9"/>
        <v>319.58579056050837</v>
      </c>
      <c r="J64" s="62">
        <f t="shared" si="51"/>
        <v>112.17461248673844</v>
      </c>
      <c r="K64" s="14">
        <f t="shared" si="14"/>
        <v>1.0546331088496812</v>
      </c>
      <c r="M64" s="62">
        <f t="shared" si="15"/>
        <v>1.0762660565870816</v>
      </c>
      <c r="N64" s="61">
        <f t="shared" si="16"/>
        <v>92.88</v>
      </c>
      <c r="O64" s="61">
        <f t="shared" si="17"/>
        <v>72.94</v>
      </c>
      <c r="P64" s="14">
        <f>(B64*N64+B64*O64*1.17)*12</f>
        <v>57743.215199999991</v>
      </c>
      <c r="Q64" s="14">
        <f t="shared" si="13"/>
        <v>759.32639999999083</v>
      </c>
      <c r="R64" s="55"/>
      <c r="S64" s="52">
        <f t="shared" si="18"/>
        <v>1.1764705882352924E-2</v>
      </c>
      <c r="U64" s="52"/>
    </row>
    <row r="65" spans="1:21" x14ac:dyDescent="0.25">
      <c r="A65" s="60" t="s">
        <v>25</v>
      </c>
      <c r="B65" s="61">
        <f>'[2]Commercial Final'!$D$89+'[2]Commercial Final'!$D$90</f>
        <v>201</v>
      </c>
      <c r="C65" s="61">
        <v>91.8</v>
      </c>
      <c r="D65" s="61">
        <v>71.86</v>
      </c>
      <c r="E65" s="61">
        <f>(B65*C65+B65*D65*3.33)*12</f>
        <v>798598.24560000002</v>
      </c>
      <c r="F65" s="31">
        <v>840</v>
      </c>
      <c r="G65" s="31">
        <f>+G32</f>
        <v>52</v>
      </c>
      <c r="H65" s="14">
        <f t="shared" si="50"/>
        <v>4389.84</v>
      </c>
      <c r="I65" s="62">
        <f t="shared" si="9"/>
        <v>319.58579056050837</v>
      </c>
      <c r="J65" s="62">
        <f t="shared" si="51"/>
        <v>1670.1553414692169</v>
      </c>
      <c r="K65" s="14">
        <f t="shared" si="14"/>
        <v>1.0546331088496812</v>
      </c>
      <c r="M65" s="62">
        <f t="shared" si="15"/>
        <v>1.0762660565870816</v>
      </c>
      <c r="N65" s="61">
        <f t="shared" si="16"/>
        <v>92.88</v>
      </c>
      <c r="O65" s="61">
        <f t="shared" si="17"/>
        <v>72.94</v>
      </c>
      <c r="P65" s="14">
        <f>(B65*N65+B65*O65*3.33)*12</f>
        <v>809877.72239999985</v>
      </c>
      <c r="Q65" s="14">
        <f t="shared" si="13"/>
        <v>11279.476799999829</v>
      </c>
      <c r="R65" s="55"/>
      <c r="S65" s="52">
        <f t="shared" si="18"/>
        <v>1.1764705882352924E-2</v>
      </c>
      <c r="U65" s="52"/>
    </row>
    <row r="66" spans="1:21" x14ac:dyDescent="0.25">
      <c r="A66" s="60" t="s">
        <v>24</v>
      </c>
      <c r="B66" s="61">
        <f>'[2]Commercial Final'!$D$91+'[2]Commercial Final'!$D$92</f>
        <v>94</v>
      </c>
      <c r="C66" s="61">
        <v>91.8</v>
      </c>
      <c r="D66" s="61">
        <v>71.86</v>
      </c>
      <c r="E66" s="61">
        <f>(B66*C66+B66*D66*7.66)*12</f>
        <v>724455.29280000005</v>
      </c>
      <c r="F66" s="31">
        <v>840</v>
      </c>
      <c r="G66" s="31">
        <f>+G33</f>
        <v>104</v>
      </c>
      <c r="H66" s="14">
        <f t="shared" si="50"/>
        <v>4105.92</v>
      </c>
      <c r="I66" s="62">
        <f t="shared" si="9"/>
        <v>319.58579056050837</v>
      </c>
      <c r="J66" s="62">
        <f t="shared" si="51"/>
        <v>1562.1353442597649</v>
      </c>
      <c r="K66" s="14">
        <f t="shared" si="14"/>
        <v>1.0546331088496812</v>
      </c>
      <c r="M66" s="62">
        <f t="shared" si="15"/>
        <v>1.0762660565870816</v>
      </c>
      <c r="N66" s="61">
        <f t="shared" si="16"/>
        <v>92.88</v>
      </c>
      <c r="O66" s="61">
        <f t="shared" si="17"/>
        <v>72.94</v>
      </c>
      <c r="P66" s="14">
        <f>(B66*N66+B66*O66*7.66)*12</f>
        <v>735005.25119999994</v>
      </c>
      <c r="Q66" s="14">
        <f t="shared" si="13"/>
        <v>10549.958399999887</v>
      </c>
      <c r="R66" s="55"/>
      <c r="S66" s="52">
        <f t="shared" si="18"/>
        <v>1.1764705882352924E-2</v>
      </c>
      <c r="U66" s="52"/>
    </row>
    <row r="67" spans="1:21" x14ac:dyDescent="0.25">
      <c r="A67" s="60" t="s">
        <v>23</v>
      </c>
      <c r="B67" s="61">
        <f>'[2]Commercial Final'!$D$93</f>
        <v>25</v>
      </c>
      <c r="C67" s="61">
        <v>91.8</v>
      </c>
      <c r="D67" s="61">
        <v>71.86</v>
      </c>
      <c r="E67" s="61">
        <f>(B67*C67+B67*D67*11.99)*12</f>
        <v>286020.42</v>
      </c>
      <c r="F67" s="31">
        <v>840</v>
      </c>
      <c r="G67" s="31">
        <f>+G34</f>
        <v>156</v>
      </c>
      <c r="H67" s="14">
        <f t="shared" si="50"/>
        <v>1638</v>
      </c>
      <c r="I67" s="62">
        <f t="shared" si="9"/>
        <v>319.58579056050837</v>
      </c>
      <c r="J67" s="62">
        <f t="shared" si="51"/>
        <v>623.1922915929913</v>
      </c>
      <c r="K67" s="14">
        <f t="shared" si="14"/>
        <v>1.0546331088496812</v>
      </c>
      <c r="M67" s="62">
        <f t="shared" si="15"/>
        <v>1.0762660565870816</v>
      </c>
      <c r="N67" s="61">
        <f t="shared" si="16"/>
        <v>92.88</v>
      </c>
      <c r="O67" s="61">
        <f t="shared" si="17"/>
        <v>72.94</v>
      </c>
      <c r="P67" s="14">
        <f>(B67*N67+B67*O67*11.99)*12</f>
        <v>290229.18</v>
      </c>
      <c r="Q67" s="14">
        <f t="shared" si="13"/>
        <v>4208.7600000000093</v>
      </c>
      <c r="R67" s="55"/>
      <c r="S67" s="52">
        <f t="shared" si="18"/>
        <v>1.1764705882352924E-2</v>
      </c>
      <c r="U67" s="52"/>
    </row>
    <row r="68" spans="1:21" x14ac:dyDescent="0.25">
      <c r="A68" s="60" t="s">
        <v>22</v>
      </c>
      <c r="B68" s="61">
        <f>'[2]Commercial Final'!$D$94</f>
        <v>2</v>
      </c>
      <c r="C68" s="61">
        <v>91.8</v>
      </c>
      <c r="D68" s="61">
        <v>71.86</v>
      </c>
      <c r="E68" s="61">
        <f>(B68*C68+B68*D68*16.32)*12</f>
        <v>30349.324800000002</v>
      </c>
      <c r="F68" s="31">
        <v>840</v>
      </c>
      <c r="G68" s="31">
        <f>52*4</f>
        <v>208</v>
      </c>
      <c r="H68" s="14">
        <f t="shared" si="50"/>
        <v>174.72</v>
      </c>
      <c r="I68" s="62">
        <f t="shared" si="9"/>
        <v>319.58579056050837</v>
      </c>
      <c r="J68" s="62">
        <f t="shared" si="51"/>
        <v>66.473844436585736</v>
      </c>
      <c r="K68" s="14">
        <f t="shared" si="14"/>
        <v>1.0546331088496812</v>
      </c>
      <c r="M68" s="62">
        <f t="shared" si="15"/>
        <v>1.0762660565870816</v>
      </c>
      <c r="N68" s="61">
        <f t="shared" si="16"/>
        <v>92.88</v>
      </c>
      <c r="O68" s="61">
        <f t="shared" si="17"/>
        <v>72.94</v>
      </c>
      <c r="P68" s="14">
        <f>(B68*N68+B68*O68*16.32)*12</f>
        <v>30798.2592</v>
      </c>
      <c r="Q68" s="14">
        <f t="shared" si="13"/>
        <v>448.93439999999828</v>
      </c>
      <c r="R68" s="55"/>
      <c r="S68" s="52">
        <f t="shared" si="18"/>
        <v>1.1764705882352924E-2</v>
      </c>
      <c r="U68" s="52"/>
    </row>
    <row r="69" spans="1:21" x14ac:dyDescent="0.25">
      <c r="A69" s="60" t="s">
        <v>21</v>
      </c>
      <c r="B69" s="61">
        <f>'[2]Commercial Final'!$D$95+'[2]Commercial Final'!$D$96</f>
        <v>4</v>
      </c>
      <c r="C69" s="61">
        <v>91.8</v>
      </c>
      <c r="D69" s="61">
        <v>71.86</v>
      </c>
      <c r="E69" s="61">
        <f>(B69*C69+B69*D69*20.65)*12</f>
        <v>75634.031999999992</v>
      </c>
      <c r="F69" s="31">
        <v>840</v>
      </c>
      <c r="G69" s="31">
        <f>52*5</f>
        <v>260</v>
      </c>
      <c r="H69" s="14">
        <f t="shared" si="50"/>
        <v>436.8</v>
      </c>
      <c r="I69" s="62">
        <f t="shared" si="9"/>
        <v>319.58579056050837</v>
      </c>
      <c r="J69" s="62">
        <f t="shared" si="51"/>
        <v>166.18461109146435</v>
      </c>
      <c r="K69" s="14">
        <f t="shared" si="14"/>
        <v>1.0546331088496812</v>
      </c>
      <c r="M69" s="62">
        <f t="shared" si="15"/>
        <v>1.0762660565870816</v>
      </c>
      <c r="N69" s="61">
        <f t="shared" si="16"/>
        <v>92.88</v>
      </c>
      <c r="O69" s="61">
        <f t="shared" si="17"/>
        <v>72.94</v>
      </c>
      <c r="P69" s="14">
        <f>(B69*N69+B69*O69*20.65)*12</f>
        <v>76756.367999999988</v>
      </c>
      <c r="Q69" s="14">
        <f t="shared" si="13"/>
        <v>1122.3359999999957</v>
      </c>
      <c r="R69" s="55"/>
      <c r="S69" s="52">
        <f t="shared" si="18"/>
        <v>1.1764705882352924E-2</v>
      </c>
      <c r="U69" s="52"/>
    </row>
    <row r="70" spans="1:21" x14ac:dyDescent="0.25">
      <c r="A70" s="60" t="s">
        <v>20</v>
      </c>
      <c r="B70" s="71">
        <f>'[2]Commercial Final'!$D$97+'[2]Commercial Final'!$D$99+'[2]Commercial Final'!$D$100</f>
        <v>596</v>
      </c>
      <c r="C70" s="61">
        <v>4.0599999999999996</v>
      </c>
      <c r="D70" s="61">
        <v>4.0599999999999996</v>
      </c>
      <c r="E70" s="61">
        <f>(B70*C70+B70*D70*3.33)*12</f>
        <v>125730.72959999999</v>
      </c>
      <c r="F70" s="30">
        <f>+F15</f>
        <v>47</v>
      </c>
      <c r="G70" s="29">
        <v>52</v>
      </c>
      <c r="H70" s="14">
        <f t="shared" si="50"/>
        <v>728.31200000000001</v>
      </c>
      <c r="I70" s="62">
        <f t="shared" si="9"/>
        <v>17.881585900409398</v>
      </c>
      <c r="J70" s="62">
        <f t="shared" si="51"/>
        <v>277.09305511274403</v>
      </c>
      <c r="K70" s="14">
        <f t="shared" si="14"/>
        <v>5.9009233471351216E-2</v>
      </c>
      <c r="M70" s="62">
        <f t="shared" si="15"/>
        <v>6.0219648404277189E-2</v>
      </c>
      <c r="N70" s="61">
        <f t="shared" si="16"/>
        <v>4.12</v>
      </c>
      <c r="O70" s="61">
        <f t="shared" si="17"/>
        <v>4.12</v>
      </c>
      <c r="P70" s="14">
        <f>(B70*N70+B70*O70*3.33)*12</f>
        <v>127588.8192</v>
      </c>
      <c r="Q70" s="14">
        <f t="shared" si="13"/>
        <v>1858.0896000000066</v>
      </c>
      <c r="R70" s="55"/>
      <c r="S70" s="52">
        <f t="shared" si="18"/>
        <v>1.4778325123152834E-2</v>
      </c>
      <c r="U70" s="52"/>
    </row>
    <row r="71" spans="1:21" x14ac:dyDescent="0.25">
      <c r="A71" s="60" t="s">
        <v>19</v>
      </c>
      <c r="B71" s="61">
        <f>'[2]Commercial Final'!$D$101</f>
        <v>6</v>
      </c>
      <c r="C71" s="61">
        <v>4.0599999999999996</v>
      </c>
      <c r="D71" s="61">
        <v>4.0599999999999996</v>
      </c>
      <c r="E71" s="61">
        <f>(B71*C71+B71*D71*7.66)*12</f>
        <v>2531.4912000000004</v>
      </c>
      <c r="F71" s="30">
        <v>47</v>
      </c>
      <c r="G71" s="29">
        <v>104</v>
      </c>
      <c r="H71" s="14">
        <f t="shared" si="50"/>
        <v>14.664</v>
      </c>
      <c r="I71" s="62">
        <f t="shared" si="9"/>
        <v>17.881585900409398</v>
      </c>
      <c r="J71" s="62">
        <f t="shared" si="51"/>
        <v>5.5790548009277314</v>
      </c>
      <c r="K71" s="14">
        <f t="shared" si="14"/>
        <v>5.9009233471351216E-2</v>
      </c>
      <c r="M71" s="62">
        <f t="shared" si="15"/>
        <v>6.0219648404277189E-2</v>
      </c>
      <c r="N71" s="61">
        <f t="shared" si="16"/>
        <v>4.12</v>
      </c>
      <c r="O71" s="61">
        <f t="shared" si="17"/>
        <v>4.12</v>
      </c>
      <c r="P71" s="14">
        <f>(B71*N71+B71*O71*7.66)*12</f>
        <v>2568.9023999999999</v>
      </c>
      <c r="Q71" s="14">
        <f t="shared" si="13"/>
        <v>37.411199999999553</v>
      </c>
      <c r="R71" s="55"/>
      <c r="S71" s="52">
        <f t="shared" si="18"/>
        <v>1.4778325123152834E-2</v>
      </c>
      <c r="U71" s="52"/>
    </row>
    <row r="72" spans="1:21" x14ac:dyDescent="0.25">
      <c r="A72" s="60" t="s">
        <v>133</v>
      </c>
      <c r="B72" s="60">
        <v>0</v>
      </c>
      <c r="C72" s="61">
        <v>4.0599999999999996</v>
      </c>
      <c r="D72" s="61">
        <v>4.0599999999999996</v>
      </c>
      <c r="E72" s="61">
        <f>(B72*C72+B72*D72*16.32)*12</f>
        <v>0</v>
      </c>
      <c r="F72" s="30">
        <v>47</v>
      </c>
      <c r="G72" s="29">
        <v>208</v>
      </c>
      <c r="H72" s="14">
        <f t="shared" si="50"/>
        <v>0</v>
      </c>
      <c r="I72" s="62">
        <f t="shared" si="9"/>
        <v>17.881585900409398</v>
      </c>
      <c r="J72" s="62">
        <f t="shared" si="51"/>
        <v>0</v>
      </c>
      <c r="K72" s="14">
        <f t="shared" si="14"/>
        <v>5.9009233471351216E-2</v>
      </c>
      <c r="M72" s="62">
        <f t="shared" si="15"/>
        <v>6.0219648404277189E-2</v>
      </c>
      <c r="N72" s="61">
        <f t="shared" si="16"/>
        <v>4.12</v>
      </c>
      <c r="O72" s="61">
        <f t="shared" si="17"/>
        <v>4.12</v>
      </c>
      <c r="P72" s="14">
        <f>(B72*N72+B72*O72*16.32)*12</f>
        <v>0</v>
      </c>
      <c r="Q72" s="14">
        <f t="shared" si="13"/>
        <v>0</v>
      </c>
      <c r="R72" s="55"/>
      <c r="S72" s="52">
        <f t="shared" si="18"/>
        <v>1.4778325123152834E-2</v>
      </c>
      <c r="U72" s="52"/>
    </row>
    <row r="73" spans="1:21" x14ac:dyDescent="0.25">
      <c r="A73" s="60" t="s">
        <v>18</v>
      </c>
      <c r="B73" s="61">
        <f>'[2]Commercial Final'!$D$103</f>
        <v>15</v>
      </c>
      <c r="C73" s="61">
        <v>4.0599999999999996</v>
      </c>
      <c r="D73" s="61">
        <v>4.0599999999999996</v>
      </c>
      <c r="E73" s="61">
        <f>(B73*C73+B73*D73*24.98)*12</f>
        <v>18986.184000000001</v>
      </c>
      <c r="F73" s="30">
        <v>47</v>
      </c>
      <c r="G73" s="29">
        <f>52*6</f>
        <v>312</v>
      </c>
      <c r="H73" s="14">
        <f t="shared" si="50"/>
        <v>109.98</v>
      </c>
      <c r="I73" s="62">
        <f t="shared" si="9"/>
        <v>17.881585900409398</v>
      </c>
      <c r="J73" s="62">
        <f t="shared" si="51"/>
        <v>41.842911006957991</v>
      </c>
      <c r="K73" s="14">
        <f t="shared" si="14"/>
        <v>5.9009233471351216E-2</v>
      </c>
      <c r="M73" s="62">
        <f t="shared" si="15"/>
        <v>6.0219648404277189E-2</v>
      </c>
      <c r="N73" s="61">
        <f t="shared" si="16"/>
        <v>4.12</v>
      </c>
      <c r="O73" s="61">
        <f t="shared" si="17"/>
        <v>4.12</v>
      </c>
      <c r="P73" s="14">
        <f>(B73*N73+B73*O73*24.98)*12</f>
        <v>19266.768</v>
      </c>
      <c r="Q73" s="14">
        <f t="shared" si="13"/>
        <v>280.58399999999892</v>
      </c>
      <c r="R73" s="55"/>
      <c r="S73" s="52">
        <f t="shared" si="18"/>
        <v>1.4778325123152834E-2</v>
      </c>
      <c r="U73" s="52"/>
    </row>
    <row r="74" spans="1:21" x14ac:dyDescent="0.25">
      <c r="A74" s="60" t="s">
        <v>17</v>
      </c>
      <c r="B74" s="61">
        <f>'[2]Commercial Final'!$D$104+'[2]Commercial Final'!$D$105</f>
        <v>25</v>
      </c>
      <c r="C74" s="61">
        <v>113.91</v>
      </c>
      <c r="D74" s="61">
        <v>95.83</v>
      </c>
      <c r="E74" s="61">
        <f>(B74*C74+B74*D74*3.33)*12</f>
        <v>129907.17</v>
      </c>
      <c r="F74" s="31">
        <v>980</v>
      </c>
      <c r="G74" s="31">
        <f>+G32</f>
        <v>52</v>
      </c>
      <c r="H74" s="14">
        <f t="shared" si="50"/>
        <v>637</v>
      </c>
      <c r="I74" s="62">
        <f t="shared" si="9"/>
        <v>372.85008898725977</v>
      </c>
      <c r="J74" s="62">
        <f t="shared" si="51"/>
        <v>242.35255784171886</v>
      </c>
      <c r="K74" s="14">
        <f t="shared" si="14"/>
        <v>1.2304052936579615</v>
      </c>
      <c r="M74" s="62">
        <f t="shared" si="15"/>
        <v>1.2556437326849286</v>
      </c>
      <c r="N74" s="61">
        <f t="shared" si="16"/>
        <v>115.17</v>
      </c>
      <c r="O74" s="61">
        <f t="shared" si="17"/>
        <v>97.09</v>
      </c>
      <c r="P74" s="14">
        <f>(B74*N74+B74*O74*3.33)*12</f>
        <v>131543.91</v>
      </c>
      <c r="Q74" s="14">
        <f t="shared" si="13"/>
        <v>1636.7400000000052</v>
      </c>
      <c r="R74" s="55"/>
      <c r="S74" s="52">
        <f t="shared" si="18"/>
        <v>1.1061364234922353E-2</v>
      </c>
      <c r="U74" s="52"/>
    </row>
    <row r="75" spans="1:21" x14ac:dyDescent="0.25">
      <c r="A75" s="60" t="s">
        <v>16</v>
      </c>
      <c r="B75" s="61">
        <f>'[2]Commercial Final'!$D$106</f>
        <v>6</v>
      </c>
      <c r="C75" s="61">
        <v>113.91</v>
      </c>
      <c r="D75" s="61">
        <v>95.83</v>
      </c>
      <c r="E75" s="61">
        <f>(B75*C75+B75*D75*7.66)*12</f>
        <v>61053.681600000004</v>
      </c>
      <c r="F75" s="31">
        <v>980</v>
      </c>
      <c r="G75" s="31">
        <f>+G33</f>
        <v>104</v>
      </c>
      <c r="H75" s="14">
        <f t="shared" si="50"/>
        <v>305.76</v>
      </c>
      <c r="I75" s="62">
        <f t="shared" si="9"/>
        <v>372.85008898725977</v>
      </c>
      <c r="J75" s="62">
        <f t="shared" si="51"/>
        <v>116.32922776402505</v>
      </c>
      <c r="K75" s="14">
        <f t="shared" si="14"/>
        <v>1.2304052936579615</v>
      </c>
      <c r="M75" s="62">
        <f t="shared" si="15"/>
        <v>1.2556437326849286</v>
      </c>
      <c r="N75" s="61">
        <f t="shared" si="16"/>
        <v>115.17</v>
      </c>
      <c r="O75" s="61">
        <f t="shared" si="17"/>
        <v>97.09</v>
      </c>
      <c r="P75" s="14">
        <f>(B75*N75+B75*O75*7.66)*12</f>
        <v>61839.316800000008</v>
      </c>
      <c r="Q75" s="14">
        <f t="shared" si="13"/>
        <v>785.63520000000426</v>
      </c>
      <c r="R75" s="55"/>
      <c r="S75" s="52">
        <f t="shared" si="18"/>
        <v>1.1061364234922353E-2</v>
      </c>
      <c r="U75" s="52"/>
    </row>
    <row r="76" spans="1:21" x14ac:dyDescent="0.25">
      <c r="A76" s="60" t="s">
        <v>15</v>
      </c>
      <c r="B76" s="61">
        <f>'[2]Commercial Final'!$D$107</f>
        <v>9</v>
      </c>
      <c r="C76" s="61">
        <v>113.91</v>
      </c>
      <c r="D76" s="61">
        <v>95.83</v>
      </c>
      <c r="E76" s="61">
        <f>(B76*C76+B76*D76*11.99)*12</f>
        <v>136394.46360000002</v>
      </c>
      <c r="F76" s="31">
        <v>980</v>
      </c>
      <c r="G76" s="31">
        <f>52*3</f>
        <v>156</v>
      </c>
      <c r="H76" s="14">
        <f t="shared" si="50"/>
        <v>687.96</v>
      </c>
      <c r="I76" s="62">
        <f t="shared" si="9"/>
        <v>372.85008898725977</v>
      </c>
      <c r="J76" s="62">
        <f t="shared" si="51"/>
        <v>261.74076246905639</v>
      </c>
      <c r="K76" s="14">
        <f t="shared" si="14"/>
        <v>1.2304052936579615</v>
      </c>
      <c r="M76" s="62">
        <f t="shared" si="15"/>
        <v>1.2556437326849286</v>
      </c>
      <c r="N76" s="61">
        <f t="shared" si="16"/>
        <v>115.17</v>
      </c>
      <c r="O76" s="61">
        <f t="shared" si="17"/>
        <v>97.09</v>
      </c>
      <c r="P76" s="14">
        <f>(B76*N76+B76*O76*11.99)*12</f>
        <v>138162.14280000003</v>
      </c>
      <c r="Q76" s="14">
        <f t="shared" si="13"/>
        <v>1767.6792000000132</v>
      </c>
      <c r="R76" s="55"/>
      <c r="S76" s="52">
        <f t="shared" si="18"/>
        <v>1.1061364234922353E-2</v>
      </c>
      <c r="U76" s="52"/>
    </row>
    <row r="77" spans="1:21" x14ac:dyDescent="0.25">
      <c r="A77" s="60" t="s">
        <v>14</v>
      </c>
      <c r="B77" s="61">
        <f>'[2]Commercial Final'!$D$108</f>
        <v>4</v>
      </c>
      <c r="C77" s="61">
        <v>113.91</v>
      </c>
      <c r="D77" s="61">
        <v>95.83</v>
      </c>
      <c r="E77" s="61">
        <f>(B77*C77+B77*D77*16.32)*12</f>
        <v>80537.068800000008</v>
      </c>
      <c r="F77" s="31">
        <v>980</v>
      </c>
      <c r="G77" s="31">
        <f>52*4</f>
        <v>208</v>
      </c>
      <c r="H77" s="14">
        <f t="shared" si="50"/>
        <v>407.68</v>
      </c>
      <c r="I77" s="62">
        <f t="shared" si="9"/>
        <v>372.85008898725977</v>
      </c>
      <c r="J77" s="62">
        <f t="shared" si="51"/>
        <v>155.10563701870007</v>
      </c>
      <c r="K77" s="14">
        <f t="shared" si="14"/>
        <v>1.2304052936579615</v>
      </c>
      <c r="M77" s="62">
        <f t="shared" si="15"/>
        <v>1.2556437326849286</v>
      </c>
      <c r="N77" s="61">
        <f t="shared" si="16"/>
        <v>115.17</v>
      </c>
      <c r="O77" s="61">
        <f t="shared" si="17"/>
        <v>97.09</v>
      </c>
      <c r="P77" s="14">
        <f>(B77*N77+B77*O77*16.32)*12</f>
        <v>81584.582400000014</v>
      </c>
      <c r="Q77" s="14">
        <f t="shared" si="13"/>
        <v>1047.5136000000057</v>
      </c>
      <c r="R77" s="55"/>
      <c r="S77" s="52">
        <f t="shared" si="18"/>
        <v>1.1061364234922353E-2</v>
      </c>
      <c r="U77" s="52"/>
    </row>
    <row r="78" spans="1:21" x14ac:dyDescent="0.25">
      <c r="A78" s="60" t="s">
        <v>13</v>
      </c>
      <c r="B78" s="61">
        <f>'[2]Commercial Final'!$D$109</f>
        <v>1</v>
      </c>
      <c r="C78" s="61">
        <v>113.91</v>
      </c>
      <c r="D78" s="61">
        <v>95.83</v>
      </c>
      <c r="E78" s="61">
        <f>(B78*C78+B78*D78*20.65)*12</f>
        <v>25113.593999999997</v>
      </c>
      <c r="F78" s="31">
        <v>980</v>
      </c>
      <c r="G78" s="31">
        <f>52*5</f>
        <v>260</v>
      </c>
      <c r="H78" s="14">
        <f t="shared" si="50"/>
        <v>127.4</v>
      </c>
      <c r="I78" s="62">
        <f t="shared" si="9"/>
        <v>372.85008898725977</v>
      </c>
      <c r="J78" s="62">
        <f t="shared" si="51"/>
        <v>48.470511568343767</v>
      </c>
      <c r="K78" s="14">
        <f t="shared" si="14"/>
        <v>1.2304052936579615</v>
      </c>
      <c r="M78" s="62">
        <f t="shared" si="15"/>
        <v>1.2556437326849286</v>
      </c>
      <c r="N78" s="61">
        <f t="shared" si="16"/>
        <v>115.17</v>
      </c>
      <c r="O78" s="61">
        <f t="shared" si="17"/>
        <v>97.09</v>
      </c>
      <c r="P78" s="14">
        <f>(B78*N78+B78*O78*20.65)*12</f>
        <v>25440.942000000003</v>
      </c>
      <c r="Q78" s="14">
        <f t="shared" si="13"/>
        <v>327.34800000000541</v>
      </c>
      <c r="R78" s="55"/>
      <c r="S78" s="52">
        <f t="shared" si="18"/>
        <v>1.1061364234922353E-2</v>
      </c>
      <c r="U78" s="52"/>
    </row>
    <row r="79" spans="1:21" x14ac:dyDescent="0.25">
      <c r="A79" s="60" t="s">
        <v>12</v>
      </c>
      <c r="B79" s="61">
        <f>'[2]Commercial Final'!$D$110</f>
        <v>2</v>
      </c>
      <c r="C79" s="61">
        <v>113.91</v>
      </c>
      <c r="D79" s="61">
        <v>95.83</v>
      </c>
      <c r="E79" s="61">
        <f>(B79*C79+B79*D79*1.17)*12</f>
        <v>5424.7464</v>
      </c>
      <c r="F79" s="30">
        <v>980</v>
      </c>
      <c r="G79" s="29">
        <v>26</v>
      </c>
      <c r="H79" s="14">
        <f t="shared" si="50"/>
        <v>25.48</v>
      </c>
      <c r="I79" s="62">
        <f t="shared" si="9"/>
        <v>372.85008898725977</v>
      </c>
      <c r="J79" s="62">
        <f t="shared" si="51"/>
        <v>9.6941023136687541</v>
      </c>
      <c r="K79" s="14">
        <f t="shared" si="14"/>
        <v>1.2304052936579615</v>
      </c>
      <c r="M79" s="62">
        <f t="shared" si="15"/>
        <v>1.2556437326849286</v>
      </c>
      <c r="N79" s="61">
        <f t="shared" si="16"/>
        <v>115.17</v>
      </c>
      <c r="O79" s="61">
        <f t="shared" si="17"/>
        <v>97.09</v>
      </c>
      <c r="P79" s="14">
        <f>(B79*N79+B79*O79*1.17)*12</f>
        <v>5490.3671999999997</v>
      </c>
      <c r="Q79" s="14">
        <f t="shared" si="13"/>
        <v>65.62079999999969</v>
      </c>
      <c r="R79" s="55"/>
      <c r="S79" s="52">
        <f t="shared" si="18"/>
        <v>1.1061364234922353E-2</v>
      </c>
      <c r="U79" s="52"/>
    </row>
    <row r="80" spans="1:21" x14ac:dyDescent="0.25">
      <c r="A80" s="60" t="s">
        <v>11</v>
      </c>
      <c r="B80" s="61">
        <f>'[2]Commercial Final'!$D$113+'[2]Commercial Final'!$D$115+'[2]Commercial Final'!$D$116</f>
        <v>607</v>
      </c>
      <c r="C80" s="61">
        <v>6.35</v>
      </c>
      <c r="D80" s="61">
        <v>6.35</v>
      </c>
      <c r="E80" s="61">
        <f>(B80*C80+B80*D80*3.33)*12</f>
        <v>200277.22199999998</v>
      </c>
      <c r="F80" s="30">
        <f>+F17</f>
        <v>68</v>
      </c>
      <c r="G80" s="29">
        <v>52</v>
      </c>
      <c r="H80" s="14">
        <f t="shared" si="50"/>
        <v>1073.1759999999999</v>
      </c>
      <c r="I80" s="62">
        <f t="shared" si="9"/>
        <v>25.871230664422107</v>
      </c>
      <c r="J80" s="62">
        <f t="shared" si="51"/>
        <v>408.29976234590964</v>
      </c>
      <c r="K80" s="14">
        <f t="shared" si="14"/>
        <v>8.5375061192593249E-2</v>
      </c>
      <c r="M80" s="62">
        <f t="shared" si="15"/>
        <v>8.7126299818954228E-2</v>
      </c>
      <c r="N80" s="61">
        <f t="shared" si="16"/>
        <v>6.44</v>
      </c>
      <c r="O80" s="61">
        <f t="shared" si="17"/>
        <v>6.44</v>
      </c>
      <c r="P80" s="14">
        <f>(B80*N80+B80*O80*3.33)*12</f>
        <v>203115.79680000004</v>
      </c>
      <c r="Q80" s="14">
        <f t="shared" si="13"/>
        <v>2838.5748000000603</v>
      </c>
      <c r="R80" s="55"/>
      <c r="S80" s="52">
        <f t="shared" si="18"/>
        <v>1.4173228346456811E-2</v>
      </c>
      <c r="U80" s="52"/>
    </row>
    <row r="81" spans="1:21" x14ac:dyDescent="0.25">
      <c r="A81" s="60" t="s">
        <v>10</v>
      </c>
      <c r="B81" s="61">
        <f>'[2]Commercial Final'!$D$117</f>
        <v>13</v>
      </c>
      <c r="C81" s="61">
        <v>6.35</v>
      </c>
      <c r="D81" s="61">
        <v>6.35</v>
      </c>
      <c r="E81" s="61">
        <f>(B81*C81+B81*D81*7.66)*12</f>
        <v>8578.5959999999995</v>
      </c>
      <c r="F81" s="30">
        <v>68</v>
      </c>
      <c r="G81" s="29">
        <v>104</v>
      </c>
      <c r="H81" s="14">
        <f t="shared" si="50"/>
        <v>45.968000000000004</v>
      </c>
      <c r="I81" s="62">
        <f t="shared" si="9"/>
        <v>25.871230664422107</v>
      </c>
      <c r="J81" s="62">
        <f t="shared" si="51"/>
        <v>17.488951929149341</v>
      </c>
      <c r="K81" s="14">
        <f t="shared" si="14"/>
        <v>8.5375061192593249E-2</v>
      </c>
      <c r="M81" s="62">
        <f t="shared" si="15"/>
        <v>8.7126299818954228E-2</v>
      </c>
      <c r="N81" s="61">
        <f t="shared" si="16"/>
        <v>6.44</v>
      </c>
      <c r="O81" s="61">
        <f t="shared" si="17"/>
        <v>6.44</v>
      </c>
      <c r="P81" s="14">
        <f>(B81*N81+B81*O81*7.66)*12</f>
        <v>8700.1824000000015</v>
      </c>
      <c r="Q81" s="14">
        <f t="shared" si="13"/>
        <v>121.58640000000196</v>
      </c>
      <c r="R81" s="55"/>
      <c r="S81" s="52">
        <f t="shared" si="18"/>
        <v>1.4173228346456811E-2</v>
      </c>
      <c r="U81" s="52"/>
    </row>
    <row r="82" spans="1:21" x14ac:dyDescent="0.25">
      <c r="A82" s="60" t="s">
        <v>9</v>
      </c>
      <c r="B82" s="61">
        <f>'[2]Commercial Final'!$D$118</f>
        <v>11</v>
      </c>
      <c r="C82" s="61">
        <v>6.35</v>
      </c>
      <c r="D82" s="61">
        <v>6.35</v>
      </c>
      <c r="E82" s="61">
        <f>(B82*C82+B82*D82*11.99)*12</f>
        <v>10888.218000000001</v>
      </c>
      <c r="F82" s="30">
        <v>68</v>
      </c>
      <c r="G82" s="29">
        <f>52*3</f>
        <v>156</v>
      </c>
      <c r="H82" s="14">
        <f t="shared" si="50"/>
        <v>58.344000000000001</v>
      </c>
      <c r="I82" s="62">
        <f t="shared" si="9"/>
        <v>25.871230664422107</v>
      </c>
      <c r="J82" s="62">
        <f t="shared" si="51"/>
        <v>22.19751591007417</v>
      </c>
      <c r="K82" s="14">
        <f t="shared" si="14"/>
        <v>8.5375061192593249E-2</v>
      </c>
      <c r="M82" s="62">
        <f t="shared" si="15"/>
        <v>8.7126299818954228E-2</v>
      </c>
      <c r="N82" s="61">
        <f t="shared" si="16"/>
        <v>6.44</v>
      </c>
      <c r="O82" s="61">
        <f t="shared" si="17"/>
        <v>6.44</v>
      </c>
      <c r="P82" s="14">
        <f>(B82*N82+B82*O82*11.99)*12</f>
        <v>11042.539200000001</v>
      </c>
      <c r="Q82" s="14">
        <f t="shared" si="13"/>
        <v>154.32120000000032</v>
      </c>
      <c r="R82" s="55"/>
      <c r="S82" s="52">
        <f t="shared" si="18"/>
        <v>1.4173228346456811E-2</v>
      </c>
      <c r="U82" s="52"/>
    </row>
    <row r="83" spans="1:21" x14ac:dyDescent="0.25">
      <c r="A83" s="60" t="s">
        <v>8</v>
      </c>
      <c r="B83" s="61">
        <f>'[2]Commercial Final'!$D$119</f>
        <v>4</v>
      </c>
      <c r="C83" s="61">
        <v>6.35</v>
      </c>
      <c r="D83" s="61">
        <v>6.35</v>
      </c>
      <c r="E83" s="61">
        <f>(B83*C83+B83*D83*24.98)*12</f>
        <v>7918.7039999999997</v>
      </c>
      <c r="F83" s="31">
        <v>68</v>
      </c>
      <c r="G83" s="29">
        <f>52*6</f>
        <v>312</v>
      </c>
      <c r="H83" s="14">
        <f t="shared" si="50"/>
        <v>42.432000000000002</v>
      </c>
      <c r="I83" s="62">
        <f t="shared" si="9"/>
        <v>25.871230664422107</v>
      </c>
      <c r="J83" s="62">
        <f t="shared" si="51"/>
        <v>16.143647934599397</v>
      </c>
      <c r="K83" s="14">
        <f t="shared" si="14"/>
        <v>8.5375061192593249E-2</v>
      </c>
      <c r="M83" s="62">
        <f t="shared" si="15"/>
        <v>8.7126299818954228E-2</v>
      </c>
      <c r="N83" s="61">
        <f t="shared" si="16"/>
        <v>6.44</v>
      </c>
      <c r="O83" s="61">
        <f t="shared" si="17"/>
        <v>6.44</v>
      </c>
      <c r="P83" s="14">
        <f>(B83*N83+B83*O83*24.98)*12</f>
        <v>8030.9376000000011</v>
      </c>
      <c r="Q83" s="14">
        <f t="shared" si="13"/>
        <v>112.23360000000139</v>
      </c>
      <c r="R83" s="55"/>
      <c r="S83" s="52">
        <f t="shared" si="18"/>
        <v>1.4173228346456811E-2</v>
      </c>
      <c r="U83" s="52"/>
    </row>
    <row r="84" spans="1:21" ht="15.75" thickBot="1" x14ac:dyDescent="0.3">
      <c r="A84" s="60" t="s">
        <v>7</v>
      </c>
      <c r="B84" s="71">
        <f>'[2]Commercial Final'!$D$122+'[2]Commercial Final'!$D$123</f>
        <v>4</v>
      </c>
      <c r="C84" s="61">
        <v>2.66</v>
      </c>
      <c r="D84" s="61">
        <v>2.66</v>
      </c>
      <c r="E84" s="61">
        <f>(B84*C84+B84*D84*3.33)*12</f>
        <v>552.85440000000006</v>
      </c>
      <c r="F84" s="31">
        <f>+F11</f>
        <v>34</v>
      </c>
      <c r="G84" s="29">
        <v>52</v>
      </c>
      <c r="H84" s="14">
        <f t="shared" si="50"/>
        <v>3.536</v>
      </c>
      <c r="I84" s="62">
        <f t="shared" si="9"/>
        <v>12.935615332211054</v>
      </c>
      <c r="J84" s="62">
        <f t="shared" si="51"/>
        <v>1.3453039945499494</v>
      </c>
      <c r="K84" s="14">
        <f t="shared" si="14"/>
        <v>4.2687530596296624E-2</v>
      </c>
      <c r="M84" s="62">
        <f t="shared" si="15"/>
        <v>4.3563149909477114E-2</v>
      </c>
      <c r="N84" s="61">
        <f t="shared" si="16"/>
        <v>2.7</v>
      </c>
      <c r="O84" s="61">
        <f t="shared" si="17"/>
        <v>2.7</v>
      </c>
      <c r="P84" s="14">
        <f>(B84*N84+B84*O84*3.33)*12</f>
        <v>561.16800000000012</v>
      </c>
      <c r="Q84" s="14">
        <f t="shared" si="13"/>
        <v>8.3136000000000649</v>
      </c>
      <c r="R84" s="55"/>
      <c r="S84" s="52">
        <f t="shared" si="18"/>
        <v>1.5037593984962419E-2</v>
      </c>
      <c r="U84" s="52"/>
    </row>
    <row r="85" spans="1:21" s="42" customFormat="1" x14ac:dyDescent="0.25">
      <c r="A85" s="72" t="s">
        <v>95</v>
      </c>
      <c r="B85" s="73">
        <f>'[2]Commercial Final'!$D$120+'[2]Commercial Final'!$D$121</f>
        <v>3653</v>
      </c>
      <c r="C85" s="65">
        <v>2.66</v>
      </c>
      <c r="D85" s="65"/>
      <c r="E85" s="65">
        <f>+B85*C85</f>
        <v>9716.9800000000014</v>
      </c>
      <c r="F85" s="75">
        <f>+F84</f>
        <v>34</v>
      </c>
      <c r="G85" s="29">
        <v>1</v>
      </c>
      <c r="H85" s="76">
        <f t="shared" si="50"/>
        <v>62.100999999999999</v>
      </c>
      <c r="I85" s="55">
        <f t="shared" si="9"/>
        <v>12.935615332211054</v>
      </c>
      <c r="J85" s="55">
        <f t="shared" si="51"/>
        <v>23.62690140428349</v>
      </c>
      <c r="K85" s="76">
        <f t="shared" si="14"/>
        <v>4.2687530596296624E-2</v>
      </c>
      <c r="M85" s="55">
        <f t="shared" si="15"/>
        <v>4.3563149909477114E-2</v>
      </c>
      <c r="N85" s="65">
        <f t="shared" si="16"/>
        <v>2.7</v>
      </c>
      <c r="O85" s="100"/>
      <c r="P85" s="76">
        <f>+N85*B85</f>
        <v>9863.1</v>
      </c>
      <c r="Q85" s="76">
        <f t="shared" si="13"/>
        <v>146.11999999999898</v>
      </c>
      <c r="R85" s="55"/>
      <c r="S85" s="98">
        <f t="shared" si="18"/>
        <v>1.5037593984962419E-2</v>
      </c>
      <c r="T85" s="99"/>
      <c r="U85" s="98"/>
    </row>
    <row r="86" spans="1:21" x14ac:dyDescent="0.25">
      <c r="A86" s="72" t="s">
        <v>96</v>
      </c>
      <c r="B86" s="73">
        <f>'[2]Commercial Final'!$D$7</f>
        <v>1</v>
      </c>
      <c r="C86" s="65">
        <v>13.89</v>
      </c>
      <c r="D86" s="65"/>
      <c r="E86" s="61">
        <f t="shared" ref="E86:E106" si="52">+B86*C86*12</f>
        <v>166.68</v>
      </c>
      <c r="F86" s="75">
        <f>+F31</f>
        <v>175</v>
      </c>
      <c r="G86" s="29">
        <v>12</v>
      </c>
      <c r="H86" s="76">
        <f t="shared" si="50"/>
        <v>1.05</v>
      </c>
      <c r="I86" s="55">
        <f t="shared" ref="I86:I105" si="53">+F86*$I$8</f>
        <v>66.580373033439244</v>
      </c>
      <c r="J86" s="62">
        <f t="shared" si="51"/>
        <v>0.3994822382006355</v>
      </c>
      <c r="K86" s="14">
        <f t="shared" si="14"/>
        <v>0.21971523101035026</v>
      </c>
      <c r="M86" s="62">
        <f t="shared" si="15"/>
        <v>0.22422209512230867</v>
      </c>
      <c r="N86" s="61">
        <f t="shared" si="16"/>
        <v>14.11</v>
      </c>
      <c r="O86" s="74"/>
      <c r="P86" s="14">
        <f t="shared" ref="P86:P106" si="54">+N86*B86*12</f>
        <v>169.32</v>
      </c>
      <c r="Q86" s="14">
        <f t="shared" si="13"/>
        <v>2.6399999999999864</v>
      </c>
      <c r="R86" s="55"/>
      <c r="S86" s="52">
        <f t="shared" si="18"/>
        <v>1.5838732901367808E-2</v>
      </c>
      <c r="U86" s="52"/>
    </row>
    <row r="87" spans="1:21" x14ac:dyDescent="0.25">
      <c r="A87" s="72" t="s">
        <v>97</v>
      </c>
      <c r="B87" s="73">
        <f>'[2]Commercial Final'!$D$8</f>
        <v>3</v>
      </c>
      <c r="C87" s="65">
        <v>33.89</v>
      </c>
      <c r="D87" s="65"/>
      <c r="E87" s="61">
        <f t="shared" si="52"/>
        <v>1220.04</v>
      </c>
      <c r="F87" s="75">
        <f>+F86</f>
        <v>175</v>
      </c>
      <c r="G87" s="29">
        <v>12</v>
      </c>
      <c r="H87" s="76">
        <f t="shared" si="50"/>
        <v>3.15</v>
      </c>
      <c r="I87" s="55">
        <f t="shared" si="53"/>
        <v>66.580373033439244</v>
      </c>
      <c r="J87" s="62">
        <f t="shared" si="51"/>
        <v>1.1984467146019064</v>
      </c>
      <c r="K87" s="14">
        <f t="shared" si="14"/>
        <v>0.21971523101035026</v>
      </c>
      <c r="M87" s="62">
        <f t="shared" si="15"/>
        <v>0.22422209512230867</v>
      </c>
      <c r="N87" s="61">
        <f t="shared" si="16"/>
        <v>34.11</v>
      </c>
      <c r="O87" s="74"/>
      <c r="P87" s="14">
        <f t="shared" si="54"/>
        <v>1227.96</v>
      </c>
      <c r="Q87" s="14">
        <f t="shared" si="13"/>
        <v>7.9200000000000728</v>
      </c>
      <c r="R87" s="55"/>
      <c r="S87" s="52">
        <f t="shared" si="18"/>
        <v>6.4915904396576829E-3</v>
      </c>
      <c r="U87" s="52"/>
    </row>
    <row r="88" spans="1:21" x14ac:dyDescent="0.25">
      <c r="A88" s="72" t="s">
        <v>112</v>
      </c>
      <c r="B88" s="73">
        <f>'[2]Commercial Final'!$D$9</f>
        <v>1</v>
      </c>
      <c r="C88" s="65">
        <v>26.5</v>
      </c>
      <c r="D88" s="65"/>
      <c r="E88" s="61">
        <f t="shared" si="52"/>
        <v>318</v>
      </c>
      <c r="F88" s="75">
        <f>+F86</f>
        <v>175</v>
      </c>
      <c r="G88" s="29">
        <v>12</v>
      </c>
      <c r="H88" s="76">
        <f t="shared" si="50"/>
        <v>1.05</v>
      </c>
      <c r="I88" s="55">
        <f t="shared" si="53"/>
        <v>66.580373033439244</v>
      </c>
      <c r="J88" s="62">
        <f t="shared" si="51"/>
        <v>0.3994822382006355</v>
      </c>
      <c r="K88" s="14">
        <f t="shared" si="14"/>
        <v>0.21971523101035026</v>
      </c>
      <c r="M88" s="62">
        <f t="shared" si="15"/>
        <v>0.22422209512230867</v>
      </c>
      <c r="N88" s="61">
        <f t="shared" si="16"/>
        <v>26.72</v>
      </c>
      <c r="O88" s="74"/>
      <c r="P88" s="14">
        <f t="shared" si="54"/>
        <v>320.64</v>
      </c>
      <c r="Q88" s="14">
        <f t="shared" si="13"/>
        <v>2.6399999999999864</v>
      </c>
      <c r="R88" s="55"/>
      <c r="S88" s="52">
        <f t="shared" si="18"/>
        <v>8.3018867924527871E-3</v>
      </c>
      <c r="U88" s="52"/>
    </row>
    <row r="89" spans="1:21" x14ac:dyDescent="0.25">
      <c r="A89" s="72" t="s">
        <v>99</v>
      </c>
      <c r="B89" s="72">
        <f>0</f>
        <v>0</v>
      </c>
      <c r="C89" s="65">
        <v>19.559999999999999</v>
      </c>
      <c r="D89" s="65"/>
      <c r="E89" s="61">
        <f t="shared" si="52"/>
        <v>0</v>
      </c>
      <c r="F89" s="75">
        <f>+F36</f>
        <v>250</v>
      </c>
      <c r="G89" s="29">
        <v>12</v>
      </c>
      <c r="H89" s="76">
        <f t="shared" si="50"/>
        <v>0</v>
      </c>
      <c r="I89" s="55">
        <f t="shared" si="53"/>
        <v>95.114818619198914</v>
      </c>
      <c r="J89" s="62">
        <f t="shared" si="51"/>
        <v>0</v>
      </c>
      <c r="K89" s="14">
        <f t="shared" si="14"/>
        <v>0.31387890144335751</v>
      </c>
      <c r="M89" s="62">
        <f t="shared" si="15"/>
        <v>0.32031727874615523</v>
      </c>
      <c r="N89" s="61">
        <f t="shared" si="16"/>
        <v>19.88</v>
      </c>
      <c r="O89" s="74"/>
      <c r="P89" s="14">
        <f t="shared" si="54"/>
        <v>0</v>
      </c>
      <c r="Q89" s="14">
        <f t="shared" si="13"/>
        <v>0</v>
      </c>
      <c r="R89" s="55"/>
      <c r="S89" s="52">
        <f t="shared" si="18"/>
        <v>1.6359918200409013E-2</v>
      </c>
      <c r="U89" s="52"/>
    </row>
    <row r="90" spans="1:21" x14ac:dyDescent="0.25">
      <c r="A90" s="72" t="s">
        <v>100</v>
      </c>
      <c r="B90" s="73">
        <f>'[2]Commercial Final'!$D$21</f>
        <v>1</v>
      </c>
      <c r="C90" s="65">
        <v>39.56</v>
      </c>
      <c r="D90" s="65"/>
      <c r="E90" s="61">
        <f t="shared" si="52"/>
        <v>474.72</v>
      </c>
      <c r="F90" s="75">
        <f>+F89</f>
        <v>250</v>
      </c>
      <c r="G90" s="29">
        <v>12</v>
      </c>
      <c r="H90" s="76">
        <f t="shared" si="50"/>
        <v>1.5</v>
      </c>
      <c r="I90" s="55">
        <f t="shared" si="53"/>
        <v>95.114818619198914</v>
      </c>
      <c r="J90" s="62">
        <f t="shared" si="51"/>
        <v>0.57068891171519354</v>
      </c>
      <c r="K90" s="14">
        <f t="shared" si="14"/>
        <v>0.31387890144335751</v>
      </c>
      <c r="M90" s="62">
        <f t="shared" si="15"/>
        <v>0.32031727874615523</v>
      </c>
      <c r="N90" s="61">
        <f t="shared" si="16"/>
        <v>39.880000000000003</v>
      </c>
      <c r="O90" s="74"/>
      <c r="P90" s="14">
        <f t="shared" si="54"/>
        <v>478.56000000000006</v>
      </c>
      <c r="Q90" s="14">
        <f t="shared" si="13"/>
        <v>3.8400000000000318</v>
      </c>
      <c r="R90" s="55"/>
      <c r="S90" s="52">
        <f t="shared" si="18"/>
        <v>8.0889787664307454E-3</v>
      </c>
      <c r="U90" s="52"/>
    </row>
    <row r="91" spans="1:21" x14ac:dyDescent="0.25">
      <c r="A91" s="72" t="s">
        <v>113</v>
      </c>
      <c r="B91" s="72">
        <v>0</v>
      </c>
      <c r="C91" s="65">
        <v>29.65</v>
      </c>
      <c r="D91" s="65"/>
      <c r="E91" s="61">
        <f t="shared" si="52"/>
        <v>0</v>
      </c>
      <c r="F91" s="75">
        <f>+F90</f>
        <v>250</v>
      </c>
      <c r="G91" s="29">
        <v>12</v>
      </c>
      <c r="H91" s="76">
        <f t="shared" si="50"/>
        <v>0</v>
      </c>
      <c r="I91" s="55">
        <f t="shared" si="53"/>
        <v>95.114818619198914</v>
      </c>
      <c r="J91" s="62">
        <f t="shared" si="51"/>
        <v>0</v>
      </c>
      <c r="K91" s="14">
        <f t="shared" si="14"/>
        <v>0.31387890144335751</v>
      </c>
      <c r="M91" s="62">
        <f t="shared" si="15"/>
        <v>0.32031727874615523</v>
      </c>
      <c r="N91" s="61">
        <f t="shared" si="16"/>
        <v>29.97</v>
      </c>
      <c r="O91" s="74"/>
      <c r="P91" s="14">
        <f t="shared" si="54"/>
        <v>0</v>
      </c>
      <c r="Q91" s="14">
        <f t="shared" si="13"/>
        <v>0</v>
      </c>
      <c r="R91" s="55"/>
      <c r="S91" s="52">
        <f t="shared" si="18"/>
        <v>1.0792580101180449E-2</v>
      </c>
      <c r="U91" s="52"/>
    </row>
    <row r="92" spans="1:21" x14ac:dyDescent="0.25">
      <c r="A92" s="72" t="s">
        <v>101</v>
      </c>
      <c r="B92" s="73">
        <f>'[2]Commercial Final'!$D$34</f>
        <v>6</v>
      </c>
      <c r="C92" s="65">
        <v>25.39</v>
      </c>
      <c r="D92" s="65"/>
      <c r="E92" s="61">
        <f t="shared" si="52"/>
        <v>1828.08</v>
      </c>
      <c r="F92" s="75">
        <f>+F42</f>
        <v>324</v>
      </c>
      <c r="G92" s="29">
        <v>12</v>
      </c>
      <c r="H92" s="76">
        <f t="shared" si="50"/>
        <v>11.664</v>
      </c>
      <c r="I92" s="55">
        <f t="shared" si="53"/>
        <v>123.26880493048179</v>
      </c>
      <c r="J92" s="62">
        <f t="shared" si="51"/>
        <v>4.4376769774973441</v>
      </c>
      <c r="K92" s="14">
        <f t="shared" si="14"/>
        <v>0.40678705627059131</v>
      </c>
      <c r="M92" s="62">
        <f t="shared" si="15"/>
        <v>0.41513119325501713</v>
      </c>
      <c r="N92" s="61">
        <f t="shared" si="16"/>
        <v>25.81</v>
      </c>
      <c r="O92" s="74"/>
      <c r="P92" s="14">
        <f t="shared" si="54"/>
        <v>1858.3199999999997</v>
      </c>
      <c r="Q92" s="14">
        <f t="shared" si="13"/>
        <v>30.239999999999782</v>
      </c>
      <c r="R92" s="55"/>
      <c r="S92" s="52">
        <f t="shared" si="18"/>
        <v>1.6541945647892797E-2</v>
      </c>
      <c r="U92" s="52"/>
    </row>
    <row r="93" spans="1:21" x14ac:dyDescent="0.25">
      <c r="A93" s="72" t="s">
        <v>102</v>
      </c>
      <c r="B93" s="73">
        <f>'[2]Commercial Final'!$D$35+'[2]Commercial Final'!$D$36</f>
        <v>5</v>
      </c>
      <c r="C93" s="65">
        <v>45.39</v>
      </c>
      <c r="D93" s="65"/>
      <c r="E93" s="61">
        <f t="shared" si="52"/>
        <v>2723.3999999999996</v>
      </c>
      <c r="F93" s="75">
        <f>+F92</f>
        <v>324</v>
      </c>
      <c r="G93" s="29">
        <v>12</v>
      </c>
      <c r="H93" s="76">
        <f t="shared" si="50"/>
        <v>9.7200000000000006</v>
      </c>
      <c r="I93" s="55">
        <f t="shared" si="53"/>
        <v>123.26880493048179</v>
      </c>
      <c r="J93" s="62">
        <f t="shared" si="51"/>
        <v>3.6980641479144536</v>
      </c>
      <c r="K93" s="14">
        <f t="shared" si="14"/>
        <v>0.40678705627059131</v>
      </c>
      <c r="M93" s="62">
        <f t="shared" si="15"/>
        <v>0.41513119325501713</v>
      </c>
      <c r="N93" s="61">
        <f t="shared" si="16"/>
        <v>45.81</v>
      </c>
      <c r="O93" s="74"/>
      <c r="P93" s="14">
        <f t="shared" si="54"/>
        <v>2748.6000000000004</v>
      </c>
      <c r="Q93" s="14">
        <f t="shared" si="13"/>
        <v>25.200000000000728</v>
      </c>
      <c r="R93" s="55"/>
      <c r="S93" s="52">
        <f t="shared" si="18"/>
        <v>9.2531394580304405E-3</v>
      </c>
      <c r="U93" s="52"/>
    </row>
    <row r="94" spans="1:21" x14ac:dyDescent="0.25">
      <c r="A94" s="72" t="s">
        <v>114</v>
      </c>
      <c r="B94" s="73">
        <f>'[2]Commercial Final'!$D$37</f>
        <v>8</v>
      </c>
      <c r="C94" s="65">
        <v>47.01</v>
      </c>
      <c r="D94" s="65"/>
      <c r="E94" s="61">
        <f t="shared" si="52"/>
        <v>4512.96</v>
      </c>
      <c r="F94" s="75">
        <f>+F93</f>
        <v>324</v>
      </c>
      <c r="G94" s="29">
        <v>12</v>
      </c>
      <c r="H94" s="76">
        <f t="shared" si="50"/>
        <v>15.552</v>
      </c>
      <c r="I94" s="55">
        <f t="shared" si="53"/>
        <v>123.26880493048179</v>
      </c>
      <c r="J94" s="62">
        <f t="shared" si="51"/>
        <v>5.9169026366631261</v>
      </c>
      <c r="K94" s="14">
        <f t="shared" si="14"/>
        <v>0.40678705627059131</v>
      </c>
      <c r="M94" s="62">
        <f t="shared" si="15"/>
        <v>0.41513119325501713</v>
      </c>
      <c r="N94" s="61">
        <f t="shared" si="16"/>
        <v>47.43</v>
      </c>
      <c r="O94" s="74"/>
      <c r="P94" s="14">
        <f t="shared" si="54"/>
        <v>4553.28</v>
      </c>
      <c r="Q94" s="14">
        <f t="shared" si="13"/>
        <v>40.319999999999709</v>
      </c>
      <c r="R94" s="55"/>
      <c r="S94" s="52">
        <f t="shared" si="18"/>
        <v>8.9342693044033548E-3</v>
      </c>
      <c r="U94" s="52"/>
    </row>
    <row r="95" spans="1:21" x14ac:dyDescent="0.25">
      <c r="A95" s="72" t="s">
        <v>104</v>
      </c>
      <c r="B95" s="72">
        <v>0</v>
      </c>
      <c r="C95" s="65">
        <v>37.18</v>
      </c>
      <c r="D95" s="65"/>
      <c r="E95" s="61">
        <f t="shared" si="52"/>
        <v>0</v>
      </c>
      <c r="F95" s="75">
        <f>+F50</f>
        <v>473</v>
      </c>
      <c r="G95" s="29">
        <v>12</v>
      </c>
      <c r="H95" s="76">
        <f t="shared" ref="H95:H106" si="55">+G95*F95*B95/2000</f>
        <v>0</v>
      </c>
      <c r="I95" s="55">
        <f t="shared" si="53"/>
        <v>179.95723682752435</v>
      </c>
      <c r="J95" s="62">
        <f t="shared" ref="J95:J106" si="56">+G95*I95*B95/2000</f>
        <v>0</v>
      </c>
      <c r="K95" s="14">
        <f t="shared" si="14"/>
        <v>0.59385888153083244</v>
      </c>
      <c r="M95" s="62">
        <f t="shared" si="15"/>
        <v>0.60604029138772575</v>
      </c>
      <c r="N95" s="61">
        <f t="shared" si="16"/>
        <v>37.79</v>
      </c>
      <c r="O95" s="74"/>
      <c r="P95" s="14">
        <f t="shared" si="54"/>
        <v>0</v>
      </c>
      <c r="Q95" s="14">
        <f t="shared" si="13"/>
        <v>0</v>
      </c>
      <c r="R95" s="55"/>
      <c r="S95" s="52">
        <f t="shared" si="18"/>
        <v>1.6406670252824083E-2</v>
      </c>
      <c r="U95" s="52"/>
    </row>
    <row r="96" spans="1:21" x14ac:dyDescent="0.25">
      <c r="A96" s="72" t="s">
        <v>105</v>
      </c>
      <c r="B96" s="73">
        <f>'[2]Commercial Final'!$D$52</f>
        <v>5</v>
      </c>
      <c r="C96" s="65">
        <v>57.18</v>
      </c>
      <c r="D96" s="65"/>
      <c r="E96" s="61">
        <f t="shared" si="52"/>
        <v>3430.7999999999997</v>
      </c>
      <c r="F96" s="75">
        <f>+F95</f>
        <v>473</v>
      </c>
      <c r="G96" s="29">
        <v>12</v>
      </c>
      <c r="H96" s="76">
        <f t="shared" si="55"/>
        <v>14.19</v>
      </c>
      <c r="I96" s="55">
        <f t="shared" si="53"/>
        <v>179.95723682752435</v>
      </c>
      <c r="J96" s="62">
        <f t="shared" si="56"/>
        <v>5.3987171048257299</v>
      </c>
      <c r="K96" s="14">
        <f t="shared" si="14"/>
        <v>0.59385888153083244</v>
      </c>
      <c r="M96" s="62">
        <f t="shared" si="15"/>
        <v>0.60604029138772575</v>
      </c>
      <c r="N96" s="61">
        <f t="shared" si="16"/>
        <v>57.79</v>
      </c>
      <c r="O96" s="74"/>
      <c r="P96" s="14">
        <f t="shared" si="54"/>
        <v>3467.3999999999996</v>
      </c>
      <c r="Q96" s="14">
        <f t="shared" si="13"/>
        <v>36.599999999999909</v>
      </c>
      <c r="R96" s="55"/>
      <c r="S96" s="52">
        <f t="shared" ref="S96:S106" si="57">(N96-C96)/C96</f>
        <v>1.0668065757257773E-2</v>
      </c>
      <c r="U96" s="52"/>
    </row>
    <row r="97" spans="1:21" x14ac:dyDescent="0.25">
      <c r="A97" s="72" t="s">
        <v>103</v>
      </c>
      <c r="B97" s="73">
        <f>'[2]Commercial Final'!$D$53</f>
        <v>1</v>
      </c>
      <c r="C97" s="65">
        <v>56.22</v>
      </c>
      <c r="D97" s="65"/>
      <c r="E97" s="61">
        <f t="shared" si="52"/>
        <v>674.64</v>
      </c>
      <c r="F97" s="75">
        <f>+F96</f>
        <v>473</v>
      </c>
      <c r="G97" s="29">
        <v>12</v>
      </c>
      <c r="H97" s="76">
        <f t="shared" si="55"/>
        <v>2.8380000000000001</v>
      </c>
      <c r="I97" s="55">
        <f t="shared" si="53"/>
        <v>179.95723682752435</v>
      </c>
      <c r="J97" s="62">
        <f t="shared" si="56"/>
        <v>1.079743420965146</v>
      </c>
      <c r="K97" s="14">
        <f t="shared" si="14"/>
        <v>0.59385888153083244</v>
      </c>
      <c r="M97" s="62">
        <f t="shared" si="15"/>
        <v>0.60604029138772575</v>
      </c>
      <c r="N97" s="61">
        <f t="shared" si="16"/>
        <v>56.83</v>
      </c>
      <c r="O97" s="74"/>
      <c r="P97" s="14">
        <f t="shared" si="54"/>
        <v>681.96</v>
      </c>
      <c r="Q97" s="14">
        <f t="shared" si="13"/>
        <v>7.32000000000005</v>
      </c>
      <c r="R97" s="55"/>
      <c r="S97" s="52">
        <f t="shared" si="57"/>
        <v>1.0850231234436134E-2</v>
      </c>
      <c r="U97" s="52"/>
    </row>
    <row r="98" spans="1:21" x14ac:dyDescent="0.25">
      <c r="A98" s="72" t="s">
        <v>107</v>
      </c>
      <c r="B98" s="73">
        <f>'[2]Commercial Final'!$D$68</f>
        <v>12</v>
      </c>
      <c r="C98" s="65">
        <v>47.69</v>
      </c>
      <c r="D98" s="65"/>
      <c r="E98" s="61">
        <f t="shared" si="52"/>
        <v>6867.36</v>
      </c>
      <c r="F98" s="75">
        <f>+F57</f>
        <v>613</v>
      </c>
      <c r="G98" s="29">
        <v>12</v>
      </c>
      <c r="H98" s="76">
        <f t="shared" si="55"/>
        <v>44.136000000000003</v>
      </c>
      <c r="I98" s="55">
        <f t="shared" si="53"/>
        <v>233.22153525427575</v>
      </c>
      <c r="J98" s="62">
        <f t="shared" si="56"/>
        <v>16.791950538307855</v>
      </c>
      <c r="K98" s="14">
        <f t="shared" si="14"/>
        <v>0.7696310663391126</v>
      </c>
      <c r="M98" s="62">
        <f t="shared" si="15"/>
        <v>0.78541796748557258</v>
      </c>
      <c r="N98" s="61">
        <f t="shared" si="16"/>
        <v>48.48</v>
      </c>
      <c r="O98" s="74"/>
      <c r="P98" s="14">
        <f t="shared" si="54"/>
        <v>6981.12</v>
      </c>
      <c r="Q98" s="14">
        <f t="shared" si="13"/>
        <v>113.76000000000022</v>
      </c>
      <c r="R98" s="55"/>
      <c r="S98" s="52">
        <f t="shared" si="57"/>
        <v>1.6565317676661757E-2</v>
      </c>
      <c r="U98" s="52"/>
    </row>
    <row r="99" spans="1:21" x14ac:dyDescent="0.25">
      <c r="A99" s="72" t="s">
        <v>108</v>
      </c>
      <c r="B99" s="73">
        <f>'[2]Commercial Final'!$D$69</f>
        <v>8</v>
      </c>
      <c r="C99" s="65">
        <v>67.69</v>
      </c>
      <c r="D99" s="65"/>
      <c r="E99" s="61">
        <f t="shared" si="52"/>
        <v>6498.24</v>
      </c>
      <c r="F99" s="75">
        <f>+F98</f>
        <v>613</v>
      </c>
      <c r="G99" s="29">
        <v>12</v>
      </c>
      <c r="H99" s="76">
        <f t="shared" si="55"/>
        <v>29.423999999999999</v>
      </c>
      <c r="I99" s="55">
        <f t="shared" si="53"/>
        <v>233.22153525427575</v>
      </c>
      <c r="J99" s="62">
        <f t="shared" si="56"/>
        <v>11.194633692205237</v>
      </c>
      <c r="K99" s="14">
        <f t="shared" si="14"/>
        <v>0.7696310663391126</v>
      </c>
      <c r="M99" s="62">
        <f t="shared" si="15"/>
        <v>0.78541796748557258</v>
      </c>
      <c r="N99" s="61">
        <f t="shared" si="16"/>
        <v>68.48</v>
      </c>
      <c r="O99" s="74"/>
      <c r="P99" s="14">
        <f t="shared" si="54"/>
        <v>6574.08</v>
      </c>
      <c r="Q99" s="14">
        <f t="shared" si="13"/>
        <v>75.840000000000146</v>
      </c>
      <c r="R99" s="55"/>
      <c r="S99" s="52">
        <f t="shared" si="57"/>
        <v>1.1670852415423346E-2</v>
      </c>
      <c r="U99" s="52"/>
    </row>
    <row r="100" spans="1:21" x14ac:dyDescent="0.25">
      <c r="A100" s="72" t="s">
        <v>106</v>
      </c>
      <c r="B100" s="73">
        <f>'[2]Commercial Final'!$D$70</f>
        <v>5</v>
      </c>
      <c r="C100" s="65">
        <v>62.76</v>
      </c>
      <c r="D100" s="65"/>
      <c r="E100" s="61">
        <f t="shared" si="52"/>
        <v>3765.6000000000004</v>
      </c>
      <c r="F100" s="75">
        <f>+F98</f>
        <v>613</v>
      </c>
      <c r="G100" s="29">
        <v>12</v>
      </c>
      <c r="H100" s="76">
        <f t="shared" si="55"/>
        <v>18.39</v>
      </c>
      <c r="I100" s="55">
        <f t="shared" si="53"/>
        <v>233.22153525427575</v>
      </c>
      <c r="J100" s="62">
        <f t="shared" si="56"/>
        <v>6.9966460576282721</v>
      </c>
      <c r="K100" s="14">
        <f t="shared" si="14"/>
        <v>0.7696310663391126</v>
      </c>
      <c r="M100" s="62">
        <f t="shared" si="15"/>
        <v>0.78541796748557258</v>
      </c>
      <c r="N100" s="61">
        <f t="shared" si="16"/>
        <v>63.55</v>
      </c>
      <c r="O100" s="74"/>
      <c r="P100" s="14">
        <f t="shared" si="54"/>
        <v>3813</v>
      </c>
      <c r="Q100" s="14">
        <f t="shared" si="13"/>
        <v>47.399999999999636</v>
      </c>
      <c r="R100" s="55"/>
      <c r="S100" s="52">
        <f t="shared" si="57"/>
        <v>1.2587635436583798E-2</v>
      </c>
      <c r="U100" s="52"/>
    </row>
    <row r="101" spans="1:21" x14ac:dyDescent="0.25">
      <c r="A101" s="72" t="s">
        <v>110</v>
      </c>
      <c r="B101" s="73">
        <f>'[2]Commercial Final'!$D$84</f>
        <v>8</v>
      </c>
      <c r="C101" s="65">
        <v>71.86</v>
      </c>
      <c r="D101" s="65"/>
      <c r="E101" s="61">
        <f t="shared" si="52"/>
        <v>6898.5599999999995</v>
      </c>
      <c r="F101" s="75">
        <f>+F64</f>
        <v>840</v>
      </c>
      <c r="G101" s="29">
        <v>12</v>
      </c>
      <c r="H101" s="76">
        <f t="shared" si="55"/>
        <v>40.32</v>
      </c>
      <c r="I101" s="55">
        <f t="shared" si="53"/>
        <v>319.58579056050837</v>
      </c>
      <c r="J101" s="62">
        <f t="shared" si="56"/>
        <v>15.340117946904401</v>
      </c>
      <c r="K101" s="14">
        <f t="shared" si="14"/>
        <v>1.0546331088496812</v>
      </c>
      <c r="M101" s="62">
        <f t="shared" si="15"/>
        <v>1.0762660565870816</v>
      </c>
      <c r="N101" s="61">
        <f t="shared" si="16"/>
        <v>72.94</v>
      </c>
      <c r="O101" s="74"/>
      <c r="P101" s="14">
        <f t="shared" si="54"/>
        <v>7002.24</v>
      </c>
      <c r="Q101" s="14">
        <f t="shared" ref="Q101:Q105" si="58">+P101-E101</f>
        <v>103.68000000000029</v>
      </c>
      <c r="R101" s="55"/>
      <c r="S101" s="52">
        <f t="shared" si="57"/>
        <v>1.5029223490119653E-2</v>
      </c>
      <c r="U101" s="52"/>
    </row>
    <row r="102" spans="1:21" x14ac:dyDescent="0.25">
      <c r="A102" s="72" t="s">
        <v>111</v>
      </c>
      <c r="B102" s="73">
        <f>'[2]Commercial Final'!$D$85</f>
        <v>8</v>
      </c>
      <c r="C102" s="65">
        <v>91.86</v>
      </c>
      <c r="D102" s="65"/>
      <c r="E102" s="61">
        <f t="shared" si="52"/>
        <v>8818.56</v>
      </c>
      <c r="F102" s="75">
        <f>+F101</f>
        <v>840</v>
      </c>
      <c r="G102" s="29">
        <v>12</v>
      </c>
      <c r="H102" s="76">
        <f t="shared" si="55"/>
        <v>40.32</v>
      </c>
      <c r="I102" s="55">
        <f t="shared" si="53"/>
        <v>319.58579056050837</v>
      </c>
      <c r="J102" s="62">
        <f t="shared" si="56"/>
        <v>15.340117946904401</v>
      </c>
      <c r="K102" s="14">
        <f t="shared" ref="K102:K105" si="59">+I102*$K$10</f>
        <v>1.0546331088496812</v>
      </c>
      <c r="M102" s="62">
        <f t="shared" ref="M102:M105" si="60">+K102/$M$10</f>
        <v>1.0762660565870816</v>
      </c>
      <c r="N102" s="61">
        <f t="shared" ref="N102:N105" si="61">ROUND(C102+M102,2)</f>
        <v>92.94</v>
      </c>
      <c r="O102" s="74"/>
      <c r="P102" s="14">
        <f t="shared" si="54"/>
        <v>8922.24</v>
      </c>
      <c r="Q102" s="14">
        <f t="shared" si="58"/>
        <v>103.68000000000029</v>
      </c>
      <c r="R102" s="55"/>
      <c r="S102" s="52">
        <f t="shared" si="57"/>
        <v>1.1757021554539499E-2</v>
      </c>
      <c r="U102" s="52"/>
    </row>
    <row r="103" spans="1:21" x14ac:dyDescent="0.25">
      <c r="A103" s="72" t="s">
        <v>109</v>
      </c>
      <c r="B103" s="73">
        <f>'[2]Commercial Final'!$D$86</f>
        <v>30</v>
      </c>
      <c r="C103" s="65">
        <v>93.24</v>
      </c>
      <c r="D103" s="65"/>
      <c r="E103" s="61">
        <f t="shared" si="52"/>
        <v>33566.399999999994</v>
      </c>
      <c r="F103" s="75">
        <f>+F102</f>
        <v>840</v>
      </c>
      <c r="G103" s="29">
        <v>12</v>
      </c>
      <c r="H103" s="76">
        <f t="shared" si="55"/>
        <v>151.19999999999999</v>
      </c>
      <c r="I103" s="55">
        <f t="shared" si="53"/>
        <v>319.58579056050837</v>
      </c>
      <c r="J103" s="62">
        <f t="shared" si="56"/>
        <v>57.525442300891505</v>
      </c>
      <c r="K103" s="14">
        <f t="shared" si="59"/>
        <v>1.0546331088496812</v>
      </c>
      <c r="M103" s="62">
        <f t="shared" si="60"/>
        <v>1.0762660565870816</v>
      </c>
      <c r="N103" s="61">
        <f t="shared" si="61"/>
        <v>94.32</v>
      </c>
      <c r="O103" s="74"/>
      <c r="P103" s="14">
        <f t="shared" si="54"/>
        <v>33955.199999999997</v>
      </c>
      <c r="Q103" s="14">
        <f t="shared" si="58"/>
        <v>388.80000000000291</v>
      </c>
      <c r="R103" s="55"/>
      <c r="S103" s="52">
        <f t="shared" si="57"/>
        <v>1.1583011583011565E-2</v>
      </c>
      <c r="U103" s="52"/>
    </row>
    <row r="104" spans="1:21" x14ac:dyDescent="0.25">
      <c r="A104" s="72" t="s">
        <v>131</v>
      </c>
      <c r="B104" s="72">
        <v>0</v>
      </c>
      <c r="C104" s="65">
        <v>119.33</v>
      </c>
      <c r="D104" s="65"/>
      <c r="E104" s="61">
        <f t="shared" si="52"/>
        <v>0</v>
      </c>
      <c r="F104" s="75">
        <v>980</v>
      </c>
      <c r="G104" s="29">
        <v>12</v>
      </c>
      <c r="H104" s="76">
        <f t="shared" si="55"/>
        <v>0</v>
      </c>
      <c r="I104" s="55">
        <f t="shared" si="53"/>
        <v>372.85008898725977</v>
      </c>
      <c r="J104" s="62">
        <f t="shared" si="56"/>
        <v>0</v>
      </c>
      <c r="K104" s="14">
        <f t="shared" si="59"/>
        <v>1.2304052936579615</v>
      </c>
      <c r="M104" s="62">
        <f t="shared" si="60"/>
        <v>1.2556437326849286</v>
      </c>
      <c r="N104" s="61">
        <f t="shared" si="61"/>
        <v>120.59</v>
      </c>
      <c r="O104" s="74"/>
      <c r="P104" s="14">
        <f t="shared" si="54"/>
        <v>0</v>
      </c>
      <c r="Q104" s="14">
        <f t="shared" si="58"/>
        <v>0</v>
      </c>
      <c r="R104" s="55"/>
      <c r="S104" s="52">
        <f t="shared" si="57"/>
        <v>1.055895416073079E-2</v>
      </c>
      <c r="U104" s="52"/>
    </row>
    <row r="105" spans="1:21" ht="15.75" thickBot="1" x14ac:dyDescent="0.3">
      <c r="A105" s="72" t="s">
        <v>98</v>
      </c>
      <c r="B105" s="73">
        <f>'[2]Commercial Final'!$D$112</f>
        <v>3</v>
      </c>
      <c r="C105" s="65">
        <v>115.83</v>
      </c>
      <c r="D105" s="65"/>
      <c r="E105" s="61">
        <f t="shared" si="52"/>
        <v>4169.88</v>
      </c>
      <c r="F105" s="75">
        <f>+F74</f>
        <v>980</v>
      </c>
      <c r="G105" s="29">
        <v>12</v>
      </c>
      <c r="H105" s="76">
        <f t="shared" si="55"/>
        <v>17.64</v>
      </c>
      <c r="I105" s="55">
        <f t="shared" si="53"/>
        <v>372.85008898725977</v>
      </c>
      <c r="J105" s="62">
        <f t="shared" si="56"/>
        <v>6.7113016017706757</v>
      </c>
      <c r="K105" s="14">
        <f t="shared" si="59"/>
        <v>1.2304052936579615</v>
      </c>
      <c r="M105" s="62">
        <f t="shared" si="60"/>
        <v>1.2556437326849286</v>
      </c>
      <c r="N105" s="61">
        <f t="shared" si="61"/>
        <v>117.09</v>
      </c>
      <c r="O105" s="77"/>
      <c r="P105" s="14">
        <f t="shared" si="54"/>
        <v>4215.24</v>
      </c>
      <c r="Q105" s="14">
        <f t="shared" si="58"/>
        <v>45.359999999999673</v>
      </c>
      <c r="R105" s="55"/>
      <c r="S105" s="52">
        <f t="shared" si="57"/>
        <v>1.0878010878010923E-2</v>
      </c>
      <c r="U105" s="52"/>
    </row>
    <row r="106" spans="1:21" x14ac:dyDescent="0.25">
      <c r="A106" s="72" t="s">
        <v>148</v>
      </c>
      <c r="B106" s="73">
        <f>'[2]Commercial Final'!$D$111</f>
        <v>1</v>
      </c>
      <c r="C106" s="65">
        <v>95.83</v>
      </c>
      <c r="D106" s="65"/>
      <c r="E106" s="61">
        <f t="shared" si="52"/>
        <v>1149.96</v>
      </c>
      <c r="F106" s="75">
        <f>+F75</f>
        <v>980</v>
      </c>
      <c r="G106" s="29">
        <v>12</v>
      </c>
      <c r="H106" s="76">
        <f t="shared" si="55"/>
        <v>5.88</v>
      </c>
      <c r="I106" s="55">
        <f t="shared" ref="I106" si="62">+F106*$I$8</f>
        <v>372.85008898725977</v>
      </c>
      <c r="J106" s="62">
        <f t="shared" si="56"/>
        <v>2.2371005339235586</v>
      </c>
      <c r="K106" s="14">
        <f t="shared" ref="K106" si="63">+I106*$K$10</f>
        <v>1.2304052936579615</v>
      </c>
      <c r="M106" s="62">
        <f t="shared" ref="M106" si="64">+K106/$M$10</f>
        <v>1.2556437326849286</v>
      </c>
      <c r="N106" s="61">
        <f t="shared" ref="N106" si="65">ROUND(C106+M106,2)</f>
        <v>97.09</v>
      </c>
      <c r="O106" s="65"/>
      <c r="P106" s="14">
        <f t="shared" si="54"/>
        <v>1165.08</v>
      </c>
      <c r="Q106" s="14">
        <f t="shared" ref="Q106" si="66">+P106-E106</f>
        <v>15.119999999999891</v>
      </c>
      <c r="R106" s="55"/>
      <c r="S106" s="52">
        <f t="shared" si="57"/>
        <v>1.3148283418553742E-2</v>
      </c>
      <c r="U106" s="52"/>
    </row>
    <row r="107" spans="1:21" x14ac:dyDescent="0.25">
      <c r="B107" s="64"/>
      <c r="C107" s="65"/>
      <c r="D107" s="65"/>
      <c r="E107" s="61"/>
      <c r="F107" s="31"/>
      <c r="G107" s="29"/>
      <c r="H107" s="14"/>
      <c r="I107" s="62"/>
      <c r="J107" s="62"/>
      <c r="K107" s="14"/>
      <c r="M107" s="62"/>
      <c r="N107" s="61"/>
      <c r="O107" s="61"/>
      <c r="P107" s="14"/>
      <c r="Q107" s="14"/>
    </row>
    <row r="108" spans="1:21" ht="15.75" thickBot="1" x14ac:dyDescent="0.3">
      <c r="A108" s="19"/>
      <c r="B108" s="19"/>
      <c r="C108" s="78"/>
      <c r="D108" s="78"/>
      <c r="E108" s="78"/>
      <c r="H108" s="68"/>
      <c r="I108" s="14"/>
      <c r="J108" s="68"/>
      <c r="N108" s="60"/>
      <c r="O108" s="60"/>
    </row>
    <row r="109" spans="1:21" ht="15.75" thickBot="1" x14ac:dyDescent="0.3">
      <c r="A109" s="19" t="s">
        <v>120</v>
      </c>
      <c r="B109" s="79">
        <f>SUM(B31:B84)</f>
        <v>4091.9992339747519</v>
      </c>
      <c r="C109" s="19"/>
      <c r="D109" s="19"/>
      <c r="E109" s="80">
        <f>SUM(E31:E106)</f>
        <v>7572481.1487874594</v>
      </c>
      <c r="H109" s="14">
        <f>SUM(H31:H106)</f>
        <v>43160.805641009938</v>
      </c>
      <c r="I109" s="68">
        <f>SUM(I31:I106)</f>
        <v>14183.141293220458</v>
      </c>
      <c r="J109" s="68">
        <f>SUM(J31:J106)</f>
        <v>16420.928800012629</v>
      </c>
      <c r="N109" s="60"/>
      <c r="O109" s="60"/>
      <c r="P109" s="67">
        <f>SUM(P31:P106)</f>
        <v>7683965.3822360942</v>
      </c>
      <c r="R109" s="81"/>
    </row>
    <row r="110" spans="1:21" ht="16.5" thickTop="1" thickBot="1" x14ac:dyDescent="0.3">
      <c r="A110" s="19"/>
      <c r="B110" s="82"/>
      <c r="C110" s="19"/>
      <c r="D110" s="19"/>
      <c r="E110" s="83"/>
      <c r="H110" s="68"/>
      <c r="I110" s="68"/>
      <c r="J110" s="68"/>
      <c r="N110" s="60"/>
      <c r="O110" s="60"/>
      <c r="P110" s="31"/>
      <c r="R110" s="81"/>
    </row>
    <row r="111" spans="1:21" ht="15.75" thickBot="1" x14ac:dyDescent="0.3">
      <c r="A111" s="19"/>
      <c r="B111" s="19"/>
      <c r="C111" s="78"/>
      <c r="D111" s="78"/>
      <c r="E111" s="78"/>
      <c r="F111" s="19"/>
      <c r="G111" s="19"/>
      <c r="H111" s="19"/>
      <c r="P111" s="31">
        <f>+P109-E109</f>
        <v>111484.23344863486</v>
      </c>
      <c r="Q111" s="84">
        <f>SUM(Q31:Q106)</f>
        <v>111484.23344863305</v>
      </c>
      <c r="R111" s="81"/>
    </row>
    <row r="112" spans="1:21" x14ac:dyDescent="0.25">
      <c r="A112" s="85"/>
      <c r="B112" s="85"/>
      <c r="C112" s="78"/>
      <c r="D112" s="78"/>
      <c r="E112" s="78"/>
      <c r="F112" s="19"/>
      <c r="G112" s="19"/>
      <c r="H112" s="19"/>
      <c r="P112" s="31"/>
      <c r="Q112" s="14"/>
      <c r="R112" s="81"/>
    </row>
    <row r="113" spans="1:17" x14ac:dyDescent="0.25">
      <c r="A113" s="20"/>
      <c r="B113" s="20"/>
      <c r="C113" s="20"/>
      <c r="D113" s="20"/>
      <c r="E113" s="86" t="s">
        <v>158</v>
      </c>
      <c r="F113" s="20"/>
      <c r="G113" s="20"/>
      <c r="H113" s="68">
        <f>H25+H109</f>
        <v>59723.711641009941</v>
      </c>
      <c r="I113" s="68">
        <f>I25+I109</f>
        <v>14388.969760712405</v>
      </c>
      <c r="J113" s="68">
        <f>J25+J109</f>
        <v>22722.439999999995</v>
      </c>
      <c r="K113" s="41" t="s">
        <v>2</v>
      </c>
    </row>
    <row r="114" spans="1:17" x14ac:dyDescent="0.25">
      <c r="A114" s="20"/>
      <c r="B114" s="20"/>
      <c r="C114" s="21"/>
      <c r="D114" s="86" t="s">
        <v>127</v>
      </c>
      <c r="E114" s="86" t="s">
        <v>125</v>
      </c>
      <c r="F114" s="20"/>
      <c r="G114" s="20"/>
    </row>
    <row r="115" spans="1:17" x14ac:dyDescent="0.25">
      <c r="A115" s="20"/>
      <c r="B115" s="20"/>
      <c r="C115" s="20"/>
      <c r="D115" s="87" t="s">
        <v>128</v>
      </c>
      <c r="E115" s="87"/>
      <c r="F115" s="87" t="s">
        <v>93</v>
      </c>
      <c r="G115" s="20" t="s">
        <v>129</v>
      </c>
      <c r="P115" s="88"/>
      <c r="Q115" s="88"/>
    </row>
    <row r="116" spans="1:17" x14ac:dyDescent="0.25">
      <c r="A116" s="20" t="s">
        <v>124</v>
      </c>
      <c r="B116" s="20"/>
      <c r="C116" s="21"/>
      <c r="D116" s="89">
        <f>+E25</f>
        <v>3014253.9</v>
      </c>
      <c r="E116" s="89">
        <v>3014253.9</v>
      </c>
      <c r="F116" s="90">
        <f>+E116-D116</f>
        <v>0</v>
      </c>
      <c r="G116" s="91">
        <f>F116/E116</f>
        <v>0</v>
      </c>
      <c r="H116" s="16" t="str">
        <f>IF(G116&lt;=0.05,"OK","MoreReviewRequired")</f>
        <v>OK</v>
      </c>
      <c r="P116" s="88"/>
      <c r="Q116" s="38"/>
    </row>
    <row r="117" spans="1:17" x14ac:dyDescent="0.25">
      <c r="A117" s="20" t="s">
        <v>123</v>
      </c>
      <c r="B117" s="20"/>
      <c r="C117" s="21"/>
      <c r="D117" s="89">
        <f>+E109</f>
        <v>7572481.1487874594</v>
      </c>
      <c r="E117" s="89">
        <v>7572481.1487874594</v>
      </c>
      <c r="F117" s="90">
        <f>+E117-D117</f>
        <v>0</v>
      </c>
      <c r="G117" s="91">
        <f>F117/E117</f>
        <v>0</v>
      </c>
      <c r="H117" s="16" t="str">
        <f t="shared" ref="H117:H118" si="67">IF(G117&lt;=0.05,"OK","MoreReviewRequired")</f>
        <v>OK</v>
      </c>
      <c r="N117" s="16"/>
      <c r="O117" s="16"/>
    </row>
    <row r="118" spans="1:17" x14ac:dyDescent="0.25">
      <c r="A118" s="20" t="s">
        <v>2</v>
      </c>
      <c r="B118" s="20"/>
      <c r="C118" s="20"/>
      <c r="D118" s="89">
        <f>SUM(D116:D117)</f>
        <v>10586735.04878746</v>
      </c>
      <c r="E118" s="89">
        <f>SUM(E116:E117)</f>
        <v>10586735.04878746</v>
      </c>
      <c r="F118" s="90">
        <f>+E118-D118</f>
        <v>0</v>
      </c>
      <c r="G118" s="91">
        <f>F118/E118</f>
        <v>0</v>
      </c>
      <c r="H118" s="16" t="str">
        <f t="shared" si="67"/>
        <v>OK</v>
      </c>
      <c r="N118" s="16"/>
      <c r="O118" s="16"/>
    </row>
    <row r="119" spans="1:17" x14ac:dyDescent="0.25">
      <c r="A119" s="20"/>
      <c r="B119" s="20"/>
      <c r="C119" s="20"/>
      <c r="D119" s="20"/>
      <c r="E119" s="20"/>
      <c r="F119" s="92"/>
      <c r="G119" s="20"/>
      <c r="N119" s="16"/>
      <c r="O119" s="16"/>
    </row>
    <row r="120" spans="1:17" x14ac:dyDescent="0.25">
      <c r="N120" s="16"/>
      <c r="O120" s="16"/>
    </row>
    <row r="121" spans="1:17" x14ac:dyDescent="0.25">
      <c r="N121" s="16"/>
      <c r="O121" s="16"/>
    </row>
    <row r="122" spans="1:17" x14ac:dyDescent="0.25">
      <c r="N122" s="16"/>
      <c r="O122" s="16"/>
    </row>
    <row r="123" spans="1:17" x14ac:dyDescent="0.25">
      <c r="N123" s="16"/>
      <c r="O123" s="16"/>
    </row>
    <row r="124" spans="1:17" x14ac:dyDescent="0.25">
      <c r="N124" s="16"/>
      <c r="O124" s="16"/>
    </row>
    <row r="125" spans="1:17" x14ac:dyDescent="0.25">
      <c r="N125" s="16"/>
      <c r="O125" s="16"/>
    </row>
    <row r="126" spans="1:17" x14ac:dyDescent="0.25">
      <c r="N126" s="16"/>
      <c r="O126" s="16"/>
    </row>
    <row r="127" spans="1:17" x14ac:dyDescent="0.25">
      <c r="N127" s="16"/>
      <c r="O127" s="16"/>
    </row>
    <row r="128" spans="1:17" hidden="1" outlineLevel="1" x14ac:dyDescent="0.25">
      <c r="N128" s="16"/>
      <c r="O128" s="16"/>
    </row>
    <row r="129" spans="1:15" hidden="1" outlineLevel="1" x14ac:dyDescent="0.25">
      <c r="A129" s="16" t="s">
        <v>141</v>
      </c>
      <c r="H129" s="48" t="s">
        <v>139</v>
      </c>
      <c r="I129" s="16" t="s">
        <v>138</v>
      </c>
      <c r="J129" s="16" t="s">
        <v>64</v>
      </c>
      <c r="K129" s="16" t="s">
        <v>140</v>
      </c>
      <c r="M129" s="93"/>
      <c r="N129" s="16"/>
      <c r="O129" s="16"/>
    </row>
    <row r="130" spans="1:15" hidden="1" outlineLevel="1" x14ac:dyDescent="0.25">
      <c r="A130" s="16" t="str">
        <f>A11</f>
        <v>32 EOW</v>
      </c>
      <c r="H130" s="16" t="e">
        <f>G11*F11*#REF!</f>
        <v>#REF!</v>
      </c>
      <c r="I130" s="16" t="e">
        <f>H130*I8</f>
        <v>#REF!</v>
      </c>
      <c r="J130" s="14" t="e">
        <f>I130*K10</f>
        <v>#REF!</v>
      </c>
      <c r="K130" s="14" t="e">
        <f>J130/M10</f>
        <v>#REF!</v>
      </c>
      <c r="L130" s="14" t="e">
        <f>K130/#REF!</f>
        <v>#REF!</v>
      </c>
      <c r="M130" s="14" t="e">
        <f>L130/12</f>
        <v>#REF!</v>
      </c>
      <c r="N130" s="16"/>
      <c r="O130" s="16"/>
    </row>
    <row r="131" spans="1:15" hidden="1" outlineLevel="1" x14ac:dyDescent="0.25">
      <c r="N131" s="16"/>
      <c r="O131" s="16"/>
    </row>
    <row r="132" spans="1:15" hidden="1" outlineLevel="1" x14ac:dyDescent="0.25">
      <c r="N132" s="16"/>
      <c r="O132" s="16"/>
    </row>
    <row r="133" spans="1:15" collapsed="1" x14ac:dyDescent="0.25">
      <c r="N133" s="16"/>
      <c r="O133" s="16"/>
    </row>
    <row r="134" spans="1:15" x14ac:dyDescent="0.25">
      <c r="N134" s="16"/>
      <c r="O134" s="16"/>
    </row>
    <row r="135" spans="1:15" x14ac:dyDescent="0.25">
      <c r="N135" s="16"/>
      <c r="O135" s="16"/>
    </row>
    <row r="136" spans="1:15" x14ac:dyDescent="0.25">
      <c r="N136" s="16"/>
      <c r="O136" s="16"/>
    </row>
    <row r="137" spans="1:15" x14ac:dyDescent="0.25">
      <c r="N137" s="16"/>
      <c r="O137" s="16"/>
    </row>
    <row r="138" spans="1:15" x14ac:dyDescent="0.25">
      <c r="N138" s="16"/>
      <c r="O138" s="16"/>
    </row>
    <row r="139" spans="1:15" x14ac:dyDescent="0.25">
      <c r="N139" s="16"/>
      <c r="O139" s="16"/>
    </row>
    <row r="140" spans="1:15" x14ac:dyDescent="0.25">
      <c r="N140" s="16"/>
      <c r="O140" s="16"/>
    </row>
    <row r="141" spans="1:15" x14ac:dyDescent="0.25">
      <c r="N141" s="16"/>
      <c r="O141" s="16"/>
    </row>
    <row r="142" spans="1:15" x14ac:dyDescent="0.25">
      <c r="N142" s="16"/>
      <c r="O142" s="16"/>
    </row>
    <row r="143" spans="1:15" x14ac:dyDescent="0.25">
      <c r="N143" s="16"/>
      <c r="O143" s="16"/>
    </row>
    <row r="144" spans="1:15" x14ac:dyDescent="0.25">
      <c r="N144" s="16"/>
      <c r="O144" s="16"/>
    </row>
    <row r="145" spans="14:15" x14ac:dyDescent="0.25">
      <c r="N145" s="16"/>
      <c r="O145" s="16"/>
    </row>
    <row r="146" spans="14:15" x14ac:dyDescent="0.25">
      <c r="N146" s="16"/>
      <c r="O146" s="16"/>
    </row>
    <row r="147" spans="14:15" x14ac:dyDescent="0.25">
      <c r="N147" s="16"/>
      <c r="O147" s="16"/>
    </row>
  </sheetData>
  <mergeCells count="2">
    <mergeCell ref="D6:E7"/>
    <mergeCell ref="N7:O7"/>
  </mergeCells>
  <pageMargins left="0.7" right="0.7" top="0.75" bottom="0.75" header="0.3" footer="0.3"/>
  <pageSetup scale="31" fitToHeight="14" orientation="portrait" r:id="rId1"/>
  <ignoredErrors>
    <ignoredError sqref="E4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2018-11-15T08:00:00+00:00</OpenedDate>
    <SignificantOrder xmlns="dc463f71-b30c-4ab2-9473-d307f9d35888">false</SignificantOrder>
    <Date1 xmlns="dc463f71-b30c-4ab2-9473-d307f9d35888">2018-11-15T08:00:00+00:00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180948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46B56EB7AF974F9DC9031AA1DD387C" ma:contentTypeVersion="76" ma:contentTypeDescription="" ma:contentTypeScope="" ma:versionID="0890ece03fa6bd2dd112b263f7db01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13782C-6A22-4CAC-95A8-12F75B9F7791}"/>
</file>

<file path=customXml/itemProps2.xml><?xml version="1.0" encoding="utf-8"?>
<ds:datastoreItem xmlns:ds="http://schemas.openxmlformats.org/officeDocument/2006/customXml" ds:itemID="{8D05E8B0-BE81-460F-84B8-3C0E1E308716}"/>
</file>

<file path=customXml/itemProps3.xml><?xml version="1.0" encoding="utf-8"?>
<ds:datastoreItem xmlns:ds="http://schemas.openxmlformats.org/officeDocument/2006/customXml" ds:itemID="{8CDDC455-1B6C-4CCA-98F7-08DFA6C4C3E6}"/>
</file>

<file path=customXml/itemProps4.xml><?xml version="1.0" encoding="utf-8"?>
<ds:datastoreItem xmlns:ds="http://schemas.openxmlformats.org/officeDocument/2006/customXml" ds:itemID="{E5D797E6-1C41-49EE-B0A8-07AA8872EC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per lb increase</vt:lpstr>
      <vt:lpstr>Calculation</vt:lpstr>
      <vt:lpstr>Calculation!Print_Area</vt:lpstr>
      <vt:lpstr>'per lb increase'!Print_Area</vt:lpstr>
      <vt:lpstr>Calculation!Print_Titles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Amber Jones</cp:lastModifiedBy>
  <cp:lastPrinted>2018-11-15T17:13:26Z</cp:lastPrinted>
  <dcterms:created xsi:type="dcterms:W3CDTF">2012-05-01T23:17:21Z</dcterms:created>
  <dcterms:modified xsi:type="dcterms:W3CDTF">2018-11-15T17:13:49Z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0x0101006E56B4D1795A2E4DB2F0B01679ED314A009F46B56EB7AF974F9DC9031AA1DD387C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