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48" yWindow="324" windowWidth="14688" windowHeight="7272" tabRatio="818"/>
  </bookViews>
  <sheets>
    <sheet name="Amort Balances Tracker-1" sheetId="69" r:id="rId1"/>
    <sheet name="Amort Rates Tracker-2" sheetId="39" r:id="rId2"/>
    <sheet name="Forecast Tracker-3" sheetId="72" r:id="rId3"/>
    <sheet name="Amort Cust Impact Tracker-4" sheetId="33" r:id="rId4"/>
    <sheet name="Amort Rev Impact Tracker-5" sheetId="56" r:id="rId5"/>
  </sheets>
  <calcPr calcId="145621"/>
</workbook>
</file>

<file path=xl/calcChain.xml><?xml version="1.0" encoding="utf-8"?>
<calcChain xmlns="http://schemas.openxmlformats.org/spreadsheetml/2006/main">
  <c r="B2" i="56" l="1"/>
  <c r="A2" i="33"/>
  <c r="A2" i="72"/>
  <c r="C6" i="72" l="1"/>
  <c r="D6" i="72" s="1"/>
  <c r="E6" i="72" s="1"/>
  <c r="F6" i="72" s="1"/>
  <c r="G6" i="72" s="1"/>
  <c r="H6" i="72" s="1"/>
  <c r="I6" i="72" s="1"/>
  <c r="J6" i="72" s="1"/>
  <c r="K6" i="72" s="1"/>
  <c r="L6" i="72" s="1"/>
  <c r="M6" i="72" s="1"/>
  <c r="N6" i="72" s="1"/>
  <c r="O6" i="72" s="1"/>
  <c r="O23" i="72" s="1"/>
  <c r="A13" i="69"/>
  <c r="A18" i="69" s="1"/>
  <c r="A19" i="69" s="1"/>
  <c r="A20" i="69" s="1"/>
  <c r="A22" i="69" s="1"/>
  <c r="A26" i="69" s="1"/>
  <c r="A29" i="69" s="1"/>
  <c r="A30" i="69" s="1"/>
  <c r="A31" i="69" s="1"/>
  <c r="A36" i="69" s="1"/>
  <c r="A37" i="69" s="1"/>
  <c r="A38" i="69" s="1"/>
  <c r="A44" i="69" s="1"/>
  <c r="A45" i="69" s="1"/>
  <c r="A46" i="69" s="1"/>
  <c r="A47" i="69" s="1"/>
  <c r="A48" i="69" s="1"/>
  <c r="A12" i="69"/>
  <c r="M23" i="72" l="1"/>
  <c r="I23" i="72"/>
  <c r="E23" i="72"/>
  <c r="D23" i="72"/>
  <c r="L23" i="72"/>
  <c r="H23" i="72"/>
  <c r="K23" i="72"/>
  <c r="G23" i="72"/>
  <c r="N23" i="72"/>
  <c r="J23" i="72"/>
  <c r="F23" i="72"/>
  <c r="B10" i="39" l="1"/>
  <c r="C17" i="56" l="1"/>
  <c r="C16" i="56"/>
  <c r="C15" i="56"/>
  <c r="C14" i="56"/>
  <c r="C13" i="56"/>
  <c r="C12" i="56"/>
  <c r="C11" i="56"/>
  <c r="C23" i="39" l="1"/>
  <c r="D17" i="33"/>
  <c r="D12" i="33"/>
  <c r="D13" i="33"/>
  <c r="D18" i="33"/>
  <c r="D22" i="33"/>
  <c r="D23" i="33"/>
  <c r="D24" i="33"/>
  <c r="A13" i="33"/>
  <c r="A14" i="33" s="1"/>
  <c r="A17" i="33" s="1"/>
  <c r="A18" i="33" s="1"/>
  <c r="A19" i="33" s="1"/>
  <c r="A22" i="33" s="1"/>
  <c r="A23" i="33" s="1"/>
  <c r="A24" i="33" s="1"/>
  <c r="A25" i="33" s="1"/>
  <c r="A26" i="33" s="1"/>
  <c r="B11" i="39" l="1"/>
  <c r="B13" i="39" s="1"/>
  <c r="B14" i="39" l="1"/>
  <c r="B16" i="39" s="1"/>
  <c r="B17" i="39" s="1"/>
  <c r="B19" i="39" s="1"/>
  <c r="B22" i="39" s="1"/>
  <c r="B23" i="39" s="1"/>
  <c r="B24" i="39" s="1"/>
  <c r="B25" i="39" s="1"/>
  <c r="B26" i="39" s="1"/>
  <c r="B29" i="39" s="1"/>
  <c r="B30" i="39" s="1"/>
  <c r="B31" i="39" s="1"/>
  <c r="B32" i="39" s="1"/>
  <c r="B33" i="39" s="1"/>
  <c r="B34" i="39" s="1"/>
  <c r="B35" i="39" s="1"/>
  <c r="B36" i="39" s="1"/>
  <c r="B37" i="39" s="1"/>
  <c r="F18" i="56" l="1"/>
  <c r="P12" i="72" l="1"/>
  <c r="H20" i="72"/>
  <c r="J8" i="39" s="1"/>
  <c r="L14" i="72"/>
  <c r="P7" i="72"/>
  <c r="C20" i="72"/>
  <c r="D14" i="72"/>
  <c r="O26" i="72"/>
  <c r="O38" i="72" s="1"/>
  <c r="P30" i="72"/>
  <c r="I18" i="33" s="1"/>
  <c r="K14" i="72"/>
  <c r="C14" i="72"/>
  <c r="N26" i="72"/>
  <c r="N38" i="72" s="1"/>
  <c r="P25" i="72"/>
  <c r="I12" i="33" s="1"/>
  <c r="P13" i="72"/>
  <c r="I20" i="72"/>
  <c r="K8" i="39" s="1"/>
  <c r="P11" i="72"/>
  <c r="G20" i="72"/>
  <c r="I8" i="39" s="1"/>
  <c r="N14" i="72"/>
  <c r="J14" i="72"/>
  <c r="F14" i="72"/>
  <c r="B14" i="72"/>
  <c r="M26" i="72"/>
  <c r="M38" i="72" s="1"/>
  <c r="I26" i="72"/>
  <c r="I38" i="72" s="1"/>
  <c r="E26" i="72"/>
  <c r="E38" i="72" s="1"/>
  <c r="P29" i="72"/>
  <c r="I17" i="33" s="1"/>
  <c r="H14" i="72"/>
  <c r="K26" i="72"/>
  <c r="K38" i="72" s="1"/>
  <c r="G26" i="72"/>
  <c r="G38" i="72" s="1"/>
  <c r="E20" i="72"/>
  <c r="G8" i="39" s="1"/>
  <c r="P9" i="72"/>
  <c r="O14" i="72"/>
  <c r="G14" i="72"/>
  <c r="J26" i="72"/>
  <c r="J38" i="72" s="1"/>
  <c r="F26" i="72"/>
  <c r="F38" i="72" s="1"/>
  <c r="P35" i="72"/>
  <c r="I23" i="33" s="1"/>
  <c r="F20" i="72"/>
  <c r="H8" i="39" s="1"/>
  <c r="P10" i="72"/>
  <c r="M14" i="72"/>
  <c r="I14" i="72"/>
  <c r="E14" i="72"/>
  <c r="L26" i="72"/>
  <c r="L38" i="72" s="1"/>
  <c r="H26" i="72"/>
  <c r="H38" i="72" s="1"/>
  <c r="P8" i="72"/>
  <c r="D26" i="72"/>
  <c r="D20" i="72"/>
  <c r="F8" i="39" s="1"/>
  <c r="P36" i="72"/>
  <c r="I24" i="33" s="1"/>
  <c r="P34" i="72"/>
  <c r="I19" i="33" l="1"/>
  <c r="P26" i="72"/>
  <c r="I13" i="33" s="1"/>
  <c r="I14" i="33" s="1"/>
  <c r="D38" i="72"/>
  <c r="E13" i="56"/>
  <c r="H17" i="33"/>
  <c r="E17" i="56"/>
  <c r="H24" i="33"/>
  <c r="H23" i="33"/>
  <c r="E16" i="56"/>
  <c r="I22" i="33"/>
  <c r="I25" i="33" s="1"/>
  <c r="P38" i="72"/>
  <c r="I11" i="39"/>
  <c r="I23" i="39"/>
  <c r="E8" i="39"/>
  <c r="J20" i="72"/>
  <c r="H13" i="33"/>
  <c r="E12" i="56"/>
  <c r="G23" i="39"/>
  <c r="G11" i="39"/>
  <c r="E11" i="56"/>
  <c r="P14" i="72"/>
  <c r="H12" i="33"/>
  <c r="E14" i="56"/>
  <c r="H18" i="33"/>
  <c r="F23" i="39"/>
  <c r="F11" i="39"/>
  <c r="H23" i="39"/>
  <c r="H11" i="39"/>
  <c r="P16" i="72"/>
  <c r="E15" i="56"/>
  <c r="H22" i="33"/>
  <c r="K11" i="39"/>
  <c r="K23" i="39"/>
  <c r="J11" i="39"/>
  <c r="J23" i="39"/>
  <c r="I26" i="33" l="1"/>
  <c r="H19" i="33"/>
  <c r="H25" i="33"/>
  <c r="H14" i="33"/>
  <c r="E23" i="39"/>
  <c r="E11" i="39"/>
  <c r="D11" i="39" s="1"/>
  <c r="D8" i="39"/>
  <c r="E18" i="56"/>
  <c r="H26" i="33" l="1"/>
  <c r="D23" i="39"/>
  <c r="C13" i="69" l="1"/>
  <c r="E30" i="69" l="1"/>
  <c r="E20" i="69" l="1"/>
  <c r="C19" i="69" l="1"/>
  <c r="D30" i="69"/>
  <c r="C30" i="69" l="1"/>
  <c r="C37" i="69" s="1"/>
  <c r="D22" i="39" s="1"/>
  <c r="D24" i="39" s="1"/>
  <c r="D29" i="69"/>
  <c r="C18" i="69"/>
  <c r="D20" i="69"/>
  <c r="C29" i="69" l="1"/>
  <c r="C20" i="69"/>
  <c r="C22" i="69" s="1"/>
  <c r="D31" i="69"/>
  <c r="G24" i="39"/>
  <c r="H24" i="39"/>
  <c r="F24" i="39"/>
  <c r="K24" i="39"/>
  <c r="E24" i="39"/>
  <c r="J24" i="39"/>
  <c r="I24" i="39"/>
  <c r="K25" i="39" l="1"/>
  <c r="K30" i="39"/>
  <c r="I30" i="39"/>
  <c r="I25" i="39"/>
  <c r="J30" i="39"/>
  <c r="J25" i="39"/>
  <c r="H30" i="39"/>
  <c r="H25" i="39"/>
  <c r="F30" i="39"/>
  <c r="F26" i="39"/>
  <c r="F25" i="39"/>
  <c r="E30" i="39"/>
  <c r="E25" i="39"/>
  <c r="G30" i="39"/>
  <c r="G25" i="39"/>
  <c r="C36" i="69"/>
  <c r="E29" i="69"/>
  <c r="C31" i="69"/>
  <c r="C38" i="69" l="1"/>
  <c r="D13" i="39"/>
  <c r="E31" i="69"/>
  <c r="D25" i="39"/>
  <c r="I13" i="39" l="1"/>
  <c r="J13" i="39"/>
  <c r="K13" i="39"/>
  <c r="F13" i="39"/>
  <c r="H13" i="39"/>
  <c r="E13" i="39"/>
  <c r="G13" i="39"/>
  <c r="H14" i="39" l="1"/>
  <c r="H16" i="39"/>
  <c r="I16" i="39"/>
  <c r="I14" i="39"/>
  <c r="G14" i="39"/>
  <c r="G16" i="39"/>
  <c r="K14" i="39"/>
  <c r="K16" i="39"/>
  <c r="F16" i="39"/>
  <c r="F14" i="39"/>
  <c r="E14" i="39"/>
  <c r="E16" i="39"/>
  <c r="J14" i="39"/>
  <c r="J16" i="39"/>
  <c r="I29" i="39" l="1"/>
  <c r="I31" i="39" s="1"/>
  <c r="I33" i="39" s="1"/>
  <c r="I19" i="39"/>
  <c r="J19" i="39"/>
  <c r="J29" i="39"/>
  <c r="J31" i="39" s="1"/>
  <c r="J33" i="39" s="1"/>
  <c r="F19" i="39"/>
  <c r="F17" i="39"/>
  <c r="F29" i="39"/>
  <c r="F31" i="39" s="1"/>
  <c r="F33" i="39" s="1"/>
  <c r="G29" i="39"/>
  <c r="G31" i="39" s="1"/>
  <c r="G33" i="39" s="1"/>
  <c r="G19" i="39"/>
  <c r="E29" i="39"/>
  <c r="E31" i="39" s="1"/>
  <c r="E33" i="39" s="1"/>
  <c r="E19" i="39"/>
  <c r="K19" i="39"/>
  <c r="K29" i="39"/>
  <c r="K31" i="39" s="1"/>
  <c r="K33" i="39" s="1"/>
  <c r="H19" i="39"/>
  <c r="H29" i="39"/>
  <c r="H31" i="39" s="1"/>
  <c r="H33" i="39" s="1"/>
  <c r="D14" i="39"/>
  <c r="D19" i="39" l="1"/>
  <c r="D14" i="56"/>
  <c r="H36" i="39"/>
  <c r="H37" i="39" s="1"/>
  <c r="E18" i="33"/>
  <c r="E36" i="39"/>
  <c r="E37" i="39" s="1"/>
  <c r="E12" i="33"/>
  <c r="D11" i="56"/>
  <c r="D15" i="56"/>
  <c r="I36" i="39"/>
  <c r="I37" i="39" s="1"/>
  <c r="E22" i="33"/>
  <c r="E24" i="33"/>
  <c r="D17" i="56"/>
  <c r="K36" i="39"/>
  <c r="K37" i="39" s="1"/>
  <c r="G36" i="39"/>
  <c r="G37" i="39" s="1"/>
  <c r="D13" i="56"/>
  <c r="E17" i="33"/>
  <c r="E13" i="33"/>
  <c r="D12" i="56"/>
  <c r="F34" i="39"/>
  <c r="F36" i="39"/>
  <c r="F37" i="39" s="1"/>
  <c r="J36" i="39"/>
  <c r="J37" i="39" s="1"/>
  <c r="E23" i="33"/>
  <c r="D16" i="56"/>
  <c r="G15" i="56" l="1"/>
  <c r="H15" i="56" s="1"/>
  <c r="I15" i="56" s="1"/>
  <c r="G14" i="56"/>
  <c r="H14" i="56" s="1"/>
  <c r="I14" i="56" s="1"/>
  <c r="G16" i="56"/>
  <c r="H16" i="56" s="1"/>
  <c r="I16" i="56" s="1"/>
  <c r="G17" i="56"/>
  <c r="H17" i="56" s="1"/>
  <c r="I17" i="56" s="1"/>
  <c r="G12" i="56"/>
  <c r="H12" i="56" s="1"/>
  <c r="I12" i="56" s="1"/>
  <c r="G13" i="56"/>
  <c r="H13" i="56" s="1"/>
  <c r="I13" i="56" s="1"/>
  <c r="G11" i="56"/>
  <c r="H11" i="56" s="1"/>
  <c r="I11" i="56" s="1"/>
  <c r="F13" i="33"/>
  <c r="J13" i="33" s="1"/>
  <c r="K13" i="33" s="1"/>
  <c r="L13" i="33" s="1"/>
  <c r="F12" i="33"/>
  <c r="J12" i="33" s="1"/>
  <c r="K12" i="33" s="1"/>
  <c r="L12" i="33" s="1"/>
  <c r="F18" i="33"/>
  <c r="J18" i="33" s="1"/>
  <c r="K18" i="33" s="1"/>
  <c r="L18" i="33" s="1"/>
  <c r="F23" i="33"/>
  <c r="J23" i="33" s="1"/>
  <c r="K23" i="33" s="1"/>
  <c r="L23" i="33" s="1"/>
  <c r="F24" i="33"/>
  <c r="J24" i="33" s="1"/>
  <c r="K24" i="33" s="1"/>
  <c r="L24" i="33" s="1"/>
  <c r="F17" i="33"/>
  <c r="J17" i="33" s="1"/>
  <c r="F22" i="33"/>
  <c r="J22" i="33" s="1"/>
  <c r="K22" i="33" s="1"/>
  <c r="L22" i="33" s="1"/>
  <c r="J19" i="33" l="1"/>
  <c r="K19" i="33" s="1"/>
  <c r="L19" i="33" s="1"/>
  <c r="J14" i="33"/>
  <c r="K14" i="33" s="1"/>
  <c r="L14" i="33" s="1"/>
  <c r="H18" i="56"/>
  <c r="G18" i="56" s="1"/>
  <c r="J25" i="33"/>
  <c r="K25" i="33" s="1"/>
  <c r="L25" i="33" s="1"/>
  <c r="K17" i="33"/>
  <c r="L17" i="33" s="1"/>
  <c r="I18" i="56" l="1"/>
  <c r="J26" i="33"/>
</calcChain>
</file>

<file path=xl/comments1.xml><?xml version="1.0" encoding="utf-8"?>
<comments xmlns="http://schemas.openxmlformats.org/spreadsheetml/2006/main">
  <authors>
    <author>Janet Phelps</author>
  </authors>
  <commentList>
    <comment ref="C36" authorId="0">
      <text>
        <r>
          <rPr>
            <b/>
            <sz val="8"/>
            <color indexed="81"/>
            <rFont val="Tahoma"/>
            <family val="2"/>
          </rPr>
          <t>Kelly Xu:</t>
        </r>
        <r>
          <rPr>
            <sz val="8"/>
            <color indexed="81"/>
            <rFont val="Tahoma"/>
            <family val="2"/>
          </rPr>
          <t xml:space="preserve">
Balances to collect through Schedule 106 are inputs to Tracker-2. 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D32" authorId="0">
      <text>
        <r>
          <rPr>
            <b/>
            <sz val="10"/>
            <color indexed="81"/>
            <rFont val="Tahoma"/>
            <family val="2"/>
          </rPr>
          <t>Elena Zakharova:</t>
        </r>
        <r>
          <rPr>
            <sz val="10"/>
            <color indexed="81"/>
            <rFont val="Tahoma"/>
            <family val="2"/>
          </rPr>
          <t xml:space="preserve">
Revenue Adjustment Factor per 2017 GRC compliance filing.</t>
        </r>
      </text>
    </comment>
  </commentList>
</comments>
</file>

<file path=xl/sharedStrings.xml><?xml version="1.0" encoding="utf-8"?>
<sst xmlns="http://schemas.openxmlformats.org/spreadsheetml/2006/main" count="187" uniqueCount="152">
  <si>
    <t>Page 1 of 1</t>
  </si>
  <si>
    <t>Rate</t>
  </si>
  <si>
    <t>Sales</t>
  </si>
  <si>
    <t>Demand</t>
  </si>
  <si>
    <t>(a)</t>
  </si>
  <si>
    <t>(b)</t>
  </si>
  <si>
    <t>(c)</t>
  </si>
  <si>
    <t>(d)</t>
  </si>
  <si>
    <t>Total</t>
  </si>
  <si>
    <t>Schedule</t>
  </si>
  <si>
    <t>Puget Sound Energy</t>
  </si>
  <si>
    <t>Line</t>
  </si>
  <si>
    <t>Residential</t>
  </si>
  <si>
    <t>Commercial and Industrial</t>
  </si>
  <si>
    <t>Large Volume</t>
  </si>
  <si>
    <t>(e)</t>
  </si>
  <si>
    <t>(g)</t>
  </si>
  <si>
    <t>(h)</t>
  </si>
  <si>
    <t>Rates</t>
  </si>
  <si>
    <t>Change</t>
  </si>
  <si>
    <t>(f)</t>
  </si>
  <si>
    <t>PGA Period</t>
  </si>
  <si>
    <t>Change Per Customer</t>
  </si>
  <si>
    <t>Annual</t>
  </si>
  <si>
    <t>Monthly</t>
  </si>
  <si>
    <t>g = (f) / (e)</t>
  </si>
  <si>
    <t>h = (g) / 12</t>
  </si>
  <si>
    <t>Commercial &amp; Industrial</t>
  </si>
  <si>
    <t>Average</t>
  </si>
  <si>
    <t>Annual Sales Volume</t>
  </si>
  <si>
    <t>Schedule:</t>
  </si>
  <si>
    <t>Annual Sales:</t>
  </si>
  <si>
    <t>Percent Change</t>
  </si>
  <si>
    <t>Description</t>
  </si>
  <si>
    <t>Revenue Under Proposed Rates</t>
  </si>
  <si>
    <t>Revenue</t>
  </si>
  <si>
    <t>Calculation of Amortization Demand Rates</t>
  </si>
  <si>
    <t>Calculation of Amortization Commodity Rates</t>
  </si>
  <si>
    <t>Proposed Total Rates</t>
  </si>
  <si>
    <t>Projected Annual Commodity Balance</t>
  </si>
  <si>
    <t>Total Proposed Amortization Rates</t>
  </si>
  <si>
    <t>Calculation of Proposed Schedule 106 Rates</t>
  </si>
  <si>
    <t>Total Residential</t>
  </si>
  <si>
    <t>Total Commercial &amp; Industrial</t>
  </si>
  <si>
    <t>Current</t>
  </si>
  <si>
    <t>Proposed</t>
  </si>
  <si>
    <t>Total Annual</t>
  </si>
  <si>
    <t xml:space="preserve">Total </t>
  </si>
  <si>
    <t>Volume (therms)</t>
  </si>
  <si>
    <t>Rate Sch</t>
  </si>
  <si>
    <t>Projected Sales Volume by Month (Therms)</t>
  </si>
  <si>
    <t>Estimated Annual and Monthly Customer Impact for PGA Period</t>
  </si>
  <si>
    <t xml:space="preserve">Exhibit____(Tracker-4)  </t>
  </si>
  <si>
    <t xml:space="preserve">Exhibit____(Tracker-5)   </t>
  </si>
  <si>
    <t>Schedule 106</t>
  </si>
  <si>
    <t>Revenue Adjustment Factor (RAF)</t>
  </si>
  <si>
    <t>Schedule 106 Rates Including RAF</t>
  </si>
  <si>
    <t>Current Rates Including RAF (Schedule 106)</t>
  </si>
  <si>
    <t xml:space="preserve">Net Change </t>
  </si>
  <si>
    <t xml:space="preserve">Percent </t>
  </si>
  <si>
    <t>Rate Class</t>
  </si>
  <si>
    <t>$ / therm</t>
  </si>
  <si>
    <t xml:space="preserve">$ </t>
  </si>
  <si>
    <t>A</t>
  </si>
  <si>
    <t>B</t>
  </si>
  <si>
    <t>C</t>
  </si>
  <si>
    <t>E</t>
  </si>
  <si>
    <t>F</t>
  </si>
  <si>
    <t>Residential (16)</t>
  </si>
  <si>
    <t>Large volume (41)</t>
  </si>
  <si>
    <t>Interruptible (85)</t>
  </si>
  <si>
    <t>Limited interruptible (86)</t>
  </si>
  <si>
    <t>Non exclusive interruptible (87)</t>
  </si>
  <si>
    <t>Interruptible</t>
  </si>
  <si>
    <t>Residential (23)</t>
  </si>
  <si>
    <t>Estimated Impact of Schedule 106 Change on Total Bills</t>
  </si>
  <si>
    <t>Total Interruptible</t>
  </si>
  <si>
    <t>Transportation</t>
  </si>
  <si>
    <t>Commercial &amp; industrial (31)</t>
  </si>
  <si>
    <t>Customers (1)</t>
  </si>
  <si>
    <t>(1) Average customers for schedule 16 is the average numbers of mantles</t>
  </si>
  <si>
    <t>c = (b) - (a)</t>
  </si>
  <si>
    <t>f = (c) * (d)</t>
  </si>
  <si>
    <t>Forecasted Sales Volumes and Customer Counts</t>
  </si>
  <si>
    <t>Number of Customers by Month</t>
  </si>
  <si>
    <t>16 (1)</t>
  </si>
  <si>
    <t>(1) Number of mantles</t>
  </si>
  <si>
    <t>Forecasted</t>
  </si>
  <si>
    <t>Volume (Therms)</t>
  </si>
  <si>
    <t>Revenue at</t>
  </si>
  <si>
    <t>Unit Demand Costs from Cost Study (1)</t>
  </si>
  <si>
    <t>Projected Annual Demand Balance (2)</t>
  </si>
  <si>
    <t>Proposed Total Demand Amortization Revenue</t>
  </si>
  <si>
    <t>Estimated PGA Revenue Under Cost of Service Rates (line 1 x line 3)</t>
  </si>
  <si>
    <t>D</t>
  </si>
  <si>
    <t>G=D*F</t>
  </si>
  <si>
    <t>H=G/E</t>
  </si>
  <si>
    <t>Current Rates (1)</t>
  </si>
  <si>
    <t>Percent of Total Demand Balance</t>
  </si>
  <si>
    <t>Proposed Demand Amortization Rates (line 4 / line 1)</t>
  </si>
  <si>
    <t>Proposed Schedule 16 rate per Mantle (line 6 x 19)</t>
  </si>
  <si>
    <t>Proposed Commodity Rates (line 9 / line 10)</t>
  </si>
  <si>
    <t>Schedule 16 Rate per Mantle (line 11 x 19)</t>
  </si>
  <si>
    <t>Proposed Demand Amortization Rates (line 6)</t>
  </si>
  <si>
    <t>Proposed Commodity Amortization Rates (line 11)</t>
  </si>
  <si>
    <t>Proposed Total Rates Including RAF (line 16 x (1 + line 17))</t>
  </si>
  <si>
    <t>Schedule 16 Rate per Mantle (line 18 x 19)</t>
  </si>
  <si>
    <t>Proposed Change Including RAF (line 18 - line 20)</t>
  </si>
  <si>
    <t>(2) Allocated based on line 3</t>
  </si>
  <si>
    <t>Allocation and Transfer of Amortization Balances</t>
  </si>
  <si>
    <t>Estimated Demand Amortization Balance</t>
  </si>
  <si>
    <t>Estimated Commodity Amortization Balance</t>
  </si>
  <si>
    <t>Estimated Total Amortization Balance</t>
  </si>
  <si>
    <t>Interest</t>
  </si>
  <si>
    <t>Current Balance</t>
  </si>
  <si>
    <t>Estimated Demand Balance</t>
  </si>
  <si>
    <t>Estimated Commodity Balance</t>
  </si>
  <si>
    <t>Estimated Current Period Balance</t>
  </si>
  <si>
    <t>Net Under (Over) Collection (Line 3 + Line 6)</t>
  </si>
  <si>
    <t>Transfer from Current and Interest Accounts to Amortization Accounts</t>
  </si>
  <si>
    <t>Portion of Current Demand to Transfer to Amortization Account (1)</t>
  </si>
  <si>
    <t xml:space="preserve">Commodity </t>
  </si>
  <si>
    <t>Demand (line 1 + line 9)</t>
  </si>
  <si>
    <t>Commodity (line 2 + line 10)</t>
  </si>
  <si>
    <t>Average Monthly</t>
  </si>
  <si>
    <t>Balance</t>
  </si>
  <si>
    <t>Ending Balance</t>
  </si>
  <si>
    <t>Current Demand Balance</t>
  </si>
  <si>
    <t>Current Commodity Balance</t>
  </si>
  <si>
    <t>Amortization Account</t>
  </si>
  <si>
    <t>Supplemental Amortization Account</t>
  </si>
  <si>
    <t>Total 191 Balance</t>
  </si>
  <si>
    <t>Exhibit ___ (Tracker -1)</t>
  </si>
  <si>
    <t>Sources: Schedule 106; Exhibit Tracker 1</t>
  </si>
  <si>
    <t>Sources: Rate Schedule 106; Exhibit Tracker-2</t>
  </si>
  <si>
    <r>
      <t xml:space="preserve">PGA Deferral Amortization (Tracker) Filing Proposed Effective </t>
    </r>
    <r>
      <rPr>
        <b/>
        <sz val="12"/>
        <color rgb="FF0000FF"/>
        <rFont val="Arial"/>
        <family val="2"/>
      </rPr>
      <t>November 1, 2018</t>
    </r>
  </si>
  <si>
    <r>
      <t xml:space="preserve">Projected Volume </t>
    </r>
    <r>
      <rPr>
        <sz val="10"/>
        <color rgb="FF0000FF"/>
        <rFont val="Arial"/>
        <family val="2"/>
      </rPr>
      <t>Nov. 18 - Oct. 19</t>
    </r>
    <r>
      <rPr>
        <sz val="10"/>
        <rFont val="Arial"/>
        <family val="2"/>
      </rPr>
      <t xml:space="preserve"> (therms)</t>
    </r>
  </si>
  <si>
    <r>
      <t xml:space="preserve">PGA Tracker Filing Proposed Effective </t>
    </r>
    <r>
      <rPr>
        <b/>
        <sz val="12"/>
        <color rgb="FF0000FF"/>
        <rFont val="Arial"/>
        <family val="2"/>
      </rPr>
      <t>November 1, 2018</t>
    </r>
  </si>
  <si>
    <t>Nov 18 - Oct 19</t>
  </si>
  <si>
    <t>Nov18 - Oct19</t>
  </si>
  <si>
    <t>2018 PGA</t>
  </si>
  <si>
    <t>Oct. 2019</t>
  </si>
  <si>
    <r>
      <t xml:space="preserve">Projected 191 Balances </t>
    </r>
    <r>
      <rPr>
        <b/>
        <sz val="10"/>
        <color rgb="FF0000FF"/>
        <rFont val="Arial"/>
        <family val="2"/>
      </rPr>
      <t>Nov 18 - Oct 19</t>
    </r>
  </si>
  <si>
    <r>
      <t>Estimated Current Period Balance as of</t>
    </r>
    <r>
      <rPr>
        <b/>
        <sz val="10"/>
        <color rgb="FF0000FF"/>
        <rFont val="Arial"/>
        <family val="2"/>
      </rPr>
      <t xml:space="preserve"> Oct 31, 2018</t>
    </r>
  </si>
  <si>
    <r>
      <t xml:space="preserve">Balance To Collect Through Schedule 106 Amortization Rates in </t>
    </r>
    <r>
      <rPr>
        <b/>
        <sz val="10"/>
        <color rgb="FF0000FF"/>
        <rFont val="Arial"/>
        <family val="2"/>
      </rPr>
      <t xml:space="preserve">2018 PGA </t>
    </r>
  </si>
  <si>
    <r>
      <t xml:space="preserve">Estimated Amortization Balance as of </t>
    </r>
    <r>
      <rPr>
        <b/>
        <sz val="10"/>
        <color rgb="FF0000FF"/>
        <rFont val="Arial"/>
        <family val="2"/>
      </rPr>
      <t>Oct 31, 2018</t>
    </r>
  </si>
  <si>
    <t>Advice No. 2018-38</t>
  </si>
  <si>
    <t xml:space="preserve">(1)  None of the PGA demand balance is transferred to the amortization account because an under-collected balance is expected at the end of October due to the cyclical nature of demand gas cost recoveries relative to cost incurrence.  </t>
  </si>
  <si>
    <t>(1) 2017 GRC cost of service study (UG-170043)</t>
  </si>
  <si>
    <t>Advice No. 2018 - 38</t>
  </si>
  <si>
    <t xml:space="preserve">Source: F2018 Forecast Customer counts and delivered volumes </t>
  </si>
  <si>
    <t>(1) Forecasted revenue at the rates in effect May 1, 2018 for the 12 months ended October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</si>
</sst>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%"/>
    <numFmt numFmtId="167" formatCode="_(* #,##0_);_(* \(#,##0\);_(* &quot;-&quot;??_);_(@_)"/>
    <numFmt numFmtId="168" formatCode="_(&quot;$&quot;* #,##0.00000_);_(&quot;$&quot;* \(#,##0.00000\);_(&quot;$&quot;* &quot;-&quot;??_);_(@_)"/>
    <numFmt numFmtId="169" formatCode="0.0%"/>
    <numFmt numFmtId="170" formatCode="&quot;$&quot;#,##0.00000_);[Red]\(&quot;$&quot;#,##0.00000\)"/>
    <numFmt numFmtId="171" formatCode="_(&quot;$&quot;* #,##0.00000_);_(&quot;$&quot;* \(#,##0.00000\);_(&quot;$&quot;* &quot;-&quot;?????_);_(@_)"/>
    <numFmt numFmtId="172" formatCode="_(&quot;$&quot;* #,##0.00_);_(&quot;$&quot;* \(#,##0.00\);_(&quot;$&quot;* &quot;-&quot;_);_(@_)"/>
    <numFmt numFmtId="173" formatCode="0.000000%"/>
    <numFmt numFmtId="174" formatCode="#,##0.000_);\(#,##0.000\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10"/>
      <color indexed="21"/>
      <name val="Arial"/>
      <family val="2"/>
    </font>
    <font>
      <i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2"/>
      <color theme="1"/>
      <name val="Arial"/>
      <family val="2"/>
    </font>
    <font>
      <b/>
      <sz val="12"/>
      <color rgb="FF00808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2" applyNumberFormat="0">
      <alignment horizontal="center" vertical="center" wrapText="1"/>
    </xf>
  </cellStyleXfs>
  <cellXfs count="219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169" fontId="0" fillId="0" borderId="0" xfId="0" applyNumberFormat="1" applyFont="1"/>
    <xf numFmtId="42" fontId="0" fillId="0" borderId="0" xfId="0" applyNumberFormat="1"/>
    <xf numFmtId="0" fontId="3" fillId="0" borderId="0" xfId="0" applyFont="1"/>
    <xf numFmtId="0" fontId="0" fillId="0" borderId="0" xfId="0" applyFill="1"/>
    <xf numFmtId="0" fontId="2" fillId="0" borderId="7" xfId="0" applyFont="1" applyBorder="1"/>
    <xf numFmtId="0" fontId="2" fillId="0" borderId="2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centerContinuous"/>
    </xf>
    <xf numFmtId="0" fontId="0" fillId="0" borderId="0" xfId="0" applyAlignment="1"/>
    <xf numFmtId="0" fontId="0" fillId="0" borderId="0" xfId="0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/>
    <xf numFmtId="171" fontId="0" fillId="0" borderId="0" xfId="0" applyNumberForma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3" fontId="0" fillId="0" borderId="0" xfId="0" applyNumberFormat="1"/>
    <xf numFmtId="44" fontId="0" fillId="0" borderId="0" xfId="0" applyNumberFormat="1"/>
    <xf numFmtId="171" fontId="0" fillId="0" borderId="3" xfId="0" applyNumberFormat="1" applyBorder="1"/>
    <xf numFmtId="0" fontId="12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38" fontId="2" fillId="0" borderId="0" xfId="0" applyNumberFormat="1" applyFont="1" applyFill="1" applyAlignment="1">
      <alignment horizontal="right"/>
    </xf>
    <xf numFmtId="171" fontId="11" fillId="0" borderId="0" xfId="0" applyNumberFormat="1" applyFont="1" applyFill="1"/>
    <xf numFmtId="171" fontId="2" fillId="0" borderId="0" xfId="0" applyNumberFormat="1" applyFont="1" applyFill="1"/>
    <xf numFmtId="171" fontId="2" fillId="0" borderId="0" xfId="0" applyNumberFormat="1" applyFont="1" applyFill="1"/>
    <xf numFmtId="170" fontId="2" fillId="0" borderId="0" xfId="0" applyNumberFormat="1" applyFont="1" applyFill="1"/>
    <xf numFmtId="4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/>
    <xf numFmtId="38" fontId="2" fillId="0" borderId="1" xfId="0" applyNumberFormat="1" applyFont="1" applyFill="1" applyBorder="1" applyAlignment="1">
      <alignment horizontal="right"/>
    </xf>
    <xf numFmtId="4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42" fontId="2" fillId="0" borderId="0" xfId="0" applyNumberFormat="1" applyFont="1" applyFill="1" applyAlignment="1">
      <alignment horizontal="centerContinuous"/>
    </xf>
    <xf numFmtId="6" fontId="7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3" fillId="0" borderId="0" xfId="0" applyFont="1" applyFill="1"/>
    <xf numFmtId="6" fontId="2" fillId="0" borderId="0" xfId="0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1" fontId="8" fillId="0" borderId="0" xfId="0" applyNumberFormat="1" applyFont="1" applyFill="1"/>
    <xf numFmtId="172" fontId="2" fillId="0" borderId="1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8" fontId="2" fillId="0" borderId="0" xfId="0" applyNumberFormat="1" applyFont="1" applyFill="1"/>
    <xf numFmtId="38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38" fontId="2" fillId="0" borderId="2" xfId="0" applyNumberFormat="1" applyFont="1" applyBorder="1" applyAlignment="1">
      <alignment horizontal="center"/>
    </xf>
    <xf numFmtId="6" fontId="2" fillId="0" borderId="0" xfId="0" applyNumberFormat="1" applyFont="1" applyFill="1" applyBorder="1" applyAlignment="1">
      <alignment horizontal="centerContinuous"/>
    </xf>
    <xf numFmtId="38" fontId="2" fillId="0" borderId="2" xfId="0" applyNumberFormat="1" applyFont="1" applyFill="1" applyBorder="1" applyAlignment="1">
      <alignment horizontal="center"/>
    </xf>
    <xf numFmtId="6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38" fontId="2" fillId="0" borderId="2" xfId="0" applyNumberFormat="1" applyFont="1" applyFill="1" applyBorder="1" applyAlignment="1">
      <alignment horizontal="centerContinuous"/>
    </xf>
    <xf numFmtId="0" fontId="2" fillId="0" borderId="2" xfId="0" applyFont="1" applyFill="1" applyBorder="1"/>
    <xf numFmtId="44" fontId="2" fillId="0" borderId="2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/>
    <xf numFmtId="0" fontId="12" fillId="0" borderId="0" xfId="0" applyFont="1" applyFill="1"/>
    <xf numFmtId="0" fontId="10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10" fillId="0" borderId="0" xfId="0" applyFont="1" applyFill="1"/>
    <xf numFmtId="3" fontId="14" fillId="0" borderId="0" xfId="0" applyNumberFormat="1" applyFont="1"/>
    <xf numFmtId="171" fontId="14" fillId="0" borderId="0" xfId="0" applyNumberFormat="1" applyFont="1" applyFill="1"/>
    <xf numFmtId="38" fontId="14" fillId="0" borderId="0" xfId="0" applyNumberFormat="1" applyFont="1" applyFill="1" applyAlignment="1">
      <alignment horizontal="right"/>
    </xf>
    <xf numFmtId="171" fontId="14" fillId="0" borderId="0" xfId="0" applyNumberFormat="1" applyFont="1"/>
    <xf numFmtId="169" fontId="1" fillId="0" borderId="0" xfId="0" applyNumberFormat="1" applyFont="1"/>
    <xf numFmtId="0" fontId="2" fillId="0" borderId="11" xfId="0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horizontal="center" vertical="center" textRotation="18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71" fontId="15" fillId="0" borderId="0" xfId="0" applyNumberFormat="1" applyFont="1" applyFill="1"/>
    <xf numFmtId="42" fontId="1" fillId="0" borderId="0" xfId="0" applyNumberFormat="1" applyFont="1"/>
    <xf numFmtId="0" fontId="0" fillId="0" borderId="3" xfId="0" applyBorder="1" applyAlignment="1">
      <alignment horizontal="left"/>
    </xf>
    <xf numFmtId="42" fontId="1" fillId="0" borderId="3" xfId="0" applyNumberFormat="1" applyFont="1" applyBorder="1"/>
    <xf numFmtId="171" fontId="0" fillId="0" borderId="3" xfId="0" applyNumberFormat="1" applyFill="1" applyBorder="1"/>
    <xf numFmtId="167" fontId="1" fillId="0" borderId="3" xfId="0" applyNumberFormat="1" applyFont="1" applyBorder="1"/>
    <xf numFmtId="41" fontId="0" fillId="0" borderId="0" xfId="0" applyNumberFormat="1" applyBorder="1"/>
    <xf numFmtId="167" fontId="1" fillId="0" borderId="0" xfId="0" applyNumberFormat="1" applyFont="1"/>
    <xf numFmtId="42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/>
    <xf numFmtId="0" fontId="0" fillId="0" borderId="0" xfId="0" applyBorder="1" applyAlignment="1">
      <alignment horizontal="left"/>
    </xf>
    <xf numFmtId="3" fontId="15" fillId="0" borderId="0" xfId="0" applyNumberFormat="1" applyFont="1"/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42" fontId="9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37" fontId="9" fillId="0" borderId="0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7" fontId="1" fillId="0" borderId="0" xfId="0" applyNumberFormat="1" applyFont="1" applyFill="1" applyBorder="1"/>
    <xf numFmtId="0" fontId="1" fillId="0" borderId="0" xfId="0" applyFont="1" applyFill="1" applyBorder="1"/>
    <xf numFmtId="171" fontId="20" fillId="0" borderId="0" xfId="0" applyNumberFormat="1" applyFont="1"/>
    <xf numFmtId="0" fontId="19" fillId="0" borderId="0" xfId="0" applyFont="1" applyAlignment="1">
      <alignment horizontal="center"/>
    </xf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/>
    <xf numFmtId="171" fontId="21" fillId="0" borderId="0" xfId="0" applyNumberFormat="1" applyFont="1"/>
    <xf numFmtId="42" fontId="1" fillId="0" borderId="0" xfId="0" applyNumberFormat="1" applyFont="1"/>
    <xf numFmtId="44" fontId="1" fillId="0" borderId="0" xfId="0" applyNumberFormat="1" applyFont="1"/>
    <xf numFmtId="169" fontId="1" fillId="0" borderId="0" xfId="0" applyNumberFormat="1" applyFont="1"/>
    <xf numFmtId="0" fontId="3" fillId="0" borderId="0" xfId="0" applyFont="1"/>
    <xf numFmtId="165" fontId="1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169" fontId="20" fillId="0" borderId="0" xfId="0" applyNumberFormat="1" applyFont="1" applyFill="1"/>
    <xf numFmtId="168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wrapText="1"/>
    </xf>
    <xf numFmtId="0" fontId="1" fillId="0" borderId="0" xfId="0" quotePrefix="1" applyNumberFormat="1" applyFont="1"/>
    <xf numFmtId="17" fontId="1" fillId="0" borderId="0" xfId="0" applyNumberFormat="1" applyFont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/>
    <xf numFmtId="0" fontId="1" fillId="0" borderId="0" xfId="0" applyFont="1" applyAlignment="1">
      <alignment horizontal="center" wrapText="1"/>
    </xf>
    <xf numFmtId="9" fontId="1" fillId="0" borderId="2" xfId="0" applyNumberFormat="1" applyFont="1" applyBorder="1" applyAlignment="1">
      <alignment horizontal="center"/>
    </xf>
    <xf numFmtId="169" fontId="23" fillId="0" borderId="12" xfId="0" applyNumberFormat="1" applyFont="1" applyFill="1" applyBorder="1"/>
    <xf numFmtId="173" fontId="23" fillId="0" borderId="0" xfId="0" applyNumberFormat="1" applyFont="1" applyFill="1" applyBorder="1"/>
    <xf numFmtId="165" fontId="1" fillId="0" borderId="0" xfId="0" applyNumberFormat="1" applyFont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43" fontId="1" fillId="0" borderId="0" xfId="0" applyNumberFormat="1" applyFont="1" applyFill="1"/>
    <xf numFmtId="165" fontId="1" fillId="0" borderId="13" xfId="0" applyNumberFormat="1" applyFont="1" applyFill="1" applyBorder="1"/>
    <xf numFmtId="164" fontId="1" fillId="0" borderId="0" xfId="0" applyNumberFormat="1" applyFont="1" applyFill="1"/>
    <xf numFmtId="165" fontId="1" fillId="0" borderId="12" xfId="0" applyNumberFormat="1" applyFont="1" applyBorder="1"/>
    <xf numFmtId="164" fontId="1" fillId="0" borderId="0" xfId="0" applyNumberFormat="1" applyFont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2" fontId="1" fillId="0" borderId="0" xfId="0" applyNumberFormat="1" applyFont="1" applyFill="1" applyBorder="1"/>
    <xf numFmtId="0" fontId="1" fillId="0" borderId="0" xfId="0" quotePrefix="1" applyFont="1" applyFill="1" applyAlignment="1">
      <alignment horizontal="center" vertical="top"/>
    </xf>
    <xf numFmtId="167" fontId="1" fillId="0" borderId="0" xfId="0" applyNumberFormat="1" applyFont="1" applyFill="1" applyBorder="1"/>
    <xf numFmtId="43" fontId="1" fillId="0" borderId="0" xfId="0" applyNumberFormat="1" applyFont="1" applyFill="1" applyBorder="1"/>
    <xf numFmtId="17" fontId="19" fillId="0" borderId="2" xfId="0" applyNumberFormat="1" applyFont="1" applyFill="1" applyBorder="1" applyAlignment="1">
      <alignment horizontal="center"/>
    </xf>
    <xf numFmtId="17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/>
    <xf numFmtId="0" fontId="19" fillId="0" borderId="0" xfId="0" applyFont="1" applyFill="1" applyAlignment="1">
      <alignment horizontal="center"/>
    </xf>
    <xf numFmtId="37" fontId="1" fillId="0" borderId="0" xfId="0" applyNumberFormat="1" applyFont="1" applyFill="1"/>
    <xf numFmtId="37" fontId="1" fillId="0" borderId="3" xfId="0" applyNumberFormat="1" applyFont="1" applyFill="1" applyBorder="1"/>
    <xf numFmtId="37" fontId="3" fillId="0" borderId="0" xfId="0" applyNumberFormat="1" applyFont="1" applyFill="1"/>
    <xf numFmtId="37" fontId="3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7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9" fontId="1" fillId="0" borderId="0" xfId="0" applyNumberFormat="1" applyFont="1" applyFill="1"/>
    <xf numFmtId="2" fontId="1" fillId="0" borderId="0" xfId="0" applyNumberFormat="1" applyFont="1" applyFill="1"/>
    <xf numFmtId="174" fontId="1" fillId="0" borderId="0" xfId="0" applyNumberFormat="1" applyFont="1" applyFill="1"/>
    <xf numFmtId="174" fontId="1" fillId="0" borderId="0" xfId="0" applyNumberFormat="1" applyFont="1" applyFill="1" applyAlignment="1">
      <alignment horizontal="center"/>
    </xf>
    <xf numFmtId="42" fontId="21" fillId="0" borderId="0" xfId="0" applyNumberFormat="1" applyFont="1" applyFill="1"/>
    <xf numFmtId="0" fontId="25" fillId="0" borderId="0" xfId="0" applyFont="1" applyFill="1" applyAlignment="1">
      <alignment horizontal="centerContinuous"/>
    </xf>
    <xf numFmtId="171" fontId="21" fillId="0" borderId="0" xfId="0" applyNumberFormat="1" applyFont="1" applyFill="1"/>
    <xf numFmtId="0" fontId="19" fillId="0" borderId="2" xfId="0" applyFont="1" applyBorder="1" applyAlignment="1">
      <alignment horizontal="center"/>
    </xf>
    <xf numFmtId="0" fontId="26" fillId="0" borderId="0" xfId="0" applyFont="1" applyFill="1" applyAlignment="1">
      <alignment horizontal="centerContinuous"/>
    </xf>
    <xf numFmtId="0" fontId="22" fillId="0" borderId="0" xfId="0" applyFont="1" applyFill="1"/>
    <xf numFmtId="37" fontId="22" fillId="0" borderId="0" xfId="0" applyNumberFormat="1" applyFont="1" applyFill="1"/>
    <xf numFmtId="0" fontId="19" fillId="0" borderId="0" xfId="0" applyFont="1" applyFill="1" applyBorder="1" applyAlignment="1">
      <alignment horizontal="center" wrapText="1"/>
    </xf>
    <xf numFmtId="0" fontId="22" fillId="0" borderId="0" xfId="0" applyFont="1"/>
    <xf numFmtId="165" fontId="19" fillId="0" borderId="0" xfId="0" applyNumberFormat="1" applyFont="1"/>
    <xf numFmtId="42" fontId="19" fillId="0" borderId="0" xfId="0" applyNumberFormat="1" applyFont="1" applyFill="1" applyBorder="1"/>
    <xf numFmtId="42" fontId="19" fillId="0" borderId="3" xfId="0" applyNumberFormat="1" applyFont="1" applyFill="1" applyBorder="1"/>
    <xf numFmtId="166" fontId="19" fillId="0" borderId="0" xfId="0" applyNumberFormat="1" applyFont="1" applyFill="1" applyBorder="1"/>
    <xf numFmtId="171" fontId="19" fillId="0" borderId="0" xfId="0" applyNumberFormat="1" applyFont="1"/>
    <xf numFmtId="37" fontId="19" fillId="0" borderId="0" xfId="0" applyNumberFormat="1" applyFont="1" applyFill="1" applyBorder="1"/>
    <xf numFmtId="0" fontId="19" fillId="0" borderId="0" xfId="0" applyFont="1" applyFill="1" applyBorder="1"/>
    <xf numFmtId="0" fontId="20" fillId="0" borderId="8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9" xfId="0" applyFont="1" applyFill="1" applyBorder="1"/>
    <xf numFmtId="0" fontId="1" fillId="0" borderId="7" xfId="0" applyFont="1" applyFill="1" applyBorder="1"/>
    <xf numFmtId="0" fontId="1" fillId="0" borderId="5" xfId="0" applyFont="1" applyFill="1" applyBorder="1"/>
    <xf numFmtId="42" fontId="19" fillId="0" borderId="0" xfId="0" applyNumberFormat="1" applyFo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0" xfId="0" applyFont="1" applyAlignment="1">
      <alignment horizontal="left" wrapText="1"/>
    </xf>
    <xf numFmtId="169" fontId="1" fillId="0" borderId="0" xfId="0" applyNumberFormat="1" applyFont="1" applyBorder="1"/>
    <xf numFmtId="169" fontId="1" fillId="0" borderId="3" xfId="0" applyNumberFormat="1" applyFont="1" applyBorder="1"/>
  </cellXfs>
  <cellStyles count="2">
    <cellStyle name="Normal" xfId="0" builtinId="0"/>
    <cellStyle name="Report Heading" xfId="1"/>
  </cellStyles>
  <dxfs count="0"/>
  <tableStyles count="0" defaultTableStyle="TableStyleMedium9" defaultPivotStyle="PivotStyleLight16"/>
  <colors>
    <mruColors>
      <color rgb="FF0000FF"/>
      <color rgb="FF00999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38</xdr:row>
      <xdr:rowOff>0</xdr:rowOff>
    </xdr:from>
    <xdr:to>
      <xdr:col>10</xdr:col>
      <xdr:colOff>666750</xdr:colOff>
      <xdr:row>46</xdr:row>
      <xdr:rowOff>133350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10134600" y="6267450"/>
          <a:ext cx="6096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Advice No. 2018 - 38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Exhibit____(Tracker-2)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1 of 1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39</xdr:row>
      <xdr:rowOff>152400</xdr:rowOff>
    </xdr:from>
    <xdr:to>
      <xdr:col>15</xdr:col>
      <xdr:colOff>819150</xdr:colOff>
      <xdr:row>48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982575" y="6619875"/>
          <a:ext cx="6096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Advice No. 2018 - 38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Exhibit____(Tracker-3)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1 of 1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activeCell="B13" sqref="B13"/>
    </sheetView>
  </sheetViews>
  <sheetFormatPr defaultColWidth="9.109375" defaultRowHeight="13.2" x14ac:dyDescent="0.25"/>
  <cols>
    <col min="1" max="1" width="4" style="124" bestFit="1" customWidth="1"/>
    <col min="2" max="2" width="47" style="136" customWidth="1"/>
    <col min="3" max="3" width="15" style="136" bestFit="1" customWidth="1"/>
    <col min="4" max="4" width="15.44140625" style="136" customWidth="1"/>
    <col min="5" max="5" width="16.44140625" style="136" customWidth="1"/>
    <col min="6" max="6" width="15.33203125" style="136" customWidth="1"/>
    <col min="7" max="7" width="10.6640625" style="136" bestFit="1" customWidth="1"/>
    <col min="8" max="16384" width="9.109375" style="136"/>
  </cols>
  <sheetData>
    <row r="1" spans="1:6" x14ac:dyDescent="0.25">
      <c r="D1" s="204" t="s">
        <v>146</v>
      </c>
      <c r="E1" s="207"/>
      <c r="F1" s="196"/>
    </row>
    <row r="2" spans="1:6" ht="15.6" x14ac:dyDescent="0.3">
      <c r="A2" s="87"/>
      <c r="D2" s="205" t="s">
        <v>132</v>
      </c>
      <c r="E2" s="208"/>
    </row>
    <row r="3" spans="1:6" x14ac:dyDescent="0.25">
      <c r="D3" s="206" t="s">
        <v>0</v>
      </c>
      <c r="E3" s="209"/>
    </row>
    <row r="4" spans="1:6" ht="15.75" customHeight="1" x14ac:dyDescent="0.3">
      <c r="A4" s="150" t="s">
        <v>10</v>
      </c>
      <c r="B4" s="84"/>
      <c r="C4" s="84"/>
      <c r="D4" s="81"/>
      <c r="E4" s="81"/>
    </row>
    <row r="5" spans="1:6" ht="15.75" customHeight="1" x14ac:dyDescent="0.3">
      <c r="A5" s="150" t="s">
        <v>135</v>
      </c>
      <c r="B5" s="81"/>
      <c r="C5" s="84"/>
      <c r="D5" s="81"/>
      <c r="E5" s="81"/>
    </row>
    <row r="6" spans="1:6" ht="15.75" customHeight="1" x14ac:dyDescent="0.3">
      <c r="A6" s="150" t="s">
        <v>109</v>
      </c>
      <c r="B6" s="84"/>
      <c r="C6" s="84"/>
      <c r="D6" s="81"/>
      <c r="E6" s="81"/>
    </row>
    <row r="8" spans="1:6" x14ac:dyDescent="0.25">
      <c r="A8" s="151"/>
      <c r="F8" s="152"/>
    </row>
    <row r="9" spans="1:6" x14ac:dyDescent="0.25">
      <c r="A9" s="133"/>
      <c r="B9" s="141" t="s">
        <v>145</v>
      </c>
      <c r="C9" s="153"/>
    </row>
    <row r="10" spans="1:6" x14ac:dyDescent="0.25">
      <c r="A10" s="133"/>
      <c r="B10" s="141"/>
      <c r="C10" s="211" t="s">
        <v>147</v>
      </c>
      <c r="D10" s="211"/>
      <c r="E10" s="211"/>
      <c r="F10" s="211"/>
    </row>
    <row r="11" spans="1:6" x14ac:dyDescent="0.25">
      <c r="A11" s="133">
        <v>1</v>
      </c>
      <c r="B11" s="136" t="s">
        <v>110</v>
      </c>
      <c r="C11" s="197">
        <v>-245809.32221958335</v>
      </c>
    </row>
    <row r="12" spans="1:6" x14ac:dyDescent="0.25">
      <c r="A12" s="133">
        <f>A11+1</f>
        <v>2</v>
      </c>
      <c r="B12" s="136" t="s">
        <v>111</v>
      </c>
      <c r="C12" s="197">
        <v>-244171.92678287509</v>
      </c>
    </row>
    <row r="13" spans="1:6" x14ac:dyDescent="0.25">
      <c r="A13" s="133">
        <f>A12+1</f>
        <v>3</v>
      </c>
      <c r="B13" s="136" t="s">
        <v>112</v>
      </c>
      <c r="C13" s="155">
        <f>SUM(C11:C12)</f>
        <v>-489981.24900245841</v>
      </c>
      <c r="D13" s="142"/>
    </row>
    <row r="14" spans="1:6" x14ac:dyDescent="0.25">
      <c r="A14" s="133"/>
      <c r="C14" s="107"/>
    </row>
    <row r="15" spans="1:6" x14ac:dyDescent="0.25">
      <c r="A15" s="133"/>
      <c r="C15" s="107"/>
    </row>
    <row r="16" spans="1:6" x14ac:dyDescent="0.25">
      <c r="A16" s="133"/>
      <c r="B16" s="141" t="s">
        <v>143</v>
      </c>
      <c r="C16" s="107"/>
      <c r="E16" s="156"/>
    </row>
    <row r="17" spans="1:6" x14ac:dyDescent="0.25">
      <c r="A17" s="133"/>
      <c r="C17" s="154" t="s">
        <v>8</v>
      </c>
      <c r="D17" s="148" t="s">
        <v>113</v>
      </c>
      <c r="E17" s="157" t="s">
        <v>114</v>
      </c>
      <c r="F17" s="135"/>
    </row>
    <row r="18" spans="1:6" x14ac:dyDescent="0.25">
      <c r="A18" s="133">
        <f>A13+1</f>
        <v>4</v>
      </c>
      <c r="B18" s="136" t="s">
        <v>115</v>
      </c>
      <c r="C18" s="142">
        <f>SUM(D18:E18)</f>
        <v>14881606.506000537</v>
      </c>
      <c r="D18" s="197">
        <v>-45365.887472906499</v>
      </c>
      <c r="E18" s="197">
        <v>14926972.393473445</v>
      </c>
      <c r="F18" s="135"/>
    </row>
    <row r="19" spans="1:6" x14ac:dyDescent="0.25">
      <c r="A19" s="133">
        <f>A18+1</f>
        <v>5</v>
      </c>
      <c r="B19" s="136" t="s">
        <v>116</v>
      </c>
      <c r="C19" s="142">
        <f>SUM(D19:E19)</f>
        <v>-54166125.568902493</v>
      </c>
      <c r="D19" s="197">
        <v>-997225.04354816396</v>
      </c>
      <c r="E19" s="197">
        <v>-53168900.525354326</v>
      </c>
      <c r="F19" s="135"/>
    </row>
    <row r="20" spans="1:6" x14ac:dyDescent="0.25">
      <c r="A20" s="133">
        <f>A19+1</f>
        <v>6</v>
      </c>
      <c r="B20" s="136" t="s">
        <v>117</v>
      </c>
      <c r="C20" s="155">
        <f>SUM(C18:C19)</f>
        <v>-39284519.062901959</v>
      </c>
      <c r="D20" s="155">
        <f>SUM(D18:D19)</f>
        <v>-1042590.9310210705</v>
      </c>
      <c r="E20" s="155">
        <f>SUM(E18:E19)</f>
        <v>-38241928.131880879</v>
      </c>
      <c r="F20" s="135"/>
    </row>
    <row r="21" spans="1:6" x14ac:dyDescent="0.25">
      <c r="A21" s="133"/>
      <c r="C21" s="142"/>
      <c r="D21" s="142"/>
      <c r="E21" s="142"/>
      <c r="F21" s="135"/>
    </row>
    <row r="22" spans="1:6" x14ac:dyDescent="0.25">
      <c r="A22" s="133">
        <f>A20+1</f>
        <v>7</v>
      </c>
      <c r="B22" s="111" t="s">
        <v>118</v>
      </c>
      <c r="C22" s="142">
        <f>+C13+C20</f>
        <v>-39774500.311904415</v>
      </c>
      <c r="D22" s="142"/>
      <c r="E22" s="142"/>
      <c r="F22" s="135"/>
    </row>
    <row r="23" spans="1:6" x14ac:dyDescent="0.25">
      <c r="A23" s="133"/>
      <c r="B23" s="111"/>
      <c r="C23" s="142"/>
      <c r="D23" s="142"/>
      <c r="E23" s="142"/>
      <c r="F23" s="135"/>
    </row>
    <row r="24" spans="1:6" x14ac:dyDescent="0.25">
      <c r="A24" s="133"/>
      <c r="D24" s="142"/>
      <c r="E24" s="142"/>
      <c r="F24" s="135"/>
    </row>
    <row r="25" spans="1:6" x14ac:dyDescent="0.25">
      <c r="A25" s="133"/>
      <c r="B25" s="141" t="s">
        <v>119</v>
      </c>
      <c r="D25" s="142"/>
      <c r="E25" s="142"/>
      <c r="F25" s="135"/>
    </row>
    <row r="26" spans="1:6" x14ac:dyDescent="0.25">
      <c r="A26" s="133">
        <f>A22+1</f>
        <v>8</v>
      </c>
      <c r="B26" s="136" t="s">
        <v>120</v>
      </c>
      <c r="D26" s="158">
        <v>0</v>
      </c>
      <c r="E26" s="159"/>
      <c r="F26" s="135"/>
    </row>
    <row r="27" spans="1:6" x14ac:dyDescent="0.25">
      <c r="A27" s="133"/>
      <c r="B27" s="141"/>
      <c r="D27" s="142"/>
      <c r="E27" s="160"/>
      <c r="F27" s="135"/>
    </row>
    <row r="28" spans="1:6" x14ac:dyDescent="0.25">
      <c r="A28" s="133"/>
      <c r="B28" s="141"/>
      <c r="C28" s="161" t="s">
        <v>8</v>
      </c>
      <c r="D28" s="148" t="s">
        <v>113</v>
      </c>
      <c r="E28" s="157" t="s">
        <v>114</v>
      </c>
      <c r="F28" s="135"/>
    </row>
    <row r="29" spans="1:6" x14ac:dyDescent="0.25">
      <c r="A29" s="133">
        <f>A26+1</f>
        <v>9</v>
      </c>
      <c r="B29" s="136" t="s">
        <v>3</v>
      </c>
      <c r="C29" s="132">
        <f>+C18*D26</f>
        <v>0</v>
      </c>
      <c r="D29" s="160">
        <f>D18*D26</f>
        <v>0</v>
      </c>
      <c r="E29" s="142">
        <f>+C29-D29</f>
        <v>0</v>
      </c>
      <c r="F29" s="162"/>
    </row>
    <row r="30" spans="1:6" x14ac:dyDescent="0.25">
      <c r="A30" s="133">
        <f>A29+1</f>
        <v>10</v>
      </c>
      <c r="B30" s="136" t="s">
        <v>121</v>
      </c>
      <c r="C30" s="142">
        <f>SUM(D30:E30)</f>
        <v>-54166125.568902493</v>
      </c>
      <c r="D30" s="142">
        <f>D19</f>
        <v>-997225.04354816396</v>
      </c>
      <c r="E30" s="142">
        <f>E19</f>
        <v>-53168900.525354326</v>
      </c>
      <c r="F30" s="132"/>
    </row>
    <row r="31" spans="1:6" x14ac:dyDescent="0.25">
      <c r="A31" s="133">
        <f>A30+1</f>
        <v>11</v>
      </c>
      <c r="B31" s="136" t="s">
        <v>8</v>
      </c>
      <c r="C31" s="155">
        <f>+C29+C30</f>
        <v>-54166125.568902493</v>
      </c>
      <c r="D31" s="155">
        <f>SUM(D29:D30)</f>
        <v>-997225.04354816396</v>
      </c>
      <c r="E31" s="155">
        <f>SUM(E29:E30)</f>
        <v>-53168900.525354326</v>
      </c>
      <c r="F31" s="135"/>
    </row>
    <row r="32" spans="1:6" x14ac:dyDescent="0.25">
      <c r="A32" s="133"/>
      <c r="D32" s="142"/>
      <c r="E32" s="142"/>
      <c r="F32" s="135"/>
    </row>
    <row r="33" spans="1:14" x14ac:dyDescent="0.25">
      <c r="A33" s="133"/>
      <c r="D33" s="142"/>
      <c r="E33" s="142"/>
      <c r="F33" s="135"/>
    </row>
    <row r="34" spans="1:14" x14ac:dyDescent="0.25">
      <c r="A34" s="133"/>
      <c r="B34" s="141" t="s">
        <v>144</v>
      </c>
      <c r="D34" s="135"/>
      <c r="E34" s="135"/>
      <c r="F34" s="135"/>
    </row>
    <row r="35" spans="1:14" x14ac:dyDescent="0.25">
      <c r="A35" s="133"/>
      <c r="B35" s="141"/>
      <c r="C35" s="147" t="s">
        <v>8</v>
      </c>
      <c r="D35" s="135"/>
      <c r="E35" s="135"/>
      <c r="F35" s="135"/>
    </row>
    <row r="36" spans="1:14" x14ac:dyDescent="0.25">
      <c r="A36" s="133">
        <f>A31+1</f>
        <v>12</v>
      </c>
      <c r="B36" s="136" t="s">
        <v>122</v>
      </c>
      <c r="C36" s="163">
        <f>C11+C29</f>
        <v>-245809.32221958335</v>
      </c>
      <c r="D36" s="164"/>
      <c r="E36" s="164"/>
      <c r="F36" s="164"/>
    </row>
    <row r="37" spans="1:14" x14ac:dyDescent="0.25">
      <c r="A37" s="133">
        <f>A36+1</f>
        <v>13</v>
      </c>
      <c r="B37" s="136" t="s">
        <v>123</v>
      </c>
      <c r="C37" s="163">
        <f>C12+C30</f>
        <v>-54410297.495685369</v>
      </c>
      <c r="D37" s="120"/>
      <c r="E37" s="164"/>
      <c r="F37" s="164"/>
    </row>
    <row r="38" spans="1:14" x14ac:dyDescent="0.25">
      <c r="A38" s="133">
        <f>A37+1</f>
        <v>14</v>
      </c>
      <c r="B38" s="136" t="s">
        <v>8</v>
      </c>
      <c r="C38" s="165">
        <f>SUM(C36:C37)</f>
        <v>-54656106.817904949</v>
      </c>
      <c r="D38" s="164"/>
      <c r="E38" s="164"/>
      <c r="F38" s="164"/>
      <c r="G38" s="166"/>
    </row>
    <row r="39" spans="1:14" x14ac:dyDescent="0.25">
      <c r="A39" s="133"/>
      <c r="D39" s="135"/>
      <c r="E39" s="135"/>
      <c r="F39" s="135"/>
    </row>
    <row r="40" spans="1:14" x14ac:dyDescent="0.25">
      <c r="A40" s="133"/>
      <c r="D40" s="135"/>
      <c r="E40" s="135"/>
      <c r="F40" s="135"/>
    </row>
    <row r="41" spans="1:14" x14ac:dyDescent="0.25">
      <c r="A41" s="133"/>
      <c r="B41" s="167" t="s">
        <v>142</v>
      </c>
      <c r="F41" s="135"/>
    </row>
    <row r="42" spans="1:14" x14ac:dyDescent="0.25">
      <c r="A42" s="133"/>
      <c r="B42" s="167"/>
      <c r="C42" s="151" t="s">
        <v>124</v>
      </c>
      <c r="D42" s="195" t="s">
        <v>141</v>
      </c>
      <c r="F42" s="135"/>
    </row>
    <row r="43" spans="1:14" x14ac:dyDescent="0.25">
      <c r="A43" s="133"/>
      <c r="B43" s="167"/>
      <c r="C43" s="148" t="s">
        <v>125</v>
      </c>
      <c r="D43" s="127" t="s">
        <v>126</v>
      </c>
      <c r="F43" s="135"/>
    </row>
    <row r="44" spans="1:14" x14ac:dyDescent="0.25">
      <c r="A44" s="133">
        <f>A38+1</f>
        <v>15</v>
      </c>
      <c r="B44" s="168" t="s">
        <v>127</v>
      </c>
      <c r="C44" s="198">
        <v>-144526.0052693891</v>
      </c>
      <c r="D44" s="198">
        <v>14731509.923157386</v>
      </c>
      <c r="E44" s="139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1:14" x14ac:dyDescent="0.25">
      <c r="A45" s="133">
        <f>A44+1</f>
        <v>16</v>
      </c>
      <c r="B45" s="168" t="s">
        <v>128</v>
      </c>
      <c r="C45" s="198">
        <v>6426603.6346776877</v>
      </c>
      <c r="D45" s="198">
        <v>209227.50683217909</v>
      </c>
      <c r="F45" s="135"/>
    </row>
    <row r="46" spans="1:14" x14ac:dyDescent="0.25">
      <c r="A46" s="133">
        <f>A45+1</f>
        <v>17</v>
      </c>
      <c r="B46" s="149" t="s">
        <v>129</v>
      </c>
      <c r="C46" s="198">
        <v>-18464392.818471249</v>
      </c>
      <c r="D46" s="198">
        <v>-911071.15059266647</v>
      </c>
    </row>
    <row r="47" spans="1:14" x14ac:dyDescent="0.25">
      <c r="A47" s="133">
        <f>A46+1</f>
        <v>18</v>
      </c>
      <c r="B47" s="149" t="s">
        <v>130</v>
      </c>
      <c r="C47" s="198">
        <v>0</v>
      </c>
      <c r="D47" s="198">
        <v>0</v>
      </c>
    </row>
    <row r="48" spans="1:14" x14ac:dyDescent="0.25">
      <c r="A48" s="133">
        <f>A47+1</f>
        <v>19</v>
      </c>
      <c r="B48" s="149" t="s">
        <v>131</v>
      </c>
      <c r="C48" s="199">
        <v>-12182315.194062948</v>
      </c>
      <c r="D48" s="199">
        <v>14029666.269396901</v>
      </c>
    </row>
    <row r="49" spans="1:6" x14ac:dyDescent="0.25">
      <c r="A49" s="133"/>
      <c r="B49" s="149"/>
      <c r="C49" s="169"/>
      <c r="D49" s="169"/>
    </row>
    <row r="50" spans="1:6" x14ac:dyDescent="0.25">
      <c r="A50" s="133"/>
      <c r="B50" s="135"/>
      <c r="C50" s="132"/>
      <c r="D50" s="132"/>
      <c r="E50" s="135"/>
    </row>
    <row r="51" spans="1:6" ht="42.75" customHeight="1" x14ac:dyDescent="0.25">
      <c r="A51" s="170"/>
      <c r="B51" s="211" t="s">
        <v>147</v>
      </c>
      <c r="C51" s="211"/>
      <c r="D51" s="211"/>
      <c r="E51" s="211"/>
      <c r="F51" s="196"/>
    </row>
    <row r="52" spans="1:6" x14ac:dyDescent="0.25">
      <c r="A52" s="133"/>
    </row>
    <row r="53" spans="1:6" x14ac:dyDescent="0.25">
      <c r="A53" s="133"/>
    </row>
    <row r="54" spans="1:6" x14ac:dyDescent="0.25">
      <c r="A54" s="133"/>
    </row>
    <row r="55" spans="1:6" x14ac:dyDescent="0.25">
      <c r="A55" s="133"/>
    </row>
    <row r="56" spans="1:6" x14ac:dyDescent="0.25">
      <c r="A56" s="133"/>
    </row>
    <row r="57" spans="1:6" x14ac:dyDescent="0.25">
      <c r="A57" s="133"/>
    </row>
    <row r="58" spans="1:6" x14ac:dyDescent="0.25">
      <c r="A58" s="133"/>
    </row>
    <row r="59" spans="1:6" x14ac:dyDescent="0.25">
      <c r="A59" s="133"/>
    </row>
    <row r="60" spans="1:6" x14ac:dyDescent="0.25">
      <c r="A60" s="133"/>
    </row>
    <row r="61" spans="1:6" x14ac:dyDescent="0.25">
      <c r="A61" s="133"/>
    </row>
    <row r="62" spans="1:6" x14ac:dyDescent="0.25">
      <c r="A62" s="133"/>
    </row>
    <row r="63" spans="1:6" x14ac:dyDescent="0.25">
      <c r="A63" s="133"/>
    </row>
    <row r="64" spans="1:6" x14ac:dyDescent="0.25">
      <c r="A64" s="133"/>
    </row>
    <row r="65" spans="1:1" x14ac:dyDescent="0.25">
      <c r="A65" s="133"/>
    </row>
    <row r="66" spans="1:1" x14ac:dyDescent="0.25">
      <c r="A66" s="133"/>
    </row>
    <row r="67" spans="1:1" x14ac:dyDescent="0.25">
      <c r="A67" s="133"/>
    </row>
    <row r="68" spans="1:1" x14ac:dyDescent="0.25">
      <c r="A68" s="133"/>
    </row>
    <row r="69" spans="1:1" x14ac:dyDescent="0.25">
      <c r="A69" s="133"/>
    </row>
    <row r="70" spans="1:1" x14ac:dyDescent="0.25">
      <c r="A70" s="133"/>
    </row>
    <row r="71" spans="1:1" x14ac:dyDescent="0.25">
      <c r="A71" s="133"/>
    </row>
    <row r="72" spans="1:1" x14ac:dyDescent="0.25">
      <c r="A72" s="133"/>
    </row>
    <row r="73" spans="1:1" x14ac:dyDescent="0.25">
      <c r="A73" s="133"/>
    </row>
    <row r="74" spans="1:1" x14ac:dyDescent="0.25">
      <c r="A74" s="133"/>
    </row>
    <row r="75" spans="1:1" x14ac:dyDescent="0.25">
      <c r="A75" s="133"/>
    </row>
    <row r="76" spans="1:1" x14ac:dyDescent="0.25">
      <c r="A76" s="133"/>
    </row>
    <row r="77" spans="1:1" x14ac:dyDescent="0.25">
      <c r="A77" s="133"/>
    </row>
    <row r="78" spans="1:1" x14ac:dyDescent="0.25">
      <c r="A78" s="133"/>
    </row>
    <row r="79" spans="1:1" x14ac:dyDescent="0.25">
      <c r="A79" s="133"/>
    </row>
    <row r="80" spans="1:1" x14ac:dyDescent="0.25">
      <c r="A80" s="133"/>
    </row>
    <row r="81" spans="1:1" x14ac:dyDescent="0.25">
      <c r="A81" s="133"/>
    </row>
  </sheetData>
  <mergeCells count="2">
    <mergeCell ref="B51:E51"/>
    <mergeCell ref="C10:F10"/>
  </mergeCells>
  <pageMargins left="0.75" right="0.75" top="1" bottom="1" header="0.5" footer="0.5"/>
  <pageSetup scale="80" orientation="portrait" blackAndWhite="1" r:id="rId1"/>
  <headerFooter alignWithMargins="0">
    <oddFooter>&amp;L&amp;F  
&amp;A</oddFooter>
  </headerFooter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B1:L50"/>
  <sheetViews>
    <sheetView zoomScaleNormal="100" workbookViewId="0">
      <pane xSplit="3" ySplit="6" topLeftCell="D7" activePane="bottomRight" state="frozen"/>
      <selection activeCell="G44" sqref="G44"/>
      <selection pane="topRight" activeCell="G44" sqref="G44"/>
      <selection pane="bottomLeft" activeCell="G44" sqref="G44"/>
      <selection pane="bottomRight" activeCell="C35" sqref="C35"/>
    </sheetView>
  </sheetViews>
  <sheetFormatPr defaultRowHeight="13.2" x14ac:dyDescent="0.25"/>
  <cols>
    <col min="1" max="1" width="3" customWidth="1"/>
    <col min="2" max="2" width="4.5546875" customWidth="1"/>
    <col min="3" max="3" width="58.5546875" customWidth="1"/>
    <col min="4" max="4" width="13.44140625" bestFit="1" customWidth="1"/>
    <col min="5" max="5" width="13" bestFit="1" customWidth="1"/>
    <col min="6" max="6" width="10.5546875" bestFit="1" customWidth="1"/>
    <col min="7" max="7" width="13" bestFit="1" customWidth="1"/>
    <col min="8" max="11" width="12" bestFit="1" customWidth="1"/>
    <col min="12" max="12" width="10.33203125" bestFit="1" customWidth="1"/>
  </cols>
  <sheetData>
    <row r="1" spans="2:11" ht="15.6" x14ac:dyDescent="0.3">
      <c r="B1" s="15" t="s">
        <v>10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5.6" x14ac:dyDescent="0.3">
      <c r="B2" s="189" t="s">
        <v>137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5.6" x14ac:dyDescent="0.3">
      <c r="B3" s="15" t="s">
        <v>41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x14ac:dyDescent="0.25">
      <c r="C4" s="6"/>
    </row>
    <row r="5" spans="2:11" x14ac:dyDescent="0.25">
      <c r="D5" s="7"/>
      <c r="E5" s="8" t="s">
        <v>12</v>
      </c>
      <c r="F5" s="9"/>
      <c r="G5" s="8" t="s">
        <v>13</v>
      </c>
      <c r="H5" s="8"/>
      <c r="I5" s="118" t="s">
        <v>73</v>
      </c>
      <c r="J5" s="8"/>
      <c r="K5" s="8"/>
    </row>
    <row r="6" spans="2:11" x14ac:dyDescent="0.25">
      <c r="B6" s="2" t="s">
        <v>11</v>
      </c>
      <c r="C6" s="2" t="s">
        <v>33</v>
      </c>
      <c r="D6" s="11" t="s">
        <v>8</v>
      </c>
      <c r="E6" s="23">
        <v>23</v>
      </c>
      <c r="F6" s="12">
        <v>16</v>
      </c>
      <c r="G6" s="23">
        <v>31</v>
      </c>
      <c r="H6" s="13">
        <v>41</v>
      </c>
      <c r="I6" s="119">
        <v>85</v>
      </c>
      <c r="J6" s="13">
        <v>86</v>
      </c>
      <c r="K6" s="13">
        <v>87</v>
      </c>
    </row>
    <row r="7" spans="2:11" x14ac:dyDescent="0.25">
      <c r="C7" s="19" t="s">
        <v>36</v>
      </c>
    </row>
    <row r="8" spans="2:11" x14ac:dyDescent="0.25">
      <c r="B8">
        <v>1</v>
      </c>
      <c r="C8" s="123" t="s">
        <v>136</v>
      </c>
      <c r="D8" s="24">
        <f>SUM(E8:K8)</f>
        <v>982631156</v>
      </c>
      <c r="E8" s="88">
        <f>'Forecast Tracker-3'!C20</f>
        <v>630397866</v>
      </c>
      <c r="F8" s="88">
        <f>'Forecast Tracker-3'!D20</f>
        <v>9725</v>
      </c>
      <c r="G8" s="88">
        <f>'Forecast Tracker-3'!E20</f>
        <v>237120184</v>
      </c>
      <c r="H8" s="88">
        <f>'Forecast Tracker-3'!F20</f>
        <v>67662362</v>
      </c>
      <c r="I8" s="88">
        <f>'Forecast Tracker-3'!G20</f>
        <v>15967716</v>
      </c>
      <c r="J8" s="88">
        <f>'Forecast Tracker-3'!H20</f>
        <v>9331174</v>
      </c>
      <c r="K8" s="88">
        <f>'Forecast Tracker-3'!I20</f>
        <v>22142129</v>
      </c>
    </row>
    <row r="9" spans="2:11" x14ac:dyDescent="0.25">
      <c r="C9" s="6"/>
      <c r="E9" s="91"/>
      <c r="F9" s="91"/>
      <c r="G9" s="91"/>
      <c r="H9" s="91"/>
      <c r="I9" s="91"/>
      <c r="J9" s="91"/>
      <c r="K9" s="91"/>
    </row>
    <row r="10" spans="2:11" x14ac:dyDescent="0.25">
      <c r="B10">
        <f>B8+1</f>
        <v>2</v>
      </c>
      <c r="C10" s="136" t="s">
        <v>90</v>
      </c>
      <c r="D10" s="137"/>
      <c r="E10" s="201">
        <v>0.13855558396845066</v>
      </c>
      <c r="F10" s="201">
        <v>0.13855558396845066</v>
      </c>
      <c r="G10" s="201">
        <v>0.13057537693381527</v>
      </c>
      <c r="H10" s="201">
        <v>9.9565046743550115E-2</v>
      </c>
      <c r="I10" s="201">
        <v>8.8004845155972913E-2</v>
      </c>
      <c r="J10" s="201">
        <v>8.8359429100977313E-2</v>
      </c>
      <c r="K10" s="201">
        <v>8.1919467843355867E-2</v>
      </c>
    </row>
    <row r="11" spans="2:11" x14ac:dyDescent="0.25">
      <c r="B11">
        <f>B10+1</f>
        <v>3</v>
      </c>
      <c r="C11" s="136" t="s">
        <v>93</v>
      </c>
      <c r="D11" s="142">
        <f>SUM(E11:K11)</f>
        <v>129088960.55502921</v>
      </c>
      <c r="E11" s="142">
        <f t="shared" ref="E11:K11" si="0">E8*E10</f>
        <v>87345144.456095114</v>
      </c>
      <c r="F11" s="142">
        <f t="shared" si="0"/>
        <v>1347.4530540931828</v>
      </c>
      <c r="G11" s="142">
        <f t="shared" si="0"/>
        <v>30962057.404415634</v>
      </c>
      <c r="H11" s="142">
        <f t="shared" si="0"/>
        <v>6736806.2353090094</v>
      </c>
      <c r="I11" s="142">
        <f t="shared" si="0"/>
        <v>1405236.3740745513</v>
      </c>
      <c r="J11" s="142">
        <f t="shared" si="0"/>
        <v>824497.20748188288</v>
      </c>
      <c r="K11" s="142">
        <f t="shared" si="0"/>
        <v>1813871.4245989374</v>
      </c>
    </row>
    <row r="12" spans="2:11" x14ac:dyDescent="0.25">
      <c r="C12" s="136"/>
      <c r="D12" s="136"/>
      <c r="E12" s="136"/>
      <c r="F12" s="139"/>
      <c r="G12" s="136"/>
      <c r="H12" s="136"/>
      <c r="I12" s="136"/>
      <c r="J12" s="136"/>
      <c r="K12" s="136"/>
    </row>
    <row r="13" spans="2:11" x14ac:dyDescent="0.25">
      <c r="B13">
        <f>B11+1</f>
        <v>4</v>
      </c>
      <c r="C13" s="112" t="s">
        <v>91</v>
      </c>
      <c r="D13" s="188">
        <f>'Amort Balances Tracker-1'!C36</f>
        <v>-245809.32221958335</v>
      </c>
      <c r="E13" s="138">
        <f>$D13*(E11/$D11)</f>
        <v>-166321.35440250763</v>
      </c>
      <c r="F13" s="138">
        <f>$D13*(F11/$D11)</f>
        <v>-2.5658005186908208</v>
      </c>
      <c r="G13" s="138">
        <f t="shared" ref="G13:K13" si="1">$D13*(G11/$D11)</f>
        <v>-58957.499637305191</v>
      </c>
      <c r="H13" s="138">
        <f t="shared" si="1"/>
        <v>-12828.128505380975</v>
      </c>
      <c r="I13" s="138">
        <f t="shared" si="1"/>
        <v>-2675.8306766466021</v>
      </c>
      <c r="J13" s="138">
        <f t="shared" si="1"/>
        <v>-1569.9955973901051</v>
      </c>
      <c r="K13" s="138">
        <f t="shared" si="1"/>
        <v>-3453.9475998342004</v>
      </c>
    </row>
    <row r="14" spans="2:11" x14ac:dyDescent="0.25">
      <c r="B14">
        <f>B13+1</f>
        <v>5</v>
      </c>
      <c r="C14" s="136" t="s">
        <v>98</v>
      </c>
      <c r="D14" s="145">
        <f>SUM(E14:K14)</f>
        <v>1</v>
      </c>
      <c r="E14" s="140">
        <f>E13/$D$13</f>
        <v>0.67662752942271032</v>
      </c>
      <c r="F14" s="140">
        <f t="shared" ref="F14:K14" si="2">F13/$D$13</f>
        <v>1.0438174173063996E-5</v>
      </c>
      <c r="G14" s="140">
        <f t="shared" si="2"/>
        <v>0.23985054392948532</v>
      </c>
      <c r="H14" s="140">
        <f t="shared" si="2"/>
        <v>5.218731490550025E-2</v>
      </c>
      <c r="I14" s="140">
        <f t="shared" si="2"/>
        <v>1.0885798197093038E-2</v>
      </c>
      <c r="J14" s="140">
        <f t="shared" si="2"/>
        <v>6.3870466067499918E-3</v>
      </c>
      <c r="K14" s="140">
        <f t="shared" si="2"/>
        <v>1.4051328764288128E-2</v>
      </c>
    </row>
    <row r="15" spans="2:11" x14ac:dyDescent="0.25">
      <c r="C15" s="136"/>
      <c r="D15" s="138"/>
      <c r="E15" s="138"/>
      <c r="F15" s="138"/>
      <c r="G15" s="138"/>
      <c r="H15" s="138"/>
      <c r="I15" s="138"/>
      <c r="J15" s="138"/>
      <c r="K15" s="138"/>
    </row>
    <row r="16" spans="2:11" x14ac:dyDescent="0.25">
      <c r="B16">
        <f>B14+1</f>
        <v>6</v>
      </c>
      <c r="C16" s="112" t="s">
        <v>99</v>
      </c>
      <c r="D16" s="136"/>
      <c r="E16" s="146">
        <f t="shared" ref="E16:K16" si="3">ROUND(E13/E8,5)</f>
        <v>-2.5999999999999998E-4</v>
      </c>
      <c r="F16" s="146">
        <f t="shared" si="3"/>
        <v>-2.5999999999999998E-4</v>
      </c>
      <c r="G16" s="146">
        <f t="shared" si="3"/>
        <v>-2.5000000000000001E-4</v>
      </c>
      <c r="H16" s="146">
        <f t="shared" si="3"/>
        <v>-1.9000000000000001E-4</v>
      </c>
      <c r="I16" s="146">
        <f t="shared" si="3"/>
        <v>-1.7000000000000001E-4</v>
      </c>
      <c r="J16" s="146">
        <f t="shared" si="3"/>
        <v>-1.7000000000000001E-4</v>
      </c>
      <c r="K16" s="146">
        <f t="shared" si="3"/>
        <v>-1.6000000000000001E-4</v>
      </c>
    </row>
    <row r="17" spans="2:12" x14ac:dyDescent="0.25">
      <c r="B17">
        <f>B16+1</f>
        <v>7</v>
      </c>
      <c r="C17" s="136" t="s">
        <v>100</v>
      </c>
      <c r="D17" s="136"/>
      <c r="E17" s="136"/>
      <c r="F17" s="139">
        <f>ROUND(F16*19,2)</f>
        <v>0</v>
      </c>
      <c r="G17" s="136"/>
      <c r="H17" s="136"/>
      <c r="I17" s="136"/>
      <c r="J17" s="136"/>
      <c r="K17" s="136"/>
    </row>
    <row r="18" spans="2:12" x14ac:dyDescent="0.25">
      <c r="C18" s="136"/>
      <c r="D18" s="136"/>
      <c r="E18" s="136"/>
      <c r="F18" s="139"/>
      <c r="G18" s="136"/>
      <c r="H18" s="136"/>
      <c r="I18" s="136"/>
      <c r="J18" s="136"/>
      <c r="K18" s="136"/>
    </row>
    <row r="19" spans="2:12" x14ac:dyDescent="0.25">
      <c r="B19">
        <f>B17+1</f>
        <v>8</v>
      </c>
      <c r="C19" s="136" t="s">
        <v>92</v>
      </c>
      <c r="D19" s="142">
        <f>SUM(E19:K19)</f>
        <v>-243885.42037999997</v>
      </c>
      <c r="E19" s="142">
        <f t="shared" ref="E19:K19" si="4">E16*E8</f>
        <v>-163903.44515999997</v>
      </c>
      <c r="F19" s="142">
        <f t="shared" si="4"/>
        <v>-2.5284999999999997</v>
      </c>
      <c r="G19" s="142">
        <f t="shared" si="4"/>
        <v>-59280.046000000002</v>
      </c>
      <c r="H19" s="142">
        <f t="shared" si="4"/>
        <v>-12855.84878</v>
      </c>
      <c r="I19" s="142">
        <f t="shared" si="4"/>
        <v>-2714.51172</v>
      </c>
      <c r="J19" s="142">
        <f t="shared" si="4"/>
        <v>-1586.2995800000001</v>
      </c>
      <c r="K19" s="142">
        <f t="shared" si="4"/>
        <v>-3542.7406400000004</v>
      </c>
    </row>
    <row r="20" spans="2:12" x14ac:dyDescent="0.25">
      <c r="C20" s="1"/>
    </row>
    <row r="21" spans="2:12" x14ac:dyDescent="0.25">
      <c r="C21" s="5" t="s">
        <v>37</v>
      </c>
    </row>
    <row r="22" spans="2:12" x14ac:dyDescent="0.25">
      <c r="B22">
        <f>B19+1</f>
        <v>9</v>
      </c>
      <c r="C22" s="22" t="s">
        <v>39</v>
      </c>
      <c r="D22" s="188">
        <f>'Amort Balances Tracker-1'!C37</f>
        <v>-54410297.495685369</v>
      </c>
    </row>
    <row r="23" spans="2:12" x14ac:dyDescent="0.25">
      <c r="B23">
        <f>B22+1</f>
        <v>10</v>
      </c>
      <c r="C23" s="1" t="str">
        <f>+C8</f>
        <v>Projected Volume Nov. 18 - Oct. 19 (therms)</v>
      </c>
      <c r="D23" s="24">
        <f>SUM(E23:K23)</f>
        <v>982631156</v>
      </c>
      <c r="E23" s="24">
        <f t="shared" ref="E23:K23" si="5">E8</f>
        <v>630397866</v>
      </c>
      <c r="F23" s="24">
        <f t="shared" si="5"/>
        <v>9725</v>
      </c>
      <c r="G23" s="24">
        <f t="shared" si="5"/>
        <v>237120184</v>
      </c>
      <c r="H23" s="24">
        <f t="shared" si="5"/>
        <v>67662362</v>
      </c>
      <c r="I23" s="24">
        <f t="shared" si="5"/>
        <v>15967716</v>
      </c>
      <c r="J23" s="24">
        <f t="shared" si="5"/>
        <v>9331174</v>
      </c>
      <c r="K23" s="24">
        <f t="shared" si="5"/>
        <v>22142129</v>
      </c>
    </row>
    <row r="24" spans="2:12" x14ac:dyDescent="0.25">
      <c r="B24">
        <f>B23+1</f>
        <v>11</v>
      </c>
      <c r="C24" s="112" t="s">
        <v>101</v>
      </c>
      <c r="D24" s="21">
        <f>ROUND(D22/D23,5)</f>
        <v>-5.5370000000000003E-2</v>
      </c>
      <c r="E24" s="21">
        <f>$D$24</f>
        <v>-5.5370000000000003E-2</v>
      </c>
      <c r="F24" s="21">
        <f t="shared" ref="F24:K24" si="6">$D$24</f>
        <v>-5.5370000000000003E-2</v>
      </c>
      <c r="G24" s="21">
        <f t="shared" si="6"/>
        <v>-5.5370000000000003E-2</v>
      </c>
      <c r="H24" s="21">
        <f t="shared" si="6"/>
        <v>-5.5370000000000003E-2</v>
      </c>
      <c r="I24" s="21">
        <f t="shared" si="6"/>
        <v>-5.5370000000000003E-2</v>
      </c>
      <c r="J24" s="21">
        <f t="shared" si="6"/>
        <v>-5.5370000000000003E-2</v>
      </c>
      <c r="K24" s="21">
        <f t="shared" si="6"/>
        <v>-5.5370000000000003E-2</v>
      </c>
    </row>
    <row r="25" spans="2:12" x14ac:dyDescent="0.25">
      <c r="B25">
        <f>B24+1</f>
        <v>12</v>
      </c>
      <c r="C25" s="22" t="s">
        <v>34</v>
      </c>
      <c r="D25" s="4">
        <f>SUM(E25:K25)</f>
        <v>-54408287</v>
      </c>
      <c r="E25" s="4">
        <f>ROUND(E23*E24,0)</f>
        <v>-34905130</v>
      </c>
      <c r="F25" s="4">
        <f t="shared" ref="F25:K25" si="7">ROUND(F23*F24,0)</f>
        <v>-538</v>
      </c>
      <c r="G25" s="4">
        <f t="shared" si="7"/>
        <v>-13129345</v>
      </c>
      <c r="H25" s="4">
        <f t="shared" si="7"/>
        <v>-3746465</v>
      </c>
      <c r="I25" s="4">
        <f t="shared" si="7"/>
        <v>-884132</v>
      </c>
      <c r="J25" s="4">
        <f t="shared" si="7"/>
        <v>-516667</v>
      </c>
      <c r="K25" s="4">
        <f t="shared" si="7"/>
        <v>-1226010</v>
      </c>
    </row>
    <row r="26" spans="2:12" x14ac:dyDescent="0.25">
      <c r="B26">
        <f>B25+1</f>
        <v>13</v>
      </c>
      <c r="C26" s="112" t="s">
        <v>102</v>
      </c>
      <c r="D26" s="4"/>
      <c r="F26" s="25">
        <f>ROUND(F24*19,2)</f>
        <v>-1.05</v>
      </c>
    </row>
    <row r="27" spans="2:12" x14ac:dyDescent="0.25">
      <c r="C27" s="1"/>
    </row>
    <row r="28" spans="2:12" x14ac:dyDescent="0.25">
      <c r="C28" s="5" t="s">
        <v>40</v>
      </c>
    </row>
    <row r="29" spans="2:12" x14ac:dyDescent="0.25">
      <c r="B29">
        <f>B26+1</f>
        <v>14</v>
      </c>
      <c r="C29" s="112" t="s">
        <v>103</v>
      </c>
      <c r="E29" s="21">
        <f>E16</f>
        <v>-2.5999999999999998E-4</v>
      </c>
      <c r="F29" s="21">
        <f t="shared" ref="F29:K29" si="8">F16</f>
        <v>-2.5999999999999998E-4</v>
      </c>
      <c r="G29" s="21">
        <f t="shared" si="8"/>
        <v>-2.5000000000000001E-4</v>
      </c>
      <c r="H29" s="21">
        <f t="shared" si="8"/>
        <v>-1.9000000000000001E-4</v>
      </c>
      <c r="I29" s="21">
        <f t="shared" si="8"/>
        <v>-1.7000000000000001E-4</v>
      </c>
      <c r="J29" s="21">
        <f t="shared" si="8"/>
        <v>-1.7000000000000001E-4</v>
      </c>
      <c r="K29" s="21">
        <f t="shared" si="8"/>
        <v>-1.6000000000000001E-4</v>
      </c>
    </row>
    <row r="30" spans="2:12" x14ac:dyDescent="0.25">
      <c r="B30">
        <f t="shared" ref="B30:B37" si="9">B29+1</f>
        <v>15</v>
      </c>
      <c r="C30" s="112" t="s">
        <v>104</v>
      </c>
      <c r="E30" s="21">
        <f>E24</f>
        <v>-5.5370000000000003E-2</v>
      </c>
      <c r="F30" s="21">
        <f t="shared" ref="F30:K30" si="10">F24</f>
        <v>-5.5370000000000003E-2</v>
      </c>
      <c r="G30" s="21">
        <f t="shared" si="10"/>
        <v>-5.5370000000000003E-2</v>
      </c>
      <c r="H30" s="21">
        <f t="shared" si="10"/>
        <v>-5.5370000000000003E-2</v>
      </c>
      <c r="I30" s="21">
        <f t="shared" si="10"/>
        <v>-5.5370000000000003E-2</v>
      </c>
      <c r="J30" s="21">
        <f t="shared" si="10"/>
        <v>-5.5370000000000003E-2</v>
      </c>
      <c r="K30" s="21">
        <f t="shared" si="10"/>
        <v>-5.5370000000000003E-2</v>
      </c>
    </row>
    <row r="31" spans="2:12" x14ac:dyDescent="0.25">
      <c r="B31">
        <f t="shared" si="9"/>
        <v>16</v>
      </c>
      <c r="C31" s="1" t="s">
        <v>38</v>
      </c>
      <c r="E31" s="26">
        <f>SUM(E29:E30)</f>
        <v>-5.5630000000000006E-2</v>
      </c>
      <c r="F31" s="26">
        <f t="shared" ref="F31:K31" si="11">SUM(F29:F30)</f>
        <v>-5.5630000000000006E-2</v>
      </c>
      <c r="G31" s="26">
        <f t="shared" si="11"/>
        <v>-5.5620000000000003E-2</v>
      </c>
      <c r="H31" s="26">
        <f t="shared" si="11"/>
        <v>-5.5560000000000005E-2</v>
      </c>
      <c r="I31" s="26">
        <f t="shared" si="11"/>
        <v>-5.5540000000000006E-2</v>
      </c>
      <c r="J31" s="26">
        <f t="shared" si="11"/>
        <v>-5.5540000000000006E-2</v>
      </c>
      <c r="K31" s="26">
        <f t="shared" si="11"/>
        <v>-5.5530000000000003E-2</v>
      </c>
      <c r="L31" s="21"/>
    </row>
    <row r="32" spans="2:12" x14ac:dyDescent="0.25">
      <c r="B32">
        <f t="shared" si="9"/>
        <v>17</v>
      </c>
      <c r="C32" s="1" t="s">
        <v>55</v>
      </c>
      <c r="D32" s="200">
        <v>4.7627000000000086E-2</v>
      </c>
    </row>
    <row r="33" spans="2:12" x14ac:dyDescent="0.25">
      <c r="B33">
        <f t="shared" si="9"/>
        <v>18</v>
      </c>
      <c r="C33" s="123" t="s">
        <v>105</v>
      </c>
      <c r="E33" s="21">
        <f>ROUND(E31*(1+$D$32),5)</f>
        <v>-5.8279999999999998E-2</v>
      </c>
      <c r="F33" s="21">
        <f t="shared" ref="F33:K33" si="12">ROUND(F31*(1+$D$32),5)</f>
        <v>-5.8279999999999998E-2</v>
      </c>
      <c r="G33" s="21">
        <f t="shared" si="12"/>
        <v>-5.8270000000000002E-2</v>
      </c>
      <c r="H33" s="21">
        <f t="shared" si="12"/>
        <v>-5.8209999999999998E-2</v>
      </c>
      <c r="I33" s="21">
        <f t="shared" si="12"/>
        <v>-5.8189999999999999E-2</v>
      </c>
      <c r="J33" s="21">
        <f t="shared" si="12"/>
        <v>-5.8189999999999999E-2</v>
      </c>
      <c r="K33" s="21">
        <f t="shared" si="12"/>
        <v>-5.8169999999999999E-2</v>
      </c>
    </row>
    <row r="34" spans="2:12" x14ac:dyDescent="0.25">
      <c r="B34">
        <f t="shared" si="9"/>
        <v>19</v>
      </c>
      <c r="C34" s="123" t="s">
        <v>106</v>
      </c>
      <c r="F34" s="25">
        <f>ROUND(F33*19,2)</f>
        <v>-1.1100000000000001</v>
      </c>
    </row>
    <row r="35" spans="2:12" x14ac:dyDescent="0.25">
      <c r="B35">
        <f t="shared" si="9"/>
        <v>20</v>
      </c>
      <c r="C35" s="1" t="s">
        <v>57</v>
      </c>
      <c r="E35" s="201">
        <v>-1.695E-2</v>
      </c>
      <c r="F35" s="201">
        <v>-1.695E-2</v>
      </c>
      <c r="G35" s="201">
        <v>-1.695E-2</v>
      </c>
      <c r="H35" s="201">
        <v>-1.6969999999999999E-2</v>
      </c>
      <c r="I35" s="201">
        <v>-1.6979999999999999E-2</v>
      </c>
      <c r="J35" s="201">
        <v>-1.6969999999999999E-2</v>
      </c>
      <c r="K35" s="201">
        <v>-1.6979999999999999E-2</v>
      </c>
    </row>
    <row r="36" spans="2:12" x14ac:dyDescent="0.25">
      <c r="B36">
        <f t="shared" si="9"/>
        <v>21</v>
      </c>
      <c r="C36" s="123" t="s">
        <v>107</v>
      </c>
      <c r="E36" s="21">
        <f>E33-E35</f>
        <v>-4.1329999999999999E-2</v>
      </c>
      <c r="F36" s="21">
        <f t="shared" ref="F36:K36" si="13">F33-F35</f>
        <v>-4.1329999999999999E-2</v>
      </c>
      <c r="G36" s="21">
        <f t="shared" si="13"/>
        <v>-4.1320000000000003E-2</v>
      </c>
      <c r="H36" s="21">
        <f t="shared" si="13"/>
        <v>-4.1239999999999999E-2</v>
      </c>
      <c r="I36" s="21">
        <f t="shared" si="13"/>
        <v>-4.1209999999999997E-2</v>
      </c>
      <c r="J36" s="21">
        <f t="shared" si="13"/>
        <v>-4.122E-2</v>
      </c>
      <c r="K36" s="21">
        <f t="shared" si="13"/>
        <v>-4.1190000000000004E-2</v>
      </c>
    </row>
    <row r="37" spans="2:12" x14ac:dyDescent="0.25">
      <c r="B37">
        <f t="shared" si="9"/>
        <v>22</v>
      </c>
      <c r="C37" s="1" t="s">
        <v>32</v>
      </c>
      <c r="E37" s="3">
        <f>E36/E35</f>
        <v>2.4383480825958701</v>
      </c>
      <c r="F37" s="3">
        <f t="shared" ref="F37:K37" si="14">F36/F35</f>
        <v>2.4383480825958701</v>
      </c>
      <c r="G37" s="3">
        <f t="shared" si="14"/>
        <v>2.4377581120943956</v>
      </c>
      <c r="H37" s="3">
        <f t="shared" si="14"/>
        <v>2.4301708898055394</v>
      </c>
      <c r="I37" s="3">
        <f t="shared" si="14"/>
        <v>2.4269729093050647</v>
      </c>
      <c r="J37" s="3">
        <f t="shared" si="14"/>
        <v>2.4289923394225106</v>
      </c>
      <c r="K37" s="3">
        <f t="shared" si="14"/>
        <v>2.4257950530035339</v>
      </c>
    </row>
    <row r="38" spans="2:12" x14ac:dyDescent="0.25">
      <c r="C38" s="1"/>
    </row>
    <row r="39" spans="2:12" x14ac:dyDescent="0.25">
      <c r="C39" s="136" t="s">
        <v>148</v>
      </c>
    </row>
    <row r="40" spans="2:12" ht="15" x14ac:dyDescent="0.25">
      <c r="C40" s="136" t="s">
        <v>108</v>
      </c>
      <c r="J40" s="27"/>
      <c r="K40" s="16"/>
      <c r="L40" s="16"/>
    </row>
    <row r="41" spans="2:12" x14ac:dyDescent="0.25">
      <c r="J41" s="20"/>
      <c r="K41" s="16"/>
      <c r="L41" s="16"/>
    </row>
    <row r="42" spans="2:12" x14ac:dyDescent="0.25">
      <c r="J42" s="20"/>
      <c r="K42" s="16"/>
      <c r="L42" s="16"/>
    </row>
    <row r="43" spans="2:12" x14ac:dyDescent="0.25">
      <c r="J43" s="20"/>
      <c r="K43" s="16"/>
      <c r="L43" s="16"/>
    </row>
    <row r="44" spans="2:12" x14ac:dyDescent="0.25">
      <c r="J44" s="20"/>
      <c r="K44" s="16"/>
      <c r="L44" s="16"/>
    </row>
    <row r="45" spans="2:12" x14ac:dyDescent="0.25">
      <c r="J45" s="20"/>
      <c r="K45" s="16"/>
      <c r="L45" s="16"/>
    </row>
    <row r="46" spans="2:12" x14ac:dyDescent="0.25">
      <c r="B46" s="212"/>
      <c r="C46" s="213"/>
      <c r="D46" s="213"/>
      <c r="E46" s="213"/>
      <c r="F46" s="213"/>
      <c r="G46" s="213"/>
      <c r="H46" s="213"/>
      <c r="I46" s="213"/>
      <c r="J46" s="213"/>
      <c r="K46" s="16"/>
      <c r="L46" s="16"/>
    </row>
    <row r="47" spans="2:12" x14ac:dyDescent="0.25">
      <c r="J47" s="20"/>
      <c r="K47" s="16"/>
      <c r="L47" s="16"/>
    </row>
    <row r="48" spans="2:12" x14ac:dyDescent="0.25">
      <c r="B48" s="211" t="s">
        <v>133</v>
      </c>
      <c r="C48" s="213"/>
      <c r="D48" s="213"/>
      <c r="E48" s="213"/>
      <c r="F48" s="213"/>
      <c r="G48" s="213"/>
      <c r="H48" s="213"/>
      <c r="I48" s="213"/>
      <c r="J48" s="213"/>
      <c r="K48" s="16"/>
      <c r="L48" s="16"/>
    </row>
    <row r="49" spans="10:12" x14ac:dyDescent="0.25">
      <c r="J49" s="20"/>
      <c r="K49" s="16"/>
      <c r="L49" s="16"/>
    </row>
    <row r="50" spans="10:12" x14ac:dyDescent="0.25">
      <c r="J50" s="6"/>
    </row>
  </sheetData>
  <mergeCells count="2">
    <mergeCell ref="B46:J46"/>
    <mergeCell ref="B48:J48"/>
  </mergeCells>
  <phoneticPr fontId="5" type="noConversion"/>
  <printOptions horizontalCentered="1"/>
  <pageMargins left="0.75" right="0.75" top="1" bottom="1" header="0.5" footer="0.5"/>
  <pageSetup scale="75" orientation="landscape" blackAndWhite="1" r:id="rId1"/>
  <headerFooter alignWithMargins="0">
    <oddFooter>&amp;L&amp;F
&amp;A</oddFooter>
  </headerFooter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19" zoomScaleNormal="100" workbookViewId="0">
      <selection activeCell="G49" sqref="G49"/>
    </sheetView>
  </sheetViews>
  <sheetFormatPr defaultColWidth="9.109375" defaultRowHeight="13.2" x14ac:dyDescent="0.25"/>
  <cols>
    <col min="1" max="1" width="13.5546875" style="135" customWidth="1"/>
    <col min="2" max="9" width="12.6640625" style="135" customWidth="1"/>
    <col min="10" max="10" width="14.109375" style="135" bestFit="1" customWidth="1"/>
    <col min="11" max="15" width="12.6640625" style="135" customWidth="1"/>
    <col min="16" max="16" width="15.33203125" style="135" customWidth="1"/>
    <col min="17" max="17" width="14" style="135" bestFit="1" customWidth="1"/>
    <col min="18" max="18" width="4.6640625" style="135" bestFit="1" customWidth="1"/>
    <col min="19" max="16384" width="9.109375" style="135"/>
  </cols>
  <sheetData>
    <row r="1" spans="1:17" ht="15.6" x14ac:dyDescent="0.3">
      <c r="A1" s="214" t="s">
        <v>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7" ht="15.6" x14ac:dyDescent="0.3">
      <c r="A2" s="215" t="str">
        <f>'Amort Rates Tracker-2'!B2</f>
        <v>PGA Tracker Filing Proposed Effective November 1, 2018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7" ht="15.6" x14ac:dyDescent="0.3">
      <c r="A3" s="214" t="s">
        <v>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7" ht="15.6" x14ac:dyDescent="0.3">
      <c r="A4" s="11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134" t="s">
        <v>50</v>
      </c>
      <c r="G5" s="134"/>
      <c r="H5" s="134"/>
      <c r="P5" s="176" t="s">
        <v>138</v>
      </c>
    </row>
    <row r="6" spans="1:17" x14ac:dyDescent="0.25">
      <c r="A6" s="127" t="s">
        <v>49</v>
      </c>
      <c r="B6" s="173">
        <v>43344</v>
      </c>
      <c r="C6" s="174">
        <f>EDATE(B6,1)</f>
        <v>43374</v>
      </c>
      <c r="D6" s="174">
        <f t="shared" ref="D6:O6" si="0">EDATE(C6,1)</f>
        <v>43405</v>
      </c>
      <c r="E6" s="174">
        <f t="shared" si="0"/>
        <v>43435</v>
      </c>
      <c r="F6" s="174">
        <f t="shared" si="0"/>
        <v>43466</v>
      </c>
      <c r="G6" s="174">
        <f t="shared" si="0"/>
        <v>43497</v>
      </c>
      <c r="H6" s="174">
        <f t="shared" si="0"/>
        <v>43525</v>
      </c>
      <c r="I6" s="174">
        <f t="shared" si="0"/>
        <v>43556</v>
      </c>
      <c r="J6" s="174">
        <f t="shared" si="0"/>
        <v>43586</v>
      </c>
      <c r="K6" s="174">
        <f t="shared" si="0"/>
        <v>43617</v>
      </c>
      <c r="L6" s="174">
        <f t="shared" si="0"/>
        <v>43647</v>
      </c>
      <c r="M6" s="174">
        <f t="shared" si="0"/>
        <v>43678</v>
      </c>
      <c r="N6" s="174">
        <f t="shared" si="0"/>
        <v>43709</v>
      </c>
      <c r="O6" s="174">
        <f t="shared" si="0"/>
        <v>43739</v>
      </c>
      <c r="P6" s="127" t="s">
        <v>8</v>
      </c>
    </row>
    <row r="7" spans="1:17" x14ac:dyDescent="0.25">
      <c r="A7" s="133">
        <v>23</v>
      </c>
      <c r="B7" s="202">
        <v>19573676</v>
      </c>
      <c r="C7" s="202">
        <v>44661657</v>
      </c>
      <c r="D7" s="202">
        <v>79244239</v>
      </c>
      <c r="E7" s="202">
        <v>102502101</v>
      </c>
      <c r="F7" s="202">
        <v>95894421</v>
      </c>
      <c r="G7" s="202">
        <v>81791942</v>
      </c>
      <c r="H7" s="202">
        <v>72753404</v>
      </c>
      <c r="I7" s="202">
        <v>52270286</v>
      </c>
      <c r="J7" s="202">
        <v>31121542</v>
      </c>
      <c r="K7" s="202">
        <v>20769735</v>
      </c>
      <c r="L7" s="202">
        <v>14916126</v>
      </c>
      <c r="M7" s="202">
        <v>14168135</v>
      </c>
      <c r="N7" s="202">
        <v>19776922</v>
      </c>
      <c r="O7" s="202">
        <v>45189013</v>
      </c>
      <c r="P7" s="177">
        <f>SUM(D7:O7)</f>
        <v>630397866</v>
      </c>
      <c r="Q7" s="172"/>
    </row>
    <row r="8" spans="1:17" x14ac:dyDescent="0.25">
      <c r="A8" s="133">
        <v>16</v>
      </c>
      <c r="B8" s="202">
        <v>884</v>
      </c>
      <c r="C8" s="202">
        <v>673</v>
      </c>
      <c r="D8" s="202">
        <v>690</v>
      </c>
      <c r="E8" s="202">
        <v>845</v>
      </c>
      <c r="F8" s="202">
        <v>1012</v>
      </c>
      <c r="G8" s="202">
        <v>557</v>
      </c>
      <c r="H8" s="202">
        <v>918</v>
      </c>
      <c r="I8" s="202">
        <v>727</v>
      </c>
      <c r="J8" s="202">
        <v>657</v>
      </c>
      <c r="K8" s="202">
        <v>840</v>
      </c>
      <c r="L8" s="202">
        <v>1066</v>
      </c>
      <c r="M8" s="202">
        <v>885</v>
      </c>
      <c r="N8" s="202">
        <v>862</v>
      </c>
      <c r="O8" s="202">
        <v>666</v>
      </c>
      <c r="P8" s="177">
        <f t="shared" ref="P8:P13" si="1">SUM(D8:O8)</f>
        <v>9725</v>
      </c>
      <c r="Q8" s="172"/>
    </row>
    <row r="9" spans="1:17" x14ac:dyDescent="0.25">
      <c r="A9" s="133">
        <v>31</v>
      </c>
      <c r="B9" s="202">
        <v>9433662</v>
      </c>
      <c r="C9" s="202">
        <v>16751994</v>
      </c>
      <c r="D9" s="202">
        <v>27413893</v>
      </c>
      <c r="E9" s="202">
        <v>35450290</v>
      </c>
      <c r="F9" s="202">
        <v>33272920</v>
      </c>
      <c r="G9" s="202">
        <v>29057484</v>
      </c>
      <c r="H9" s="202">
        <v>26163641</v>
      </c>
      <c r="I9" s="202">
        <v>19953166</v>
      </c>
      <c r="J9" s="202">
        <v>13227705</v>
      </c>
      <c r="K9" s="202">
        <v>9701489</v>
      </c>
      <c r="L9" s="202">
        <v>8057195</v>
      </c>
      <c r="M9" s="202">
        <v>8321983</v>
      </c>
      <c r="N9" s="202">
        <v>9537729</v>
      </c>
      <c r="O9" s="202">
        <v>16962689</v>
      </c>
      <c r="P9" s="177">
        <f t="shared" si="1"/>
        <v>237120184</v>
      </c>
      <c r="Q9" s="172"/>
    </row>
    <row r="10" spans="1:17" x14ac:dyDescent="0.25">
      <c r="A10" s="133">
        <v>41</v>
      </c>
      <c r="B10" s="202">
        <v>3833853</v>
      </c>
      <c r="C10" s="202">
        <v>5735896</v>
      </c>
      <c r="D10" s="202">
        <v>7054105</v>
      </c>
      <c r="E10" s="202">
        <v>8110891</v>
      </c>
      <c r="F10" s="202">
        <v>8282622</v>
      </c>
      <c r="G10" s="202">
        <v>6812033</v>
      </c>
      <c r="H10" s="202">
        <v>7215503</v>
      </c>
      <c r="I10" s="202">
        <v>5830492</v>
      </c>
      <c r="J10" s="202">
        <v>4904026</v>
      </c>
      <c r="K10" s="202">
        <v>4004598</v>
      </c>
      <c r="L10" s="202">
        <v>3002032</v>
      </c>
      <c r="M10" s="202">
        <v>2916178</v>
      </c>
      <c r="N10" s="202">
        <v>3858550</v>
      </c>
      <c r="O10" s="202">
        <v>5671332</v>
      </c>
      <c r="P10" s="177">
        <f t="shared" si="1"/>
        <v>67662362</v>
      </c>
      <c r="Q10" s="172"/>
    </row>
    <row r="11" spans="1:17" x14ac:dyDescent="0.25">
      <c r="A11" s="133">
        <v>85</v>
      </c>
      <c r="B11" s="202">
        <v>1011805</v>
      </c>
      <c r="C11" s="202">
        <v>1803581</v>
      </c>
      <c r="D11" s="202">
        <v>1712897</v>
      </c>
      <c r="E11" s="202">
        <v>1440898</v>
      </c>
      <c r="F11" s="202">
        <v>2906663</v>
      </c>
      <c r="G11" s="202">
        <v>1219367</v>
      </c>
      <c r="H11" s="202">
        <v>1324318</v>
      </c>
      <c r="I11" s="202">
        <v>1639977</v>
      </c>
      <c r="J11" s="202">
        <v>841002</v>
      </c>
      <c r="K11" s="202">
        <v>890204</v>
      </c>
      <c r="L11" s="202">
        <v>444047</v>
      </c>
      <c r="M11" s="202">
        <v>758849</v>
      </c>
      <c r="N11" s="202">
        <v>1002262</v>
      </c>
      <c r="O11" s="202">
        <v>1787232</v>
      </c>
      <c r="P11" s="177">
        <f t="shared" si="1"/>
        <v>15967716</v>
      </c>
      <c r="Q11" s="172"/>
    </row>
    <row r="12" spans="1:17" x14ac:dyDescent="0.25">
      <c r="A12" s="133">
        <v>86</v>
      </c>
      <c r="B12" s="202">
        <v>471342</v>
      </c>
      <c r="C12" s="202">
        <v>882283</v>
      </c>
      <c r="D12" s="202">
        <v>826457</v>
      </c>
      <c r="E12" s="202">
        <v>1022260</v>
      </c>
      <c r="F12" s="202">
        <v>1262176</v>
      </c>
      <c r="G12" s="202">
        <v>1409579</v>
      </c>
      <c r="H12" s="202">
        <v>969069</v>
      </c>
      <c r="I12" s="202">
        <v>943910</v>
      </c>
      <c r="J12" s="202">
        <v>666928</v>
      </c>
      <c r="K12" s="202">
        <v>338042</v>
      </c>
      <c r="L12" s="202">
        <v>274417</v>
      </c>
      <c r="M12" s="202">
        <v>309790</v>
      </c>
      <c r="N12" s="202">
        <v>455112</v>
      </c>
      <c r="O12" s="202">
        <v>853434</v>
      </c>
      <c r="P12" s="177">
        <f t="shared" si="1"/>
        <v>9331174</v>
      </c>
      <c r="Q12" s="172"/>
    </row>
    <row r="13" spans="1:17" x14ac:dyDescent="0.25">
      <c r="A13" s="133">
        <v>87</v>
      </c>
      <c r="B13" s="202">
        <v>1080113</v>
      </c>
      <c r="C13" s="202">
        <v>1503443</v>
      </c>
      <c r="D13" s="202">
        <v>2297785</v>
      </c>
      <c r="E13" s="202">
        <v>3347354</v>
      </c>
      <c r="F13" s="202">
        <v>1515121</v>
      </c>
      <c r="G13" s="202">
        <v>2587892</v>
      </c>
      <c r="H13" s="202">
        <v>2755225</v>
      </c>
      <c r="I13" s="202">
        <v>1503542</v>
      </c>
      <c r="J13" s="202">
        <v>1771103</v>
      </c>
      <c r="K13" s="202">
        <v>1290116</v>
      </c>
      <c r="L13" s="202">
        <v>1475682</v>
      </c>
      <c r="M13" s="202">
        <v>1041468</v>
      </c>
      <c r="N13" s="202">
        <v>1068554</v>
      </c>
      <c r="O13" s="202">
        <v>1488287</v>
      </c>
      <c r="P13" s="177">
        <f t="shared" si="1"/>
        <v>22142129</v>
      </c>
      <c r="Q13" s="172"/>
    </row>
    <row r="14" spans="1:17" x14ac:dyDescent="0.25">
      <c r="A14" s="135" t="s">
        <v>2</v>
      </c>
      <c r="B14" s="178">
        <f>SUM(B7:B13)</f>
        <v>35405335</v>
      </c>
      <c r="C14" s="178">
        <f>SUM(C7:C13)</f>
        <v>71339527</v>
      </c>
      <c r="D14" s="178">
        <f t="shared" ref="D14:P14" si="2">SUM(D7:D13)</f>
        <v>118550066</v>
      </c>
      <c r="E14" s="178">
        <f t="shared" si="2"/>
        <v>151874639</v>
      </c>
      <c r="F14" s="178">
        <f t="shared" si="2"/>
        <v>143134935</v>
      </c>
      <c r="G14" s="178">
        <f t="shared" si="2"/>
        <v>122878854</v>
      </c>
      <c r="H14" s="178">
        <f t="shared" si="2"/>
        <v>111182078</v>
      </c>
      <c r="I14" s="178">
        <f t="shared" si="2"/>
        <v>82142100</v>
      </c>
      <c r="J14" s="178">
        <f t="shared" si="2"/>
        <v>52532963</v>
      </c>
      <c r="K14" s="178">
        <f t="shared" si="2"/>
        <v>36995024</v>
      </c>
      <c r="L14" s="178">
        <f t="shared" si="2"/>
        <v>28170565</v>
      </c>
      <c r="M14" s="178">
        <f t="shared" si="2"/>
        <v>27517288</v>
      </c>
      <c r="N14" s="178">
        <f t="shared" si="2"/>
        <v>35699991</v>
      </c>
      <c r="O14" s="178">
        <f t="shared" si="2"/>
        <v>71952653</v>
      </c>
      <c r="P14" s="178">
        <f t="shared" si="2"/>
        <v>982631156</v>
      </c>
      <c r="Q14" s="172"/>
    </row>
    <row r="15" spans="1:17" x14ac:dyDescent="0.25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3"/>
    </row>
    <row r="16" spans="1:17" x14ac:dyDescent="0.25">
      <c r="A16" s="133" t="s">
        <v>77</v>
      </c>
      <c r="B16" s="202">
        <v>16166895</v>
      </c>
      <c r="C16" s="202">
        <v>16329541</v>
      </c>
      <c r="D16" s="202">
        <v>16511885</v>
      </c>
      <c r="E16" s="202">
        <v>17492117</v>
      </c>
      <c r="F16" s="202">
        <v>18337092</v>
      </c>
      <c r="G16" s="202">
        <v>17081257</v>
      </c>
      <c r="H16" s="202">
        <v>19169527</v>
      </c>
      <c r="I16" s="202">
        <v>17665299</v>
      </c>
      <c r="J16" s="202">
        <v>17316607</v>
      </c>
      <c r="K16" s="202">
        <v>16122993</v>
      </c>
      <c r="L16" s="202">
        <v>15954319</v>
      </c>
      <c r="M16" s="202">
        <v>16050482</v>
      </c>
      <c r="N16" s="202">
        <v>16038227</v>
      </c>
      <c r="O16" s="202">
        <v>16239881</v>
      </c>
      <c r="P16" s="177">
        <f>SUM(D16:O16)</f>
        <v>203979686</v>
      </c>
    </row>
    <row r="17" spans="1:17" x14ac:dyDescent="0.25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3"/>
    </row>
    <row r="18" spans="1:17" x14ac:dyDescent="0.25">
      <c r="A18" s="134" t="s">
        <v>29</v>
      </c>
      <c r="B18" s="179"/>
      <c r="C18" s="179"/>
      <c r="D18" s="179"/>
      <c r="E18" s="179"/>
      <c r="F18" s="179"/>
      <c r="G18" s="179"/>
      <c r="H18" s="179"/>
      <c r="I18" s="179"/>
      <c r="J18" s="180"/>
      <c r="K18" s="180"/>
      <c r="L18" s="180"/>
      <c r="M18" s="180"/>
      <c r="N18" s="179"/>
      <c r="O18" s="179"/>
      <c r="P18" s="179"/>
    </row>
    <row r="19" spans="1:17" x14ac:dyDescent="0.25">
      <c r="A19" s="181" t="s">
        <v>30</v>
      </c>
      <c r="C19" s="127">
        <v>23</v>
      </c>
      <c r="D19" s="127">
        <v>16</v>
      </c>
      <c r="E19" s="127">
        <v>31</v>
      </c>
      <c r="F19" s="127">
        <v>41</v>
      </c>
      <c r="G19" s="127">
        <v>85</v>
      </c>
      <c r="H19" s="127">
        <v>86</v>
      </c>
      <c r="I19" s="127">
        <v>87</v>
      </c>
      <c r="J19" s="127" t="s">
        <v>8</v>
      </c>
      <c r="K19" s="126"/>
      <c r="L19" s="126"/>
      <c r="M19" s="126"/>
    </row>
    <row r="20" spans="1:17" x14ac:dyDescent="0.25">
      <c r="A20" s="181" t="s">
        <v>31</v>
      </c>
      <c r="C20" s="175">
        <f>SUM(D7:O7)</f>
        <v>630397866</v>
      </c>
      <c r="D20" s="175">
        <f>SUM(D8:O8)</f>
        <v>9725</v>
      </c>
      <c r="E20" s="175">
        <f>SUM(D9:O9)</f>
        <v>237120184</v>
      </c>
      <c r="F20" s="175">
        <f>SUM(D10:O10)</f>
        <v>67662362</v>
      </c>
      <c r="G20" s="175">
        <f>SUM(D11:O11)</f>
        <v>15967716</v>
      </c>
      <c r="H20" s="175">
        <f>SUM(D12:O12)</f>
        <v>9331174</v>
      </c>
      <c r="I20" s="175">
        <f>SUM(D13:O13)</f>
        <v>22142129</v>
      </c>
      <c r="J20" s="175">
        <f>SUM(C20:I20)</f>
        <v>982631156</v>
      </c>
      <c r="K20" s="171"/>
      <c r="L20" s="171"/>
      <c r="M20" s="171"/>
    </row>
    <row r="21" spans="1:17" x14ac:dyDescent="0.25">
      <c r="B21" s="133"/>
      <c r="C21" s="175"/>
      <c r="D21" s="175"/>
      <c r="E21" s="175"/>
      <c r="F21" s="175"/>
      <c r="G21" s="175"/>
      <c r="H21" s="175"/>
      <c r="I21" s="175"/>
      <c r="J21" s="171"/>
      <c r="K21" s="171"/>
      <c r="L21" s="171"/>
      <c r="M21" s="171"/>
      <c r="N21" s="175"/>
      <c r="O21" s="175"/>
      <c r="P21" s="175"/>
    </row>
    <row r="22" spans="1:17" s="129" customFormat="1" x14ac:dyDescent="0.25">
      <c r="A22" s="134" t="s">
        <v>84</v>
      </c>
      <c r="P22" s="126"/>
    </row>
    <row r="23" spans="1:17" s="129" customFormat="1" x14ac:dyDescent="0.25">
      <c r="A23" s="135"/>
      <c r="B23" s="182"/>
      <c r="C23" s="182"/>
      <c r="D23" s="174">
        <f>D6</f>
        <v>43405</v>
      </c>
      <c r="E23" s="174">
        <f t="shared" ref="E23:O23" si="3">E6</f>
        <v>43435</v>
      </c>
      <c r="F23" s="174">
        <f t="shared" si="3"/>
        <v>43466</v>
      </c>
      <c r="G23" s="174">
        <f t="shared" si="3"/>
        <v>43497</v>
      </c>
      <c r="H23" s="174">
        <f t="shared" si="3"/>
        <v>43525</v>
      </c>
      <c r="I23" s="174">
        <f t="shared" si="3"/>
        <v>43556</v>
      </c>
      <c r="J23" s="174">
        <f t="shared" si="3"/>
        <v>43586</v>
      </c>
      <c r="K23" s="174">
        <f t="shared" si="3"/>
        <v>43617</v>
      </c>
      <c r="L23" s="174">
        <f t="shared" si="3"/>
        <v>43647</v>
      </c>
      <c r="M23" s="174">
        <f t="shared" si="3"/>
        <v>43678</v>
      </c>
      <c r="N23" s="174">
        <f t="shared" si="3"/>
        <v>43709</v>
      </c>
      <c r="O23" s="174">
        <f t="shared" si="3"/>
        <v>43739</v>
      </c>
      <c r="P23" s="127" t="s">
        <v>28</v>
      </c>
      <c r="Q23" s="182"/>
    </row>
    <row r="24" spans="1:17" s="129" customFormat="1" x14ac:dyDescent="0.25">
      <c r="A24" s="31" t="s">
        <v>12</v>
      </c>
      <c r="B24" s="183"/>
      <c r="C24" s="183"/>
    </row>
    <row r="25" spans="1:17" s="129" customFormat="1" x14ac:dyDescent="0.25">
      <c r="A25" s="133">
        <v>23</v>
      </c>
      <c r="B25" s="122"/>
      <c r="C25" s="122"/>
      <c r="D25" s="202">
        <v>774551</v>
      </c>
      <c r="E25" s="202">
        <v>776182</v>
      </c>
      <c r="F25" s="202">
        <v>777986</v>
      </c>
      <c r="G25" s="202">
        <v>779133</v>
      </c>
      <c r="H25" s="202">
        <v>779500</v>
      </c>
      <c r="I25" s="202">
        <v>779859</v>
      </c>
      <c r="J25" s="202">
        <v>780208</v>
      </c>
      <c r="K25" s="202">
        <v>780539</v>
      </c>
      <c r="L25" s="202">
        <v>780265</v>
      </c>
      <c r="M25" s="202">
        <v>780566</v>
      </c>
      <c r="N25" s="202">
        <v>780861</v>
      </c>
      <c r="O25" s="202">
        <v>782460</v>
      </c>
      <c r="P25" s="128">
        <f>AVERAGE(D25:O25)</f>
        <v>779342.5</v>
      </c>
    </row>
    <row r="26" spans="1:17" s="129" customFormat="1" x14ac:dyDescent="0.25">
      <c r="A26" s="133" t="s">
        <v>85</v>
      </c>
      <c r="B26" s="122"/>
      <c r="C26" s="122"/>
      <c r="D26" s="128">
        <f>ROUND(+D8/19,0)</f>
        <v>36</v>
      </c>
      <c r="E26" s="128">
        <f t="shared" ref="E26:N26" si="4">ROUND(+E8/19,0)</f>
        <v>44</v>
      </c>
      <c r="F26" s="128">
        <f t="shared" si="4"/>
        <v>53</v>
      </c>
      <c r="G26" s="128">
        <f t="shared" si="4"/>
        <v>29</v>
      </c>
      <c r="H26" s="128">
        <f t="shared" si="4"/>
        <v>48</v>
      </c>
      <c r="I26" s="128">
        <f t="shared" si="4"/>
        <v>38</v>
      </c>
      <c r="J26" s="128">
        <f t="shared" si="4"/>
        <v>35</v>
      </c>
      <c r="K26" s="128">
        <f t="shared" si="4"/>
        <v>44</v>
      </c>
      <c r="L26" s="128">
        <f t="shared" si="4"/>
        <v>56</v>
      </c>
      <c r="M26" s="128">
        <f t="shared" si="4"/>
        <v>47</v>
      </c>
      <c r="N26" s="128">
        <f t="shared" si="4"/>
        <v>45</v>
      </c>
      <c r="O26" s="128">
        <f>ROUND(+O8/19,0)</f>
        <v>35</v>
      </c>
      <c r="P26" s="128">
        <f t="shared" ref="P26:P36" si="5">AVERAGE(D26:O26)</f>
        <v>42.5</v>
      </c>
    </row>
    <row r="27" spans="1:17" s="129" customFormat="1" x14ac:dyDescent="0.25">
      <c r="A27" s="135"/>
      <c r="B27" s="122"/>
      <c r="C27" s="122"/>
      <c r="P27" s="128"/>
      <c r="Q27" s="122"/>
    </row>
    <row r="28" spans="1:17" s="129" customFormat="1" x14ac:dyDescent="0.25">
      <c r="A28" s="31" t="s">
        <v>27</v>
      </c>
      <c r="B28" s="122"/>
      <c r="C28" s="122"/>
      <c r="P28" s="128"/>
      <c r="Q28" s="122"/>
    </row>
    <row r="29" spans="1:17" s="129" customFormat="1" x14ac:dyDescent="0.25">
      <c r="A29" s="133">
        <v>31</v>
      </c>
      <c r="B29" s="122"/>
      <c r="C29" s="122"/>
      <c r="D29" s="202">
        <v>56724</v>
      </c>
      <c r="E29" s="202">
        <v>56865</v>
      </c>
      <c r="F29" s="202">
        <v>56962</v>
      </c>
      <c r="G29" s="202">
        <v>57032</v>
      </c>
      <c r="H29" s="202">
        <v>57058</v>
      </c>
      <c r="I29" s="202">
        <v>57025</v>
      </c>
      <c r="J29" s="202">
        <v>56989</v>
      </c>
      <c r="K29" s="202">
        <v>56943</v>
      </c>
      <c r="L29" s="202">
        <v>56903</v>
      </c>
      <c r="M29" s="202">
        <v>56849</v>
      </c>
      <c r="N29" s="202">
        <v>56835</v>
      </c>
      <c r="O29" s="202">
        <v>56903</v>
      </c>
      <c r="P29" s="128">
        <f t="shared" si="5"/>
        <v>56924</v>
      </c>
      <c r="Q29" s="122"/>
    </row>
    <row r="30" spans="1:17" s="129" customFormat="1" x14ac:dyDescent="0.25">
      <c r="A30" s="133">
        <v>41</v>
      </c>
      <c r="D30" s="202">
        <v>1350</v>
      </c>
      <c r="E30" s="202">
        <v>1348</v>
      </c>
      <c r="F30" s="202">
        <v>1356</v>
      </c>
      <c r="G30" s="202">
        <v>1351</v>
      </c>
      <c r="H30" s="202">
        <v>1353</v>
      </c>
      <c r="I30" s="202">
        <v>1344</v>
      </c>
      <c r="J30" s="202">
        <v>1338</v>
      </c>
      <c r="K30" s="202">
        <v>1340</v>
      </c>
      <c r="L30" s="202">
        <v>1337</v>
      </c>
      <c r="M30" s="202">
        <v>1332</v>
      </c>
      <c r="N30" s="202">
        <v>1340</v>
      </c>
      <c r="O30" s="202">
        <v>1344</v>
      </c>
      <c r="P30" s="128">
        <f t="shared" si="5"/>
        <v>1344.4166666666667</v>
      </c>
    </row>
    <row r="31" spans="1:17" s="129" customFormat="1" x14ac:dyDescent="0.25">
      <c r="A31" s="133"/>
      <c r="B31" s="128"/>
      <c r="C31" s="128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128"/>
      <c r="Q31" s="128"/>
    </row>
    <row r="32" spans="1:17" x14ac:dyDescent="0.25">
      <c r="A32" s="13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128"/>
    </row>
    <row r="33" spans="1:16" x14ac:dyDescent="0.25">
      <c r="A33" s="31" t="s">
        <v>14</v>
      </c>
      <c r="B33" s="177"/>
      <c r="C33" s="177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128"/>
    </row>
    <row r="34" spans="1:16" x14ac:dyDescent="0.25">
      <c r="A34" s="133">
        <v>85</v>
      </c>
      <c r="B34" s="177"/>
      <c r="C34" s="177"/>
      <c r="D34" s="202">
        <v>29</v>
      </c>
      <c r="E34" s="202">
        <v>29</v>
      </c>
      <c r="F34" s="202">
        <v>29</v>
      </c>
      <c r="G34" s="202">
        <v>29</v>
      </c>
      <c r="H34" s="202">
        <v>29</v>
      </c>
      <c r="I34" s="202">
        <v>29</v>
      </c>
      <c r="J34" s="202">
        <v>29</v>
      </c>
      <c r="K34" s="202">
        <v>29</v>
      </c>
      <c r="L34" s="202">
        <v>29</v>
      </c>
      <c r="M34" s="202">
        <v>29</v>
      </c>
      <c r="N34" s="202">
        <v>29</v>
      </c>
      <c r="O34" s="202">
        <v>29</v>
      </c>
      <c r="P34" s="128">
        <f t="shared" si="5"/>
        <v>29</v>
      </c>
    </row>
    <row r="35" spans="1:16" x14ac:dyDescent="0.25">
      <c r="A35" s="133">
        <v>86</v>
      </c>
      <c r="B35" s="177"/>
      <c r="C35" s="177"/>
      <c r="D35" s="202">
        <v>219</v>
      </c>
      <c r="E35" s="202">
        <v>218</v>
      </c>
      <c r="F35" s="202">
        <v>217</v>
      </c>
      <c r="G35" s="202">
        <v>216</v>
      </c>
      <c r="H35" s="202">
        <v>216</v>
      </c>
      <c r="I35" s="202">
        <v>215</v>
      </c>
      <c r="J35" s="202">
        <v>214</v>
      </c>
      <c r="K35" s="202">
        <v>213</v>
      </c>
      <c r="L35" s="202">
        <v>213</v>
      </c>
      <c r="M35" s="202">
        <v>212</v>
      </c>
      <c r="N35" s="202">
        <v>211</v>
      </c>
      <c r="O35" s="202">
        <v>210</v>
      </c>
      <c r="P35" s="128">
        <f t="shared" si="5"/>
        <v>214.5</v>
      </c>
    </row>
    <row r="36" spans="1:16" x14ac:dyDescent="0.25">
      <c r="A36" s="133">
        <v>87</v>
      </c>
      <c r="D36" s="202">
        <v>5</v>
      </c>
      <c r="E36" s="202">
        <v>5</v>
      </c>
      <c r="F36" s="202">
        <v>5</v>
      </c>
      <c r="G36" s="202">
        <v>5</v>
      </c>
      <c r="H36" s="202">
        <v>5</v>
      </c>
      <c r="I36" s="202">
        <v>5</v>
      </c>
      <c r="J36" s="202">
        <v>5</v>
      </c>
      <c r="K36" s="202">
        <v>5</v>
      </c>
      <c r="L36" s="202">
        <v>5</v>
      </c>
      <c r="M36" s="202">
        <v>5</v>
      </c>
      <c r="N36" s="202">
        <v>5</v>
      </c>
      <c r="O36" s="202">
        <v>5</v>
      </c>
      <c r="P36" s="128">
        <f t="shared" si="5"/>
        <v>5</v>
      </c>
    </row>
    <row r="37" spans="1:16" x14ac:dyDescent="0.25"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128"/>
    </row>
    <row r="38" spans="1:16" x14ac:dyDescent="0.25">
      <c r="A38" s="135" t="s">
        <v>8</v>
      </c>
      <c r="B38" s="184"/>
      <c r="C38" s="184"/>
      <c r="D38" s="128">
        <f>SUM(D34:D36,D29:D30,D25:D26)</f>
        <v>832914</v>
      </c>
      <c r="E38" s="128">
        <f t="shared" ref="E38:M38" si="6">SUM(E34:E36,E29:E31,E25:E26)</f>
        <v>834691</v>
      </c>
      <c r="F38" s="128">
        <f>SUM(F34:F36,F29:F31,F25:F26)</f>
        <v>836608</v>
      </c>
      <c r="G38" s="128">
        <f t="shared" si="6"/>
        <v>837795</v>
      </c>
      <c r="H38" s="128">
        <f t="shared" si="6"/>
        <v>838209</v>
      </c>
      <c r="I38" s="128">
        <f t="shared" si="6"/>
        <v>838515</v>
      </c>
      <c r="J38" s="128">
        <f t="shared" si="6"/>
        <v>838818</v>
      </c>
      <c r="K38" s="128">
        <f t="shared" si="6"/>
        <v>839113</v>
      </c>
      <c r="L38" s="128">
        <f t="shared" si="6"/>
        <v>838808</v>
      </c>
      <c r="M38" s="128">
        <f t="shared" si="6"/>
        <v>839040</v>
      </c>
      <c r="N38" s="128">
        <f>SUM(N34:N36,N29:N31,N25:N26)</f>
        <v>839326</v>
      </c>
      <c r="O38" s="128">
        <f>SUM(O34:O36,O29:O31,O25:O26)</f>
        <v>840986</v>
      </c>
      <c r="P38" s="128">
        <f>SUM(P34:P36,P29:P31,P25:P26)</f>
        <v>837901.91666666663</v>
      </c>
    </row>
    <row r="39" spans="1:16" x14ac:dyDescent="0.25">
      <c r="A39" s="117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3"/>
    </row>
    <row r="40" spans="1:16" x14ac:dyDescent="0.25">
      <c r="A40" s="135" t="s">
        <v>86</v>
      </c>
    </row>
    <row r="41" spans="1:16" x14ac:dyDescent="0.25">
      <c r="B41" s="185"/>
      <c r="C41" s="185"/>
      <c r="D41" s="185"/>
    </row>
    <row r="42" spans="1:16" x14ac:dyDescent="0.2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</row>
    <row r="43" spans="1:16" x14ac:dyDescent="0.25">
      <c r="B43" s="186"/>
      <c r="C43" s="186"/>
      <c r="D43" s="18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</row>
    <row r="44" spans="1:16" x14ac:dyDescent="0.25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1:16" x14ac:dyDescent="0.25">
      <c r="A45" s="133"/>
      <c r="B45" s="187"/>
      <c r="C45" s="187"/>
      <c r="D45" s="18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  <row r="46" spans="1:16" x14ac:dyDescent="0.25">
      <c r="A46" s="133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</row>
    <row r="47" spans="1:16" x14ac:dyDescent="0.25">
      <c r="A47" s="133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</row>
    <row r="48" spans="1:16" x14ac:dyDescent="0.25">
      <c r="A48" s="133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</row>
    <row r="49" spans="1:16" x14ac:dyDescent="0.25">
      <c r="A49" s="135" t="s">
        <v>150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</row>
    <row r="50" spans="1:16" x14ac:dyDescent="0.25">
      <c r="A50" s="133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</row>
    <row r="51" spans="1:16" x14ac:dyDescent="0.25">
      <c r="A51" s="133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</row>
    <row r="52" spans="1:16" x14ac:dyDescent="0.2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</row>
    <row r="54" spans="1:16" x14ac:dyDescent="0.2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</row>
    <row r="55" spans="1:16" x14ac:dyDescent="0.2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3">
    <mergeCell ref="A1:P1"/>
    <mergeCell ref="A2:P2"/>
    <mergeCell ref="A3:P3"/>
  </mergeCells>
  <printOptions horizontalCentered="1"/>
  <pageMargins left="0.53" right="0.48" top="1" bottom="1" header="0.5" footer="0.5"/>
  <pageSetup scale="62" orientation="landscape" blackAndWhite="1" r:id="rId1"/>
  <headerFooter alignWithMargins="0">
    <oddFooter>&amp;L&amp;F 
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V30"/>
  <sheetViews>
    <sheetView topLeftCell="A16" workbookViewId="0">
      <selection activeCell="D30" sqref="D30"/>
    </sheetView>
  </sheetViews>
  <sheetFormatPr defaultColWidth="9.109375" defaultRowHeight="13.2" x14ac:dyDescent="0.25"/>
  <cols>
    <col min="1" max="1" width="5" style="22" customWidth="1"/>
    <col min="2" max="2" width="9.6640625" style="22" customWidth="1"/>
    <col min="3" max="3" width="3" style="22" customWidth="1"/>
    <col min="4" max="4" width="10.88671875" style="22" bestFit="1" customWidth="1"/>
    <col min="5" max="5" width="11.5546875" style="22" bestFit="1" customWidth="1"/>
    <col min="6" max="6" width="10.33203125" style="22" bestFit="1" customWidth="1"/>
    <col min="7" max="7" width="2.5546875" style="22" customWidth="1"/>
    <col min="8" max="8" width="14.6640625" style="22" bestFit="1" customWidth="1"/>
    <col min="9" max="9" width="12.6640625" style="22" bestFit="1" customWidth="1"/>
    <col min="10" max="10" width="14" style="22" bestFit="1" customWidth="1"/>
    <col min="11" max="11" width="12.88671875" style="22" bestFit="1" customWidth="1"/>
    <col min="12" max="12" width="11.88671875" style="22" bestFit="1" customWidth="1"/>
    <col min="13" max="15" width="3.33203125" style="22" bestFit="1" customWidth="1"/>
    <col min="16" max="16384" width="9.109375" style="22"/>
  </cols>
  <sheetData>
    <row r="1" spans="1:15" ht="15.6" x14ac:dyDescent="0.3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15.6" x14ac:dyDescent="0.3">
      <c r="A2" s="192" t="str">
        <f>'Amort Rates Tracker-2'!B2</f>
        <v>PGA Tracker Filing Proposed Effective November 1, 2018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2"/>
      <c r="M2" s="52"/>
    </row>
    <row r="3" spans="1:15" ht="15.6" x14ac:dyDescent="0.3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2"/>
      <c r="M3" s="52"/>
    </row>
    <row r="4" spans="1:15" ht="15" x14ac:dyDescent="0.25">
      <c r="A4" s="82"/>
      <c r="B4" s="83"/>
      <c r="J4" s="53"/>
      <c r="K4" s="54"/>
      <c r="L4" s="54"/>
    </row>
    <row r="5" spans="1:15" x14ac:dyDescent="0.25">
      <c r="A5" s="49"/>
      <c r="H5" s="78" t="s">
        <v>21</v>
      </c>
      <c r="I5" s="35"/>
      <c r="J5" s="55" t="s">
        <v>46</v>
      </c>
      <c r="K5" s="54"/>
      <c r="L5" s="54"/>
    </row>
    <row r="6" spans="1:15" x14ac:dyDescent="0.25">
      <c r="A6" s="50"/>
      <c r="B6" s="30" t="s">
        <v>1</v>
      </c>
      <c r="C6" s="30"/>
      <c r="D6" s="35" t="s">
        <v>56</v>
      </c>
      <c r="E6" s="35"/>
      <c r="F6" s="35"/>
      <c r="H6" s="57" t="s">
        <v>8</v>
      </c>
      <c r="I6" s="57" t="s">
        <v>28</v>
      </c>
      <c r="J6" s="74" t="s">
        <v>35</v>
      </c>
      <c r="K6" s="80" t="s">
        <v>22</v>
      </c>
      <c r="L6" s="80"/>
    </row>
    <row r="7" spans="1:15" x14ac:dyDescent="0.25">
      <c r="A7" s="79" t="s">
        <v>11</v>
      </c>
      <c r="B7" s="34" t="s">
        <v>9</v>
      </c>
      <c r="C7" s="30"/>
      <c r="D7" s="34" t="s">
        <v>44</v>
      </c>
      <c r="E7" s="34" t="s">
        <v>45</v>
      </c>
      <c r="F7" s="34" t="s">
        <v>19</v>
      </c>
      <c r="H7" s="73" t="s">
        <v>48</v>
      </c>
      <c r="I7" s="75" t="s">
        <v>79</v>
      </c>
      <c r="J7" s="76" t="s">
        <v>19</v>
      </c>
      <c r="K7" s="77" t="s">
        <v>23</v>
      </c>
      <c r="L7" s="77" t="s">
        <v>24</v>
      </c>
    </row>
    <row r="8" spans="1:15" x14ac:dyDescent="0.25">
      <c r="B8" s="30"/>
      <c r="C8" s="30"/>
      <c r="D8" s="30" t="s">
        <v>4</v>
      </c>
      <c r="E8" s="18" t="s">
        <v>5</v>
      </c>
      <c r="F8" s="30" t="s">
        <v>6</v>
      </c>
      <c r="G8" s="30"/>
      <c r="H8" s="30" t="s">
        <v>7</v>
      </c>
      <c r="I8" s="30" t="s">
        <v>15</v>
      </c>
      <c r="J8" s="55" t="s">
        <v>20</v>
      </c>
      <c r="K8" s="56" t="s">
        <v>16</v>
      </c>
      <c r="L8" s="56" t="s">
        <v>17</v>
      </c>
      <c r="M8" s="30"/>
      <c r="N8" s="30"/>
      <c r="O8" s="30"/>
    </row>
    <row r="9" spans="1:15" x14ac:dyDescent="0.25">
      <c r="A9" s="30"/>
      <c r="B9" s="30"/>
      <c r="D9" s="30"/>
      <c r="E9" s="30"/>
      <c r="F9" s="14" t="s">
        <v>81</v>
      </c>
      <c r="H9" s="57"/>
      <c r="I9" s="58"/>
      <c r="J9" s="55" t="s">
        <v>82</v>
      </c>
      <c r="K9" s="56" t="s">
        <v>25</v>
      </c>
      <c r="L9" s="56" t="s">
        <v>26</v>
      </c>
    </row>
    <row r="10" spans="1:15" x14ac:dyDescent="0.25">
      <c r="A10" s="51"/>
      <c r="B10" s="30"/>
      <c r="C10" s="29"/>
      <c r="D10" s="61"/>
      <c r="E10" s="61"/>
      <c r="F10" s="61"/>
      <c r="H10" s="36"/>
      <c r="I10" s="36"/>
      <c r="J10" s="59"/>
      <c r="K10" s="60"/>
      <c r="L10" s="60"/>
      <c r="N10" s="40"/>
      <c r="O10" s="40"/>
    </row>
    <row r="11" spans="1:15" x14ac:dyDescent="0.25">
      <c r="A11" s="62"/>
      <c r="B11" s="31" t="s">
        <v>12</v>
      </c>
      <c r="C11" s="29"/>
      <c r="D11" s="61"/>
      <c r="E11" s="61"/>
      <c r="F11" s="61"/>
      <c r="H11" s="36"/>
      <c r="I11" s="36"/>
      <c r="J11" s="59"/>
      <c r="K11" s="60"/>
      <c r="L11" s="60"/>
      <c r="N11" s="40"/>
      <c r="O11" s="40"/>
    </row>
    <row r="12" spans="1:15" x14ac:dyDescent="0.25">
      <c r="A12" s="62">
        <v>1</v>
      </c>
      <c r="B12" s="30">
        <v>23</v>
      </c>
      <c r="C12" s="30"/>
      <c r="D12" s="190">
        <f>'Amort Rates Tracker-2'!E$35</f>
        <v>-1.695E-2</v>
      </c>
      <c r="E12" s="89">
        <f>'Amort Rates Tracker-2'!E$33</f>
        <v>-5.8279999999999998E-2</v>
      </c>
      <c r="F12" s="39">
        <f>+E12-D12</f>
        <v>-4.1329999999999999E-2</v>
      </c>
      <c r="G12" s="40"/>
      <c r="H12" s="90">
        <f>'Forecast Tracker-3'!P7</f>
        <v>630397866</v>
      </c>
      <c r="I12" s="90">
        <f>'Forecast Tracker-3'!P25</f>
        <v>779342.5</v>
      </c>
      <c r="J12" s="41">
        <f>+H12*F12</f>
        <v>-26054343.80178</v>
      </c>
      <c r="K12" s="63">
        <f>+J12/I12</f>
        <v>-33.431185649159389</v>
      </c>
      <c r="L12" s="63">
        <f>+K12/12</f>
        <v>-2.7859321374299491</v>
      </c>
      <c r="N12" s="40"/>
      <c r="O12" s="40"/>
    </row>
    <row r="13" spans="1:15" x14ac:dyDescent="0.25">
      <c r="A13" s="62">
        <f t="shared" ref="A13:A26" si="0">A12+1</f>
        <v>2</v>
      </c>
      <c r="B13" s="30">
        <v>16</v>
      </c>
      <c r="C13" s="30"/>
      <c r="D13" s="89">
        <f>'Amort Rates Tracker-2'!F$35</f>
        <v>-1.695E-2</v>
      </c>
      <c r="E13" s="89">
        <f>'Amort Rates Tracker-2'!F$33</f>
        <v>-5.8279999999999998E-2</v>
      </c>
      <c r="F13" s="39">
        <f>+E13-D13</f>
        <v>-4.1329999999999999E-2</v>
      </c>
      <c r="G13" s="40"/>
      <c r="H13" s="90">
        <f>'Forecast Tracker-3'!P8</f>
        <v>9725</v>
      </c>
      <c r="I13" s="90">
        <f>'Forecast Tracker-3'!P26</f>
        <v>42.5</v>
      </c>
      <c r="J13" s="41">
        <f>+H13*F13</f>
        <v>-401.93424999999996</v>
      </c>
      <c r="K13" s="63">
        <f>+J13/I13</f>
        <v>-9.4572764705882353</v>
      </c>
      <c r="L13" s="63">
        <f>+K13/12</f>
        <v>-0.78810637254901961</v>
      </c>
      <c r="N13" s="40"/>
      <c r="O13" s="40"/>
    </row>
    <row r="14" spans="1:15" x14ac:dyDescent="0.25">
      <c r="A14" s="62">
        <f t="shared" si="0"/>
        <v>3</v>
      </c>
      <c r="B14" s="29" t="s">
        <v>42</v>
      </c>
      <c r="C14" s="30"/>
      <c r="D14" s="64"/>
      <c r="E14" s="37"/>
      <c r="F14" s="39"/>
      <c r="G14" s="40"/>
      <c r="H14" s="43">
        <f>SUM(H12:H13)</f>
        <v>630407591</v>
      </c>
      <c r="I14" s="43">
        <f>SUM(I12:I13)</f>
        <v>779385</v>
      </c>
      <c r="J14" s="44">
        <f>SUM(J12:J13)</f>
        <v>-26054745.736030001</v>
      </c>
      <c r="K14" s="65">
        <f>+J14/I14</f>
        <v>-33.429878347710059</v>
      </c>
      <c r="L14" s="65">
        <f>+K14/12</f>
        <v>-2.785823195642505</v>
      </c>
      <c r="N14" s="40"/>
      <c r="O14" s="40"/>
    </row>
    <row r="15" spans="1:15" x14ac:dyDescent="0.25">
      <c r="A15" s="62"/>
      <c r="D15" s="64"/>
      <c r="E15" s="37"/>
      <c r="F15" s="38"/>
      <c r="G15" s="40"/>
      <c r="H15" s="36"/>
      <c r="I15" s="36"/>
      <c r="J15" s="41"/>
      <c r="K15" s="63"/>
      <c r="L15" s="63"/>
      <c r="N15" s="40"/>
      <c r="O15" s="40"/>
    </row>
    <row r="16" spans="1:15" x14ac:dyDescent="0.25">
      <c r="A16" s="62"/>
      <c r="B16" s="31" t="s">
        <v>27</v>
      </c>
      <c r="C16" s="29"/>
      <c r="D16" s="64"/>
      <c r="E16" s="37"/>
      <c r="F16" s="38"/>
      <c r="G16" s="40"/>
      <c r="H16" s="36"/>
      <c r="I16" s="36"/>
      <c r="J16" s="41"/>
      <c r="K16" s="63"/>
      <c r="L16" s="63"/>
      <c r="N16" s="40"/>
      <c r="O16" s="40"/>
    </row>
    <row r="17" spans="1:256" x14ac:dyDescent="0.25">
      <c r="A17" s="62">
        <f>A14+1</f>
        <v>4</v>
      </c>
      <c r="B17" s="30">
        <v>31</v>
      </c>
      <c r="C17" s="30"/>
      <c r="D17" s="89">
        <f>'Amort Rates Tracker-2'!G$35</f>
        <v>-1.695E-2</v>
      </c>
      <c r="E17" s="89">
        <f>'Amort Rates Tracker-2'!G$33</f>
        <v>-5.8270000000000002E-2</v>
      </c>
      <c r="F17" s="39">
        <f>+E17-D17</f>
        <v>-4.1320000000000003E-2</v>
      </c>
      <c r="G17" s="40"/>
      <c r="H17" s="90">
        <f>'Forecast Tracker-3'!P9</f>
        <v>237120184</v>
      </c>
      <c r="I17" s="90">
        <f>'Forecast Tracker-3'!P29</f>
        <v>56924</v>
      </c>
      <c r="J17" s="41">
        <f>+H17*F17</f>
        <v>-9797806.0028800014</v>
      </c>
      <c r="K17" s="63">
        <f>+J17/I17</f>
        <v>-172.12082782095428</v>
      </c>
      <c r="L17" s="63">
        <f>+K17/12</f>
        <v>-14.343402318412856</v>
      </c>
      <c r="N17" s="40"/>
      <c r="O17" s="40"/>
    </row>
    <row r="18" spans="1:256" x14ac:dyDescent="0.25">
      <c r="A18" s="62">
        <f t="shared" si="0"/>
        <v>5</v>
      </c>
      <c r="B18" s="30">
        <v>41</v>
      </c>
      <c r="C18" s="30"/>
      <c r="D18" s="89">
        <f>'Amort Rates Tracker-2'!H$35</f>
        <v>-1.6969999999999999E-2</v>
      </c>
      <c r="E18" s="89">
        <f>'Amort Rates Tracker-2'!H$33</f>
        <v>-5.8209999999999998E-2</v>
      </c>
      <c r="F18" s="39">
        <f>+E18-D18</f>
        <v>-4.1239999999999999E-2</v>
      </c>
      <c r="G18" s="40"/>
      <c r="H18" s="90">
        <f>'Forecast Tracker-3'!P10</f>
        <v>67662362</v>
      </c>
      <c r="I18" s="90">
        <f>'Forecast Tracker-3'!P30</f>
        <v>1344.4166666666667</v>
      </c>
      <c r="J18" s="41">
        <f>+H18*F18</f>
        <v>-2790395.8088799999</v>
      </c>
      <c r="K18" s="63">
        <f>+J18/I18</f>
        <v>-2075.5438980078097</v>
      </c>
      <c r="L18" s="63">
        <f>+K18/12</f>
        <v>-172.96199150065081</v>
      </c>
      <c r="N18" s="40"/>
      <c r="O18" s="40"/>
    </row>
    <row r="19" spans="1:256" x14ac:dyDescent="0.25">
      <c r="A19" s="62">
        <f>A18+1</f>
        <v>6</v>
      </c>
      <c r="B19" s="29" t="s">
        <v>43</v>
      </c>
      <c r="C19" s="30"/>
      <c r="D19" s="64"/>
      <c r="E19" s="37"/>
      <c r="F19" s="38"/>
      <c r="G19" s="40"/>
      <c r="H19" s="43">
        <f>SUM(H17:H18)</f>
        <v>304782546</v>
      </c>
      <c r="I19" s="43">
        <f>SUM(I17:I18)</f>
        <v>58268.416666666664</v>
      </c>
      <c r="J19" s="44">
        <f>SUM(J17:J18)</f>
        <v>-12588201.811760001</v>
      </c>
      <c r="K19" s="65">
        <f>J19/I19</f>
        <v>-216.03816495946205</v>
      </c>
      <c r="L19" s="65">
        <f>K19/12</f>
        <v>-18.003180413288504</v>
      </c>
      <c r="N19" s="40"/>
      <c r="O19" s="40"/>
    </row>
    <row r="20" spans="1:256" x14ac:dyDescent="0.25">
      <c r="A20" s="62"/>
      <c r="B20" s="30"/>
      <c r="C20" s="30"/>
      <c r="D20" s="64"/>
      <c r="E20" s="37"/>
      <c r="F20" s="38"/>
      <c r="G20" s="40"/>
      <c r="H20" s="66"/>
      <c r="I20" s="66"/>
      <c r="J20" s="67"/>
      <c r="K20" s="68"/>
      <c r="L20" s="68"/>
      <c r="N20" s="40"/>
      <c r="O20" s="40"/>
    </row>
    <row r="21" spans="1:256" x14ac:dyDescent="0.25">
      <c r="A21" s="62"/>
      <c r="B21" s="31" t="s">
        <v>73</v>
      </c>
      <c r="C21" s="30"/>
      <c r="D21" s="64"/>
      <c r="E21" s="37"/>
      <c r="F21" s="38"/>
      <c r="G21" s="40"/>
      <c r="H21" s="36"/>
      <c r="I21" s="36"/>
      <c r="J21" s="41"/>
      <c r="K21" s="63"/>
      <c r="L21" s="63"/>
      <c r="N21" s="40"/>
      <c r="O21" s="40"/>
    </row>
    <row r="22" spans="1:256" x14ac:dyDescent="0.25">
      <c r="A22" s="62">
        <f>A19+1</f>
        <v>7</v>
      </c>
      <c r="B22" s="30">
        <v>85</v>
      </c>
      <c r="C22" s="30"/>
      <c r="D22" s="89">
        <f>'Amort Rates Tracker-2'!I$35</f>
        <v>-1.6979999999999999E-2</v>
      </c>
      <c r="E22" s="89">
        <f>'Amort Rates Tracker-2'!I$33</f>
        <v>-5.8189999999999999E-2</v>
      </c>
      <c r="F22" s="39">
        <f>+E22-D22</f>
        <v>-4.1209999999999997E-2</v>
      </c>
      <c r="G22" s="40"/>
      <c r="H22" s="90">
        <f>'Forecast Tracker-3'!P11</f>
        <v>15967716</v>
      </c>
      <c r="I22" s="90">
        <f>'Forecast Tracker-3'!P34</f>
        <v>29</v>
      </c>
      <c r="J22" s="41">
        <f>+H22*F22</f>
        <v>-658029.57635999995</v>
      </c>
      <c r="K22" s="63">
        <f>+J22/I22</f>
        <v>-22690.675046896551</v>
      </c>
      <c r="L22" s="63">
        <f>+K22/12</f>
        <v>-1890.8895872413793</v>
      </c>
      <c r="N22" s="40"/>
      <c r="O22" s="40"/>
    </row>
    <row r="23" spans="1:256" x14ac:dyDescent="0.25">
      <c r="A23" s="62">
        <f t="shared" si="0"/>
        <v>8</v>
      </c>
      <c r="B23" s="30">
        <v>86</v>
      </c>
      <c r="C23" s="30"/>
      <c r="D23" s="89">
        <f>'Amort Rates Tracker-2'!J$35</f>
        <v>-1.6969999999999999E-2</v>
      </c>
      <c r="E23" s="89">
        <f>'Amort Rates Tracker-2'!J$33</f>
        <v>-5.8189999999999999E-2</v>
      </c>
      <c r="F23" s="39">
        <f>+E23-D23</f>
        <v>-4.122E-2</v>
      </c>
      <c r="G23" s="40"/>
      <c r="H23" s="90">
        <f>'Forecast Tracker-3'!P12</f>
        <v>9331174</v>
      </c>
      <c r="I23" s="90">
        <f>'Forecast Tracker-3'!P35</f>
        <v>214.5</v>
      </c>
      <c r="J23" s="41">
        <f>+H23*F23</f>
        <v>-384630.99228000001</v>
      </c>
      <c r="K23" s="63">
        <f>+J23/I23</f>
        <v>-1793.1514791608392</v>
      </c>
      <c r="L23" s="63">
        <f>+K23/12</f>
        <v>-149.42928993006993</v>
      </c>
      <c r="N23" s="40"/>
      <c r="O23" s="40"/>
    </row>
    <row r="24" spans="1:256" x14ac:dyDescent="0.25">
      <c r="A24" s="62">
        <f t="shared" si="0"/>
        <v>9</v>
      </c>
      <c r="B24" s="30">
        <v>87</v>
      </c>
      <c r="C24" s="30"/>
      <c r="D24" s="89">
        <f>'Amort Rates Tracker-2'!K$35</f>
        <v>-1.6979999999999999E-2</v>
      </c>
      <c r="E24" s="89">
        <f>'Amort Rates Tracker-2'!K$33</f>
        <v>-5.8169999999999999E-2</v>
      </c>
      <c r="F24" s="39">
        <f>+E24-D24</f>
        <v>-4.1190000000000004E-2</v>
      </c>
      <c r="G24" s="40"/>
      <c r="H24" s="90">
        <f>'Forecast Tracker-3'!P13</f>
        <v>22142129</v>
      </c>
      <c r="I24" s="90">
        <f>'Forecast Tracker-3'!P36</f>
        <v>5</v>
      </c>
      <c r="J24" s="41">
        <f>+H24*F24</f>
        <v>-912034.29351000011</v>
      </c>
      <c r="K24" s="63">
        <f>+J24/I24</f>
        <v>-182406.85870200003</v>
      </c>
      <c r="L24" s="63">
        <f>+K24/12</f>
        <v>-15200.571558500002</v>
      </c>
      <c r="N24" s="40"/>
      <c r="O24" s="40"/>
    </row>
    <row r="25" spans="1:256" x14ac:dyDescent="0.25">
      <c r="A25" s="62">
        <f t="shared" si="0"/>
        <v>10</v>
      </c>
      <c r="B25" s="29" t="s">
        <v>76</v>
      </c>
      <c r="C25" s="30"/>
      <c r="D25" s="38"/>
      <c r="E25" s="38"/>
      <c r="F25" s="38"/>
      <c r="G25" s="40"/>
      <c r="H25" s="43">
        <f>SUM(H22:H24)</f>
        <v>47441019</v>
      </c>
      <c r="I25" s="43">
        <f>SUM(I22:I24)</f>
        <v>248.5</v>
      </c>
      <c r="J25" s="44">
        <f>SUM(J22:J24)</f>
        <v>-1954694.8621499999</v>
      </c>
      <c r="K25" s="65">
        <f>J25/I25</f>
        <v>-7865.9753004024142</v>
      </c>
      <c r="L25" s="65">
        <f>K25/12</f>
        <v>-655.49794170020118</v>
      </c>
    </row>
    <row r="26" spans="1:256" x14ac:dyDescent="0.25">
      <c r="A26" s="62">
        <f t="shared" si="0"/>
        <v>11</v>
      </c>
      <c r="B26" s="29" t="s">
        <v>47</v>
      </c>
      <c r="C26" s="30"/>
      <c r="D26" s="40"/>
      <c r="E26" s="40"/>
      <c r="F26" s="40"/>
      <c r="G26" s="40"/>
      <c r="H26" s="43">
        <f>SUM(H14,H19,H25)</f>
        <v>982631156</v>
      </c>
      <c r="I26" s="43">
        <f>SUM(I14,I19,I25)</f>
        <v>837901.91666666663</v>
      </c>
      <c r="J26" s="44">
        <f>SUM(J14,J19,J25)</f>
        <v>-40597642.409940004</v>
      </c>
      <c r="K26" s="42"/>
      <c r="L26" s="41"/>
    </row>
    <row r="27" spans="1:25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1" t="s">
        <v>80</v>
      </c>
      <c r="F28" s="40"/>
      <c r="G28" s="40"/>
      <c r="H28" s="36"/>
      <c r="J28" s="69"/>
      <c r="K28" s="61"/>
      <c r="L28" s="59"/>
    </row>
    <row r="29" spans="1:256" ht="112.8" x14ac:dyDescent="0.25">
      <c r="A29" s="49"/>
      <c r="B29" s="52"/>
      <c r="C29" s="52"/>
      <c r="D29" s="52"/>
      <c r="E29" s="52"/>
      <c r="F29" s="40"/>
      <c r="G29" s="40"/>
      <c r="H29" s="70"/>
      <c r="I29" s="52"/>
      <c r="J29" s="59"/>
      <c r="K29" s="71"/>
      <c r="L29" s="59"/>
      <c r="M29" s="93" t="s">
        <v>0</v>
      </c>
      <c r="N29" s="94" t="s">
        <v>52</v>
      </c>
      <c r="O29" s="125" t="s">
        <v>149</v>
      </c>
    </row>
    <row r="30" spans="1:256" x14ac:dyDescent="0.25">
      <c r="A30" s="136" t="s">
        <v>134</v>
      </c>
    </row>
  </sheetData>
  <phoneticPr fontId="5" type="noConversion"/>
  <printOptions horizontalCentered="1"/>
  <pageMargins left="0.75" right="0.75" top="1" bottom="1" header="0.5" footer="0.5"/>
  <pageSetup scale="95" orientation="landscape" blackAndWhite="1" r:id="rId1"/>
  <headerFooter alignWithMargins="0">
    <oddFooter>&amp;L&amp;F 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workbookViewId="0">
      <selection activeCell="E15" sqref="E15"/>
    </sheetView>
  </sheetViews>
  <sheetFormatPr defaultRowHeight="13.2" x14ac:dyDescent="0.25"/>
  <cols>
    <col min="1" max="1" width="2" customWidth="1"/>
    <col min="2" max="2" width="31.88671875" customWidth="1"/>
    <col min="3" max="3" width="12.33203125" bestFit="1" customWidth="1"/>
    <col min="4" max="4" width="12.33203125" customWidth="1"/>
    <col min="5" max="6" width="15" bestFit="1" customWidth="1"/>
    <col min="7" max="7" width="10.44140625" customWidth="1"/>
    <col min="8" max="8" width="13.6640625" customWidth="1"/>
    <col min="9" max="9" width="11.109375" customWidth="1"/>
    <col min="10" max="12" width="3.33203125" bestFit="1" customWidth="1"/>
  </cols>
  <sheetData>
    <row r="1" spans="2:11" ht="15.6" x14ac:dyDescent="0.3">
      <c r="B1" s="115" t="s">
        <v>10</v>
      </c>
      <c r="C1" s="115"/>
      <c r="D1" s="115"/>
      <c r="E1" s="115"/>
      <c r="F1" s="115"/>
      <c r="G1" s="115"/>
      <c r="H1" s="115"/>
      <c r="I1" s="115"/>
      <c r="J1" s="116"/>
      <c r="K1" s="116"/>
    </row>
    <row r="2" spans="2:11" ht="17.399999999999999" x14ac:dyDescent="0.3">
      <c r="B2" s="192" t="str">
        <f>'Amort Rates Tracker-2'!B2</f>
        <v>PGA Tracker Filing Proposed Effective November 1, 2018</v>
      </c>
      <c r="C2" s="46"/>
      <c r="D2" s="46"/>
      <c r="E2" s="47"/>
      <c r="F2" s="45"/>
      <c r="G2" s="48"/>
      <c r="H2" s="45"/>
      <c r="I2" s="45"/>
      <c r="J2" s="117"/>
      <c r="K2" s="117"/>
    </row>
    <row r="3" spans="2:11" ht="17.399999999999999" x14ac:dyDescent="0.3">
      <c r="B3" s="33" t="s">
        <v>75</v>
      </c>
      <c r="C3" s="46"/>
      <c r="D3" s="46"/>
      <c r="E3" s="47"/>
      <c r="F3" s="45"/>
      <c r="G3" s="48"/>
      <c r="H3" s="45"/>
      <c r="I3" s="45"/>
      <c r="J3" s="117"/>
      <c r="K3" s="117"/>
    </row>
    <row r="4" spans="2:11" x14ac:dyDescent="0.25">
      <c r="B4" s="86"/>
      <c r="E4" s="95"/>
      <c r="H4" s="6"/>
      <c r="J4" s="72"/>
      <c r="K4" s="72"/>
    </row>
    <row r="5" spans="2:11" x14ac:dyDescent="0.25">
      <c r="B5" s="86"/>
      <c r="E5" s="85"/>
      <c r="H5" s="6"/>
    </row>
    <row r="6" spans="2:11" x14ac:dyDescent="0.25">
      <c r="E6" s="85"/>
      <c r="H6" s="6"/>
    </row>
    <row r="7" spans="2:11" x14ac:dyDescent="0.25">
      <c r="C7" s="97" t="s">
        <v>44</v>
      </c>
      <c r="D7" s="126" t="s">
        <v>45</v>
      </c>
      <c r="E7" s="96" t="s">
        <v>87</v>
      </c>
      <c r="F7" s="96" t="s">
        <v>87</v>
      </c>
      <c r="G7" s="131" t="s">
        <v>140</v>
      </c>
      <c r="H7" s="131" t="s">
        <v>140</v>
      </c>
      <c r="I7" s="96"/>
    </row>
    <row r="8" spans="2:11" x14ac:dyDescent="0.25">
      <c r="C8" s="96" t="s">
        <v>54</v>
      </c>
      <c r="D8" s="124" t="s">
        <v>54</v>
      </c>
      <c r="E8" s="96" t="s">
        <v>88</v>
      </c>
      <c r="F8" s="96" t="s">
        <v>89</v>
      </c>
      <c r="G8" s="97" t="s">
        <v>58</v>
      </c>
      <c r="H8" s="97" t="s">
        <v>58</v>
      </c>
      <c r="I8" s="85" t="s">
        <v>59</v>
      </c>
    </row>
    <row r="9" spans="2:11" s="1" customFormat="1" x14ac:dyDescent="0.25">
      <c r="B9" s="10" t="s">
        <v>60</v>
      </c>
      <c r="C9" s="34" t="s">
        <v>18</v>
      </c>
      <c r="D9" s="143" t="s">
        <v>18</v>
      </c>
      <c r="E9" s="191" t="s">
        <v>139</v>
      </c>
      <c r="F9" s="2" t="s">
        <v>97</v>
      </c>
      <c r="G9" s="34" t="s">
        <v>61</v>
      </c>
      <c r="H9" s="34" t="s">
        <v>62</v>
      </c>
      <c r="I9" s="34" t="s">
        <v>19</v>
      </c>
    </row>
    <row r="10" spans="2:11" x14ac:dyDescent="0.25">
      <c r="B10" s="98" t="s">
        <v>63</v>
      </c>
      <c r="C10" s="99" t="s">
        <v>64</v>
      </c>
      <c r="D10" s="99" t="s">
        <v>65</v>
      </c>
      <c r="E10" s="99" t="s">
        <v>94</v>
      </c>
      <c r="F10" s="99" t="s">
        <v>66</v>
      </c>
      <c r="G10" s="99" t="s">
        <v>67</v>
      </c>
      <c r="H10" s="99" t="s">
        <v>95</v>
      </c>
      <c r="I10" s="99" t="s">
        <v>96</v>
      </c>
    </row>
    <row r="11" spans="2:11" x14ac:dyDescent="0.25">
      <c r="B11" s="72" t="s">
        <v>74</v>
      </c>
      <c r="C11" s="100">
        <f>'Amort Rates Tracker-2'!$E$35</f>
        <v>-1.695E-2</v>
      </c>
      <c r="D11" s="100">
        <f>'Amort Rates Tracker-2'!$E$33</f>
        <v>-5.8279999999999998E-2</v>
      </c>
      <c r="E11" s="114">
        <f>'Forecast Tracker-3'!P7</f>
        <v>630397866</v>
      </c>
      <c r="F11" s="210">
        <v>642347672.64245129</v>
      </c>
      <c r="G11" s="130">
        <f>D11-C11</f>
        <v>-4.1329999999999999E-2</v>
      </c>
      <c r="H11" s="101">
        <f t="shared" ref="H11:H17" si="0">G11*E11</f>
        <v>-26054343.80178</v>
      </c>
      <c r="I11" s="140">
        <f t="shared" ref="I11:I18" si="1">H11/F11</f>
        <v>-4.056112431232016E-2</v>
      </c>
    </row>
    <row r="12" spans="2:11" x14ac:dyDescent="0.25">
      <c r="B12" s="72" t="s">
        <v>68</v>
      </c>
      <c r="C12" s="100">
        <f>'Amort Rates Tracker-2'!$F$35</f>
        <v>-1.695E-2</v>
      </c>
      <c r="D12" s="100">
        <f>'Amort Rates Tracker-2'!$F$33</f>
        <v>-5.8279999999999998E-2</v>
      </c>
      <c r="E12" s="114">
        <f>'Forecast Tracker-3'!P8</f>
        <v>9725</v>
      </c>
      <c r="F12" s="210">
        <v>8961.9588441384403</v>
      </c>
      <c r="G12" s="130">
        <f t="shared" ref="G12:G17" si="2">D12-C12</f>
        <v>-4.1329999999999999E-2</v>
      </c>
      <c r="H12" s="101">
        <f t="shared" si="0"/>
        <v>-401.93424999999996</v>
      </c>
      <c r="I12" s="140">
        <f>H12/F12</f>
        <v>-4.484892834147354E-2</v>
      </c>
    </row>
    <row r="13" spans="2:11" x14ac:dyDescent="0.25">
      <c r="B13" s="121" t="s">
        <v>78</v>
      </c>
      <c r="C13" s="100">
        <f>'Amort Rates Tracker-2'!$G$35</f>
        <v>-1.695E-2</v>
      </c>
      <c r="D13" s="100">
        <f>'Amort Rates Tracker-2'!$G$33</f>
        <v>-5.8270000000000002E-2</v>
      </c>
      <c r="E13" s="114">
        <f>'Forecast Tracker-3'!P9</f>
        <v>237120184</v>
      </c>
      <c r="F13" s="210">
        <v>195418824.27467138</v>
      </c>
      <c r="G13" s="130">
        <f t="shared" si="2"/>
        <v>-4.1320000000000003E-2</v>
      </c>
      <c r="H13" s="101">
        <f t="shared" si="0"/>
        <v>-9797806.0028800014</v>
      </c>
      <c r="I13" s="140">
        <f t="shared" si="1"/>
        <v>-5.0137472882902379E-2</v>
      </c>
    </row>
    <row r="14" spans="2:11" x14ac:dyDescent="0.25">
      <c r="B14" s="72" t="s">
        <v>69</v>
      </c>
      <c r="C14" s="100">
        <f>'Amort Rates Tracker-2'!$H$35</f>
        <v>-1.6969999999999999E-2</v>
      </c>
      <c r="D14" s="100">
        <f>'Amort Rates Tracker-2'!$H$33</f>
        <v>-5.8209999999999998E-2</v>
      </c>
      <c r="E14" s="114">
        <f>'Forecast Tracker-3'!P10</f>
        <v>67662362</v>
      </c>
      <c r="F14" s="210">
        <v>40886083.949597575</v>
      </c>
      <c r="G14" s="130">
        <f t="shared" si="2"/>
        <v>-4.1239999999999999E-2</v>
      </c>
      <c r="H14" s="101">
        <f t="shared" si="0"/>
        <v>-2790395.8088799999</v>
      </c>
      <c r="I14" s="140">
        <f t="shared" si="1"/>
        <v>-6.8248057513159432E-2</v>
      </c>
    </row>
    <row r="15" spans="2:11" x14ac:dyDescent="0.25">
      <c r="B15" s="72" t="s">
        <v>70</v>
      </c>
      <c r="C15" s="100">
        <f>'Amort Rates Tracker-2'!$I$35</f>
        <v>-1.6979999999999999E-2</v>
      </c>
      <c r="D15" s="100">
        <f>'Amort Rates Tracker-2'!$I$33</f>
        <v>-5.8189999999999999E-2</v>
      </c>
      <c r="E15" s="114">
        <f>'Forecast Tracker-3'!P11</f>
        <v>15967716</v>
      </c>
      <c r="F15" s="210">
        <v>6979646.5880563883</v>
      </c>
      <c r="G15" s="130">
        <f t="shared" si="2"/>
        <v>-4.1209999999999997E-2</v>
      </c>
      <c r="H15" s="101">
        <f t="shared" si="0"/>
        <v>-658029.57635999995</v>
      </c>
      <c r="I15" s="140">
        <f t="shared" si="1"/>
        <v>-9.4278351784461978E-2</v>
      </c>
    </row>
    <row r="16" spans="2:11" x14ac:dyDescent="0.25">
      <c r="B16" s="72" t="s">
        <v>71</v>
      </c>
      <c r="C16" s="100">
        <f>'Amort Rates Tracker-2'!$J$35</f>
        <v>-1.6969999999999999E-2</v>
      </c>
      <c r="D16" s="100">
        <f>'Amort Rates Tracker-2'!$J$33</f>
        <v>-5.8189999999999999E-2</v>
      </c>
      <c r="E16" s="114">
        <f>'Forecast Tracker-3'!P12</f>
        <v>9331174</v>
      </c>
      <c r="F16" s="210">
        <v>5431777.3842644747</v>
      </c>
      <c r="G16" s="130">
        <f t="shared" si="2"/>
        <v>-4.122E-2</v>
      </c>
      <c r="H16" s="101">
        <f t="shared" si="0"/>
        <v>-384630.99228000001</v>
      </c>
      <c r="I16" s="140">
        <f t="shared" si="1"/>
        <v>-7.081125846472508E-2</v>
      </c>
    </row>
    <row r="17" spans="2:12" x14ac:dyDescent="0.25">
      <c r="B17" s="113" t="s">
        <v>72</v>
      </c>
      <c r="C17" s="100">
        <f>'Amort Rates Tracker-2'!$K$35</f>
        <v>-1.6979999999999999E-2</v>
      </c>
      <c r="D17" s="100">
        <f>'Amort Rates Tracker-2'!$K$33</f>
        <v>-5.8169999999999999E-2</v>
      </c>
      <c r="E17" s="114">
        <f>'Forecast Tracker-3'!P13</f>
        <v>22142129</v>
      </c>
      <c r="F17" s="210">
        <v>8441576.8987429943</v>
      </c>
      <c r="G17" s="130">
        <f t="shared" si="2"/>
        <v>-4.1190000000000004E-2</v>
      </c>
      <c r="H17" s="101">
        <f t="shared" si="0"/>
        <v>-912034.29351000011</v>
      </c>
      <c r="I17" s="217">
        <f t="shared" si="1"/>
        <v>-0.10804074931140033</v>
      </c>
    </row>
    <row r="18" spans="2:12" x14ac:dyDescent="0.25">
      <c r="B18" s="102" t="s">
        <v>8</v>
      </c>
      <c r="C18" s="104"/>
      <c r="D18" s="104"/>
      <c r="E18" s="105">
        <f>SUM(E11:E17)</f>
        <v>982631156</v>
      </c>
      <c r="F18" s="103">
        <f>SUM(F11:F17)</f>
        <v>899514543.69662833</v>
      </c>
      <c r="G18" s="26">
        <f>ROUND(H18/E18,5)</f>
        <v>-4.1320000000000003E-2</v>
      </c>
      <c r="H18" s="103">
        <f>SUM(H11:H17)</f>
        <v>-40597642.409940004</v>
      </c>
      <c r="I18" s="218">
        <f t="shared" si="1"/>
        <v>-4.5132836032979171E-2</v>
      </c>
    </row>
    <row r="19" spans="2:12" x14ac:dyDescent="0.25">
      <c r="B19" s="72"/>
      <c r="C19" s="6"/>
      <c r="D19" s="6"/>
      <c r="E19" s="107"/>
      <c r="F19" s="101"/>
      <c r="H19" s="101"/>
      <c r="I19" s="92"/>
    </row>
    <row r="20" spans="2:12" ht="12.75" customHeight="1" x14ac:dyDescent="0.25">
      <c r="B20" s="216" t="s">
        <v>151</v>
      </c>
      <c r="C20" s="216"/>
      <c r="D20" s="216"/>
      <c r="E20" s="216"/>
      <c r="F20" s="216"/>
      <c r="G20" s="216"/>
      <c r="H20" s="216"/>
      <c r="I20" s="216"/>
    </row>
    <row r="21" spans="2:12" ht="12.75" customHeight="1" x14ac:dyDescent="0.25">
      <c r="B21" s="144"/>
      <c r="C21" s="144"/>
      <c r="D21" s="144"/>
      <c r="E21" s="144"/>
      <c r="F21" s="144"/>
      <c r="G21" s="144"/>
      <c r="H21" s="144"/>
      <c r="I21" s="144"/>
    </row>
    <row r="22" spans="2:12" ht="12.75" customHeight="1" x14ac:dyDescent="0.25">
      <c r="B22" s="144"/>
      <c r="C22" s="144"/>
      <c r="D22" s="144"/>
      <c r="E22" s="144"/>
      <c r="F22" s="144"/>
      <c r="G22" s="144"/>
      <c r="H22" s="144"/>
      <c r="I22" s="144"/>
    </row>
    <row r="23" spans="2:12" ht="116.4" x14ac:dyDescent="0.25">
      <c r="E23" s="107"/>
      <c r="F23" s="101"/>
      <c r="H23" s="101"/>
      <c r="J23" s="93" t="s">
        <v>0</v>
      </c>
      <c r="K23" s="94" t="s">
        <v>53</v>
      </c>
      <c r="L23" s="125" t="s">
        <v>149</v>
      </c>
    </row>
    <row r="24" spans="2:12" x14ac:dyDescent="0.25">
      <c r="B24" s="72"/>
      <c r="C24" s="95"/>
      <c r="D24" s="95"/>
      <c r="E24" s="107"/>
      <c r="F24" s="101"/>
      <c r="H24" s="101"/>
    </row>
    <row r="25" spans="2:12" x14ac:dyDescent="0.25">
      <c r="B25" s="72"/>
      <c r="C25" s="95"/>
      <c r="D25" s="95"/>
      <c r="E25" s="95"/>
      <c r="F25" s="101"/>
      <c r="H25" s="101"/>
    </row>
    <row r="26" spans="2:12" x14ac:dyDescent="0.25">
      <c r="C26" s="95"/>
      <c r="D26" s="95"/>
      <c r="E26" s="106"/>
      <c r="F26" s="101"/>
      <c r="H26" s="101"/>
    </row>
    <row r="27" spans="2:12" x14ac:dyDescent="0.25">
      <c r="C27" s="95"/>
      <c r="D27" s="95"/>
      <c r="E27" s="108"/>
      <c r="H27" s="101"/>
    </row>
    <row r="28" spans="2:12" x14ac:dyDescent="0.25">
      <c r="C28" s="109"/>
      <c r="D28" s="109"/>
      <c r="E28" s="109"/>
      <c r="F28" s="6"/>
      <c r="G28" s="6"/>
      <c r="H28" s="101"/>
      <c r="I28" s="6"/>
    </row>
    <row r="29" spans="2:12" x14ac:dyDescent="0.25">
      <c r="C29" s="109"/>
      <c r="D29" s="109"/>
      <c r="E29" s="109"/>
      <c r="F29" s="6"/>
      <c r="G29" s="6"/>
      <c r="H29" s="6"/>
      <c r="I29" s="6"/>
    </row>
    <row r="30" spans="2:12" x14ac:dyDescent="0.25">
      <c r="B30" s="110"/>
      <c r="C30" s="6"/>
      <c r="D30" s="6"/>
      <c r="E30" s="6"/>
      <c r="F30" s="6"/>
      <c r="G30" s="6"/>
      <c r="H30" s="6"/>
      <c r="I30" s="6"/>
    </row>
    <row r="31" spans="2:12" x14ac:dyDescent="0.25">
      <c r="B31" s="111"/>
      <c r="C31" s="6"/>
      <c r="D31" s="6"/>
      <c r="E31" s="6"/>
      <c r="F31" s="6"/>
      <c r="G31" s="6"/>
      <c r="H31" s="6"/>
      <c r="I31" s="6"/>
    </row>
    <row r="32" spans="2:12" s="6" customFormat="1" x14ac:dyDescent="0.25">
      <c r="B32" s="112"/>
    </row>
  </sheetData>
  <mergeCells count="1">
    <mergeCell ref="B20:I20"/>
  </mergeCells>
  <phoneticPr fontId="5" type="noConversion"/>
  <printOptions horizontalCentered="1"/>
  <pageMargins left="0.75" right="0.75" top="1" bottom="1" header="0.5" footer="0.5"/>
  <pageSetup scale="92" orientation="landscape" blackAndWhite="1" r:id="rId1"/>
  <headerFooter alignWithMargins="0">
    <oddFooter>&amp;L&amp;F 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1CA80-CEC3-4FF8-9E6E-E25B7AA86A84}"/>
</file>

<file path=customXml/itemProps2.xml><?xml version="1.0" encoding="utf-8"?>
<ds:datastoreItem xmlns:ds="http://schemas.openxmlformats.org/officeDocument/2006/customXml" ds:itemID="{886B81FB-F342-4682-BFDE-777D7AE820F8}"/>
</file>

<file path=customXml/itemProps3.xml><?xml version="1.0" encoding="utf-8"?>
<ds:datastoreItem xmlns:ds="http://schemas.openxmlformats.org/officeDocument/2006/customXml" ds:itemID="{0719CA21-CA9B-4452-B823-8A2979326ADF}"/>
</file>

<file path=customXml/itemProps4.xml><?xml version="1.0" encoding="utf-8"?>
<ds:datastoreItem xmlns:ds="http://schemas.openxmlformats.org/officeDocument/2006/customXml" ds:itemID="{263FF2E9-5549-479F-8EAC-138685D5F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Amort Balances Tracker-1</vt:lpstr>
      <vt:lpstr>Amort Rates Tracker-2</vt:lpstr>
      <vt:lpstr>Forecast Tracker-3</vt:lpstr>
      <vt:lpstr>Amort Cust Impact Tracker-4</vt:lpstr>
      <vt:lpstr>Amort Rev Impact Tracker-5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Puget Sound Energy</cp:lastModifiedBy>
  <cp:lastPrinted>2018-09-17T18:42:48Z</cp:lastPrinted>
  <dcterms:created xsi:type="dcterms:W3CDTF">2003-08-13T16:19:50Z</dcterms:created>
  <dcterms:modified xsi:type="dcterms:W3CDTF">2018-09-17T19:56:41Z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