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SF Petition Filing - 2018\HITC\"/>
    </mc:Choice>
  </mc:AlternateContent>
  <bookViews>
    <workbookView xWindow="0" yWindow="0" windowWidth="25200" windowHeight="12270" tabRatio="654" activeTab="1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 iterate="1" iterateCount="50"/>
</workbook>
</file>

<file path=xl/calcChain.xml><?xml version="1.0" encoding="utf-8"?>
<calcChain xmlns="http://schemas.openxmlformats.org/spreadsheetml/2006/main">
  <c r="H36" i="12" l="1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<sst xmlns="http://schemas.openxmlformats.org/spreadsheetml/2006/main" count="685" uniqueCount="310">
  <si>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</si>
  <si>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</si>
  <si>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</si>
  <si>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</si>
  <si>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</si>
  <si>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</si>
  <si>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</si>
  <si>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</si>
  <si>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</si>
  <si>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</si>
  <si>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</si>
  <si>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</si>
  <si>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</si>
  <si>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</si>
  <si>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</si>
  <si>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</si>
  <si>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</si>
  <si>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</si>
  <si>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</si>
  <si>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</si>
  <si>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</si>
  <si>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</si>
  <si>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</si>
  <si>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</si>
  <si>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</si>
  <si>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</si>
  <si>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</si>
  <si>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</si>
  <si>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</si>
  <si>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</si>
  <si>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</si>
  <si>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</si>
  <si>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</si>
  <si>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</si>
  <si>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</si>
  <si>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</si>
  <si>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</si>
  <si>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</si>
  <si>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</si>
  <si>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</si>
  <si>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</si>
  <si>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</si>
  <si>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</si>
  <si>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</si>
  <si>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</si>
  <si>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</si>
  <si>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</si>
  <si>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</si>
  <si>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</si>
  <si>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</si>
  <si>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</si>
  <si>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</si>
  <si>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</si>
  <si>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</si>
  <si>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</si>
  <si>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</si>
  <si>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</si>
  <si>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</si>
  <si>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</si>
  <si>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</si>
  <si>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</si>
  <si>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</si>
  <si>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</si>
  <si>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</si>
  <si>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</si>
  <si>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</si>
  <si>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</si>
  <si>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</si>
  <si>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</si>
  <si>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</si>
  <si>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</si>
  <si>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</si>
  <si>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</si>
  <si>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</si>
  <si>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</si>
  <si>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</si>
  <si>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</si>
  <si>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</si>
  <si>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</si>
  <si>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</si>
  <si>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</si>
  <si>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</si>
  <si>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</si>
  <si>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</si>
  <si>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</si>
  <si>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</si>
  <si>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</si>
  <si>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</si>
  <si>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</si>
  <si>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</si>
  <si>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</si>
  <si>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</si>
  <si>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</si>
  <si>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</si>
  <si>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</si>
  <si>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</si>
  <si>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</si>
  <si>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</si>
  <si>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</si>
  <si>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</si>
  <si>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</si>
  <si>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</si>
  <si>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</si>
  <si>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</si>
  <si>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</si>
  <si>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</si>
  <si>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</si>
  <si>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</si>
  <si>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</si>
  <si>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</si>
  <si>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</si>
  <si>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</si>
  <si>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</si>
  <si>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</si>
  <si>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</si>
  <si>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</si>
  <si>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</si>
  <si>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</si>
  <si>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</si>
  <si>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</si>
  <si>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</si>
  <si>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</si>
  <si>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</si>
  <si>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</si>
  <si>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</si>
  <si>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</si>
  <si>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</si>
  <si>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</si>
  <si>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</si>
  <si>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</si>
  <si>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</si>
  <si>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</si>
  <si>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</si>
  <si>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</si>
  <si>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</si>
  <si>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</si>
  <si>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</si>
  <si>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</si>
  <si>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</si>
  <si>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</si>
  <si>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</si>
  <si>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</si>
  <si>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</si>
  <si>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</si>
  <si>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</si>
  <si>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</si>
  <si>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</si>
  <si>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</si>
  <si>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</si>
  <si>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</si>
  <si>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</si>
  <si>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</si>
  <si>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</si>
  <si>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</si>
  <si>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</si>
  <si>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</si>
  <si>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</si>
  <si>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</si>
  <si>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</si>
  <si>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</si>
  <si>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</si>
  <si>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</si>
  <si>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</si>
  <si>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</si>
  <si>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</si>
  <si>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</si>
  <si>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</si>
  <si>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</si>
  <si>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</si>
  <si>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</si>
  <si>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</si>
  <si>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</si>
  <si>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</si>
  <si>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</si>
  <si>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</si>
  <si>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</si>
  <si>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</si>
  <si>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</si>
  <si>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</si>
  <si>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</si>
  <si>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</si>
  <si>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</si>
  <si>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</si>
  <si>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</si>
  <si>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</si>
  <si>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</si>
  <si>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</si>
  <si>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</si>
  <si>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</si>
  <si>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</si>
  <si>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</si>
  <si>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</si>
  <si>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</si>
  <si>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</si>
  <si>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</si>
  <si>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</si>
  <si>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</si>
  <si>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</si>
  <si>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</si>
  <si>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</si>
  <si>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</si>
  <si>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</si>
  <si>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</si>
  <si>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</si>
  <si>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</si>
  <si>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</si>
  <si>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</si>
  <si>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</si>
  <si>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</si>
  <si>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</si>
  <si>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</si>
  <si>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</si>
  <si>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</si>
  <si>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</si>
  <si>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</si>
  <si>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</si>
  <si>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</si>
  <si>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</si>
  <si>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</si>
  <si>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</si>
  <si>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</si>
  <si>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</si>
  <si>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</si>
  <si>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</si>
  <si>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</si>
  <si>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</si>
  <si>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</si>
  <si>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</si>
  <si>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</si>
  <si>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</si>
  <si>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</si>
  <si>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</si>
  <si>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</si>
  <si>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</si>
  <si>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</si>
  <si>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</si>
  <si>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</si>
  <si>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</si>
  <si>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</si>
  <si>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</si>
  <si>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</si>
  <si>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</si>
  <si>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</si>
  <si>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</si>
  <si>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</si>
  <si>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</si>
  <si>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</si>
  <si>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</si>
  <si>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</si>
  <si>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</si>
  <si>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</si>
  <si>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</si>
  <si>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</si>
  <si>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</si>
  <si>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</si>
  <si>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</si>
  <si>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</si>
  <si>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</si>
  <si>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</si>
  <si>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</si>
  <si>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</si>
  <si>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</si>
  <si>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</si>
  <si>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</si>
  <si>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Balance - 2016</t>
  </si>
  <si>
    <t>2016</t>
  </si>
  <si>
    <t>Regulated rate base Year End 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</si>
  <si>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</si>
  <si>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</si>
  <si>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</si>
  <si>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</si>
  <si>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</si>
  <si>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</si>
  <si>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</si>
  <si>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</si>
  <si>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</si>
  <si>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</si>
  <si>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</si>
  <si>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</si>
  <si>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</si>
  <si>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</si>
  <si>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</si>
  <si>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</si>
  <si>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</si>
  <si>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If 2016 does not equal last year's petition and template,</t>
  </si>
  <si>
    <t>2017</t>
  </si>
  <si>
    <r>
      <t xml:space="preserve">Description of Out-of-Period - 2017 (As Recorded) </t>
    </r>
    <r>
      <rPr>
        <b/>
        <sz val="11"/>
        <color theme="1"/>
        <rFont val="Calibri"/>
        <family val="2"/>
        <scheme val="minor"/>
      </rPr>
      <t>OR</t>
    </r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</si>
  <si>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</si>
  <si>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</si>
  <si>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</si>
  <si>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</si>
  <si>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</si>
  <si>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</si>
  <si>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</si>
  <si>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</si>
  <si>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</si>
  <si>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</si>
  <si>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</si>
  <si>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</si>
  <si>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</si>
  <si>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</si>
  <si>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</si>
  <si>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</si>
  <si>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</si>
  <si>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</si>
  <si>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</si>
  <si>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</si>
  <si>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</si>
  <si>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</si>
  <si>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Hat Island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</si>
</sst>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view="pageLayout" topLeftCell="A33" zoomScaleNormal="100" workbookViewId="0">
      <selection activeCell="A38" sqref="A38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view="pageLayout" zoomScaleNormal="100" workbookViewId="0">
      <selection activeCell="D43" sqref="D4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Hat Island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2016</v>
      </c>
      <c r="E7" s="5">
        <v>2017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7205</v>
      </c>
      <c r="E9" s="56">
        <v>5635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933</v>
      </c>
      <c r="E11" s="53">
        <v>1749</v>
      </c>
    </row>
    <row r="12" spans="1:5" x14ac:dyDescent="0.25">
      <c r="A12" s="11" t="s">
        <v>171</v>
      </c>
      <c r="B12" s="18" t="s">
        <v>225</v>
      </c>
      <c r="C12" s="11"/>
      <c r="D12" s="53">
        <v>2105</v>
      </c>
      <c r="E12" s="53">
        <v>-3516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/>
      <c r="E14" s="53"/>
    </row>
    <row r="15" spans="1:5" x14ac:dyDescent="0.25">
      <c r="A15" s="11" t="s">
        <v>173</v>
      </c>
      <c r="B15" s="18" t="s">
        <v>142</v>
      </c>
      <c r="C15" s="11"/>
      <c r="D15" s="53">
        <v>17243</v>
      </c>
      <c r="E15" s="53">
        <v>23891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11408</v>
      </c>
      <c r="E16" s="53">
        <v>7661</v>
      </c>
    </row>
    <row r="17" spans="1:5" x14ac:dyDescent="0.25">
      <c r="A17" s="11">
        <v>5</v>
      </c>
      <c r="B17" s="18" t="s">
        <v>308</v>
      </c>
      <c r="C17" s="11" t="s">
        <v>144</v>
      </c>
      <c r="D17" s="53"/>
      <c r="E17" s="53"/>
    </row>
    <row r="18" spans="1:5" x14ac:dyDescent="0.25">
      <c r="A18" s="11">
        <v>6</v>
      </c>
      <c r="B18" s="18" t="s">
        <v>186</v>
      </c>
      <c r="C18" s="11" t="s">
        <v>144</v>
      </c>
      <c r="D18" s="53">
        <v>2029</v>
      </c>
      <c r="E18" s="53">
        <v>2029</v>
      </c>
    </row>
    <row r="19" spans="1:5" x14ac:dyDescent="0.2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25">
      <c r="A20" s="11">
        <v>8</v>
      </c>
      <c r="B20" s="18" t="s">
        <v>145</v>
      </c>
      <c r="C20" s="7"/>
      <c r="D20" s="36">
        <f>D9+D11+D12+D14+D15+D16+D18+D19</f>
        <v>40923</v>
      </c>
      <c r="E20" s="36">
        <f>E9+E11+E12+E14+E15+E16+E18+E19</f>
        <v>37449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40923</v>
      </c>
      <c r="E21" s="38">
        <f>IncomeStmtSummary!D10</f>
        <v>37449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algorithmName="SHA-512" hashValue="yu5ykXT1kbmVqSGuuRCd8soXl5rWUsXI3n48URrCLsn3pNMWxT/IcpdRIsVtE74gsoJuyr/76z8Oa+FlOvwqlQ==" saltValue="CFDw855mKw13fZpgKLwY5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abSelected="1" view="pageLayout" zoomScaleNormal="100" workbookViewId="0">
      <selection activeCell="D43" sqref="D43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240</v>
      </c>
      <c r="B2" s="48"/>
    </row>
    <row r="3" spans="1:5" x14ac:dyDescent="0.25">
      <c r="A3" s="2" t="str">
        <f>PriorYearBalanceSheet!A3</f>
        <v>Hat Island Telephone Company</v>
      </c>
      <c r="B3" s="13"/>
    </row>
    <row r="6" spans="1:5" x14ac:dyDescent="0.25">
      <c r="A6" s="10" t="s">
        <v>286</v>
      </c>
      <c r="B6" s="10" t="s">
        <v>246</v>
      </c>
      <c r="C6" s="10"/>
      <c r="D6" s="131" t="s">
        <v>182</v>
      </c>
      <c r="E6" s="132"/>
    </row>
    <row r="7" spans="1:5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183</v>
      </c>
      <c r="B9" s="18"/>
      <c r="C9" s="18"/>
      <c r="D9" s="124"/>
      <c r="E9" s="122"/>
    </row>
    <row r="10" spans="1:5" x14ac:dyDescent="0.25">
      <c r="A10" s="18"/>
      <c r="B10" s="18"/>
      <c r="C10" s="18"/>
      <c r="D10" s="124"/>
      <c r="E10" s="122"/>
    </row>
    <row r="11" spans="1:5" x14ac:dyDescent="0.25">
      <c r="A11" s="18"/>
      <c r="B11" s="18"/>
      <c r="C11" s="18"/>
      <c r="D11" s="124"/>
      <c r="E11" s="122"/>
    </row>
    <row r="12" spans="1:5" x14ac:dyDescent="0.25">
      <c r="A12" s="18"/>
      <c r="B12" s="18"/>
      <c r="C12" s="18"/>
      <c r="D12" s="124"/>
      <c r="E12" s="122"/>
    </row>
    <row r="13" spans="1:5" x14ac:dyDescent="0.25">
      <c r="A13" s="20"/>
      <c r="B13" s="20"/>
      <c r="C13" s="20"/>
      <c r="D13" s="125"/>
      <c r="E13" s="123"/>
    </row>
    <row r="14" spans="1:5" x14ac:dyDescent="0.25">
      <c r="A14" s="18" t="s">
        <v>184</v>
      </c>
      <c r="B14" s="18"/>
      <c r="C14" s="18"/>
      <c r="D14" s="124"/>
      <c r="E14" s="122"/>
    </row>
    <row r="15" spans="1:5" x14ac:dyDescent="0.25">
      <c r="A15" s="18"/>
      <c r="B15" s="18"/>
      <c r="C15" s="18"/>
      <c r="D15" s="124"/>
      <c r="E15" s="122"/>
    </row>
    <row r="16" spans="1:5" x14ac:dyDescent="0.25">
      <c r="A16" s="18"/>
      <c r="B16" s="18"/>
      <c r="C16" s="18"/>
      <c r="D16" s="124"/>
      <c r="E16" s="122"/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5" x14ac:dyDescent="0.25">
      <c r="A33" s="20"/>
      <c r="B33" s="20"/>
      <c r="C33" s="20"/>
      <c r="D33" s="125"/>
      <c r="E33" s="123"/>
    </row>
    <row r="34" spans="1:5" x14ac:dyDescent="0.25">
      <c r="D34" s="118"/>
      <c r="E34" s="118"/>
    </row>
    <row r="35" spans="1:5" x14ac:dyDescent="0.25">
      <c r="D35" s="118"/>
      <c r="E35" s="118"/>
    </row>
    <row r="36" spans="1:5" x14ac:dyDescent="0.25">
      <c r="D36" s="118"/>
      <c r="E36" s="118"/>
    </row>
    <row r="37" spans="1:5" x14ac:dyDescent="0.25">
      <c r="D37" s="118"/>
      <c r="E37" s="118"/>
    </row>
    <row r="38" spans="1:5" x14ac:dyDescent="0.25">
      <c r="D38" s="118"/>
      <c r="E38" s="118"/>
    </row>
    <row r="39" spans="1:5" x14ac:dyDescent="0.25">
      <c r="D39" s="118"/>
      <c r="E39" s="118"/>
    </row>
    <row r="40" spans="1:5" x14ac:dyDescent="0.25">
      <c r="D40" s="118"/>
      <c r="E40" s="118"/>
    </row>
    <row r="41" spans="1:5" x14ac:dyDescent="0.25">
      <c r="D41" s="118"/>
      <c r="E41" s="118"/>
    </row>
    <row r="42" spans="1:5" x14ac:dyDescent="0.25">
      <c r="D42" s="118"/>
      <c r="E42" s="118"/>
    </row>
    <row r="43" spans="1:5" x14ac:dyDescent="0.25">
      <c r="D43" s="118"/>
      <c r="E43" s="118"/>
    </row>
    <row r="44" spans="1:5" x14ac:dyDescent="0.25">
      <c r="D44" s="118"/>
      <c r="E44" s="118"/>
    </row>
    <row r="45" spans="1:5" x14ac:dyDescent="0.25">
      <c r="D45" s="118"/>
      <c r="E45" s="118"/>
    </row>
    <row r="46" spans="1:5" x14ac:dyDescent="0.25">
      <c r="D46" s="118"/>
      <c r="E46" s="118"/>
    </row>
    <row r="47" spans="1:5" x14ac:dyDescent="0.25">
      <c r="D47" s="118"/>
      <c r="E47" s="118"/>
    </row>
    <row r="48" spans="1:5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view="pageLayout" topLeftCell="A22" zoomScaleNormal="100" workbookViewId="0">
      <selection activeCell="D43" sqref="D43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PriorYearBalanceSheet!A3</f>
        <v>Hat Island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2017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-64073</v>
      </c>
      <c r="E8" s="7"/>
    </row>
    <row r="9" spans="1:6" x14ac:dyDescent="0.25">
      <c r="A9" s="11">
        <v>2</v>
      </c>
      <c r="B9" s="18"/>
      <c r="C9" s="18" t="s">
        <v>304</v>
      </c>
      <c r="D9" s="113"/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0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-64073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0.1101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-7054.4373000000005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287</v>
      </c>
      <c r="D14" s="93">
        <f>D8+D9-D13</f>
        <v>-57018.562700000002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7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11674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11681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0.1101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1286.0780999999999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10394.921899999999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-46623.640800000001</v>
      </c>
      <c r="E24" s="77" t="s">
        <v>290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-52392</v>
      </c>
      <c r="E27" s="7"/>
    </row>
    <row r="28" spans="1:6" x14ac:dyDescent="0.25">
      <c r="A28" s="11">
        <v>16</v>
      </c>
      <c r="B28" s="18"/>
      <c r="C28" s="18" t="s">
        <v>289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-52392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0.88990000000000002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302</v>
      </c>
      <c r="D31" s="104">
        <f>D29*D30</f>
        <v>-46623.640800000001</v>
      </c>
      <c r="E31" s="12" t="s">
        <v>291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266</v>
      </c>
      <c r="D34" s="89">
        <f>'RateBase '!D15</f>
        <v>97093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288</v>
      </c>
      <c r="D35" s="90">
        <f>'RateBase '!E15</f>
        <v>85216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182309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91154.5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-57018.562700000002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-0.62551561030996827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279</v>
      </c>
      <c r="B42" s="67" t="s">
        <v>303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305</v>
      </c>
      <c r="C43" s="73"/>
      <c r="D43" s="67"/>
      <c r="E43" s="67"/>
      <c r="F43" s="67"/>
      <c r="G43" s="68"/>
      <c r="H43" s="67"/>
    </row>
    <row r="44" spans="1:8" x14ac:dyDescent="0.25">
      <c r="A44" s="130" t="s">
        <v>292</v>
      </c>
      <c r="B44" s="67" t="s">
        <v>293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306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307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TIXzzmOwjVl24P8rRTU4zFdeHkCDErB7napV8/lVhYgZPsCiN0eniW18RLI0RrftguXZVTnmU+lu/FcSxSDfbw==" saltValue="S7IpfxnD6qDxaru+P3d5cQ==" spinCount="100000" sheet="1" objects="1" scenarios="1" selectLockedCells="1"/>
  <pageMargins left="1.2" right="0.7" top="1.25" bottom="0.75" header="0.8" footer="0.3"/>
  <pageSetup scale="59" orientation="portrait" r:id="rId1"/>
  <headerFooter>
    <oddHeader>&amp;L&amp;"-,Bold"State USF Petition Filing Requirement -WAC 480-123-110 (1)(e)
Prior Year Balance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view="pageLayout" topLeftCell="A27" zoomScaleNormal="100" workbookViewId="0">
      <selection activeCell="D43" sqref="D4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257</v>
      </c>
      <c r="C8" s="12" t="s">
        <v>258</v>
      </c>
      <c r="D8" s="12" t="s">
        <v>267</v>
      </c>
      <c r="E8" s="12"/>
      <c r="F8" s="9"/>
      <c r="G8" s="12" t="s">
        <v>257</v>
      </c>
      <c r="H8" s="12" t="s">
        <v>258</v>
      </c>
      <c r="I8" s="6" t="s">
        <v>267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24363</v>
      </c>
      <c r="C10" s="120"/>
      <c r="D10" s="60">
        <f>SUM(B10:C10)</f>
        <v>24363</v>
      </c>
      <c r="E10" s="18"/>
      <c r="F10" s="18" t="s">
        <v>77</v>
      </c>
      <c r="G10" s="53">
        <v>475</v>
      </c>
      <c r="H10" s="55"/>
      <c r="I10" s="60">
        <f>SUM(G10:H10)</f>
        <v>475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>
        <v>1353</v>
      </c>
      <c r="C13" s="55"/>
      <c r="D13" s="60">
        <f>SUM(B13:C13)</f>
        <v>1353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25">
      <c r="A14" s="18" t="s">
        <v>46</v>
      </c>
      <c r="B14" s="53">
        <v>195256</v>
      </c>
      <c r="C14" s="55"/>
      <c r="D14" s="60">
        <f t="shared" ref="D14:D15" si="1">SUM(B14:C14)</f>
        <v>195256</v>
      </c>
      <c r="E14" s="18"/>
      <c r="F14" s="18" t="s">
        <v>82</v>
      </c>
      <c r="G14" s="53"/>
      <c r="H14" s="55"/>
      <c r="I14" s="60">
        <f t="shared" si="0"/>
        <v>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2721</v>
      </c>
      <c r="H18" s="55"/>
      <c r="I18" s="60">
        <f t="shared" si="0"/>
        <v>2721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3196</v>
      </c>
      <c r="H20" s="60">
        <f>SUM(H10:H19)</f>
        <v>0</v>
      </c>
      <c r="I20" s="60">
        <f t="shared" ref="I20" si="3">SUM(I10:I19)</f>
        <v>3196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>
        <v>190</v>
      </c>
      <c r="C23" s="55"/>
      <c r="D23" s="60">
        <f t="shared" si="2"/>
        <v>190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221162</v>
      </c>
      <c r="C25" s="60">
        <f>C10+C11+C13+C14+C15+C17+C18+C19+C20+C21+C22+C23+C24</f>
        <v>0</v>
      </c>
      <c r="D25" s="60">
        <f t="shared" ref="D25" si="5">D10+D11+D13+D14+D15+D17+D18+D19+D20+D21+D22+D23+D24</f>
        <v>221162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0</v>
      </c>
      <c r="H32" s="127">
        <f>SUM(H22:H31)</f>
        <v>0</v>
      </c>
      <c r="I32" s="127">
        <f>SUM(I22:I31)</f>
        <v>0</v>
      </c>
    </row>
    <row r="33" spans="1:9" x14ac:dyDescent="0.2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25">
      <c r="A35" s="18" t="s">
        <v>151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9" t="s">
        <v>247</v>
      </c>
      <c r="G35" s="53"/>
      <c r="H35" s="53">
        <v>-7982</v>
      </c>
      <c r="I35" s="60">
        <f>SUM(G35:H35)</f>
        <v>-7982</v>
      </c>
    </row>
    <row r="36" spans="1:9" x14ac:dyDescent="0.25">
      <c r="A36" s="18" t="s">
        <v>61</v>
      </c>
      <c r="B36" s="53"/>
      <c r="C36" s="55"/>
      <c r="D36" s="60">
        <f t="shared" si="7"/>
        <v>0</v>
      </c>
      <c r="E36" s="18"/>
      <c r="F36" s="18" t="s">
        <v>271</v>
      </c>
      <c r="G36" s="53">
        <v>1467</v>
      </c>
      <c r="H36" s="120"/>
      <c r="I36" s="60">
        <f t="shared" ref="I36:I37" si="8">SUM(G36:H36)</f>
        <v>1467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294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1467</v>
      </c>
      <c r="H38" s="60">
        <f>SUM(H34:H37)</f>
        <v>-7982</v>
      </c>
      <c r="I38" s="60">
        <f>SUM(I34:I37)</f>
        <v>-6515</v>
      </c>
    </row>
    <row r="39" spans="1:9" x14ac:dyDescent="0.25">
      <c r="A39" s="18" t="s">
        <v>64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>
        <v>4000</v>
      </c>
      <c r="H40" s="23"/>
      <c r="I40" s="60">
        <f>SUM(G40:H40)</f>
        <v>4000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428516</v>
      </c>
      <c r="C42" s="53"/>
      <c r="D42" s="60">
        <f>SUM(B42:C42)</f>
        <v>428516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/>
      <c r="C44" s="53"/>
      <c r="D44" s="60">
        <f t="shared" si="11"/>
        <v>0</v>
      </c>
      <c r="E44" s="18"/>
      <c r="F44" s="18" t="s">
        <v>252</v>
      </c>
      <c r="G44" s="53"/>
      <c r="H44" s="23"/>
      <c r="I44" s="60">
        <f t="shared" si="10"/>
        <v>0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-324675</v>
      </c>
      <c r="C46" s="54"/>
      <c r="D46" s="61">
        <f t="shared" si="11"/>
        <v>-324675</v>
      </c>
      <c r="E46" s="18"/>
      <c r="F46" s="18" t="s">
        <v>254</v>
      </c>
      <c r="G46" s="54">
        <v>316340</v>
      </c>
      <c r="H46" s="80">
        <f>-1*(H20+H32+H38)</f>
        <v>7982</v>
      </c>
      <c r="I46" s="61">
        <f t="shared" si="10"/>
        <v>324322</v>
      </c>
    </row>
    <row r="47" spans="1:9" x14ac:dyDescent="0.25">
      <c r="A47" s="18" t="s">
        <v>70</v>
      </c>
      <c r="B47" s="60">
        <f>B42+B43+B44+B45+B46</f>
        <v>103841</v>
      </c>
      <c r="C47" s="60">
        <f t="shared" ref="C47:D47" si="12">C42+C43+C44+C45+C46</f>
        <v>0</v>
      </c>
      <c r="D47" s="60">
        <f t="shared" si="12"/>
        <v>103841</v>
      </c>
      <c r="E47" s="18"/>
      <c r="F47" s="18" t="s">
        <v>259</v>
      </c>
      <c r="G47" s="60">
        <f>SUM(G40:G46)</f>
        <v>320340</v>
      </c>
      <c r="H47" s="63">
        <f t="shared" ref="H47:I47" si="13">SUM(H40:H46)</f>
        <v>7982</v>
      </c>
      <c r="I47" s="60">
        <f t="shared" si="13"/>
        <v>328322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325003</v>
      </c>
      <c r="C49" s="62">
        <f t="shared" ref="C49:D49" si="14">C25+C39+C47</f>
        <v>0</v>
      </c>
      <c r="D49" s="62">
        <f t="shared" si="14"/>
        <v>325003</v>
      </c>
      <c r="E49" s="20"/>
      <c r="F49" s="75" t="s">
        <v>256</v>
      </c>
      <c r="G49" s="62">
        <f>G20+G32+G38+G47</f>
        <v>325003</v>
      </c>
      <c r="H49" s="62">
        <f>H20+H32+H38+H47</f>
        <v>0</v>
      </c>
      <c r="I49" s="62">
        <f>I20+I32+I38+I47</f>
        <v>325003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OV8dkRgjULhpncm/bE988XwNICbFYbr+UejIEwN8VpD4aA0I1WnOfKwGwuCq/QlpD6FbSu7EgVz4DxCtt1Gmcw==" saltValue="8N/lWofPANd6T4IX08H13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view="pageLayout" topLeftCell="A16" zoomScaleNormal="100" workbookViewId="0">
      <selection activeCell="D43" sqref="D4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Hat Island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274</v>
      </c>
      <c r="C8" s="12" t="s">
        <v>275</v>
      </c>
      <c r="D8" s="12" t="s">
        <v>276</v>
      </c>
      <c r="E8" s="12"/>
      <c r="F8" s="9"/>
      <c r="G8" s="12" t="s">
        <v>274</v>
      </c>
      <c r="H8" s="12" t="s">
        <v>275</v>
      </c>
      <c r="I8" s="6" t="s">
        <v>276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19792</v>
      </c>
      <c r="C10" s="55"/>
      <c r="D10" s="60">
        <f>SUM(B10:C10)</f>
        <v>19792</v>
      </c>
      <c r="E10" s="18"/>
      <c r="F10" s="18" t="s">
        <v>77</v>
      </c>
      <c r="G10" s="53">
        <v>656</v>
      </c>
      <c r="H10" s="55"/>
      <c r="I10" s="60">
        <f>SUM(G10:H10)</f>
        <v>656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1556</v>
      </c>
      <c r="H13" s="55"/>
      <c r="I13" s="60">
        <f t="shared" si="0"/>
        <v>1556</v>
      </c>
    </row>
    <row r="14" spans="1:9" x14ac:dyDescent="0.25">
      <c r="A14" s="18" t="s">
        <v>46</v>
      </c>
      <c r="B14" s="53">
        <v>163450</v>
      </c>
      <c r="C14" s="55"/>
      <c r="D14" s="60">
        <f t="shared" ref="D14:D15" si="1">SUM(B14:C14)</f>
        <v>163450</v>
      </c>
      <c r="E14" s="18"/>
      <c r="F14" s="18" t="s">
        <v>82</v>
      </c>
      <c r="G14" s="53"/>
      <c r="H14" s="55"/>
      <c r="I14" s="60">
        <f t="shared" si="0"/>
        <v>0</v>
      </c>
    </row>
    <row r="15" spans="1:9" x14ac:dyDescent="0.2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887</v>
      </c>
      <c r="C17" s="55"/>
      <c r="D17" s="60">
        <f>SUM(B17:C17)</f>
        <v>887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3069</v>
      </c>
      <c r="H18" s="55"/>
      <c r="I18" s="60">
        <f t="shared" si="0"/>
        <v>3069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2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5281</v>
      </c>
      <c r="H20" s="60">
        <f>SUM(H10:H19)</f>
        <v>0</v>
      </c>
      <c r="I20" s="60">
        <f t="shared" ref="I20" si="3">SUM(I10:I19)</f>
        <v>5281</v>
      </c>
    </row>
    <row r="21" spans="1:9" x14ac:dyDescent="0.2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/>
      <c r="C23" s="55"/>
      <c r="D23" s="60">
        <f t="shared" si="2"/>
        <v>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184129</v>
      </c>
      <c r="C25" s="60">
        <f>C10+C11+C13+C14+C15+C17+C18+C19+C20+C21+C22+C23+C24</f>
        <v>0</v>
      </c>
      <c r="D25" s="60">
        <f t="shared" ref="D25" si="5">D10+D11+D13+D14+D15+D17+D18+D19+D20+D21+D22+D23+D24</f>
        <v>184129</v>
      </c>
      <c r="E25" s="18"/>
      <c r="F25" s="18" t="s">
        <v>93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0</v>
      </c>
      <c r="H32" s="127">
        <f>SUM(H22:H31)</f>
        <v>0</v>
      </c>
      <c r="I32" s="127">
        <f>SUM(I22:I31)</f>
        <v>0</v>
      </c>
    </row>
    <row r="33" spans="1:11" x14ac:dyDescent="0.2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29" t="s">
        <v>247</v>
      </c>
      <c r="G35" s="53"/>
      <c r="H35" s="53">
        <v>-5429</v>
      </c>
      <c r="I35" s="60">
        <f>SUM(G35:H35)</f>
        <v>-5429</v>
      </c>
    </row>
    <row r="36" spans="1:11" x14ac:dyDescent="0.25">
      <c r="A36" s="18" t="s">
        <v>61</v>
      </c>
      <c r="B36" s="53"/>
      <c r="C36" s="55"/>
      <c r="D36" s="60">
        <f t="shared" si="7"/>
        <v>0</v>
      </c>
      <c r="E36" s="18"/>
      <c r="F36" s="14" t="s">
        <v>271</v>
      </c>
      <c r="G36" s="53">
        <v>1545</v>
      </c>
      <c r="H36" s="120">
        <f>-G36</f>
        <v>-1545</v>
      </c>
      <c r="I36" s="60">
        <f t="shared" ref="I36:I37" si="8">SUM(G36:H36)</f>
        <v>0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294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1545</v>
      </c>
      <c r="H38" s="60">
        <f>SUM(H34:H37)</f>
        <v>-6974</v>
      </c>
      <c r="I38" s="60">
        <f>SUM(I34:I37)</f>
        <v>-5429</v>
      </c>
    </row>
    <row r="39" spans="1:11" x14ac:dyDescent="0.25">
      <c r="A39" s="18" t="s">
        <v>64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>
        <v>4000</v>
      </c>
      <c r="H40" s="23"/>
      <c r="I40" s="60">
        <f>SUM(G40:H40)</f>
        <v>4000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428516</v>
      </c>
      <c r="C42" s="53"/>
      <c r="D42" s="60">
        <f>SUM(B42:C42)</f>
        <v>428516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/>
      <c r="C44" s="53"/>
      <c r="D44" s="60">
        <f t="shared" si="11"/>
        <v>0</v>
      </c>
      <c r="E44" s="18"/>
      <c r="F44" s="18" t="s">
        <v>252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-337871</v>
      </c>
      <c r="C46" s="54"/>
      <c r="D46" s="61">
        <f t="shared" si="11"/>
        <v>-337871</v>
      </c>
      <c r="E46" s="18"/>
      <c r="F46" s="18" t="s">
        <v>254</v>
      </c>
      <c r="G46" s="54">
        <v>263948</v>
      </c>
      <c r="H46" s="80">
        <f>-1*(H20+H32+H38)</f>
        <v>6974</v>
      </c>
      <c r="I46" s="61">
        <f t="shared" si="10"/>
        <v>270922</v>
      </c>
    </row>
    <row r="47" spans="1:11" x14ac:dyDescent="0.25">
      <c r="A47" s="18" t="s">
        <v>70</v>
      </c>
      <c r="B47" s="60">
        <f>B42+B43+B44+B45+B46</f>
        <v>90645</v>
      </c>
      <c r="C47" s="60">
        <f t="shared" ref="C47:D47" si="12">C42+C43+C44+C45+C46</f>
        <v>0</v>
      </c>
      <c r="D47" s="60">
        <f t="shared" si="12"/>
        <v>90645</v>
      </c>
      <c r="E47" s="18"/>
      <c r="F47" s="18" t="s">
        <v>259</v>
      </c>
      <c r="G47" s="60">
        <f>SUM(G40:G46)</f>
        <v>267948</v>
      </c>
      <c r="H47" s="63">
        <f t="shared" ref="H47:I47" si="13">SUM(H40:H46)</f>
        <v>6974</v>
      </c>
      <c r="I47" s="60">
        <f t="shared" si="13"/>
        <v>274922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274774</v>
      </c>
      <c r="C49" s="62">
        <f t="shared" ref="C49:D49" si="14">C25+C39+C47</f>
        <v>0</v>
      </c>
      <c r="D49" s="62">
        <f t="shared" si="14"/>
        <v>274774</v>
      </c>
      <c r="E49" s="20"/>
      <c r="F49" s="75" t="s">
        <v>256</v>
      </c>
      <c r="G49" s="62">
        <f>G20+G32+G38+G47</f>
        <v>274774</v>
      </c>
      <c r="H49" s="62">
        <f>H20+H32+H38+H47</f>
        <v>0</v>
      </c>
      <c r="I49" s="62">
        <f>I20+I32+I38+I47</f>
        <v>274774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272</v>
      </c>
      <c r="G53" s="67"/>
      <c r="H53" s="67"/>
      <c r="I53" s="67"/>
    </row>
    <row r="54" spans="1:9" x14ac:dyDescent="0.25">
      <c r="A54" s="67" t="s">
        <v>273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MkPaOGWNUfdZ/YWr0gxJHv0zFfUHp5odHbpCHQxJBLMpUZMJt67b1G4QVR2p2z/t+7RlGN8Qz6/DyNe7j37bPA==" saltValue="zOQnlk3uo2ZNDUZvSst6T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view="pageLayout" topLeftCell="A22" zoomScaleNormal="100" workbookViewId="0">
      <selection activeCell="D43" sqref="D4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Hat Island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260</v>
      </c>
      <c r="C8" s="12" t="s">
        <v>277</v>
      </c>
      <c r="D8" s="12"/>
      <c r="E8" s="9"/>
      <c r="F8" s="12" t="s">
        <v>260</v>
      </c>
      <c r="G8" s="6" t="s">
        <v>277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24363</v>
      </c>
      <c r="C10" s="33">
        <f>'CurrentYearBalanceSheet '!D10</f>
        <v>19792</v>
      </c>
      <c r="D10" s="18"/>
      <c r="E10" s="18" t="s">
        <v>77</v>
      </c>
      <c r="F10" s="33">
        <f>PriorYearBalanceSheet!I10</f>
        <v>475</v>
      </c>
      <c r="G10" s="33">
        <f>'CurrentYearBalanceSheet '!I10</f>
        <v>656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43</v>
      </c>
      <c r="B13" s="33">
        <f>PriorYearBalanceSheet!D13</f>
        <v>1353</v>
      </c>
      <c r="C13" s="33">
        <f>'CurrentYearBalanceSheet '!D13</f>
        <v>0</v>
      </c>
      <c r="D13" s="18"/>
      <c r="E13" s="18" t="s">
        <v>81</v>
      </c>
      <c r="F13" s="33">
        <f>PriorYearBalanceSheet!I13</f>
        <v>0</v>
      </c>
      <c r="G13" s="33">
        <f>'CurrentYearBalanceSheet '!I13</f>
        <v>1556</v>
      </c>
    </row>
    <row r="14" spans="1:7" x14ac:dyDescent="0.25">
      <c r="A14" s="18" t="s">
        <v>46</v>
      </c>
      <c r="B14" s="33">
        <f>PriorYearBalanceSheet!D14</f>
        <v>195256</v>
      </c>
      <c r="C14" s="33">
        <f>'CurrentYearBalanceSheet '!D14</f>
        <v>163450</v>
      </c>
      <c r="D14" s="18"/>
      <c r="E14" s="18" t="s">
        <v>82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0</v>
      </c>
      <c r="C17" s="33">
        <f>'CurrentYearBalanceSheet '!D17</f>
        <v>887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0</v>
      </c>
      <c r="C18" s="33">
        <f>'CurrentYearBalanceSheet '!D18</f>
        <v>0</v>
      </c>
      <c r="D18" s="18"/>
      <c r="E18" s="18" t="s">
        <v>86</v>
      </c>
      <c r="F18" s="33">
        <f>PriorYearBalanceSheet!I18</f>
        <v>2721</v>
      </c>
      <c r="G18" s="33">
        <f>'CurrentYearBalanceSheet '!I18</f>
        <v>3069</v>
      </c>
    </row>
    <row r="19" spans="1:7" x14ac:dyDescent="0.2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3196</v>
      </c>
      <c r="G20" s="36">
        <f>SUM(G10:G19)</f>
        <v>5281</v>
      </c>
    </row>
    <row r="21" spans="1:7" x14ac:dyDescent="0.2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50</v>
      </c>
      <c r="B23" s="33">
        <f>PriorYearBalanceSheet!D23</f>
        <v>190</v>
      </c>
      <c r="C23" s="33">
        <f>'CurrentYearBalanceSheet '!D23</f>
        <v>0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221162</v>
      </c>
      <c r="C25" s="33">
        <f>C10+C11+C13+C14+C15+C17+C18+C19+C20+C21+C22+C23+C24</f>
        <v>184129</v>
      </c>
      <c r="D25" s="18"/>
      <c r="E25" s="18" t="s">
        <v>93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0</v>
      </c>
      <c r="G32" s="37">
        <f>SUM(G22:G31)</f>
        <v>0</v>
      </c>
    </row>
    <row r="33" spans="1:7" x14ac:dyDescent="0.2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0</v>
      </c>
      <c r="C35" s="33">
        <f>'CurrentYearBalanceSheet '!D35</f>
        <v>0</v>
      </c>
      <c r="D35" s="18"/>
      <c r="E35" t="s">
        <v>247</v>
      </c>
      <c r="F35" s="33">
        <f>PriorYearBalanceSheet!I35</f>
        <v>-7982</v>
      </c>
      <c r="G35" s="33">
        <f>'CurrentYearBalanceSheet '!I35</f>
        <v>-5429</v>
      </c>
    </row>
    <row r="36" spans="1:7" x14ac:dyDescent="0.25">
      <c r="A36" s="18" t="s">
        <v>61</v>
      </c>
      <c r="B36" s="33">
        <f>PriorYearBalanceSheet!D36</f>
        <v>0</v>
      </c>
      <c r="C36" s="33">
        <f>'CurrentYearBalanceSheet '!D36</f>
        <v>0</v>
      </c>
      <c r="D36" s="18"/>
      <c r="E36" s="14" t="s">
        <v>261</v>
      </c>
      <c r="F36" s="33">
        <f>PriorYearBalanceSheet!I36</f>
        <v>1467</v>
      </c>
      <c r="G36" s="33">
        <f>'CurrentYearBalanceSheet '!I36</f>
        <v>0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294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-6515</v>
      </c>
      <c r="G38" s="33">
        <f>SUM(G34:G37)</f>
        <v>-5429</v>
      </c>
    </row>
    <row r="39" spans="1:7" x14ac:dyDescent="0.25">
      <c r="A39" s="18" t="s">
        <v>64</v>
      </c>
      <c r="B39" s="33">
        <f>B30+B31+B33+B34+B35+B36+B37+B38</f>
        <v>0</v>
      </c>
      <c r="C39" s="33">
        <f>C30+C31+C33+C34+C35+C36+C37+C38</f>
        <v>0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4000</v>
      </c>
      <c r="G40" s="33">
        <f>'CurrentYearBalanceSheet '!I40</f>
        <v>4000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428516</v>
      </c>
      <c r="C42" s="33">
        <f>'CurrentYearBalanceSheet '!D42</f>
        <v>428516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0</v>
      </c>
      <c r="C44" s="33">
        <f>'CurrentYearBalanceSheet '!D44</f>
        <v>0</v>
      </c>
      <c r="D44" s="18"/>
      <c r="E44" s="18" t="s">
        <v>252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-324675</v>
      </c>
      <c r="C46" s="34">
        <f>'CurrentYearBalanceSheet '!D46</f>
        <v>-337871</v>
      </c>
      <c r="D46" s="18"/>
      <c r="E46" s="18" t="s">
        <v>262</v>
      </c>
      <c r="F46" s="34">
        <f>PriorYearBalanceSheet!I46</f>
        <v>324322</v>
      </c>
      <c r="G46" s="34">
        <f>'CurrentYearBalanceSheet '!I46</f>
        <v>270922</v>
      </c>
    </row>
    <row r="47" spans="1:7" x14ac:dyDescent="0.25">
      <c r="A47" s="18" t="s">
        <v>70</v>
      </c>
      <c r="B47" s="33">
        <f>SUM(B42:B46)</f>
        <v>103841</v>
      </c>
      <c r="C47" s="33">
        <f>SUM(C42:C46)</f>
        <v>90645</v>
      </c>
      <c r="D47" s="18"/>
      <c r="E47" s="18" t="s">
        <v>263</v>
      </c>
      <c r="F47" s="33">
        <f>SUM(F40:F46)</f>
        <v>328322</v>
      </c>
      <c r="G47" s="33">
        <f>SUM(G40:G46)</f>
        <v>274922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325003</v>
      </c>
      <c r="C49" s="35">
        <f>C25+C39+C47</f>
        <v>274774</v>
      </c>
      <c r="D49" s="18"/>
      <c r="E49" s="22" t="s">
        <v>256</v>
      </c>
      <c r="F49" s="35">
        <f>F20+F32+F38+F47</f>
        <v>325003</v>
      </c>
      <c r="G49" s="35">
        <f>G20+G32+G38+G47</f>
        <v>274774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juG8wcveVmnd6kfrGw33y3eIA1/Ec0RO46MsLw99ZiulxZtZq6hPO8zuggUC20WiGHLFI79P6kGi6HgSpCeikg==" saltValue="HVI9n8SyCfEM0SoyodmvG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view="pageLayout" zoomScaleNormal="100" workbookViewId="0">
      <selection activeCell="D43" sqref="D4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2016</v>
      </c>
      <c r="E8" s="12">
        <v>2017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296</v>
      </c>
      <c r="C10" s="11">
        <v>18</v>
      </c>
      <c r="D10" s="60">
        <f>'BalanceSheet(Summary)'!B42</f>
        <v>428516</v>
      </c>
      <c r="E10" s="60">
        <f>'BalanceSheet(Summary)'!C42</f>
        <v>428516</v>
      </c>
      <c r="F10" s="60">
        <f>(D10+E10)/2</f>
        <v>428516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-324675</v>
      </c>
      <c r="E12" s="60">
        <f>'BalanceSheet(Summary)'!C46</f>
        <v>-337871</v>
      </c>
      <c r="F12" s="60">
        <f t="shared" ref="F12:F15" si="0">(D12+E12)/2</f>
        <v>-331273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280</v>
      </c>
      <c r="C14" s="12"/>
      <c r="D14" s="53">
        <v>-6748</v>
      </c>
      <c r="E14" s="53">
        <v>-5429</v>
      </c>
      <c r="F14" s="60">
        <f t="shared" si="0"/>
        <v>-6088.5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97093</v>
      </c>
      <c r="E15" s="64">
        <f>SUM(E10:E14)</f>
        <v>85216</v>
      </c>
      <c r="F15" s="65">
        <f t="shared" si="0"/>
        <v>91154.5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278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279</v>
      </c>
      <c r="B19" t="s">
        <v>281</v>
      </c>
      <c r="C19" s="67"/>
      <c r="D19" s="67"/>
      <c r="E19" s="67"/>
      <c r="F19" s="67"/>
    </row>
    <row r="20" spans="1:6" x14ac:dyDescent="0.25">
      <c r="B20" t="s">
        <v>295</v>
      </c>
      <c r="C20" s="67"/>
      <c r="D20" s="67"/>
      <c r="E20" s="67"/>
      <c r="F20" s="67"/>
    </row>
    <row r="21" spans="1:6" x14ac:dyDescent="0.25">
      <c r="A21" s="67"/>
      <c r="B21" t="s">
        <v>282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xI7YWRUYfnKNrI6BQgMGzM6Qsn95kjZqN5u1jcuYUS0l+yep9d0KDM9oOYrtwSkqBQv043rzQTh9LXXl+fkrDA==" saltValue="u4dSG8mrsULfh/X2/+mlB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view="pageLayout" zoomScaleNormal="100" workbookViewId="0">
      <selection activeCell="D43" sqref="D4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264</v>
      </c>
      <c r="D9" s="12" t="s">
        <v>283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55</v>
      </c>
      <c r="D11" s="53">
        <v>31</v>
      </c>
      <c r="E11" s="33">
        <f>D11-C11</f>
        <v>-24</v>
      </c>
      <c r="F11" s="39">
        <f>E11/C11</f>
        <v>-0.43636363636363634</v>
      </c>
    </row>
    <row r="12" spans="1:6" x14ac:dyDescent="0.25">
      <c r="A12" s="11">
        <v>2</v>
      </c>
      <c r="B12" s="18" t="s">
        <v>122</v>
      </c>
      <c r="C12" s="53">
        <v>11</v>
      </c>
      <c r="D12" s="53">
        <v>11</v>
      </c>
      <c r="E12" s="33">
        <f>D12-C12</f>
        <v>0</v>
      </c>
      <c r="F12" s="39">
        <f t="shared" ref="F12:F13" si="0">E12/C12</f>
        <v>0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66</v>
      </c>
      <c r="D13" s="35">
        <f t="shared" ref="D13:E13" si="1">SUM(D11:D12)</f>
        <v>42</v>
      </c>
      <c r="E13" s="35">
        <f t="shared" si="1"/>
        <v>-24</v>
      </c>
      <c r="F13" s="40">
        <f t="shared" si="0"/>
        <v>-0.36363636363636365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284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dZ6WuctZK/mS8rONKxLan7T6UUz4ZICXqjTe4bkiqz4xyyt9XEEs9DtxARU8tyQ9OHaKWRwORndsqIT2CEoqTg==" saltValue="vVZ4PCQXIQFPRVxq1EdyT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abSelected="1" view="pageLayout" topLeftCell="A13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2016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267</v>
      </c>
    </row>
    <row r="9" spans="1:6" x14ac:dyDescent="0.25">
      <c r="A9" s="10">
        <v>1</v>
      </c>
      <c r="B9" s="4" t="s">
        <v>1</v>
      </c>
      <c r="C9" s="56">
        <v>20327</v>
      </c>
      <c r="D9" s="53"/>
      <c r="E9" s="60">
        <f>SUM(C9:D9)</f>
        <v>20327</v>
      </c>
    </row>
    <row r="10" spans="1:6" x14ac:dyDescent="0.25">
      <c r="A10" s="11">
        <v>2</v>
      </c>
      <c r="B10" s="15" t="s">
        <v>2</v>
      </c>
      <c r="C10" s="53">
        <v>40923</v>
      </c>
      <c r="D10" s="53"/>
      <c r="E10" s="60">
        <f t="shared" ref="E10:E14" si="0">SUM(C10:D10)</f>
        <v>40923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2183</v>
      </c>
      <c r="D12" s="53"/>
      <c r="E12" s="60">
        <f t="shared" si="0"/>
        <v>2183</v>
      </c>
    </row>
    <row r="13" spans="1:6" x14ac:dyDescent="0.25">
      <c r="A13" s="11">
        <v>5</v>
      </c>
      <c r="B13" s="15" t="s">
        <v>5</v>
      </c>
      <c r="C13" s="53">
        <v>1259</v>
      </c>
      <c r="D13" s="53"/>
      <c r="E13" s="60">
        <f t="shared" si="0"/>
        <v>1259</v>
      </c>
    </row>
    <row r="14" spans="1:6" x14ac:dyDescent="0.25">
      <c r="A14" s="11">
        <v>6</v>
      </c>
      <c r="B14" s="15" t="s">
        <v>133</v>
      </c>
      <c r="C14" s="53"/>
      <c r="D14" s="53"/>
      <c r="E14" s="60">
        <f t="shared" si="0"/>
        <v>0</v>
      </c>
    </row>
    <row r="15" spans="1:6" x14ac:dyDescent="0.25">
      <c r="A15" s="11">
        <v>7</v>
      </c>
      <c r="B15" s="79" t="s">
        <v>132</v>
      </c>
      <c r="C15" s="82">
        <f>SUM(C9:C14)</f>
        <v>64692</v>
      </c>
      <c r="D15" s="82">
        <f t="shared" ref="D15:E15" si="1">SUM(D9:D14)</f>
        <v>0</v>
      </c>
      <c r="E15" s="82">
        <f t="shared" si="1"/>
        <v>64692</v>
      </c>
      <c r="F15" s="1"/>
    </row>
    <row r="16" spans="1:6" x14ac:dyDescent="0.25">
      <c r="A16" s="11">
        <v>8</v>
      </c>
      <c r="B16" s="15" t="s">
        <v>6</v>
      </c>
      <c r="C16" s="53">
        <v>15315</v>
      </c>
      <c r="D16" s="53"/>
      <c r="E16" s="42">
        <f>SUM(C16:D16)</f>
        <v>15315</v>
      </c>
    </row>
    <row r="17" spans="1:6" x14ac:dyDescent="0.25">
      <c r="A17" s="11">
        <v>9</v>
      </c>
      <c r="B17" s="15" t="s">
        <v>39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5" t="s">
        <v>7</v>
      </c>
      <c r="C18" s="53">
        <v>13195</v>
      </c>
      <c r="D18" s="53"/>
      <c r="E18" s="42">
        <f t="shared" si="2"/>
        <v>13195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5993</v>
      </c>
      <c r="D20" s="53">
        <v>1777</v>
      </c>
      <c r="E20" s="42">
        <f t="shared" si="2"/>
        <v>7770</v>
      </c>
    </row>
    <row r="21" spans="1:6" x14ac:dyDescent="0.25">
      <c r="A21" s="11">
        <v>13</v>
      </c>
      <c r="B21" s="15" t="s">
        <v>10</v>
      </c>
      <c r="C21" s="53">
        <v>26196</v>
      </c>
      <c r="D21" s="53">
        <v>-1942</v>
      </c>
      <c r="E21" s="42">
        <f t="shared" si="2"/>
        <v>24254</v>
      </c>
    </row>
    <row r="22" spans="1:6" x14ac:dyDescent="0.25">
      <c r="A22" s="11">
        <v>14</v>
      </c>
      <c r="B22" s="76" t="s">
        <v>268</v>
      </c>
      <c r="C22" s="82">
        <f>C16+C17+C18+C19+C20+C21</f>
        <v>60699</v>
      </c>
      <c r="D22" s="82">
        <f>D16+D17+D18+D19+D20+D21</f>
        <v>-165</v>
      </c>
      <c r="E22" s="83">
        <f>E16+E17+E18+E19+E20+E21</f>
        <v>60534</v>
      </c>
      <c r="F22" s="1"/>
    </row>
    <row r="23" spans="1:6" x14ac:dyDescent="0.25">
      <c r="A23" s="11">
        <v>15</v>
      </c>
      <c r="B23" s="15" t="s">
        <v>14</v>
      </c>
      <c r="C23" s="60">
        <f>C15-C22</f>
        <v>3993</v>
      </c>
      <c r="D23" s="60">
        <f>D15-D22</f>
        <v>165</v>
      </c>
      <c r="E23" s="60">
        <f>E15-E22</f>
        <v>4158</v>
      </c>
    </row>
    <row r="24" spans="1:6" x14ac:dyDescent="0.2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2402</v>
      </c>
      <c r="D27" s="53"/>
      <c r="E27" s="60">
        <f t="shared" si="3"/>
        <v>2402</v>
      </c>
    </row>
    <row r="28" spans="1:6" x14ac:dyDescent="0.25">
      <c r="A28" s="11">
        <v>20</v>
      </c>
      <c r="B28" s="79" t="s">
        <v>12</v>
      </c>
      <c r="C28" s="74">
        <f>SUM(C25:C27)</f>
        <v>2402</v>
      </c>
      <c r="D28" s="74">
        <f t="shared" ref="D28:E28" si="4">SUM(D25:D27)</f>
        <v>0</v>
      </c>
      <c r="E28" s="84">
        <f t="shared" si="4"/>
        <v>2402</v>
      </c>
    </row>
    <row r="29" spans="1:6" x14ac:dyDescent="0.25">
      <c r="A29" s="11">
        <v>21</v>
      </c>
      <c r="B29" s="79" t="s">
        <v>22</v>
      </c>
      <c r="C29" s="74">
        <f>C23+C24-C28</f>
        <v>1591</v>
      </c>
      <c r="D29" s="74">
        <f>D23+D24-D28</f>
        <v>165</v>
      </c>
      <c r="E29" s="84">
        <f>E23+E24-E28</f>
        <v>1756</v>
      </c>
    </row>
    <row r="30" spans="1:6" x14ac:dyDescent="0.25">
      <c r="A30" s="11">
        <v>22</v>
      </c>
      <c r="B30" s="15" t="s">
        <v>15</v>
      </c>
      <c r="C30" s="53"/>
      <c r="D30" s="55"/>
      <c r="E30" s="60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299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298</v>
      </c>
      <c r="C34" s="74">
        <f>SUM(C30:C33)</f>
        <v>0</v>
      </c>
      <c r="D34" s="85">
        <f t="shared" ref="D34" si="6">SUM(D30:D33)</f>
        <v>0</v>
      </c>
      <c r="E34" s="74">
        <f>SUM(E30:E33)</f>
        <v>0</v>
      </c>
    </row>
    <row r="35" spans="1:10" x14ac:dyDescent="0.25">
      <c r="A35" s="11">
        <v>27</v>
      </c>
      <c r="B35" s="15" t="s">
        <v>18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14606</v>
      </c>
      <c r="D38" s="71">
        <f>-1*(D29-D34)</f>
        <v>-165</v>
      </c>
      <c r="E38" s="33">
        <f t="shared" si="7"/>
        <v>14441</v>
      </c>
    </row>
    <row r="39" spans="1:10" x14ac:dyDescent="0.25">
      <c r="A39" s="11">
        <v>31</v>
      </c>
      <c r="B39" s="79" t="s">
        <v>21</v>
      </c>
      <c r="C39" s="74">
        <f>C29-C34+C35+C36+C37+C38</f>
        <v>16197</v>
      </c>
      <c r="D39" s="74">
        <f t="shared" ref="D39:E39" si="8">D29-D34+D35+D36+D37+D38</f>
        <v>0</v>
      </c>
      <c r="E39" s="74">
        <f t="shared" si="8"/>
        <v>16197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300143</v>
      </c>
      <c r="D41" s="55"/>
      <c r="E41" s="60">
        <f t="shared" ref="E41:E46" si="9">SUM(C41:D41)</f>
        <v>300143</v>
      </c>
    </row>
    <row r="42" spans="1:10" x14ac:dyDescent="0.2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316340</v>
      </c>
      <c r="D47" s="85">
        <f t="shared" ref="D47:E47" si="10">(D39+D41+D42)-(D43+D44+D45+D46)</f>
        <v>0</v>
      </c>
      <c r="E47" s="84">
        <f t="shared" si="10"/>
        <v>316340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/>
      <c r="D52" s="87"/>
      <c r="E52" s="33">
        <f>C52</f>
        <v>0</v>
      </c>
    </row>
    <row r="53" spans="1:7" x14ac:dyDescent="0.25">
      <c r="A53" s="11">
        <v>45</v>
      </c>
      <c r="B53" s="15" t="s">
        <v>35</v>
      </c>
      <c r="C53" s="88">
        <f>((C22+C28-C18-C19)/C15)</f>
        <v>0.77144005441167374</v>
      </c>
      <c r="D53" s="88" t="e">
        <f>((D22+D28-D18-D19)/D15)</f>
        <v>#DIV/0!</v>
      </c>
      <c r="E53" s="88">
        <f>((E22+E28-E18-E19)/E15)</f>
        <v>0.76888950720336358</v>
      </c>
    </row>
    <row r="54" spans="1:7" x14ac:dyDescent="0.25">
      <c r="A54" s="11">
        <v>46</v>
      </c>
      <c r="B54" s="15" t="s">
        <v>36</v>
      </c>
      <c r="C54" s="88">
        <f>((C22+C28+C34)/C15)</f>
        <v>0.97540654176714281</v>
      </c>
      <c r="D54" s="88" t="e">
        <f>((D22+D28+D34)/D15)</f>
        <v>#DIV/0!</v>
      </c>
      <c r="E54" s="88">
        <f>((E22+E28+E34)/E15)</f>
        <v>0.97285599455883265</v>
      </c>
    </row>
    <row r="55" spans="1:7" x14ac:dyDescent="0.25">
      <c r="A55" s="11">
        <v>47</v>
      </c>
      <c r="B55" s="15" t="s">
        <v>37</v>
      </c>
      <c r="C55" s="88" t="e">
        <f>((C39+C34)/C34)</f>
        <v>#DIV/0!</v>
      </c>
      <c r="D55" s="88" t="e">
        <f t="shared" ref="D55:E55" si="13">((D39+D34)/D34)</f>
        <v>#DIV/0!</v>
      </c>
      <c r="E55" s="88" t="e">
        <f t="shared" si="13"/>
        <v>#DIV/0!</v>
      </c>
    </row>
    <row r="56" spans="1:7" x14ac:dyDescent="0.25">
      <c r="A56" s="11">
        <v>48</v>
      </c>
      <c r="B56" s="15" t="s">
        <v>38</v>
      </c>
      <c r="C56" s="88" t="e">
        <f>(C39+C34+C18+C19)/C52</f>
        <v>#DIV/0!</v>
      </c>
      <c r="D56" s="88" t="e">
        <f>(D39+D34+D18+D19)/D52</f>
        <v>#DIV/0!</v>
      </c>
      <c r="E56" s="88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297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269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KgCbiPn61DoGsAuiyp57iJlLcrEXN4P10hWW0YXJ7BikhL7lXYfpNhtizBnS/W/wAXen4iEJxRBHMj+SWgLb2w==" saltValue="x4kH7s9CtA1ckY1V1p9LXw==" spinCount="100000" sheet="1" objects="1" scenarios="1" selectLockedCells="1"/>
  <pageMargins left="1.2" right="0.7" top="1.25" bottom="0.75" header="0.8" footer="0.3"/>
  <pageSetup scale="59" orientation="portrait" r:id="rId1"/>
  <headerFooter>
    <oddHeader>&amp;L&amp;"-,Bold"State USF Petition Filing Requirement -WAC 480-123-110 (1)(e)
Prior Year Balance 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view="pageLayout" topLeftCell="A25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Hat Island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276</v>
      </c>
    </row>
    <row r="9" spans="1:6" x14ac:dyDescent="0.25">
      <c r="A9" s="10">
        <v>1</v>
      </c>
      <c r="B9" s="7" t="s">
        <v>1</v>
      </c>
      <c r="C9" s="56">
        <v>15876</v>
      </c>
      <c r="D9" s="53"/>
      <c r="E9" s="33">
        <f>SUM(C9:D9)</f>
        <v>15876</v>
      </c>
    </row>
    <row r="10" spans="1:6" x14ac:dyDescent="0.25">
      <c r="A10" s="11">
        <v>2</v>
      </c>
      <c r="B10" s="18" t="s">
        <v>2</v>
      </c>
      <c r="C10" s="53">
        <v>37449</v>
      </c>
      <c r="D10" s="53"/>
      <c r="E10" s="33">
        <f t="shared" ref="E10:E14" si="0">SUM(C10:D10)</f>
        <v>37449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916</v>
      </c>
      <c r="D12" s="53"/>
      <c r="E12" s="33">
        <f t="shared" si="0"/>
        <v>916</v>
      </c>
    </row>
    <row r="13" spans="1:6" x14ac:dyDescent="0.25">
      <c r="A13" s="11">
        <v>5</v>
      </c>
      <c r="B13" s="18" t="s">
        <v>5</v>
      </c>
      <c r="C13" s="53">
        <v>1259</v>
      </c>
      <c r="D13" s="53"/>
      <c r="E13" s="33">
        <f t="shared" si="0"/>
        <v>1259</v>
      </c>
    </row>
    <row r="14" spans="1:6" x14ac:dyDescent="0.25">
      <c r="A14" s="11">
        <v>6</v>
      </c>
      <c r="B14" s="18" t="s">
        <v>133</v>
      </c>
      <c r="C14" s="53">
        <v>0</v>
      </c>
      <c r="D14" s="53"/>
      <c r="E14" s="33">
        <f t="shared" si="0"/>
        <v>0</v>
      </c>
    </row>
    <row r="15" spans="1:6" x14ac:dyDescent="0.25">
      <c r="A15" s="11">
        <v>7</v>
      </c>
      <c r="B15" s="76" t="s">
        <v>132</v>
      </c>
      <c r="C15" s="41">
        <f>SUM(C9:C14)</f>
        <v>55500</v>
      </c>
      <c r="D15" s="41">
        <f t="shared" ref="D15:E15" si="1">SUM(D9:D14)</f>
        <v>0</v>
      </c>
      <c r="E15" s="41">
        <f t="shared" si="1"/>
        <v>55500</v>
      </c>
      <c r="F15" s="1"/>
    </row>
    <row r="16" spans="1:6" x14ac:dyDescent="0.25">
      <c r="A16" s="11">
        <v>8</v>
      </c>
      <c r="B16" s="18" t="s">
        <v>6</v>
      </c>
      <c r="C16" s="53">
        <v>16768</v>
      </c>
      <c r="D16" s="53"/>
      <c r="E16" s="42">
        <f>SUM(C16:D16)</f>
        <v>16768</v>
      </c>
    </row>
    <row r="17" spans="1:6" x14ac:dyDescent="0.25">
      <c r="A17" s="11">
        <v>9</v>
      </c>
      <c r="B17" s="18" t="s">
        <v>39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8" t="s">
        <v>7</v>
      </c>
      <c r="C18" s="53">
        <v>13196</v>
      </c>
      <c r="D18" s="53"/>
      <c r="E18" s="42">
        <f t="shared" si="2"/>
        <v>13196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7005</v>
      </c>
      <c r="D20" s="53">
        <v>2138</v>
      </c>
      <c r="E20" s="42">
        <f t="shared" si="2"/>
        <v>9143</v>
      </c>
    </row>
    <row r="21" spans="1:6" x14ac:dyDescent="0.25">
      <c r="A21" s="11">
        <v>13</v>
      </c>
      <c r="B21" s="18" t="s">
        <v>10</v>
      </c>
      <c r="C21" s="53">
        <v>79487</v>
      </c>
      <c r="D21" s="53">
        <v>-2298</v>
      </c>
      <c r="E21" s="42">
        <f t="shared" si="2"/>
        <v>77189</v>
      </c>
    </row>
    <row r="22" spans="1:6" x14ac:dyDescent="0.25">
      <c r="A22" s="11">
        <v>14</v>
      </c>
      <c r="B22" s="76" t="s">
        <v>268</v>
      </c>
      <c r="C22" s="41">
        <f>C16+C17+C18+C19+C20+C21</f>
        <v>116456</v>
      </c>
      <c r="D22" s="41">
        <f>D16+D17+D18+D19+D20+D21</f>
        <v>-160</v>
      </c>
      <c r="E22" s="43">
        <f>E16+E17+E18+E19+E20+E21</f>
        <v>116296</v>
      </c>
      <c r="F22" s="1"/>
    </row>
    <row r="23" spans="1:6" x14ac:dyDescent="0.25">
      <c r="A23" s="11">
        <v>15</v>
      </c>
      <c r="B23" s="18" t="s">
        <v>14</v>
      </c>
      <c r="C23" s="33">
        <f>C15-C22</f>
        <v>-60956</v>
      </c>
      <c r="D23" s="33">
        <f>D15-D22</f>
        <v>160</v>
      </c>
      <c r="E23" s="33">
        <f>E15-E22</f>
        <v>-60796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3277</v>
      </c>
      <c r="D27" s="120"/>
      <c r="E27" s="33">
        <f t="shared" si="3"/>
        <v>3277</v>
      </c>
    </row>
    <row r="28" spans="1:6" x14ac:dyDescent="0.25">
      <c r="A28" s="11">
        <v>20</v>
      </c>
      <c r="B28" s="76" t="s">
        <v>12</v>
      </c>
      <c r="C28" s="38">
        <f>SUM(C25:C27)</f>
        <v>3277</v>
      </c>
      <c r="D28" s="38">
        <f t="shared" ref="D28:E28" si="4">SUM(D25:D27)</f>
        <v>0</v>
      </c>
      <c r="E28" s="44">
        <f t="shared" si="4"/>
        <v>3277</v>
      </c>
    </row>
    <row r="29" spans="1:6" x14ac:dyDescent="0.25">
      <c r="A29" s="11">
        <v>21</v>
      </c>
      <c r="B29" s="76" t="s">
        <v>22</v>
      </c>
      <c r="C29" s="38">
        <f>C23+C24-C28</f>
        <v>-64233</v>
      </c>
      <c r="D29" s="38">
        <f>D23+D24-D28</f>
        <v>160</v>
      </c>
      <c r="E29" s="44">
        <f>E23+E24-E28</f>
        <v>-64073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299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298</v>
      </c>
      <c r="C34" s="38">
        <f>SUM(C30:C33)</f>
        <v>0</v>
      </c>
      <c r="D34" s="66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18</v>
      </c>
      <c r="C35" s="53">
        <v>7</v>
      </c>
      <c r="D35" s="55"/>
      <c r="E35" s="33">
        <f>SUM(C35:D35)</f>
        <v>7</v>
      </c>
    </row>
    <row r="36" spans="1:5" x14ac:dyDescent="0.25">
      <c r="A36" s="11">
        <v>28</v>
      </c>
      <c r="B36" s="18" t="s">
        <v>19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11834</v>
      </c>
      <c r="D38" s="71">
        <f>-1*(D29-D34)</f>
        <v>-160</v>
      </c>
      <c r="E38" s="33">
        <f t="shared" si="7"/>
        <v>11674</v>
      </c>
    </row>
    <row r="39" spans="1:5" x14ac:dyDescent="0.25">
      <c r="A39" s="11">
        <v>31</v>
      </c>
      <c r="B39" s="76" t="s">
        <v>21</v>
      </c>
      <c r="C39" s="38">
        <f>C29-C34+C35+C36+C37+C38</f>
        <v>-52392</v>
      </c>
      <c r="D39" s="38">
        <f t="shared" ref="D39:E39" si="8">D29-D34+D35+D36+D37+D38</f>
        <v>0</v>
      </c>
      <c r="E39" s="38">
        <f t="shared" si="8"/>
        <v>-52392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v>316340</v>
      </c>
      <c r="D41" s="55"/>
      <c r="E41" s="33">
        <f t="shared" ref="E41:E46" si="9">SUM(C41:D41)</f>
        <v>316340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263948</v>
      </c>
      <c r="D47" s="66">
        <f t="shared" ref="D47:E47" si="10">(D39+D41+D42)-(D43+D44+D45+D46)</f>
        <v>0</v>
      </c>
      <c r="E47" s="44">
        <f t="shared" si="10"/>
        <v>263948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35</v>
      </c>
      <c r="C53" s="47">
        <f>((C22+C28-C18-C19)/C15)</f>
        <v>1.9195855855855857</v>
      </c>
      <c r="D53" s="47" t="e">
        <f>((D22+D28-D18-D19)/D15)</f>
        <v>#DIV/0!</v>
      </c>
      <c r="E53" s="47">
        <f>((E22+E28-E18-E19)/E15)</f>
        <v>1.9167027027027026</v>
      </c>
    </row>
    <row r="54" spans="1:7" x14ac:dyDescent="0.25">
      <c r="A54" s="11">
        <v>46</v>
      </c>
      <c r="B54" s="18" t="s">
        <v>36</v>
      </c>
      <c r="C54" s="47">
        <f>((C22+C28+C34)/C15)</f>
        <v>2.1573513513513514</v>
      </c>
      <c r="D54" s="47" t="e">
        <f>((D22+D28+D34)/D15)</f>
        <v>#DIV/0!</v>
      </c>
      <c r="E54" s="47">
        <f>((E22+E28+E34)/E15)</f>
        <v>2.1544684684684685</v>
      </c>
    </row>
    <row r="55" spans="1:7" x14ac:dyDescent="0.25">
      <c r="A55" s="11">
        <v>47</v>
      </c>
      <c r="B55" s="18" t="s">
        <v>37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38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300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270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kU2EF6hnfJ9VUJaJtcBRuOMUqnAe3mqLykiFOEjARZkTjnT7NZSXLHxDN9f5LgEeTCyGrSCBASb5k3Q8aRPy2Q==" saltValue="ItxEV3us4c8CagKpOjmkcg==" spinCount="100000" sheet="1" objects="1" scenarios="1" selectLockedCells="1"/>
  <pageMargins left="1.2" right="0.7" top="1.25" bottom="0.75" header="0.8" footer="0.3"/>
  <pageSetup scale="59" orientation="portrait" r:id="rId1"/>
  <headerFooter>
    <oddHeader>&amp;L&amp;"-,Bold"State USF Petition Filing Requirement -WAC 480-123-110 (1)(e)
Prior Year Balance Sheet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abSelected="1" view="pageLayout" topLeftCell="A28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Hat Island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2016</v>
      </c>
      <c r="D8" s="6">
        <v>2017</v>
      </c>
    </row>
    <row r="9" spans="1:5" x14ac:dyDescent="0.25">
      <c r="A9" s="10">
        <v>1</v>
      </c>
      <c r="B9" s="7" t="s">
        <v>1</v>
      </c>
      <c r="C9" s="37">
        <f>PriorYearIncomeStmt!E9</f>
        <v>20327</v>
      </c>
      <c r="D9" s="42">
        <f>'CurrentYearIncomeStmt '!E9</f>
        <v>15876</v>
      </c>
    </row>
    <row r="10" spans="1:5" x14ac:dyDescent="0.25">
      <c r="A10" s="11">
        <v>2</v>
      </c>
      <c r="B10" s="18" t="s">
        <v>2</v>
      </c>
      <c r="C10" s="33">
        <f>PriorYearIncomeStmt!E10</f>
        <v>40923</v>
      </c>
      <c r="D10" s="42">
        <f>'CurrentYearIncomeStmt '!E10</f>
        <v>37449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2183</v>
      </c>
      <c r="D12" s="42">
        <f>'CurrentYearIncomeStmt '!E12</f>
        <v>916</v>
      </c>
    </row>
    <row r="13" spans="1:5" x14ac:dyDescent="0.25">
      <c r="A13" s="11">
        <v>5</v>
      </c>
      <c r="B13" s="18" t="s">
        <v>5</v>
      </c>
      <c r="C13" s="33">
        <f>PriorYearIncomeStmt!E13</f>
        <v>1259</v>
      </c>
      <c r="D13" s="42">
        <f>'CurrentYearIncomeStmt '!E13</f>
        <v>1259</v>
      </c>
    </row>
    <row r="14" spans="1:5" x14ac:dyDescent="0.25">
      <c r="A14" s="11">
        <v>6</v>
      </c>
      <c r="B14" s="18" t="s">
        <v>133</v>
      </c>
      <c r="C14" s="33">
        <f>PriorYearIncomeStmt!E14</f>
        <v>0</v>
      </c>
      <c r="D14" s="42">
        <f>'CurrentYearIncomeStmt '!E14</f>
        <v>0</v>
      </c>
    </row>
    <row r="15" spans="1:5" x14ac:dyDescent="0.25">
      <c r="A15" s="11">
        <v>7</v>
      </c>
      <c r="B15" s="76" t="s">
        <v>132</v>
      </c>
      <c r="C15" s="41">
        <f>SUM(C9:C14)</f>
        <v>64692</v>
      </c>
      <c r="D15" s="43">
        <f t="shared" ref="D15" si="0">SUM(D9:D14)</f>
        <v>55500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15315</v>
      </c>
      <c r="D16" s="42">
        <f>'CurrentYearIncomeStmt '!E16</f>
        <v>16768</v>
      </c>
    </row>
    <row r="17" spans="1:5" x14ac:dyDescent="0.25">
      <c r="A17" s="11">
        <v>9</v>
      </c>
      <c r="B17" s="18" t="s">
        <v>39</v>
      </c>
      <c r="C17" s="33">
        <f>PriorYearIncomeStmt!E17</f>
        <v>0</v>
      </c>
      <c r="D17" s="42">
        <f>'CurrentYearIncomeStmt '!E17</f>
        <v>0</v>
      </c>
    </row>
    <row r="18" spans="1:5" x14ac:dyDescent="0.25">
      <c r="A18" s="11">
        <v>10</v>
      </c>
      <c r="B18" s="18" t="s">
        <v>7</v>
      </c>
      <c r="C18" s="33">
        <f>PriorYearIncomeStmt!E18</f>
        <v>13195</v>
      </c>
      <c r="D18" s="42">
        <f>'CurrentYearIncomeStmt '!E18</f>
        <v>13196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7770</v>
      </c>
      <c r="D20" s="42">
        <f>'CurrentYearIncomeStmt '!E20</f>
        <v>9143</v>
      </c>
    </row>
    <row r="21" spans="1:5" x14ac:dyDescent="0.25">
      <c r="A21" s="11">
        <v>13</v>
      </c>
      <c r="B21" s="18" t="s">
        <v>10</v>
      </c>
      <c r="C21" s="33">
        <f>PriorYearIncomeStmt!E21</f>
        <v>24254</v>
      </c>
      <c r="D21" s="42">
        <f>'CurrentYearIncomeStmt '!E21</f>
        <v>77189</v>
      </c>
    </row>
    <row r="22" spans="1:5" x14ac:dyDescent="0.25">
      <c r="A22" s="11">
        <v>14</v>
      </c>
      <c r="B22" s="76" t="s">
        <v>268</v>
      </c>
      <c r="C22" s="41">
        <f>C16+C17+C18+C19+C20+C21</f>
        <v>60534</v>
      </c>
      <c r="D22" s="43">
        <f>D16+D17+D18+D19+D20+D21</f>
        <v>116296</v>
      </c>
      <c r="E22" s="1"/>
    </row>
    <row r="23" spans="1:5" x14ac:dyDescent="0.25">
      <c r="A23" s="11">
        <v>15</v>
      </c>
      <c r="B23" s="18" t="s">
        <v>14</v>
      </c>
      <c r="C23" s="33">
        <f>C15-C22</f>
        <v>4158</v>
      </c>
      <c r="D23" s="42">
        <f>D15-D22</f>
        <v>-60796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2402</v>
      </c>
      <c r="D27" s="42">
        <f>'CurrentYearIncomeStmt '!E27</f>
        <v>3277</v>
      </c>
    </row>
    <row r="28" spans="1:5" x14ac:dyDescent="0.25">
      <c r="A28" s="11">
        <v>20</v>
      </c>
      <c r="B28" s="76" t="s">
        <v>12</v>
      </c>
      <c r="C28" s="38">
        <f>SUM(C25:C27)</f>
        <v>2402</v>
      </c>
      <c r="D28" s="44">
        <f t="shared" ref="D28" si="1">SUM(D25:D27)</f>
        <v>3277</v>
      </c>
    </row>
    <row r="29" spans="1:5" x14ac:dyDescent="0.25">
      <c r="A29" s="11">
        <v>21</v>
      </c>
      <c r="B29" s="76" t="s">
        <v>22</v>
      </c>
      <c r="C29" s="38">
        <f>C23+C24-C28</f>
        <v>1756</v>
      </c>
      <c r="D29" s="44">
        <f>D23+D24-D28</f>
        <v>-64073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301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298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18</v>
      </c>
      <c r="C35" s="33">
        <f>PriorYearIncomeStmt!E35</f>
        <v>0</v>
      </c>
      <c r="D35" s="42">
        <f>'CurrentYearIncomeStmt '!E35</f>
        <v>7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14441</v>
      </c>
      <c r="D38" s="42">
        <f>'CurrentYearIncomeStmt '!E38</f>
        <v>11674</v>
      </c>
    </row>
    <row r="39" spans="1:4" x14ac:dyDescent="0.25">
      <c r="A39" s="11">
        <v>31</v>
      </c>
      <c r="B39" s="76" t="s">
        <v>21</v>
      </c>
      <c r="C39" s="38">
        <f>C29-C34+C35+C36+C37+C38</f>
        <v>16197</v>
      </c>
      <c r="D39" s="44">
        <f t="shared" ref="D39" si="3">D29-D34+D35+D36+D37+D38</f>
        <v>-52392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300143</v>
      </c>
      <c r="D41" s="42">
        <f>'CurrentYearIncomeStmt '!E41</f>
        <v>316340</v>
      </c>
    </row>
    <row r="42" spans="1:4" x14ac:dyDescent="0.2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316340</v>
      </c>
      <c r="D47" s="44">
        <f t="shared" ref="D47" si="4">(D39+D41+D42)-(D43+D44+D45+D46)</f>
        <v>263948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0</v>
      </c>
      <c r="D52" s="42">
        <f>'CurrentYearIncomeStmt '!E52</f>
        <v>0</v>
      </c>
    </row>
    <row r="53" spans="1:4" x14ac:dyDescent="0.25">
      <c r="A53" s="11">
        <v>45</v>
      </c>
      <c r="B53" s="18" t="s">
        <v>35</v>
      </c>
      <c r="C53" s="50">
        <f>((C22+C28-C18-C19)/C15)</f>
        <v>0.76888950720336358</v>
      </c>
      <c r="D53" s="50">
        <f>((D22+D28-D18-D19)/D15)</f>
        <v>1.9167027027027026</v>
      </c>
    </row>
    <row r="54" spans="1:4" x14ac:dyDescent="0.25">
      <c r="A54" s="11">
        <v>46</v>
      </c>
      <c r="B54" s="18" t="s">
        <v>36</v>
      </c>
      <c r="C54" s="50">
        <f>((C22+C28+C34)/C15)</f>
        <v>0.97285599455883265</v>
      </c>
      <c r="D54" s="50">
        <f>((D22+D28+D34)/D15)</f>
        <v>2.1544684684684685</v>
      </c>
    </row>
    <row r="55" spans="1:4" x14ac:dyDescent="0.25">
      <c r="A55" s="11">
        <v>47</v>
      </c>
      <c r="B55" s="18" t="s">
        <v>37</v>
      </c>
      <c r="C55" s="50" t="e">
        <f>((C39+C34)/C34)</f>
        <v>#DIV/0!</v>
      </c>
      <c r="D55" s="50" t="e">
        <f t="shared" ref="D55" si="6">((D39+D34)/D34)</f>
        <v>#DIV/0!</v>
      </c>
    </row>
    <row r="56" spans="1:4" x14ac:dyDescent="0.25">
      <c r="A56" s="11">
        <v>48</v>
      </c>
      <c r="B56" s="18" t="s">
        <v>38</v>
      </c>
      <c r="C56" s="46" t="e">
        <f>(C39+C34+C18+C19)/C52</f>
        <v>#DIV/0!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265</v>
      </c>
      <c r="D59" s="49" t="s">
        <v>285</v>
      </c>
    </row>
    <row r="60" spans="1:4" x14ac:dyDescent="0.25">
      <c r="A60" s="48" t="s">
        <v>157</v>
      </c>
      <c r="B60" t="s">
        <v>149</v>
      </c>
      <c r="C60" s="58">
        <v>0.1149</v>
      </c>
      <c r="D60" s="58">
        <v>0.1101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ORJF4xIei4viglWYVvh7Dmqa62qe7B49IKrLUhLdGK7MwdTWctE/eJY3TsiyvfIyJN/SEt7E7ffX/yDFoZjQgw==" saltValue="Y4qNcx07mVZTwpteMQyHAw==" spinCount="100000" sheet="1" objects="1" scenarios="1" selectLockedCells="1"/>
  <pageMargins left="1.2" right="0.7" top="1.25" bottom="0.75" header="0.8" footer="0.3"/>
  <pageSetup scale="59" orientation="portrait" r:id="rId1"/>
  <headerFooter>
    <oddHeader>&amp;L&amp;"-,Bold"State USF Petition Filing Requirement -WAC 480-123-110 (1)(e)
Prior Year Balance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C70FFA203F214DB6BDAF430272DE86" ma:contentTypeVersion="68" ma:contentTypeDescription="" ma:contentTypeScope="" ma:versionID="7662b84f2228948b68e107a5062b9d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180670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A16106E-0003-492C-AE27-8EB736BB524E}"/>
</file>

<file path=customXml/itemProps2.xml><?xml version="1.0" encoding="utf-8"?>
<ds:datastoreItem xmlns:ds="http://schemas.openxmlformats.org/officeDocument/2006/customXml" ds:itemID="{2AD051D5-C38F-437C-B5E4-6EE714949A20}"/>
</file>

<file path=customXml/itemProps3.xml><?xml version="1.0" encoding="utf-8"?>
<ds:datastoreItem xmlns:ds="http://schemas.openxmlformats.org/officeDocument/2006/customXml" ds:itemID="{BCAB479A-CB33-44B7-A26D-3CAC9B204466}"/>
</file>

<file path=customXml/itemProps4.xml><?xml version="1.0" encoding="utf-8"?>
<ds:datastoreItem xmlns:ds="http://schemas.openxmlformats.org/officeDocument/2006/customXml" ds:itemID="{E4915D03-D215-447D-A765-82BE2AD57B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2018-08-01T23:23:20Z</cp:lastPrinted>
  <dcterms:created xsi:type="dcterms:W3CDTF">2014-05-21T17:51:51Z</dcterms:created>
  <dcterms:modified xsi:type="dcterms:W3CDTF">2018-08-02T00:02:31Z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0x0101006E56B4D1795A2E4DB2F0B01679ED314A002BC70FFA203F214DB6BDAF430272DE86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