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-U\STJOHN TELEPHONE\WUTC\State USF 080118\"/>
    </mc:Choice>
  </mc:AlternateContent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27" i="13" l="1"/>
  <c r="D26" i="13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<sst xmlns="http://schemas.openxmlformats.org/spreadsheetml/2006/main" count="643" uniqueCount="279">
  <si>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</si>
  <si>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</si>
  <si>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</si>
  <si>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</si>
  <si>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</si>
  <si>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</si>
  <si>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</si>
  <si>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</si>
  <si>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</si>
  <si>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</si>
  <si>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</si>
  <si>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</si>
  <si>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</si>
  <si>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</si>
  <si>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</si>
  <si>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</si>
  <si>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</si>
  <si>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</si>
  <si>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</si>
  <si>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</si>
  <si>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</si>
  <si>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</si>
  <si>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</si>
  <si>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</si>
  <si>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</si>
  <si>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</si>
  <si>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</si>
  <si>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</si>
  <si>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</si>
  <si>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</si>
  <si>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</si>
  <si>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</si>
  <si>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</si>
  <si>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</si>
  <si>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</si>
  <si>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</si>
  <si>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</si>
  <si>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</si>
  <si>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</si>
  <si>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</si>
  <si>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</si>
  <si>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</si>
  <si>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</si>
  <si>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</si>
  <si>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</si>
  <si>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</si>
  <si>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</si>
  <si>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</si>
  <si>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</si>
  <si>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</si>
  <si>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</si>
  <si>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</si>
  <si>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</si>
  <si>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</si>
  <si>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</si>
  <si>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</si>
  <si>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</si>
  <si>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</si>
  <si>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</si>
  <si>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</si>
  <si>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</si>
  <si>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</si>
  <si>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</si>
  <si>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</si>
  <si>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</si>
  <si>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</si>
  <si>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</si>
  <si>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</si>
  <si>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</si>
  <si>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</si>
  <si>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</si>
  <si>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</si>
  <si>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</si>
  <si>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</si>
  <si>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</si>
  <si>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</si>
  <si>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</si>
  <si>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</si>
  <si>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</si>
  <si>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</si>
  <si>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</si>
  <si>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</si>
  <si>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</si>
  <si>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</si>
  <si>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</si>
  <si>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</si>
  <si>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</si>
  <si>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</si>
  <si>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</si>
  <si>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</si>
  <si>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</si>
  <si>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</si>
  <si>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</si>
  <si>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</si>
  <si>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</si>
  <si>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</si>
  <si>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</si>
  <si>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</si>
  <si>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</si>
  <si>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</si>
  <si>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</si>
  <si>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</si>
  <si>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</si>
  <si>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</si>
  <si>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</si>
  <si>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</si>
  <si>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</si>
  <si>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</si>
  <si>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</si>
  <si>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</si>
  <si>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</si>
  <si>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</si>
  <si>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</si>
  <si>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</si>
  <si>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</si>
  <si>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</si>
  <si>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</si>
  <si>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</si>
  <si>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</si>
  <si>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</si>
  <si>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</si>
  <si>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</si>
  <si>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</si>
  <si>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</si>
  <si>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</si>
  <si>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</si>
  <si>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</si>
  <si>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</si>
  <si>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</si>
  <si>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</si>
  <si>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</si>
  <si>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</si>
  <si>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</si>
  <si>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</si>
  <si>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</si>
  <si>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</si>
  <si>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</si>
  <si>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</si>
  <si>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</si>
  <si>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</si>
  <si>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</si>
  <si>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</si>
  <si>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</si>
  <si>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</si>
  <si>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</si>
  <si>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</si>
  <si>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</si>
  <si>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</si>
  <si>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</si>
  <si>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</si>
  <si>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</si>
  <si>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</si>
  <si>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</si>
  <si>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</si>
  <si>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</si>
  <si>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</si>
  <si>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</si>
  <si>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</si>
  <si>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</si>
  <si>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</si>
  <si>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</si>
  <si>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</si>
  <si>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</si>
  <si>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</si>
  <si>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</si>
  <si>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</si>
  <si>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</si>
  <si>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</si>
  <si>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</si>
  <si>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</si>
  <si>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</si>
  <si>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</si>
  <si>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</si>
  <si>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</si>
  <si>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</si>
  <si>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</si>
  <si>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</si>
  <si>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</si>
  <si>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</si>
  <si>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</si>
  <si>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</si>
  <si>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</si>
  <si>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</si>
  <si>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</si>
  <si>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</si>
  <si>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</si>
  <si>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</si>
  <si>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</si>
  <si>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</si>
  <si>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</si>
  <si>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</si>
  <si>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</si>
  <si>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</si>
  <si>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</si>
  <si>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</si>
  <si>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</si>
  <si>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</si>
  <si>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</si>
  <si>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</si>
  <si>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</si>
  <si>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</si>
  <si>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</si>
  <si>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</si>
  <si>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</si>
  <si>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</si>
  <si>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</si>
  <si>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</si>
  <si>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</si>
  <si>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</si>
  <si>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</si>
  <si>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</si>
  <si>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</si>
  <si>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</si>
  <si>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</si>
  <si>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</si>
  <si>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</si>
  <si>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</si>
  <si>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</si>
  <si>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</si>
  <si>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</si>
  <si>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</si>
  <si>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</si>
  <si>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</si>
  <si>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</si>
  <si>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</si>
  <si>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</si>
  <si>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</si>
  <si>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</si>
  <si>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</si>
  <si>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>2016 (A)</t>
  </si>
  <si>
    <t>2016 (B)</t>
  </si>
  <si>
    <t xml:space="preserve">49. Other Deferred Credits </t>
  </si>
  <si>
    <t>58. Retained Earnings or Margins</t>
  </si>
  <si>
    <t>Balance 2016</t>
  </si>
  <si>
    <t>Balance - 2016</t>
  </si>
  <si>
    <t>2016</t>
  </si>
  <si>
    <t>2016 (C)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</si>
  <si>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</si>
  <si>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</si>
  <si>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</si>
  <si>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</si>
  <si>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</si>
  <si>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</si>
  <si>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</si>
  <si>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</si>
  <si>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</si>
  <si>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</si>
  <si>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</si>
  <si>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</si>
  <si>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</si>
  <si>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</si>
  <si>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</si>
  <si>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</si>
  <si>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</si>
  <si>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</si>
  <si>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If 2016 does not equal last year's petition and template,</t>
  </si>
  <si>
    <t>*</t>
  </si>
  <si>
    <t>Deferred Income Taxes (CR) * - Manually input</t>
  </si>
  <si>
    <t>2017</t>
  </si>
  <si>
    <r>
      <t xml:space="preserve">Description of Out-of-Period (OOP) - 2017 (As Recorded) </t>
    </r>
    <r>
      <rPr>
        <b/>
        <sz val="11"/>
        <color theme="1"/>
        <rFont val="Calibri"/>
        <family val="2"/>
        <scheme val="minor"/>
      </rPr>
      <t>OR</t>
    </r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</si>
  <si>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</si>
  <si>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</si>
  <si>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</si>
  <si>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</si>
  <si>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</si>
  <si>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</si>
  <si>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</si>
  <si>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</si>
  <si>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</si>
  <si>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</si>
  <si>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</si>
  <si>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</si>
  <si>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ST. JOHN TELEPHONE, INC.</t>
  </si>
  <si>
    <t>Line 48, column A Deferred FIT does not include excess Deferred FIT because for GAAP purposes</t>
  </si>
  <si>
    <t xml:space="preserve"> it was directly expensed.  Line 48, column B includes the excess Deferred FIT expense added </t>
  </si>
  <si>
    <t xml:space="preserve"> back to Deferred FIT for cost study purposes required by NECA/FCC for normalization.</t>
  </si>
  <si>
    <t>Ln 18, column B includes Excess Deferred FIT expense removed</t>
  </si>
  <si>
    <t>Ln 18, column C total is Operating FIT</t>
  </si>
  <si>
    <t>Ln 19, column C total is Operating Deferred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</si>
</sst>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zoomScaleNormal="100" workbookViewId="0">
      <selection activeCell="A6" sqref="A6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zoomScaleNormal="100" workbookViewId="0">
      <selection activeCell="A6" sqref="A6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ST. JOHN TELEPHONE, INC.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2016</v>
      </c>
      <c r="E7" s="4">
        <v>2017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71407</v>
      </c>
      <c r="E9" s="55">
        <v>74084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46766</v>
      </c>
      <c r="E11" s="52">
        <v>41355</v>
      </c>
    </row>
    <row r="12" spans="1:5" x14ac:dyDescent="0.25">
      <c r="A12" s="10" t="s">
        <v>176</v>
      </c>
      <c r="B12" s="17" t="s">
        <v>200</v>
      </c>
      <c r="C12" s="10"/>
      <c r="D12" s="52">
        <v>400660</v>
      </c>
      <c r="E12" s="52">
        <v>309742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>
        <v>722</v>
      </c>
      <c r="E14" s="52">
        <v>3695</v>
      </c>
    </row>
    <row r="15" spans="1:5" x14ac:dyDescent="0.25">
      <c r="A15" s="10" t="s">
        <v>178</v>
      </c>
      <c r="B15" s="17" t="s">
        <v>142</v>
      </c>
      <c r="C15" s="10"/>
      <c r="D15" s="52">
        <v>227559</v>
      </c>
      <c r="E15" s="52">
        <v>166305</v>
      </c>
    </row>
    <row r="16" spans="1:5" x14ac:dyDescent="0.25">
      <c r="A16" s="10">
        <v>4</v>
      </c>
      <c r="B16" s="17" t="s">
        <v>271</v>
      </c>
      <c r="C16" s="10" t="s">
        <v>144</v>
      </c>
      <c r="D16" s="52">
        <v>839079</v>
      </c>
      <c r="E16" s="52">
        <v>697723</v>
      </c>
    </row>
    <row r="17" spans="1:5" x14ac:dyDescent="0.25">
      <c r="A17" s="10">
        <v>5</v>
      </c>
      <c r="B17" s="17" t="s">
        <v>270</v>
      </c>
      <c r="C17" s="10" t="s">
        <v>144</v>
      </c>
      <c r="D17" s="52">
        <v>462559</v>
      </c>
      <c r="E17" s="52">
        <v>525795</v>
      </c>
    </row>
    <row r="18" spans="1:5" x14ac:dyDescent="0.25">
      <c r="A18" s="10">
        <v>6</v>
      </c>
      <c r="B18" s="17" t="s">
        <v>190</v>
      </c>
      <c r="C18" s="10" t="s">
        <v>144</v>
      </c>
      <c r="D18" s="52">
        <v>57547</v>
      </c>
      <c r="E18" s="52">
        <v>67765</v>
      </c>
    </row>
    <row r="19" spans="1:5" x14ac:dyDescent="0.25">
      <c r="A19" s="10">
        <v>7</v>
      </c>
      <c r="B19" s="17" t="s">
        <v>163</v>
      </c>
      <c r="C19" s="11"/>
      <c r="D19" s="53"/>
      <c r="E19" s="53"/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2106299</v>
      </c>
      <c r="E20" s="35">
        <f>E9+E11+E12+E14+E15+E16++E17+E18+E19</f>
        <v>1886464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2106299</v>
      </c>
      <c r="E21" s="37">
        <f>IncomeStmtSummary!D10</f>
        <v>1886464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lOXWwvTDY3VH9ZmY3Rd18S6DNtlA2scfXUtp/ajXKz7l9fGag6Z4yA4LccsNzVXdVMl+AnCXxluoRMkdVCEhQ==" saltValue="/yKxuq1nk9ZCwsQat+jN8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A6" sqref="A6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ST. JOHN TELEPHONE, INC.</v>
      </c>
      <c r="B3" s="66"/>
    </row>
    <row r="6" spans="1:5" x14ac:dyDescent="0.25">
      <c r="A6" s="9" t="s">
        <v>259</v>
      </c>
      <c r="B6" s="9" t="s">
        <v>212</v>
      </c>
      <c r="C6" s="6"/>
      <c r="D6" s="122" t="s">
        <v>186</v>
      </c>
      <c r="E6" s="123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/>
      <c r="B10" s="17"/>
      <c r="C10" s="17"/>
      <c r="D10" s="114"/>
      <c r="E10" s="114"/>
    </row>
    <row r="11" spans="1:5" x14ac:dyDescent="0.25">
      <c r="A11" s="17"/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/>
      <c r="B15" s="17"/>
      <c r="C15" s="17"/>
      <c r="D15" s="114"/>
      <c r="E15" s="114"/>
    </row>
    <row r="16" spans="1:5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zoomScaleNormal="100" workbookViewId="0">
      <selection activeCell="A6" sqref="A6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ST. JOHN TELEPHONE, INC.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260</v>
      </c>
      <c r="D7" s="121" t="s">
        <v>261</v>
      </c>
    </row>
    <row r="8" spans="1:4" x14ac:dyDescent="0.25">
      <c r="A8" s="78" t="s">
        <v>0</v>
      </c>
      <c r="B8" s="74" t="s">
        <v>147</v>
      </c>
      <c r="C8" s="75">
        <v>2017</v>
      </c>
      <c r="D8" s="75">
        <v>2017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5878572</v>
      </c>
      <c r="D10" s="81">
        <f>C10</f>
        <v>5878572</v>
      </c>
    </row>
    <row r="11" spans="1:4" x14ac:dyDescent="0.25">
      <c r="A11" s="74">
        <v>2</v>
      </c>
      <c r="B11" s="78" t="s">
        <v>170</v>
      </c>
      <c r="C11" s="93">
        <f>'RateBase '!E15</f>
        <v>5415000</v>
      </c>
      <c r="D11" s="93">
        <f>C11</f>
        <v>5415000</v>
      </c>
    </row>
    <row r="12" spans="1:4" x14ac:dyDescent="0.25">
      <c r="A12" s="74">
        <v>3</v>
      </c>
      <c r="B12" s="89" t="s">
        <v>171</v>
      </c>
      <c r="C12" s="79">
        <f>(C10+C11)/2</f>
        <v>5646786</v>
      </c>
      <c r="D12" s="79">
        <f>(D10+D11)/2</f>
        <v>5646786</v>
      </c>
    </row>
    <row r="13" spans="1:4" x14ac:dyDescent="0.25">
      <c r="A13" s="74">
        <v>4</v>
      </c>
      <c r="B13" s="78" t="s">
        <v>172</v>
      </c>
      <c r="C13" s="58">
        <f>IncomeStmtSummary!D29</f>
        <v>493661</v>
      </c>
      <c r="D13" s="58">
        <f>C13</f>
        <v>493661</v>
      </c>
    </row>
    <row r="14" spans="1:4" x14ac:dyDescent="0.25">
      <c r="A14" s="74">
        <v>5</v>
      </c>
      <c r="B14" s="78" t="s">
        <v>262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493661</v>
      </c>
      <c r="D15" s="79">
        <f>D13+D14</f>
        <v>493661</v>
      </c>
    </row>
    <row r="16" spans="1:4" x14ac:dyDescent="0.25">
      <c r="A16" s="74">
        <v>7</v>
      </c>
      <c r="B16" s="89" t="s">
        <v>173</v>
      </c>
      <c r="C16" s="80">
        <f>C15/C12</f>
        <v>8.7423359057701142E-2</v>
      </c>
      <c r="D16" s="80">
        <f>D15/D12</f>
        <v>8.7423359057701142E-2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/>
      <c r="C24" s="65"/>
      <c r="D24" s="65"/>
      <c r="E24" s="65"/>
      <c r="F24" s="65"/>
      <c r="G24" s="65"/>
    </row>
    <row r="25" spans="1:7" x14ac:dyDescent="0.25">
      <c r="A25" s="65"/>
      <c r="B25" s="65"/>
      <c r="C25" s="65"/>
      <c r="D25" s="65"/>
      <c r="E25" s="65"/>
      <c r="F25" s="65"/>
      <c r="G25" s="65"/>
    </row>
    <row r="26" spans="1:7" x14ac:dyDescent="0.25">
      <c r="A26" s="65"/>
      <c r="B26" s="65"/>
      <c r="C26" s="65"/>
      <c r="D26" s="65"/>
      <c r="E26" s="65"/>
      <c r="F26" s="65"/>
      <c r="G26" s="65"/>
    </row>
    <row r="27" spans="1:7" x14ac:dyDescent="0.25">
      <c r="A27" s="65"/>
      <c r="B27" s="65"/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jF6jTledpMLiXm/ma9Xm+xgPDYSuM8PyaZkkZogjncLCQlIo/KOpann09tbSb7nnV0Fe8/hzIwUc/sVGuTma4A==" saltValue="1oe9LQVQkwBFvZP+mtA03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19" zoomScaleNormal="100" workbookViewId="0">
      <selection activeCell="A6" sqref="A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229</v>
      </c>
      <c r="C8" s="11" t="s">
        <v>230</v>
      </c>
      <c r="D8" s="11" t="s">
        <v>236</v>
      </c>
      <c r="E8" s="11"/>
      <c r="F8" s="8"/>
      <c r="G8" s="11" t="s">
        <v>229</v>
      </c>
      <c r="H8" s="11" t="s">
        <v>230</v>
      </c>
      <c r="I8" s="5" t="s">
        <v>236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3403151</v>
      </c>
      <c r="C10" s="54"/>
      <c r="D10" s="58">
        <f>SUM(B10:C10)</f>
        <v>3403151</v>
      </c>
      <c r="E10" s="17"/>
      <c r="F10" s="17" t="s">
        <v>77</v>
      </c>
      <c r="G10" s="52">
        <v>32298</v>
      </c>
      <c r="H10" s="54"/>
      <c r="I10" s="58">
        <f>SUM(G10:H10)</f>
        <v>32298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150</v>
      </c>
      <c r="H13" s="54"/>
      <c r="I13" s="58">
        <f t="shared" si="0"/>
        <v>150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339772</v>
      </c>
      <c r="H14" s="54"/>
      <c r="I14" s="58">
        <f t="shared" si="0"/>
        <v>339772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2579</v>
      </c>
      <c r="C17" s="54"/>
      <c r="D17" s="58">
        <f>SUM(B17:C17)</f>
        <v>2579</v>
      </c>
      <c r="E17" s="18"/>
      <c r="F17" s="17" t="s">
        <v>85</v>
      </c>
      <c r="G17" s="52">
        <v>9160</v>
      </c>
      <c r="H17" s="54"/>
      <c r="I17" s="58">
        <f t="shared" si="0"/>
        <v>9160</v>
      </c>
    </row>
    <row r="18" spans="1:9" x14ac:dyDescent="0.25">
      <c r="A18" s="17" t="s">
        <v>46</v>
      </c>
      <c r="B18" s="52">
        <v>199615</v>
      </c>
      <c r="C18" s="54"/>
      <c r="D18" s="58">
        <f t="shared" ref="D18:D24" si="2">SUM(B18:C18)</f>
        <v>199615</v>
      </c>
      <c r="E18" s="17"/>
      <c r="F18" s="17" t="s">
        <v>86</v>
      </c>
      <c r="G18" s="52">
        <v>10866</v>
      </c>
      <c r="H18" s="54"/>
      <c r="I18" s="58">
        <f t="shared" si="0"/>
        <v>10866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46491</v>
      </c>
      <c r="H19" s="111"/>
      <c r="I19" s="59">
        <f t="shared" si="0"/>
        <v>46491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438737</v>
      </c>
      <c r="H20" s="58">
        <f>SUM(H10:H19)</f>
        <v>0</v>
      </c>
      <c r="I20" s="58">
        <f t="shared" ref="I20" si="3">SUM(I10:I19)</f>
        <v>438737</v>
      </c>
    </row>
    <row r="21" spans="1:9" x14ac:dyDescent="0.25">
      <c r="A21" s="17" t="s">
        <v>48</v>
      </c>
      <c r="B21" s="52">
        <v>22615</v>
      </c>
      <c r="C21" s="54"/>
      <c r="D21" s="58">
        <f t="shared" si="2"/>
        <v>22615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>
        <v>1119</v>
      </c>
      <c r="C22" s="54"/>
      <c r="D22" s="58">
        <f t="shared" si="2"/>
        <v>1119</v>
      </c>
      <c r="E22" s="17"/>
      <c r="F22" s="17" t="s">
        <v>90</v>
      </c>
      <c r="G22" s="52">
        <v>4792537</v>
      </c>
      <c r="H22" s="54"/>
      <c r="I22" s="58">
        <f>SUM(G22:H22)</f>
        <v>4792537</v>
      </c>
    </row>
    <row r="23" spans="1:9" x14ac:dyDescent="0.25">
      <c r="A23" s="17" t="s">
        <v>50</v>
      </c>
      <c r="B23" s="52">
        <v>51666</v>
      </c>
      <c r="C23" s="54"/>
      <c r="D23" s="58">
        <f t="shared" si="2"/>
        <v>51666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3680745</v>
      </c>
      <c r="C25" s="58">
        <f>C10+C11+C13+C14+C15+C17+C18+C19+C20+C21+C22+C23+C24</f>
        <v>0</v>
      </c>
      <c r="D25" s="58">
        <f t="shared" ref="D25" si="5">D10+D11+D13+D14+D15+D17+D18+D19+D20+D21+D22+D23+D24</f>
        <v>3680745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1791618</v>
      </c>
      <c r="C31" s="54"/>
      <c r="D31" s="58">
        <f>SUM(B31:C31)</f>
        <v>1791618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4792537</v>
      </c>
      <c r="H32" s="119">
        <f>SUM(H22:H31)</f>
        <v>0</v>
      </c>
      <c r="I32" s="119">
        <f>SUM(I22:I31)</f>
        <v>4792537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>
        <v>290076</v>
      </c>
      <c r="C34" s="54"/>
      <c r="D34" s="58">
        <f t="shared" ref="D34:D38" si="7">SUM(B34:C34)</f>
        <v>290076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>
        <v>57654</v>
      </c>
      <c r="C35" s="69">
        <f>-1*(C25+C30+C31+C33+C34+C36+C37+C38+C47)</f>
        <v>187028</v>
      </c>
      <c r="D35" s="58">
        <f t="shared" si="7"/>
        <v>244682</v>
      </c>
      <c r="E35" s="17"/>
      <c r="F35" s="18" t="s">
        <v>216</v>
      </c>
      <c r="G35" s="52">
        <v>1290829</v>
      </c>
      <c r="H35" s="52">
        <v>-21693</v>
      </c>
      <c r="I35" s="58">
        <f>SUM(G35:H35)</f>
        <v>1269136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240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263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1290829</v>
      </c>
      <c r="H38" s="58">
        <f>SUM(H34:H37)</f>
        <v>-21693</v>
      </c>
      <c r="I38" s="58">
        <f>SUM(I34:I37)</f>
        <v>1269136</v>
      </c>
    </row>
    <row r="39" spans="1:9" x14ac:dyDescent="0.25">
      <c r="A39" s="17" t="s">
        <v>64</v>
      </c>
      <c r="B39" s="58">
        <f>B30+B31+B33+B34+B35+B36+B37+B38</f>
        <v>2139348</v>
      </c>
      <c r="C39" s="58">
        <f>C30+C31+C33+C34+C35+C36+C37+C38</f>
        <v>187028</v>
      </c>
      <c r="D39" s="58">
        <f>D30+D31+D33+D34+D35+D36+D37+D38</f>
        <v>2326376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37000</v>
      </c>
      <c r="H40" s="22"/>
      <c r="I40" s="58">
        <f>SUM(G40:H40)</f>
        <v>37000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13311458</v>
      </c>
      <c r="C42" s="52">
        <v>-250683</v>
      </c>
      <c r="D42" s="58">
        <f>SUM(B42:C42)</f>
        <v>13060775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>
        <v>76529</v>
      </c>
      <c r="C44" s="52">
        <v>-76529</v>
      </c>
      <c r="D44" s="58">
        <f t="shared" si="10"/>
        <v>0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-6075866</v>
      </c>
      <c r="C46" s="53">
        <v>140184</v>
      </c>
      <c r="D46" s="59">
        <f t="shared" si="10"/>
        <v>-5935682</v>
      </c>
      <c r="E46" s="17"/>
      <c r="F46" s="17" t="s">
        <v>223</v>
      </c>
      <c r="G46" s="53">
        <v>6573111</v>
      </c>
      <c r="H46" s="94">
        <f>-1*(H20+H32+H38)</f>
        <v>21693</v>
      </c>
      <c r="I46" s="59">
        <f t="shared" si="9"/>
        <v>6594804</v>
      </c>
    </row>
    <row r="47" spans="1:9" x14ac:dyDescent="0.25">
      <c r="A47" s="17" t="s">
        <v>70</v>
      </c>
      <c r="B47" s="58">
        <f>B42+B43+B44+B45+B46</f>
        <v>7312121</v>
      </c>
      <c r="C47" s="58">
        <f t="shared" ref="C47:D47" si="11">C42+C43+C44+C45+C46</f>
        <v>-187028</v>
      </c>
      <c r="D47" s="58">
        <f t="shared" si="11"/>
        <v>7125093</v>
      </c>
      <c r="E47" s="17"/>
      <c r="F47" s="17" t="s">
        <v>224</v>
      </c>
      <c r="G47" s="58">
        <f>SUM(G40:G46)</f>
        <v>6610111</v>
      </c>
      <c r="H47" s="61">
        <f t="shared" ref="H47:I47" si="12">SUM(H40:H46)</f>
        <v>21693</v>
      </c>
      <c r="I47" s="58">
        <f t="shared" si="12"/>
        <v>6631804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13132214</v>
      </c>
      <c r="C49" s="60">
        <f>C25+C39+C47</f>
        <v>0</v>
      </c>
      <c r="D49" s="60">
        <f>D25+D39+D47</f>
        <v>13132214</v>
      </c>
      <c r="E49" s="19"/>
      <c r="F49" s="82" t="s">
        <v>228</v>
      </c>
      <c r="G49" s="60">
        <f>G20+G32+G38+G47</f>
        <v>13132214</v>
      </c>
      <c r="H49" s="60">
        <f>H20+H32+H38+H47</f>
        <v>0</v>
      </c>
      <c r="I49" s="60">
        <f>I20+I32+I38+I47</f>
        <v>13132214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16SDZpWmbMUAZU+snWSUSGxMa2DU7F2BRoi4jPMXuyGt400fnzemnuLlaz4uNbkEOucDEMiHYU0fbNDWqFFZqg==" saltValue="jCjIY/aZtxPmvy0rcXKiD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1"/>
  <sheetViews>
    <sheetView topLeftCell="A26" zoomScaleNormal="100" workbookViewId="0">
      <selection activeCell="A6" sqref="A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ST. JOHN TELEPHONE, INC.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245</v>
      </c>
      <c r="C8" s="11" t="s">
        <v>246</v>
      </c>
      <c r="D8" s="11" t="s">
        <v>247</v>
      </c>
      <c r="E8" s="11"/>
      <c r="F8" s="8"/>
      <c r="G8" s="11" t="s">
        <v>245</v>
      </c>
      <c r="H8" s="11" t="s">
        <v>246</v>
      </c>
      <c r="I8" s="5" t="s">
        <v>247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2921676</v>
      </c>
      <c r="C10" s="54"/>
      <c r="D10" s="58">
        <f>SUM(B10:C10)</f>
        <v>2921676</v>
      </c>
      <c r="E10" s="17"/>
      <c r="F10" s="17" t="s">
        <v>77</v>
      </c>
      <c r="G10" s="52">
        <v>28954</v>
      </c>
      <c r="H10" s="54"/>
      <c r="I10" s="58">
        <f>SUM(G10:H10)</f>
        <v>28954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/>
      <c r="C13" s="54"/>
      <c r="D13" s="58">
        <f>SUM(B13:C13)</f>
        <v>0</v>
      </c>
      <c r="E13" s="17"/>
      <c r="F13" s="17" t="s">
        <v>81</v>
      </c>
      <c r="G13" s="52">
        <v>100</v>
      </c>
      <c r="H13" s="54"/>
      <c r="I13" s="58">
        <f t="shared" si="0"/>
        <v>100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357178</v>
      </c>
      <c r="H14" s="54"/>
      <c r="I14" s="58">
        <f t="shared" si="0"/>
        <v>357178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>
        <v>6483</v>
      </c>
      <c r="C17" s="54"/>
      <c r="D17" s="58">
        <f>SUM(B17:C17)</f>
        <v>6483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>
        <v>222012</v>
      </c>
      <c r="C18" s="54"/>
      <c r="D18" s="58">
        <f t="shared" ref="D18:D24" si="2">SUM(B18:C18)</f>
        <v>222012</v>
      </c>
      <c r="E18" s="17"/>
      <c r="F18" s="17" t="s">
        <v>86</v>
      </c>
      <c r="G18" s="52">
        <v>11939</v>
      </c>
      <c r="H18" s="54"/>
      <c r="I18" s="58">
        <f t="shared" si="0"/>
        <v>11939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>
        <v>51673</v>
      </c>
      <c r="H19" s="111"/>
      <c r="I19" s="59">
        <f t="shared" si="0"/>
        <v>51673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449844</v>
      </c>
      <c r="H20" s="58">
        <f>SUM(H10:H19)</f>
        <v>0</v>
      </c>
      <c r="I20" s="58">
        <f t="shared" ref="I20" si="3">SUM(I10:I19)</f>
        <v>449844</v>
      </c>
    </row>
    <row r="21" spans="1:9" x14ac:dyDescent="0.25">
      <c r="A21" s="17" t="s">
        <v>48</v>
      </c>
      <c r="B21" s="52">
        <v>18418</v>
      </c>
      <c r="C21" s="54"/>
      <c r="D21" s="58">
        <f t="shared" si="2"/>
        <v>18418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>
        <v>1062</v>
      </c>
      <c r="C22" s="54"/>
      <c r="D22" s="58">
        <f t="shared" si="2"/>
        <v>1062</v>
      </c>
      <c r="E22" s="17"/>
      <c r="F22" s="17" t="s">
        <v>90</v>
      </c>
      <c r="G22" s="52">
        <v>4308710</v>
      </c>
      <c r="H22" s="54"/>
      <c r="I22" s="58">
        <f>SUM(G22:H22)</f>
        <v>4308710</v>
      </c>
    </row>
    <row r="23" spans="1:9" x14ac:dyDescent="0.25">
      <c r="A23" s="17" t="s">
        <v>50</v>
      </c>
      <c r="B23" s="52">
        <v>55656</v>
      </c>
      <c r="C23" s="54"/>
      <c r="D23" s="58">
        <f t="shared" si="2"/>
        <v>55656</v>
      </c>
      <c r="E23" s="17"/>
      <c r="F23" s="17" t="s">
        <v>91</v>
      </c>
      <c r="G23" s="52"/>
      <c r="H23" s="54"/>
      <c r="I23" s="58">
        <f t="shared" ref="I23:I25" si="4">SUM(G23:H23)</f>
        <v>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3225307</v>
      </c>
      <c r="C25" s="58">
        <f>C10+C11+C13+C14+C15+C17+C18+C19+C20+C21+C22+C23+C24</f>
        <v>0</v>
      </c>
      <c r="D25" s="58">
        <f t="shared" ref="D25" si="5">D10+D11+D13+D14+D15+D17+D18+D19+D20+D21+D22+D23+D24</f>
        <v>3225307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1623310</v>
      </c>
      <c r="C31" s="54"/>
      <c r="D31" s="58">
        <f>SUM(B31:C31)</f>
        <v>1623310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4308710</v>
      </c>
      <c r="H32" s="81">
        <f>SUM(H22:H31)</f>
        <v>0</v>
      </c>
      <c r="I32" s="58">
        <f>SUM(I22:I31)</f>
        <v>4308710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>
        <v>311223</v>
      </c>
      <c r="C34" s="54"/>
      <c r="D34" s="58">
        <f t="shared" ref="D34:D38" si="7">SUM(B34:C34)</f>
        <v>311223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>
        <v>57654</v>
      </c>
      <c r="C35" s="69">
        <f>-1*(C25+C30+C31+C33+C34+C36+C37+C38+C47)</f>
        <v>952707</v>
      </c>
      <c r="D35" s="58">
        <f t="shared" si="7"/>
        <v>1010361</v>
      </c>
      <c r="E35" s="17"/>
      <c r="F35" s="18" t="s">
        <v>216</v>
      </c>
      <c r="G35" s="52">
        <v>807266</v>
      </c>
      <c r="H35" s="52">
        <v>477638</v>
      </c>
      <c r="I35" s="58">
        <f>SUM(G35:H35)</f>
        <v>1284904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240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/>
      <c r="C37" s="54"/>
      <c r="D37" s="58">
        <f t="shared" si="7"/>
        <v>0</v>
      </c>
      <c r="E37" s="17"/>
      <c r="F37" s="17" t="s">
        <v>263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807266</v>
      </c>
      <c r="H38" s="58">
        <f>SUM(H34:H37)</f>
        <v>477638</v>
      </c>
      <c r="I38" s="58">
        <f>SUM(I34:I37)</f>
        <v>1284904</v>
      </c>
    </row>
    <row r="39" spans="1:11" x14ac:dyDescent="0.25">
      <c r="A39" s="17" t="s">
        <v>64</v>
      </c>
      <c r="B39" s="58">
        <f>B30+B31+B33+B34+B35+B36+B37+B38</f>
        <v>1992187</v>
      </c>
      <c r="C39" s="58">
        <f>C30+C31+C33+C34+C35+C36+C37+C38</f>
        <v>952707</v>
      </c>
      <c r="D39" s="58">
        <f t="shared" ref="D39" si="9">D30+D31+D33+D34+D35+D36+D37+D38</f>
        <v>2944894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37140</v>
      </c>
      <c r="H40" s="22"/>
      <c r="I40" s="58">
        <f>SUM(G40:H40)</f>
        <v>37140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13311773</v>
      </c>
      <c r="C42" s="52">
        <v>-269426</v>
      </c>
      <c r="D42" s="58">
        <f>SUM(B42:C42)</f>
        <v>13042347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>
        <v>892084</v>
      </c>
      <c r="C44" s="52">
        <v>-892084</v>
      </c>
      <c r="D44" s="58">
        <f t="shared" si="11"/>
        <v>0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-6569664</v>
      </c>
      <c r="C46" s="53">
        <v>208803</v>
      </c>
      <c r="D46" s="59">
        <f t="shared" si="11"/>
        <v>-6360861</v>
      </c>
      <c r="E46" s="17"/>
      <c r="F46" s="17" t="s">
        <v>223</v>
      </c>
      <c r="G46" s="53">
        <v>7248727</v>
      </c>
      <c r="H46" s="94">
        <f>-1*(H20+H32+H38)</f>
        <v>-477638</v>
      </c>
      <c r="I46" s="59">
        <f t="shared" si="10"/>
        <v>6771089</v>
      </c>
    </row>
    <row r="47" spans="1:11" x14ac:dyDescent="0.25">
      <c r="A47" s="17" t="s">
        <v>70</v>
      </c>
      <c r="B47" s="58">
        <f>B42+B43+B44+B45+B46</f>
        <v>7634193</v>
      </c>
      <c r="C47" s="58">
        <f t="shared" ref="C47:D47" si="12">C42+C43+C44+C45+C46</f>
        <v>-952707</v>
      </c>
      <c r="D47" s="58">
        <f t="shared" si="12"/>
        <v>6681486</v>
      </c>
      <c r="E47" s="17"/>
      <c r="F47" s="17" t="s">
        <v>224</v>
      </c>
      <c r="G47" s="58">
        <f>SUM(G40:G46)</f>
        <v>7285867</v>
      </c>
      <c r="H47" s="61">
        <f t="shared" ref="H47:I47" si="13">SUM(H40:H46)</f>
        <v>-477638</v>
      </c>
      <c r="I47" s="58">
        <f t="shared" si="13"/>
        <v>6808229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12851687</v>
      </c>
      <c r="C49" s="60">
        <f t="shared" ref="C49:D49" si="14">C25+C39+C47</f>
        <v>0</v>
      </c>
      <c r="D49" s="60">
        <f t="shared" si="14"/>
        <v>12851687</v>
      </c>
      <c r="E49" s="19"/>
      <c r="F49" s="82" t="s">
        <v>227</v>
      </c>
      <c r="G49" s="60">
        <f>G20+G32+G38+G47</f>
        <v>12851687</v>
      </c>
      <c r="H49" s="60">
        <f>H20+H32+H38+H47</f>
        <v>0</v>
      </c>
      <c r="I49" s="60">
        <f>I20+I32+I38+I47</f>
        <v>12851687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241</v>
      </c>
      <c r="G53" s="65"/>
      <c r="H53" s="65"/>
      <c r="I53" s="65"/>
    </row>
    <row r="54" spans="1:9" x14ac:dyDescent="0.25">
      <c r="A54" s="65" t="s">
        <v>242</v>
      </c>
      <c r="B54" s="65"/>
      <c r="C54" s="65"/>
      <c r="D54" s="65"/>
      <c r="E54" s="65"/>
      <c r="F54" s="65" t="s">
        <v>273</v>
      </c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 t="s">
        <v>274</v>
      </c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 t="s">
        <v>275</v>
      </c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3Bx1A6S9P3kKDVFeU6BQYWGg43JRISNkGEFHQaFEATuAM41hkJ/YDSG+9C+TMMmGr3SUQ+rVF+xWzE6toCRyg==" saltValue="PKZC53F1sg6puyyEy2Secg==" spinCount="100000" sheet="1" objects="1" scenarios="1" selectLockedCells="1"/>
  <pageMargins left="1.2" right="0.7" top="1.25" bottom="0.75" header="0.8" footer="0.3"/>
  <pageSetup scale="57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"/>
  <sheetViews>
    <sheetView topLeftCell="A13" zoomScaleNormal="100" workbookViewId="0">
      <selection activeCell="A6" sqref="A6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ST. JOHN TELEPHONE, INC.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233</v>
      </c>
      <c r="C8" s="11" t="s">
        <v>248</v>
      </c>
      <c r="D8" s="11"/>
      <c r="E8" s="8"/>
      <c r="F8" s="11" t="s">
        <v>233</v>
      </c>
      <c r="G8" s="5" t="s">
        <v>248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3403151</v>
      </c>
      <c r="C10" s="32">
        <f>'CurrentYearBalanceSheet '!D10</f>
        <v>2921676</v>
      </c>
      <c r="D10" s="17"/>
      <c r="E10" s="17" t="s">
        <v>77</v>
      </c>
      <c r="F10" s="32">
        <f>PriorYearBalanceSheet!I10</f>
        <v>32298</v>
      </c>
      <c r="G10" s="32">
        <f>'CurrentYearBalanceSheet '!I10</f>
        <v>28954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0</v>
      </c>
      <c r="C13" s="32">
        <f>'CurrentYearBalanceSheet '!D13</f>
        <v>0</v>
      </c>
      <c r="D13" s="17"/>
      <c r="E13" s="17" t="s">
        <v>81</v>
      </c>
      <c r="F13" s="32">
        <f>PriorYearBalanceSheet!I13</f>
        <v>150</v>
      </c>
      <c r="G13" s="32">
        <f>'CurrentYearBalanceSheet '!I13</f>
        <v>100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339772</v>
      </c>
      <c r="G14" s="32">
        <f>'CurrentYearBalanceSheet '!I14</f>
        <v>357178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2579</v>
      </c>
      <c r="C17" s="32">
        <f>'CurrentYearBalanceSheet '!D17</f>
        <v>6483</v>
      </c>
      <c r="D17" s="17"/>
      <c r="E17" s="17" t="s">
        <v>85</v>
      </c>
      <c r="F17" s="32">
        <f>PriorYearBalanceSheet!I17</f>
        <v>9160</v>
      </c>
      <c r="G17" s="32">
        <f>'CurrentYearBalanceSheet '!I17</f>
        <v>0</v>
      </c>
    </row>
    <row r="18" spans="1:7" x14ac:dyDescent="0.25">
      <c r="A18" s="17" t="s">
        <v>46</v>
      </c>
      <c r="B18" s="32">
        <f>PriorYearBalanceSheet!D18</f>
        <v>199615</v>
      </c>
      <c r="C18" s="32">
        <f>'CurrentYearBalanceSheet '!D18</f>
        <v>222012</v>
      </c>
      <c r="D18" s="17"/>
      <c r="E18" s="17" t="s">
        <v>86</v>
      </c>
      <c r="F18" s="32">
        <f>PriorYearBalanceSheet!I18</f>
        <v>10866</v>
      </c>
      <c r="G18" s="32">
        <f>'CurrentYearBalanceSheet '!I18</f>
        <v>11939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46491</v>
      </c>
      <c r="G19" s="32">
        <f>'CurrentYearBalanceSheet '!I19</f>
        <v>51673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438737</v>
      </c>
      <c r="G20" s="35">
        <f>SUM(G10:G19)</f>
        <v>449844</v>
      </c>
    </row>
    <row r="21" spans="1:7" x14ac:dyDescent="0.25">
      <c r="A21" s="17" t="s">
        <v>48</v>
      </c>
      <c r="B21" s="32">
        <f>PriorYearBalanceSheet!D21</f>
        <v>22615</v>
      </c>
      <c r="C21" s="32">
        <f>'CurrentYearBalanceSheet '!D21</f>
        <v>18418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1119</v>
      </c>
      <c r="C22" s="32">
        <f>'CurrentYearBalanceSheet '!D22</f>
        <v>1062</v>
      </c>
      <c r="D22" s="17"/>
      <c r="E22" s="17" t="s">
        <v>90</v>
      </c>
      <c r="F22" s="32">
        <f>PriorYearBalanceSheet!I22</f>
        <v>4792537</v>
      </c>
      <c r="G22" s="32">
        <f>'CurrentYearBalanceSheet '!I22</f>
        <v>4308710</v>
      </c>
    </row>
    <row r="23" spans="1:7" x14ac:dyDescent="0.25">
      <c r="A23" s="17" t="s">
        <v>50</v>
      </c>
      <c r="B23" s="32">
        <f>PriorYearBalanceSheet!D23</f>
        <v>51666</v>
      </c>
      <c r="C23" s="32">
        <f>'CurrentYearBalanceSheet '!D23</f>
        <v>55656</v>
      </c>
      <c r="D23" s="17"/>
      <c r="E23" s="17" t="s">
        <v>91</v>
      </c>
      <c r="F23" s="32">
        <f>PriorYearBalanceSheet!I23</f>
        <v>0</v>
      </c>
      <c r="G23" s="32">
        <f>'CurrentYearBalanceSheet '!I23</f>
        <v>0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3680745</v>
      </c>
      <c r="C25" s="32">
        <f>C10+C11+C13+C14+C15+C17+C18+C19+C20+C21+C22+C23+C24</f>
        <v>3225307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1791618</v>
      </c>
      <c r="C31" s="32">
        <f>'CurrentYearBalanceSheet '!D31</f>
        <v>1623310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4792537</v>
      </c>
      <c r="G32" s="32">
        <f>SUM(G22:G31)</f>
        <v>4308710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290076</v>
      </c>
      <c r="C34" s="32">
        <f>'CurrentYearBalanceSheet '!D34</f>
        <v>311223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244682</v>
      </c>
      <c r="C35" s="32">
        <f>'CurrentYearBalanceSheet '!D35</f>
        <v>1010361</v>
      </c>
      <c r="D35" s="17"/>
      <c r="E35" s="18" t="s">
        <v>216</v>
      </c>
      <c r="F35" s="32">
        <f>PriorYearBalanceSheet!I35</f>
        <v>1269136</v>
      </c>
      <c r="G35" s="32">
        <f>'CurrentYearBalanceSheet '!I35</f>
        <v>1284904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231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0</v>
      </c>
      <c r="C37" s="32">
        <f>'CurrentYearBalanceSheet '!D37</f>
        <v>0</v>
      </c>
      <c r="D37" s="17"/>
      <c r="E37" s="17" t="s">
        <v>263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1269136</v>
      </c>
      <c r="G38" s="32">
        <f>SUM(G34:G37)</f>
        <v>1284904</v>
      </c>
    </row>
    <row r="39" spans="1:7" x14ac:dyDescent="0.25">
      <c r="A39" s="17" t="s">
        <v>64</v>
      </c>
      <c r="B39" s="32">
        <f>B30+B31+B33+B34+B35+B36+B37+B38</f>
        <v>2326376</v>
      </c>
      <c r="C39" s="32">
        <f>C30+C31+C33+C34+C35+C36+C37+C38</f>
        <v>2944894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37000</v>
      </c>
      <c r="G40" s="32">
        <f>'CurrentYearBalanceSheet '!I40</f>
        <v>37140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13060775</v>
      </c>
      <c r="C42" s="32">
        <f>'CurrentYearBalanceSheet '!D42</f>
        <v>13042347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0</v>
      </c>
      <c r="C44" s="32">
        <f>'CurrentYearBalanceSheet '!D44</f>
        <v>0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-5935682</v>
      </c>
      <c r="C46" s="33">
        <f>'CurrentYearBalanceSheet '!D46</f>
        <v>-6360861</v>
      </c>
      <c r="D46" s="17"/>
      <c r="E46" s="17" t="s">
        <v>232</v>
      </c>
      <c r="F46" s="33">
        <f>PriorYearBalanceSheet!I46</f>
        <v>6594804</v>
      </c>
      <c r="G46" s="33">
        <f>'CurrentYearBalanceSheet '!I46</f>
        <v>6771089</v>
      </c>
    </row>
    <row r="47" spans="1:7" x14ac:dyDescent="0.25">
      <c r="A47" s="17" t="s">
        <v>70</v>
      </c>
      <c r="B47" s="32">
        <f>SUM(B42:B46)</f>
        <v>7125093</v>
      </c>
      <c r="C47" s="32">
        <f>SUM(C42:C46)</f>
        <v>6681486</v>
      </c>
      <c r="D47" s="17"/>
      <c r="E47" s="17" t="s">
        <v>224</v>
      </c>
      <c r="F47" s="32">
        <f>SUM(F40:F46)</f>
        <v>6631804</v>
      </c>
      <c r="G47" s="32">
        <f>SUM(G40:G46)</f>
        <v>6808229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13132214</v>
      </c>
      <c r="C49" s="34">
        <f>C25+C39+C47</f>
        <v>12851687</v>
      </c>
      <c r="D49" s="17"/>
      <c r="E49" s="21" t="s">
        <v>225</v>
      </c>
      <c r="F49" s="34">
        <f>F20+F32+F38+F47</f>
        <v>13132214</v>
      </c>
      <c r="G49" s="34">
        <f>G20+G32+G38+G47</f>
        <v>12851687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264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DJJf3G1yuLOF/fvRyvoIJT07eP627ZmYD7iCqBE8Joc1CHonEHk5f6TpYkZv8VAJKB6gM5ou18yrxzIAqqTziA==" saltValue="Mg3RxKPZyCFtbTamtHhac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Normal="100" workbookViewId="0">
      <selection activeCell="A6" sqref="A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2016</v>
      </c>
      <c r="E8" s="11">
        <v>2017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265</v>
      </c>
      <c r="C10" s="10">
        <v>18</v>
      </c>
      <c r="D10" s="58">
        <f>'BalanceSheet(Summary)'!B42</f>
        <v>13060775</v>
      </c>
      <c r="E10" s="58">
        <f>'BalanceSheet(Summary)'!C42</f>
        <v>13042347</v>
      </c>
      <c r="F10" s="58">
        <f>(D10+E10)/2</f>
        <v>13051561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-5935682</v>
      </c>
      <c r="E12" s="58">
        <f>'BalanceSheet(Summary)'!C46</f>
        <v>-6360861</v>
      </c>
      <c r="F12" s="58">
        <f t="shared" ref="F12:F15" si="0">(D12+E12)/2</f>
        <v>-6148271.5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22615</v>
      </c>
      <c r="E13" s="58">
        <f>'BalanceSheet(Summary)'!C21</f>
        <v>18418</v>
      </c>
      <c r="F13" s="58">
        <f t="shared" si="0"/>
        <v>20516.5</v>
      </c>
    </row>
    <row r="14" spans="1:6" x14ac:dyDescent="0.25">
      <c r="A14" s="10">
        <v>5</v>
      </c>
      <c r="B14" s="17" t="s">
        <v>257</v>
      </c>
      <c r="C14" s="11"/>
      <c r="D14" s="52">
        <v>-1269136</v>
      </c>
      <c r="E14" s="52">
        <v>-1284904</v>
      </c>
      <c r="F14" s="58">
        <f t="shared" si="0"/>
        <v>-1277020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5878572</v>
      </c>
      <c r="E15" s="62">
        <f>SUM(E10:E14)</f>
        <v>5415000</v>
      </c>
      <c r="F15" s="63">
        <f t="shared" si="0"/>
        <v>5646786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249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256</v>
      </c>
      <c r="B20" t="s">
        <v>250</v>
      </c>
      <c r="C20" s="65"/>
      <c r="D20" s="65"/>
      <c r="E20" s="65"/>
      <c r="F20" s="65"/>
    </row>
    <row r="21" spans="1:6" x14ac:dyDescent="0.25">
      <c r="B21" t="s">
        <v>252</v>
      </c>
      <c r="C21" s="65"/>
      <c r="D21" s="65"/>
      <c r="E21" s="65"/>
      <c r="F21" s="65"/>
    </row>
    <row r="22" spans="1:6" x14ac:dyDescent="0.25">
      <c r="B22" t="s">
        <v>253</v>
      </c>
      <c r="C22" s="65"/>
      <c r="D22" s="65"/>
      <c r="E22" s="65"/>
      <c r="F22" s="65"/>
    </row>
    <row r="23" spans="1:6" x14ac:dyDescent="0.25">
      <c r="B23" t="s">
        <v>251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IH6b4yVdLPD28Egt1yA/EX5HXBTuKCRtTErd/9YMqGJRYqPx1P9hjkfIDo93pZVgzxY1SK0Gft3RptssxBrFBQ==" saltValue="SpubO8ANQvGepaRTiLQz1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A6" sqref="A6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234</v>
      </c>
      <c r="D8" s="11" t="s">
        <v>254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375</v>
      </c>
      <c r="D10" s="52">
        <v>357</v>
      </c>
      <c r="E10" s="32">
        <f>D10-C10</f>
        <v>-18</v>
      </c>
      <c r="F10" s="38">
        <f>E10/C10</f>
        <v>-4.8000000000000001E-2</v>
      </c>
    </row>
    <row r="11" spans="1:6" x14ac:dyDescent="0.25">
      <c r="A11" s="10">
        <v>2</v>
      </c>
      <c r="B11" s="19" t="s">
        <v>122</v>
      </c>
      <c r="C11" s="52">
        <v>142</v>
      </c>
      <c r="D11" s="52">
        <v>144</v>
      </c>
      <c r="E11" s="32">
        <f>D11-C11</f>
        <v>2</v>
      </c>
      <c r="F11" s="38">
        <f t="shared" ref="F11:F12" si="0">E11/C11</f>
        <v>1.4084507042253521E-2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517</v>
      </c>
      <c r="D12" s="34">
        <f t="shared" ref="D12:E12" si="1">SUM(D10:D11)</f>
        <v>501</v>
      </c>
      <c r="E12" s="34">
        <f t="shared" si="1"/>
        <v>-16</v>
      </c>
      <c r="F12" s="39">
        <f t="shared" si="0"/>
        <v>-3.0947775628626693E-2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255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s0kfJxnWJP5dY9w/R2vMYp3TqBfiLmZAI97Z/9UgXXbv18MR6KfHrN0MbgyCEHb/iYZWFPyIyDyLepGlYLixzg==" saltValue="ZL/6yruxH85yJhVabDQ8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8" zoomScaleNormal="100" workbookViewId="0">
      <selection activeCell="A6" sqref="A6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2016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236</v>
      </c>
    </row>
    <row r="9" spans="1:6" x14ac:dyDescent="0.25">
      <c r="A9" s="9">
        <v>1</v>
      </c>
      <c r="B9" s="3" t="s">
        <v>1</v>
      </c>
      <c r="C9" s="55">
        <v>137663</v>
      </c>
      <c r="D9" s="52"/>
      <c r="E9" s="58">
        <f>SUM(C9:D9)</f>
        <v>137663</v>
      </c>
    </row>
    <row r="10" spans="1:6" x14ac:dyDescent="0.25">
      <c r="A10" s="10">
        <v>2</v>
      </c>
      <c r="B10" s="14" t="s">
        <v>2</v>
      </c>
      <c r="C10" s="52">
        <v>2106299</v>
      </c>
      <c r="D10" s="52"/>
      <c r="E10" s="58">
        <f t="shared" ref="E10:E14" si="0">SUM(C10:D10)</f>
        <v>2106299</v>
      </c>
    </row>
    <row r="11" spans="1:6" x14ac:dyDescent="0.25">
      <c r="A11" s="10">
        <v>3</v>
      </c>
      <c r="B11" s="14" t="s">
        <v>3</v>
      </c>
      <c r="C11" s="52">
        <v>52258</v>
      </c>
      <c r="D11" s="52"/>
      <c r="E11" s="58">
        <f t="shared" si="0"/>
        <v>52258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>
        <v>30141</v>
      </c>
      <c r="D13" s="52"/>
      <c r="E13" s="58">
        <f t="shared" si="0"/>
        <v>30141</v>
      </c>
    </row>
    <row r="14" spans="1:6" x14ac:dyDescent="0.25">
      <c r="A14" s="10">
        <v>6</v>
      </c>
      <c r="B14" s="14" t="s">
        <v>133</v>
      </c>
      <c r="C14" s="52">
        <v>1072</v>
      </c>
      <c r="D14" s="52"/>
      <c r="E14" s="58">
        <f t="shared" si="0"/>
        <v>1072</v>
      </c>
    </row>
    <row r="15" spans="1:6" x14ac:dyDescent="0.25">
      <c r="A15" s="10">
        <v>7</v>
      </c>
      <c r="B15" s="88" t="s">
        <v>132</v>
      </c>
      <c r="C15" s="96">
        <f>SUM(C9:C14)</f>
        <v>2327433</v>
      </c>
      <c r="D15" s="96">
        <f t="shared" ref="D15:E15" si="1">SUM(D9:D14)</f>
        <v>0</v>
      </c>
      <c r="E15" s="96">
        <f t="shared" si="1"/>
        <v>2327433</v>
      </c>
      <c r="F15" s="1"/>
    </row>
    <row r="16" spans="1:6" x14ac:dyDescent="0.25">
      <c r="A16" s="10">
        <v>8</v>
      </c>
      <c r="B16" s="14" t="s">
        <v>6</v>
      </c>
      <c r="C16" s="52">
        <v>586869</v>
      </c>
      <c r="D16" s="52">
        <v>-169406</v>
      </c>
      <c r="E16" s="41">
        <f>SUM(C16:D16)</f>
        <v>417463</v>
      </c>
    </row>
    <row r="17" spans="1:6" x14ac:dyDescent="0.25">
      <c r="A17" s="10">
        <v>9</v>
      </c>
      <c r="B17" s="14" t="s">
        <v>39</v>
      </c>
      <c r="C17" s="52">
        <v>104999</v>
      </c>
      <c r="D17" s="52">
        <v>-25004</v>
      </c>
      <c r="E17" s="41">
        <f t="shared" ref="E17:E21" si="2">SUM(C17:D17)</f>
        <v>79995</v>
      </c>
    </row>
    <row r="18" spans="1:6" x14ac:dyDescent="0.25">
      <c r="A18" s="10">
        <v>10</v>
      </c>
      <c r="B18" s="14" t="s">
        <v>7</v>
      </c>
      <c r="C18" s="52">
        <v>528857</v>
      </c>
      <c r="D18" s="52">
        <v>-7131</v>
      </c>
      <c r="E18" s="41">
        <f t="shared" si="2"/>
        <v>521726</v>
      </c>
    </row>
    <row r="19" spans="1:6" x14ac:dyDescent="0.25">
      <c r="A19" s="10">
        <v>11</v>
      </c>
      <c r="B19" s="14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4" t="s">
        <v>9</v>
      </c>
      <c r="C20" s="52">
        <v>158789</v>
      </c>
      <c r="D20" s="52">
        <v>-26510</v>
      </c>
      <c r="E20" s="41">
        <f t="shared" si="2"/>
        <v>132279</v>
      </c>
    </row>
    <row r="21" spans="1:6" x14ac:dyDescent="0.25">
      <c r="A21" s="10">
        <v>13</v>
      </c>
      <c r="B21" s="14" t="s">
        <v>10</v>
      </c>
      <c r="C21" s="52">
        <v>328653</v>
      </c>
      <c r="D21" s="52">
        <v>-33795</v>
      </c>
      <c r="E21" s="41">
        <f t="shared" si="2"/>
        <v>294858</v>
      </c>
    </row>
    <row r="22" spans="1:6" x14ac:dyDescent="0.25">
      <c r="A22" s="10">
        <v>14</v>
      </c>
      <c r="B22" s="83" t="s">
        <v>237</v>
      </c>
      <c r="C22" s="96">
        <f>C16+C17+C18+C19+C20+C21</f>
        <v>1708167</v>
      </c>
      <c r="D22" s="96">
        <f>D16+D17+D18+D19+D20+D21</f>
        <v>-261846</v>
      </c>
      <c r="E22" s="97">
        <f>E16+E17+E18+E19+E20+E21</f>
        <v>1446321</v>
      </c>
      <c r="F22" s="1"/>
    </row>
    <row r="23" spans="1:6" x14ac:dyDescent="0.25">
      <c r="A23" s="10">
        <v>15</v>
      </c>
      <c r="B23" s="14" t="s">
        <v>14</v>
      </c>
      <c r="C23" s="58">
        <f>C15-C22</f>
        <v>619266</v>
      </c>
      <c r="D23" s="58">
        <f>D15-D22</f>
        <v>261846</v>
      </c>
      <c r="E23" s="58">
        <f>E15-E22</f>
        <v>881112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2">
        <v>95902</v>
      </c>
      <c r="E25" s="58">
        <f t="shared" ref="E25:E27" si="3">SUM(C25:D25)</f>
        <v>95902</v>
      </c>
    </row>
    <row r="26" spans="1:6" x14ac:dyDescent="0.25">
      <c r="A26" s="10">
        <v>18</v>
      </c>
      <c r="B26" s="14" t="s">
        <v>191</v>
      </c>
      <c r="C26" s="52">
        <v>97839</v>
      </c>
      <c r="D26" s="54">
        <v>111436</v>
      </c>
      <c r="E26" s="58">
        <f t="shared" si="3"/>
        <v>209275</v>
      </c>
    </row>
    <row r="27" spans="1:6" x14ac:dyDescent="0.25">
      <c r="A27" s="10">
        <v>19</v>
      </c>
      <c r="B27" s="14" t="s">
        <v>13</v>
      </c>
      <c r="C27" s="52">
        <v>97640</v>
      </c>
      <c r="D27" s="112">
        <v>-85347</v>
      </c>
      <c r="E27" s="58">
        <f t="shared" si="3"/>
        <v>12293</v>
      </c>
    </row>
    <row r="28" spans="1:6" x14ac:dyDescent="0.25">
      <c r="A28" s="10">
        <v>20</v>
      </c>
      <c r="B28" s="88" t="s">
        <v>12</v>
      </c>
      <c r="C28" s="79">
        <f>SUM(C25:C27)</f>
        <v>195479</v>
      </c>
      <c r="D28" s="79">
        <f t="shared" ref="D28:E28" si="4">SUM(D25:D27)</f>
        <v>121991</v>
      </c>
      <c r="E28" s="98">
        <f t="shared" si="4"/>
        <v>317470</v>
      </c>
    </row>
    <row r="29" spans="1:6" x14ac:dyDescent="0.25">
      <c r="A29" s="10">
        <v>21</v>
      </c>
      <c r="B29" s="88" t="s">
        <v>22</v>
      </c>
      <c r="C29" s="79">
        <f>C23+C24-C28</f>
        <v>423787</v>
      </c>
      <c r="D29" s="79">
        <f>D23+D24-D28</f>
        <v>139855</v>
      </c>
      <c r="E29" s="98">
        <f>E23+E24-E28</f>
        <v>563642</v>
      </c>
    </row>
    <row r="30" spans="1:6" x14ac:dyDescent="0.25">
      <c r="A30" s="10">
        <v>22</v>
      </c>
      <c r="B30" s="14" t="s">
        <v>15</v>
      </c>
      <c r="C30" s="52">
        <v>328714</v>
      </c>
      <c r="D30" s="54">
        <v>-157271</v>
      </c>
      <c r="E30" s="58">
        <f>SUM(C30:D30)</f>
        <v>171443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268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267</v>
      </c>
      <c r="C34" s="79">
        <f>SUM(C30:C33)</f>
        <v>328714</v>
      </c>
      <c r="D34" s="99">
        <f t="shared" ref="D34" si="6">SUM(D30:D33)</f>
        <v>-157271</v>
      </c>
      <c r="E34" s="79">
        <f>SUM(E30:E33)</f>
        <v>171443</v>
      </c>
    </row>
    <row r="35" spans="1:10" x14ac:dyDescent="0.25">
      <c r="A35" s="10">
        <v>27</v>
      </c>
      <c r="B35" s="14" t="s">
        <v>18</v>
      </c>
      <c r="C35" s="52">
        <v>82808</v>
      </c>
      <c r="D35" s="54"/>
      <c r="E35" s="32">
        <f>SUM(C35:D35)</f>
        <v>82808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93452</v>
      </c>
      <c r="D38" s="69">
        <f>-1*(D29-D34)</f>
        <v>-297126</v>
      </c>
      <c r="E38" s="32">
        <f t="shared" si="7"/>
        <v>-203674</v>
      </c>
    </row>
    <row r="39" spans="1:10" x14ac:dyDescent="0.25">
      <c r="A39" s="10">
        <v>31</v>
      </c>
      <c r="B39" s="88" t="s">
        <v>21</v>
      </c>
      <c r="C39" s="79">
        <f>C29-C34+C35+C36+C37+C38</f>
        <v>271333</v>
      </c>
      <c r="D39" s="79">
        <f t="shared" ref="D39:E39" si="8">D29-D34+D35+D36+D37+D38</f>
        <v>0</v>
      </c>
      <c r="E39" s="79">
        <f t="shared" si="8"/>
        <v>271333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6333838</v>
      </c>
      <c r="D41" s="54"/>
      <c r="E41" s="58">
        <f t="shared" ref="E41:E46" si="9">SUM(C41:D41)</f>
        <v>6333838</v>
      </c>
    </row>
    <row r="42" spans="1:10" x14ac:dyDescent="0.25">
      <c r="A42" s="10">
        <v>34</v>
      </c>
      <c r="B42" s="14" t="s">
        <v>25</v>
      </c>
      <c r="C42" s="52">
        <v>4740</v>
      </c>
      <c r="D42" s="54"/>
      <c r="E42" s="58">
        <f t="shared" si="9"/>
        <v>4740</v>
      </c>
    </row>
    <row r="43" spans="1:10" x14ac:dyDescent="0.25">
      <c r="A43" s="10">
        <v>35</v>
      </c>
      <c r="B43" s="14" t="s">
        <v>26</v>
      </c>
      <c r="C43" s="52">
        <v>36800</v>
      </c>
      <c r="D43" s="54"/>
      <c r="E43" s="58">
        <f t="shared" si="9"/>
        <v>36800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6573111</v>
      </c>
      <c r="D47" s="99">
        <f t="shared" ref="D47:E47" si="10">(D39+D41+D42)-(D43+D44+D45+D46)</f>
        <v>0</v>
      </c>
      <c r="E47" s="98">
        <f t="shared" si="10"/>
        <v>6573111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713419</v>
      </c>
      <c r="D52" s="101"/>
      <c r="E52" s="32">
        <f>C52</f>
        <v>713419</v>
      </c>
    </row>
    <row r="53" spans="1:7" x14ac:dyDescent="0.25">
      <c r="A53" s="10">
        <v>45</v>
      </c>
      <c r="B53" s="14" t="s">
        <v>35</v>
      </c>
      <c r="C53" s="102">
        <f>((C22+C28-C18-C19)/C15)</f>
        <v>0.59068896934949366</v>
      </c>
      <c r="D53" s="102" t="e">
        <f>((D22+D28-D18-D19)/D15)</f>
        <v>#DIV/0!</v>
      </c>
      <c r="E53" s="102">
        <f>((E22+E28-E18-E19)/E15)</f>
        <v>0.53366305281398008</v>
      </c>
    </row>
    <row r="54" spans="1:7" x14ac:dyDescent="0.25">
      <c r="A54" s="10">
        <v>46</v>
      </c>
      <c r="B54" s="14" t="s">
        <v>36</v>
      </c>
      <c r="C54" s="102">
        <f>((C22+C28+C34)/C15)</f>
        <v>0.95915113345905123</v>
      </c>
      <c r="D54" s="102" t="e">
        <f>((D22+D28+D34)/D15)</f>
        <v>#DIV/0!</v>
      </c>
      <c r="E54" s="102">
        <f>((E22+E28+E34)/E15)</f>
        <v>0.83148859709387979</v>
      </c>
    </row>
    <row r="55" spans="1:7" x14ac:dyDescent="0.25">
      <c r="A55" s="10">
        <v>47</v>
      </c>
      <c r="B55" s="14" t="s">
        <v>37</v>
      </c>
      <c r="C55" s="102">
        <f>((C39+C34)/C34)</f>
        <v>1.8254379186770262</v>
      </c>
      <c r="D55" s="102">
        <f t="shared" ref="D55:E55" si="13">((D39+D34)/D34)</f>
        <v>1</v>
      </c>
      <c r="E55" s="102">
        <f t="shared" si="13"/>
        <v>2.5826426275788457</v>
      </c>
    </row>
    <row r="56" spans="1:7" x14ac:dyDescent="0.25">
      <c r="A56" s="10">
        <v>48</v>
      </c>
      <c r="B56" s="14" t="s">
        <v>38</v>
      </c>
      <c r="C56" s="102">
        <f>(C39+C34+C18+C19)/C52</f>
        <v>1.5823856667680563</v>
      </c>
      <c r="D56" s="102" t="e">
        <f>(D39+D34+D18+D19)/D52</f>
        <v>#DIV/0!</v>
      </c>
      <c r="E56" s="102">
        <f>(E39+E34+E18+E19)/E52</f>
        <v>1.3519432479370468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238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iNnlzABZeX2RDx+aQqg/nAAxK3Bb3vV/bbmOq9igfQK0DacYzp3aZ5rM0CevqKAGtmkC5r1Ro9gtpVoMoor+ZQ==" saltValue="WdgFqbkcEP4MHdghB2qok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zoomScaleNormal="100" workbookViewId="0">
      <selection activeCell="B70" sqref="B70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ST. JOHN TELEPHONE, INC.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247</v>
      </c>
    </row>
    <row r="9" spans="1:6" x14ac:dyDescent="0.25">
      <c r="A9" s="9">
        <v>1</v>
      </c>
      <c r="B9" s="6" t="s">
        <v>1</v>
      </c>
      <c r="C9" s="55">
        <v>129730</v>
      </c>
      <c r="D9" s="52"/>
      <c r="E9" s="32">
        <f>SUM(C9:D9)</f>
        <v>129730</v>
      </c>
    </row>
    <row r="10" spans="1:6" x14ac:dyDescent="0.25">
      <c r="A10" s="10">
        <v>2</v>
      </c>
      <c r="B10" s="17" t="s">
        <v>2</v>
      </c>
      <c r="C10" s="52">
        <v>1886464</v>
      </c>
      <c r="D10" s="52"/>
      <c r="E10" s="32">
        <f t="shared" ref="E10:E14" si="0">SUM(C10:D10)</f>
        <v>1886464</v>
      </c>
    </row>
    <row r="11" spans="1:6" x14ac:dyDescent="0.25">
      <c r="A11" s="10">
        <v>3</v>
      </c>
      <c r="B11" s="17" t="s">
        <v>3</v>
      </c>
      <c r="C11" s="52">
        <v>45011</v>
      </c>
      <c r="D11" s="52"/>
      <c r="E11" s="32">
        <f t="shared" si="0"/>
        <v>45011</v>
      </c>
    </row>
    <row r="12" spans="1:6" x14ac:dyDescent="0.25">
      <c r="A12" s="10">
        <v>4</v>
      </c>
      <c r="B12" s="17" t="s">
        <v>4</v>
      </c>
      <c r="C12" s="52"/>
      <c r="D12" s="52"/>
      <c r="E12" s="32">
        <f t="shared" si="0"/>
        <v>0</v>
      </c>
    </row>
    <row r="13" spans="1:6" x14ac:dyDescent="0.25">
      <c r="A13" s="10">
        <v>5</v>
      </c>
      <c r="B13" s="17" t="s">
        <v>5</v>
      </c>
      <c r="C13" s="52">
        <v>30149</v>
      </c>
      <c r="D13" s="52"/>
      <c r="E13" s="32">
        <f t="shared" si="0"/>
        <v>30149</v>
      </c>
    </row>
    <row r="14" spans="1:6" x14ac:dyDescent="0.25">
      <c r="A14" s="10">
        <v>6</v>
      </c>
      <c r="B14" s="17" t="s">
        <v>133</v>
      </c>
      <c r="C14" s="52">
        <v>-665</v>
      </c>
      <c r="D14" s="52"/>
      <c r="E14" s="32">
        <f t="shared" si="0"/>
        <v>-665</v>
      </c>
    </row>
    <row r="15" spans="1:6" x14ac:dyDescent="0.25">
      <c r="A15" s="10">
        <v>7</v>
      </c>
      <c r="B15" s="83" t="s">
        <v>132</v>
      </c>
      <c r="C15" s="40">
        <f>SUM(C9:C14)</f>
        <v>2090689</v>
      </c>
      <c r="D15" s="40">
        <f t="shared" ref="D15:E15" si="1">SUM(D9:D14)</f>
        <v>0</v>
      </c>
      <c r="E15" s="40">
        <f t="shared" si="1"/>
        <v>2090689</v>
      </c>
      <c r="F15" s="1"/>
    </row>
    <row r="16" spans="1:6" x14ac:dyDescent="0.25">
      <c r="A16" s="10">
        <v>8</v>
      </c>
      <c r="B16" s="17" t="s">
        <v>6</v>
      </c>
      <c r="C16" s="52">
        <v>570665</v>
      </c>
      <c r="D16" s="52">
        <v>-142377</v>
      </c>
      <c r="E16" s="41">
        <f>SUM(C16:D16)</f>
        <v>428288</v>
      </c>
    </row>
    <row r="17" spans="1:6" x14ac:dyDescent="0.25">
      <c r="A17" s="10">
        <v>9</v>
      </c>
      <c r="B17" s="17" t="s">
        <v>39</v>
      </c>
      <c r="C17" s="52">
        <v>104174</v>
      </c>
      <c r="D17" s="52">
        <v>-26366</v>
      </c>
      <c r="E17" s="41">
        <f t="shared" ref="E17:E21" si="2">SUM(C17:D17)</f>
        <v>77808</v>
      </c>
    </row>
    <row r="18" spans="1:6" x14ac:dyDescent="0.25">
      <c r="A18" s="10">
        <v>10</v>
      </c>
      <c r="B18" s="17" t="s">
        <v>7</v>
      </c>
      <c r="C18" s="52">
        <v>494835</v>
      </c>
      <c r="D18" s="52">
        <v>-5167</v>
      </c>
      <c r="E18" s="41">
        <f t="shared" si="2"/>
        <v>489668</v>
      </c>
    </row>
    <row r="19" spans="1:6" x14ac:dyDescent="0.25">
      <c r="A19" s="10">
        <v>11</v>
      </c>
      <c r="B19" s="17" t="s">
        <v>8</v>
      </c>
      <c r="C19" s="52"/>
      <c r="D19" s="52"/>
      <c r="E19" s="41">
        <f t="shared" si="2"/>
        <v>0</v>
      </c>
    </row>
    <row r="20" spans="1:6" x14ac:dyDescent="0.25">
      <c r="A20" s="10">
        <v>12</v>
      </c>
      <c r="B20" s="17" t="s">
        <v>9</v>
      </c>
      <c r="C20" s="52">
        <v>168691</v>
      </c>
      <c r="D20" s="52">
        <v>-50891</v>
      </c>
      <c r="E20" s="41">
        <f t="shared" si="2"/>
        <v>117800</v>
      </c>
    </row>
    <row r="21" spans="1:6" x14ac:dyDescent="0.25">
      <c r="A21" s="10">
        <v>13</v>
      </c>
      <c r="B21" s="17" t="s">
        <v>10</v>
      </c>
      <c r="C21" s="52">
        <v>316026</v>
      </c>
      <c r="D21" s="52">
        <v>-51870</v>
      </c>
      <c r="E21" s="41">
        <f t="shared" si="2"/>
        <v>264156</v>
      </c>
    </row>
    <row r="22" spans="1:6" x14ac:dyDescent="0.25">
      <c r="A22" s="10">
        <v>14</v>
      </c>
      <c r="B22" s="83" t="s">
        <v>237</v>
      </c>
      <c r="C22" s="40">
        <f>C16+C17+C18+C19+C20+C21</f>
        <v>1654391</v>
      </c>
      <c r="D22" s="40">
        <f>D16+D17+D18+D19+D20+D21</f>
        <v>-276671</v>
      </c>
      <c r="E22" s="42">
        <f>E16+E17+E18+E19+E20+E21</f>
        <v>1377720</v>
      </c>
      <c r="F22" s="1"/>
    </row>
    <row r="23" spans="1:6" x14ac:dyDescent="0.25">
      <c r="A23" s="10">
        <v>15</v>
      </c>
      <c r="B23" s="17" t="s">
        <v>14</v>
      </c>
      <c r="C23" s="32">
        <f>C15-C22</f>
        <v>436298</v>
      </c>
      <c r="D23" s="32">
        <f>D15-D22</f>
        <v>276671</v>
      </c>
      <c r="E23" s="32">
        <f>E15-E22</f>
        <v>712969</v>
      </c>
    </row>
    <row r="24" spans="1:6" x14ac:dyDescent="0.25">
      <c r="A24" s="10">
        <v>16</v>
      </c>
      <c r="B24" s="17" t="s">
        <v>134</v>
      </c>
      <c r="C24" s="52"/>
      <c r="D24" s="54"/>
      <c r="E24" s="32">
        <f>SUM(C24:D24)</f>
        <v>0</v>
      </c>
    </row>
    <row r="25" spans="1:6" x14ac:dyDescent="0.25">
      <c r="A25" s="10">
        <v>17</v>
      </c>
      <c r="B25" s="17" t="s">
        <v>11</v>
      </c>
      <c r="C25" s="52"/>
      <c r="D25" s="112">
        <v>74430</v>
      </c>
      <c r="E25" s="32">
        <f t="shared" ref="E25:E27" si="3">SUM(C25:D25)</f>
        <v>74430</v>
      </c>
    </row>
    <row r="26" spans="1:6" x14ac:dyDescent="0.25">
      <c r="A26" s="10">
        <v>18</v>
      </c>
      <c r="B26" s="17" t="s">
        <v>191</v>
      </c>
      <c r="C26" s="52">
        <v>-481646</v>
      </c>
      <c r="D26" s="54">
        <f>481646+755+129284</f>
        <v>611685</v>
      </c>
      <c r="E26" s="32">
        <f t="shared" si="3"/>
        <v>130039</v>
      </c>
    </row>
    <row r="27" spans="1:6" x14ac:dyDescent="0.25">
      <c r="A27" s="10">
        <v>19</v>
      </c>
      <c r="B27" s="17" t="s">
        <v>13</v>
      </c>
      <c r="C27" s="52">
        <v>78221</v>
      </c>
      <c r="D27" s="112">
        <f>-78221+15442-603</f>
        <v>-63382</v>
      </c>
      <c r="E27" s="32">
        <f t="shared" si="3"/>
        <v>14839</v>
      </c>
    </row>
    <row r="28" spans="1:6" x14ac:dyDescent="0.25">
      <c r="A28" s="10">
        <v>20</v>
      </c>
      <c r="B28" s="83" t="s">
        <v>12</v>
      </c>
      <c r="C28" s="37">
        <f>SUM(C25:C27)</f>
        <v>-403425</v>
      </c>
      <c r="D28" s="37">
        <f t="shared" ref="D28:E28" si="4">SUM(D25:D27)</f>
        <v>622733</v>
      </c>
      <c r="E28" s="43">
        <f t="shared" si="4"/>
        <v>219308</v>
      </c>
    </row>
    <row r="29" spans="1:6" x14ac:dyDescent="0.25">
      <c r="A29" s="10">
        <v>21</v>
      </c>
      <c r="B29" s="83" t="s">
        <v>22</v>
      </c>
      <c r="C29" s="37">
        <f>C23+C24-C28</f>
        <v>839723</v>
      </c>
      <c r="D29" s="37">
        <f>D23+D24-D28</f>
        <v>-346062</v>
      </c>
      <c r="E29" s="43">
        <f>E23+E24-E28</f>
        <v>493661</v>
      </c>
    </row>
    <row r="30" spans="1:6" x14ac:dyDescent="0.25">
      <c r="A30" s="10">
        <v>22</v>
      </c>
      <c r="B30" s="17" t="s">
        <v>15</v>
      </c>
      <c r="C30" s="52">
        <v>310664</v>
      </c>
      <c r="D30" s="54">
        <v>-157169</v>
      </c>
      <c r="E30" s="32">
        <f>SUM(C30:D30)</f>
        <v>153495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268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267</v>
      </c>
      <c r="C34" s="37">
        <f>SUM(C30:C33)</f>
        <v>310664</v>
      </c>
      <c r="D34" s="64">
        <f t="shared" ref="D34" si="6">SUM(D30:D33)</f>
        <v>-157169</v>
      </c>
      <c r="E34" s="37">
        <f>SUM(E30:E33)</f>
        <v>153495</v>
      </c>
    </row>
    <row r="35" spans="1:5" x14ac:dyDescent="0.25">
      <c r="A35" s="10">
        <v>27</v>
      </c>
      <c r="B35" s="17" t="s">
        <v>18</v>
      </c>
      <c r="C35" s="52">
        <v>54241</v>
      </c>
      <c r="D35" s="54"/>
      <c r="E35" s="32">
        <f>SUM(C35:D35)</f>
        <v>54241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135129</v>
      </c>
      <c r="D38" s="69">
        <f>-1*(D29-D34)</f>
        <v>188893</v>
      </c>
      <c r="E38" s="32">
        <f t="shared" si="7"/>
        <v>324022</v>
      </c>
    </row>
    <row r="39" spans="1:5" x14ac:dyDescent="0.25">
      <c r="A39" s="10">
        <v>31</v>
      </c>
      <c r="B39" s="83" t="s">
        <v>21</v>
      </c>
      <c r="C39" s="37">
        <f>C29-C34+C35+C36+C37+C38</f>
        <v>718429</v>
      </c>
      <c r="D39" s="37">
        <f t="shared" ref="D39:E39" si="8">D29-D34+D35+D36+D37+D38</f>
        <v>0</v>
      </c>
      <c r="E39" s="37">
        <f t="shared" si="8"/>
        <v>718429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6573111</v>
      </c>
      <c r="D41" s="54"/>
      <c r="E41" s="32">
        <f t="shared" ref="E41:E46" si="9">SUM(C41:D41)</f>
        <v>6573111</v>
      </c>
    </row>
    <row r="42" spans="1:5" x14ac:dyDescent="0.25">
      <c r="A42" s="10">
        <v>34</v>
      </c>
      <c r="B42" s="17" t="s">
        <v>25</v>
      </c>
      <c r="C42" s="52">
        <v>3437</v>
      </c>
      <c r="D42" s="54"/>
      <c r="E42" s="32">
        <f t="shared" si="9"/>
        <v>3437</v>
      </c>
    </row>
    <row r="43" spans="1:5" x14ac:dyDescent="0.25">
      <c r="A43" s="10">
        <v>35</v>
      </c>
      <c r="B43" s="17" t="s">
        <v>26</v>
      </c>
      <c r="C43" s="52">
        <v>46250</v>
      </c>
      <c r="D43" s="54"/>
      <c r="E43" s="32">
        <f t="shared" si="9"/>
        <v>46250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7248727</v>
      </c>
      <c r="D47" s="64">
        <f t="shared" ref="D47:E47" si="10">(D39+D41+D42)-(D43+D44+D45+D46)</f>
        <v>0</v>
      </c>
      <c r="E47" s="43">
        <f t="shared" si="10"/>
        <v>7248727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713419</v>
      </c>
      <c r="D52" s="95"/>
      <c r="E52" s="32">
        <f>C52</f>
        <v>713419</v>
      </c>
    </row>
    <row r="53" spans="1:7" x14ac:dyDescent="0.25">
      <c r="A53" s="10">
        <v>45</v>
      </c>
      <c r="B53" s="17" t="s">
        <v>35</v>
      </c>
      <c r="C53" s="46">
        <f>((C22+C28-C18-C19)/C15)</f>
        <v>0.36166593883643144</v>
      </c>
      <c r="D53" s="46" t="e">
        <f>((D22+D28-D18-D19)/D15)</f>
        <v>#DIV/0!</v>
      </c>
      <c r="E53" s="46">
        <f>((E22+E28-E18-E19)/E15)</f>
        <v>0.52966270927909409</v>
      </c>
    </row>
    <row r="54" spans="1:7" x14ac:dyDescent="0.25">
      <c r="A54" s="10">
        <v>46</v>
      </c>
      <c r="B54" s="17" t="s">
        <v>36</v>
      </c>
      <c r="C54" s="46">
        <f>((C22+C28+C34)/C15)</f>
        <v>0.74694514583469851</v>
      </c>
      <c r="D54" s="46" t="e">
        <f>((D22+D28+D34)/D15)</f>
        <v>#DIV/0!</v>
      </c>
      <c r="E54" s="46">
        <f>((E22+E28+E34)/E15)</f>
        <v>0.8372947865512278</v>
      </c>
    </row>
    <row r="55" spans="1:7" x14ac:dyDescent="0.25">
      <c r="A55" s="10">
        <v>47</v>
      </c>
      <c r="B55" s="17" t="s">
        <v>37</v>
      </c>
      <c r="C55" s="46">
        <f>((C39+C34)/C34)</f>
        <v>3.3125595498673808</v>
      </c>
      <c r="D55" s="46">
        <f t="shared" ref="D55:E55" si="13">((D39+D34)/D34)</f>
        <v>1</v>
      </c>
      <c r="E55" s="46">
        <f t="shared" si="13"/>
        <v>5.6804716766018437</v>
      </c>
    </row>
    <row r="56" spans="1:7" x14ac:dyDescent="0.25">
      <c r="A56" s="10">
        <v>48</v>
      </c>
      <c r="B56" s="17" t="s">
        <v>38</v>
      </c>
      <c r="C56" s="46">
        <f>(C39+C34+C18+C19)/C52</f>
        <v>2.1360911329807588</v>
      </c>
      <c r="D56" s="46" t="e">
        <f>(D39+D34+D18+D19)/D52</f>
        <v>#DIV/0!</v>
      </c>
      <c r="E56" s="46">
        <f>(E39+E34+E18+E19)/E52</f>
        <v>1.908544628051678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266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239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243</v>
      </c>
      <c r="B66" s="65" t="s">
        <v>244</v>
      </c>
      <c r="C66" s="65"/>
      <c r="D66" s="65"/>
      <c r="E66" s="65"/>
      <c r="F66" s="65"/>
      <c r="G66" s="65"/>
    </row>
    <row r="67" spans="1:7" x14ac:dyDescent="0.25">
      <c r="A67" s="65"/>
      <c r="B67" s="65" t="s">
        <v>276</v>
      </c>
      <c r="C67" s="65"/>
      <c r="D67" s="65"/>
      <c r="E67" s="65"/>
      <c r="F67" s="65"/>
      <c r="G67" s="65"/>
    </row>
    <row r="68" spans="1:7" x14ac:dyDescent="0.25">
      <c r="A68" s="65"/>
      <c r="B68" s="65" t="s">
        <v>277</v>
      </c>
      <c r="C68" s="65"/>
      <c r="D68" s="65"/>
      <c r="E68" s="65"/>
      <c r="F68" s="65"/>
      <c r="G68" s="65"/>
    </row>
    <row r="69" spans="1:7" x14ac:dyDescent="0.25">
      <c r="A69" s="65"/>
      <c r="B69" s="65" t="s">
        <v>278</v>
      </c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aYImHa7sNYkKFTEZIVJ1DdKfcVF6BozJLikh3etOMJhUSdyD2KhyjtKjiHOz+pKjwJdALuEObpo7QzBpqRTFpQ==" saltValue="a5MvuRRcWkHvo8V2H0IYs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4" zoomScaleNormal="100" workbookViewId="0">
      <selection activeCell="A6" sqref="A6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ST. JOHN TELEPHONE, INC.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2016</v>
      </c>
      <c r="D8" s="5">
        <v>2017</v>
      </c>
    </row>
    <row r="9" spans="1:5" x14ac:dyDescent="0.25">
      <c r="A9" s="9">
        <v>1</v>
      </c>
      <c r="B9" s="6" t="s">
        <v>1</v>
      </c>
      <c r="C9" s="36">
        <f>PriorYearIncomeStmt!E9</f>
        <v>137663</v>
      </c>
      <c r="D9" s="41">
        <f>'CurrentYearIncomeStmt '!E9</f>
        <v>129730</v>
      </c>
    </row>
    <row r="10" spans="1:5" x14ac:dyDescent="0.25">
      <c r="A10" s="10">
        <v>2</v>
      </c>
      <c r="B10" s="17" t="s">
        <v>2</v>
      </c>
      <c r="C10" s="32">
        <f>PriorYearIncomeStmt!E10</f>
        <v>2106299</v>
      </c>
      <c r="D10" s="41">
        <f>'CurrentYearIncomeStmt '!E10</f>
        <v>1886464</v>
      </c>
    </row>
    <row r="11" spans="1:5" x14ac:dyDescent="0.25">
      <c r="A11" s="10">
        <v>3</v>
      </c>
      <c r="B11" s="17" t="s">
        <v>3</v>
      </c>
      <c r="C11" s="32">
        <f>PriorYearIncomeStmt!E11</f>
        <v>52258</v>
      </c>
      <c r="D11" s="41">
        <f>'CurrentYearIncomeStmt '!E11</f>
        <v>45011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0</v>
      </c>
    </row>
    <row r="13" spans="1:5" x14ac:dyDescent="0.25">
      <c r="A13" s="10">
        <v>5</v>
      </c>
      <c r="B13" s="17" t="s">
        <v>5</v>
      </c>
      <c r="C13" s="32">
        <f>PriorYearIncomeStmt!E13</f>
        <v>30141</v>
      </c>
      <c r="D13" s="41">
        <f>'CurrentYearIncomeStmt '!E13</f>
        <v>30149</v>
      </c>
    </row>
    <row r="14" spans="1:5" x14ac:dyDescent="0.25">
      <c r="A14" s="10">
        <v>6</v>
      </c>
      <c r="B14" s="17" t="s">
        <v>133</v>
      </c>
      <c r="C14" s="32">
        <f>PriorYearIncomeStmt!E14</f>
        <v>1072</v>
      </c>
      <c r="D14" s="41">
        <f>'CurrentYearIncomeStmt '!E14</f>
        <v>-665</v>
      </c>
    </row>
    <row r="15" spans="1:5" x14ac:dyDescent="0.25">
      <c r="A15" s="10">
        <v>7</v>
      </c>
      <c r="B15" s="83" t="s">
        <v>132</v>
      </c>
      <c r="C15" s="40">
        <f>SUM(C9:C14)</f>
        <v>2327433</v>
      </c>
      <c r="D15" s="42">
        <f t="shared" ref="D15" si="0">SUM(D9:D14)</f>
        <v>2090689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417463</v>
      </c>
      <c r="D16" s="41">
        <f>'CurrentYearIncomeStmt '!E16</f>
        <v>428288</v>
      </c>
    </row>
    <row r="17" spans="1:5" x14ac:dyDescent="0.25">
      <c r="A17" s="10">
        <v>9</v>
      </c>
      <c r="B17" s="17" t="s">
        <v>39</v>
      </c>
      <c r="C17" s="32">
        <f>PriorYearIncomeStmt!E17</f>
        <v>79995</v>
      </c>
      <c r="D17" s="41">
        <f>'CurrentYearIncomeStmt '!E17</f>
        <v>77808</v>
      </c>
    </row>
    <row r="18" spans="1:5" x14ac:dyDescent="0.25">
      <c r="A18" s="10">
        <v>10</v>
      </c>
      <c r="B18" s="17" t="s">
        <v>7</v>
      </c>
      <c r="C18" s="32">
        <f>PriorYearIncomeStmt!E18</f>
        <v>521726</v>
      </c>
      <c r="D18" s="41">
        <f>'CurrentYearIncomeStmt '!E18</f>
        <v>489668</v>
      </c>
    </row>
    <row r="19" spans="1:5" x14ac:dyDescent="0.25">
      <c r="A19" s="10">
        <v>11</v>
      </c>
      <c r="B19" s="17" t="s">
        <v>8</v>
      </c>
      <c r="C19" s="32">
        <f>PriorYearIncomeStmt!E19</f>
        <v>0</v>
      </c>
      <c r="D19" s="41">
        <f>'CurrentYearIncomeStmt '!E19</f>
        <v>0</v>
      </c>
    </row>
    <row r="20" spans="1:5" x14ac:dyDescent="0.25">
      <c r="A20" s="10">
        <v>12</v>
      </c>
      <c r="B20" s="17" t="s">
        <v>9</v>
      </c>
      <c r="C20" s="32">
        <f>PriorYearIncomeStmt!E20</f>
        <v>132279</v>
      </c>
      <c r="D20" s="41">
        <f>'CurrentYearIncomeStmt '!E20</f>
        <v>117800</v>
      </c>
    </row>
    <row r="21" spans="1:5" x14ac:dyDescent="0.25">
      <c r="A21" s="10">
        <v>13</v>
      </c>
      <c r="B21" s="17" t="s">
        <v>10</v>
      </c>
      <c r="C21" s="32">
        <f>PriorYearIncomeStmt!E21</f>
        <v>294858</v>
      </c>
      <c r="D21" s="41">
        <f>'CurrentYearIncomeStmt '!E21</f>
        <v>264156</v>
      </c>
    </row>
    <row r="22" spans="1:5" x14ac:dyDescent="0.25">
      <c r="A22" s="10">
        <v>14</v>
      </c>
      <c r="B22" s="83" t="s">
        <v>237</v>
      </c>
      <c r="C22" s="40">
        <f>C16+C17+C18+C19+C20+C21</f>
        <v>1446321</v>
      </c>
      <c r="D22" s="42">
        <f>D16+D17+D18+D19+D20+D21</f>
        <v>1377720</v>
      </c>
      <c r="E22" s="1"/>
    </row>
    <row r="23" spans="1:5" x14ac:dyDescent="0.25">
      <c r="A23" s="10">
        <v>15</v>
      </c>
      <c r="B23" s="17" t="s">
        <v>14</v>
      </c>
      <c r="C23" s="32">
        <f>C15-C22</f>
        <v>881112</v>
      </c>
      <c r="D23" s="41">
        <f>D15-D22</f>
        <v>712969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0</v>
      </c>
    </row>
    <row r="25" spans="1:5" x14ac:dyDescent="0.25">
      <c r="A25" s="10">
        <v>17</v>
      </c>
      <c r="B25" s="17" t="s">
        <v>11</v>
      </c>
      <c r="C25" s="32">
        <f>PriorYearIncomeStmt!E25</f>
        <v>95902</v>
      </c>
      <c r="D25" s="41">
        <f>'CurrentYearIncomeStmt '!E25</f>
        <v>74430</v>
      </c>
    </row>
    <row r="26" spans="1:5" x14ac:dyDescent="0.25">
      <c r="A26" s="10">
        <v>18</v>
      </c>
      <c r="B26" s="17" t="s">
        <v>181</v>
      </c>
      <c r="C26" s="32">
        <f>PriorYearIncomeStmt!E26</f>
        <v>209275</v>
      </c>
      <c r="D26" s="41">
        <f>'CurrentYearIncomeStmt '!E26</f>
        <v>130039</v>
      </c>
    </row>
    <row r="27" spans="1:5" x14ac:dyDescent="0.25">
      <c r="A27" s="10">
        <v>19</v>
      </c>
      <c r="B27" s="17" t="s">
        <v>13</v>
      </c>
      <c r="C27" s="32">
        <f>PriorYearIncomeStmt!E27</f>
        <v>12293</v>
      </c>
      <c r="D27" s="41">
        <f>'CurrentYearIncomeStmt '!E27</f>
        <v>14839</v>
      </c>
    </row>
    <row r="28" spans="1:5" x14ac:dyDescent="0.25">
      <c r="A28" s="10">
        <v>20</v>
      </c>
      <c r="B28" s="83" t="s">
        <v>12</v>
      </c>
      <c r="C28" s="37">
        <f>SUM(C25:C27)</f>
        <v>317470</v>
      </c>
      <c r="D28" s="43">
        <f t="shared" ref="D28" si="1">SUM(D25:D27)</f>
        <v>219308</v>
      </c>
    </row>
    <row r="29" spans="1:5" x14ac:dyDescent="0.25">
      <c r="A29" s="10">
        <v>21</v>
      </c>
      <c r="B29" s="83" t="s">
        <v>22</v>
      </c>
      <c r="C29" s="37">
        <f>C23+C24-C28</f>
        <v>563642</v>
      </c>
      <c r="D29" s="43">
        <f>D23+D24-D28</f>
        <v>493661</v>
      </c>
    </row>
    <row r="30" spans="1:5" x14ac:dyDescent="0.25">
      <c r="A30" s="10">
        <v>22</v>
      </c>
      <c r="B30" s="17" t="s">
        <v>15</v>
      </c>
      <c r="C30" s="32">
        <f>PriorYearIncomeStmt!E30</f>
        <v>171443</v>
      </c>
      <c r="D30" s="41">
        <f>'CurrentYearIncomeStmt '!E30</f>
        <v>153495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269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267</v>
      </c>
      <c r="C34" s="37">
        <f>SUM(C30:C33)</f>
        <v>171443</v>
      </c>
      <c r="D34" s="43">
        <f t="shared" ref="D34" si="2">SUM(D30:D33)</f>
        <v>153495</v>
      </c>
    </row>
    <row r="35" spans="1:4" x14ac:dyDescent="0.25">
      <c r="A35" s="10">
        <v>27</v>
      </c>
      <c r="B35" s="17" t="s">
        <v>18</v>
      </c>
      <c r="C35" s="32">
        <f>PriorYearIncomeStmt!E35</f>
        <v>82808</v>
      </c>
      <c r="D35" s="41">
        <f>'CurrentYearIncomeStmt '!E35</f>
        <v>54241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-203674</v>
      </c>
      <c r="D38" s="41">
        <f>'CurrentYearIncomeStmt '!E38</f>
        <v>324022</v>
      </c>
    </row>
    <row r="39" spans="1:4" x14ac:dyDescent="0.25">
      <c r="A39" s="10">
        <v>31</v>
      </c>
      <c r="B39" s="83" t="s">
        <v>21</v>
      </c>
      <c r="C39" s="37">
        <f>C29-C34+C35+C36+C37+C38</f>
        <v>271333</v>
      </c>
      <c r="D39" s="43">
        <f t="shared" ref="D39" si="3">D29-D34+D35+D36+D37+D38</f>
        <v>718429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6333838</v>
      </c>
      <c r="D41" s="41">
        <f>'CurrentYearIncomeStmt '!E41</f>
        <v>6573111</v>
      </c>
    </row>
    <row r="42" spans="1:4" x14ac:dyDescent="0.25">
      <c r="A42" s="10">
        <v>34</v>
      </c>
      <c r="B42" s="17" t="s">
        <v>25</v>
      </c>
      <c r="C42" s="32">
        <f>PriorYearIncomeStmt!E42</f>
        <v>4740</v>
      </c>
      <c r="D42" s="41">
        <f>'CurrentYearIncomeStmt '!E42</f>
        <v>3437</v>
      </c>
    </row>
    <row r="43" spans="1:4" x14ac:dyDescent="0.25">
      <c r="A43" s="10">
        <v>35</v>
      </c>
      <c r="B43" s="17" t="s">
        <v>26</v>
      </c>
      <c r="C43" s="32">
        <f>PriorYearIncomeStmt!E43</f>
        <v>36800</v>
      </c>
      <c r="D43" s="41">
        <f>'CurrentYearIncomeStmt '!E43</f>
        <v>46250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6573111</v>
      </c>
      <c r="D47" s="43">
        <f t="shared" ref="D47" si="4">(D39+D41+D42)-(D43+D44+D45+D46)</f>
        <v>7248727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713419</v>
      </c>
      <c r="D52" s="41">
        <f>'CurrentYearIncomeStmt '!E52</f>
        <v>713419</v>
      </c>
    </row>
    <row r="53" spans="1:8" x14ac:dyDescent="0.25">
      <c r="A53" s="10">
        <v>45</v>
      </c>
      <c r="B53" s="17" t="s">
        <v>35</v>
      </c>
      <c r="C53" s="49">
        <f>((C22+C28-C18-C19)/C15)</f>
        <v>0.53366305281398008</v>
      </c>
      <c r="D53" s="49">
        <f>((D22+D28-D18-D19)/D15)</f>
        <v>0.52966270927909409</v>
      </c>
    </row>
    <row r="54" spans="1:8" x14ac:dyDescent="0.25">
      <c r="A54" s="10">
        <v>46</v>
      </c>
      <c r="B54" s="17" t="s">
        <v>36</v>
      </c>
      <c r="C54" s="49">
        <f>((C22+C28+C34)/C15)</f>
        <v>0.83148859709387979</v>
      </c>
      <c r="D54" s="49">
        <f>((D22+D28+D34)/D15)</f>
        <v>0.8372947865512278</v>
      </c>
    </row>
    <row r="55" spans="1:8" x14ac:dyDescent="0.25">
      <c r="A55" s="10">
        <v>47</v>
      </c>
      <c r="B55" s="17" t="s">
        <v>37</v>
      </c>
      <c r="C55" s="49">
        <f>((C39+C34)/C34)</f>
        <v>2.5826426275788457</v>
      </c>
      <c r="D55" s="49">
        <f t="shared" ref="D55" si="6">((D39+D34)/D34)</f>
        <v>5.6804716766018437</v>
      </c>
    </row>
    <row r="56" spans="1:8" x14ac:dyDescent="0.25">
      <c r="A56" s="10">
        <v>48</v>
      </c>
      <c r="B56" s="17" t="s">
        <v>38</v>
      </c>
      <c r="C56" s="45">
        <f>(C39+C34+C18+C19)/C52</f>
        <v>1.3519432479370468</v>
      </c>
      <c r="D56" s="49">
        <f>(D39+D34+D18+D19)/D52</f>
        <v>1.908544628051678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235</v>
      </c>
      <c r="D59" s="48" t="s">
        <v>258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0WuVgRd/zw5T4nDgahcn6fTwzCyBfoFqDaCoCihNpO+jhd1EDnJ4oQBGf46FFmlwu7UFCj6j1a54oe0Wdd1uyg==" saltValue="UCf0iA1VKEo792aWGaQvA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43717063659A4F9475EE80A480E0FA" ma:contentTypeVersion="76" ma:contentTypeDescription="" ma:contentTypeScope="" ma:versionID="85ee85b740191afd5c5608509b4d01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2018-07-31T07:00:00+00:00</OpenedDate>
    <SignificantOrder xmlns="dc463f71-b30c-4ab2-9473-d307f9d35888">false</SignificantOrder>
    <Date1 xmlns="dc463f71-b30c-4ab2-9473-d307f9d35888">2018-07-31T07:00:00+00:00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St. John Telephone, Inc.</CaseCompanyNames>
    <Nickname xmlns="http://schemas.microsoft.com/sharepoint/v3" xsi:nil="true"/>
    <DocketNumber xmlns="dc463f71-b30c-4ab2-9473-d307f9d35888">180651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87EA9A5-843F-4F46-BFD3-043F50DBC8F8}"/>
</file>

<file path=customXml/itemProps2.xml><?xml version="1.0" encoding="utf-8"?>
<ds:datastoreItem xmlns:ds="http://schemas.openxmlformats.org/officeDocument/2006/customXml" ds:itemID="{74988927-48A6-4121-86BA-ECCD395C8516}"/>
</file>

<file path=customXml/itemProps3.xml><?xml version="1.0" encoding="utf-8"?>
<ds:datastoreItem xmlns:ds="http://schemas.openxmlformats.org/officeDocument/2006/customXml" ds:itemID="{E5C0720A-1FE5-4A2E-85AB-ABAFFDEF32E8}"/>
</file>

<file path=customXml/itemProps4.xml><?xml version="1.0" encoding="utf-8"?>
<ds:datastoreItem xmlns:ds="http://schemas.openxmlformats.org/officeDocument/2006/customXml" ds:itemID="{DF640B53-D728-449B-B0CA-352FBD302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Jenifer Wasnock</cp:lastModifiedBy>
  <cp:lastPrinted>2018-07-17T00:38:29Z</cp:lastPrinted>
  <dcterms:created xsi:type="dcterms:W3CDTF">2014-05-21T17:51:51Z</dcterms:created>
  <dcterms:modified xsi:type="dcterms:W3CDTF">2018-07-17T00:43:29Z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0x0101006E56B4D1795A2E4DB2F0B01679ED314A00BF43717063659A4F9475EE80A480E0FA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