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Norm 10-31 P&amp;L" sheetId="1" r:id="rId1"/>
    <sheet name="Norm-Detail 10-31" sheetId="6" r:id="rId2"/>
    <sheet name="Norm 10-31 50% Refund" sheetId="5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29" i="5" l="1"/>
  <c r="F19" i="5"/>
  <c r="F14" i="5"/>
  <c r="F10" i="5"/>
  <c r="F8" i="5"/>
  <c r="F12" i="5" s="1"/>
  <c r="F16" i="5" s="1"/>
  <c r="F21" i="5" s="1"/>
  <c r="F23" i="5" s="1"/>
  <c r="D40" i="6"/>
  <c r="B40" i="6"/>
  <c r="B35" i="6"/>
  <c r="B34" i="6"/>
  <c r="B24" i="6"/>
  <c r="D23" i="6"/>
  <c r="D18" i="6"/>
  <c r="B14" i="6"/>
  <c r="D12" i="6"/>
  <c r="D14" i="6" s="1"/>
  <c r="B12" i="6"/>
  <c r="B22" i="6" s="1"/>
  <c r="D22" i="6" s="1"/>
  <c r="F12" i="1"/>
  <c r="F16" i="1" s="1"/>
  <c r="F21" i="1" s="1"/>
  <c r="F23" i="1" s="1"/>
  <c r="E37" i="5" l="1"/>
  <c r="C37" i="5"/>
  <c r="F31" i="5"/>
  <c r="F37" i="5"/>
  <c r="D37" i="5"/>
  <c r="B37" i="5"/>
  <c r="C34" i="6"/>
  <c r="D34" i="6" s="1"/>
  <c r="C24" i="6"/>
  <c r="C19" i="6"/>
  <c r="D19" i="6" s="1"/>
  <c r="C37" i="6"/>
  <c r="D37" i="6" s="1"/>
  <c r="C36" i="6"/>
  <c r="D36" i="6" s="1"/>
  <c r="C35" i="6"/>
  <c r="C33" i="6"/>
  <c r="D33" i="6" s="1"/>
  <c r="C32" i="6"/>
  <c r="D32" i="6" s="1"/>
  <c r="C31" i="6"/>
  <c r="D31" i="6" s="1"/>
  <c r="C30" i="6"/>
  <c r="D30" i="6" s="1"/>
  <c r="C29" i="6"/>
  <c r="D29" i="6" s="1"/>
  <c r="C28" i="6"/>
  <c r="D28" i="6" s="1"/>
  <c r="C27" i="6"/>
  <c r="D27" i="6" s="1"/>
  <c r="D24" i="6"/>
  <c r="D35" i="6"/>
  <c r="B20" i="6"/>
  <c r="D20" i="6" s="1"/>
  <c r="B21" i="6"/>
  <c r="D21" i="6" s="1"/>
  <c r="F41" i="5" l="1"/>
  <c r="D25" i="6"/>
  <c r="D38" i="6"/>
</calcChain>
</file>

<file path=xl/sharedStrings.xml><?xml version="1.0" encoding="utf-8"?>
<sst xmlns="http://schemas.openxmlformats.org/spreadsheetml/2006/main" count="89" uniqueCount="72">
  <si>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</si>
  <si>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</si>
  <si>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</si>
  <si>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</si>
  <si>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</si>
  <si>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</si>
  <si>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</si>
  <si>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</si>
  <si>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</si>
  <si>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</si>
  <si>
    <t>Allocated G &amp; A</t>
  </si>
  <si>
    <t>OTHER EXPENSES</t>
  </si>
  <si>
    <t>Bank Fees, Interest, and Penalties</t>
  </si>
  <si>
    <t>Bad Debt</t>
  </si>
  <si>
    <t>Miscellaneous</t>
  </si>
  <si>
    <t>Janitorial and Security</t>
  </si>
  <si>
    <t>Building Lease/Rent</t>
  </si>
  <si>
    <t>Communications</t>
  </si>
  <si>
    <t>Postage/ Overnight/ Freight</t>
  </si>
  <si>
    <t>Office Supplies &amp; Expense</t>
  </si>
  <si>
    <t>Office Maintenance Expense</t>
  </si>
  <si>
    <t>Utilities</t>
  </si>
  <si>
    <t>Labor</t>
  </si>
  <si>
    <t>Permits/ Licenses/ Fees &amp; Taxes</t>
  </si>
  <si>
    <t>Permits/ Licenses/ Fees &amp; Taxes-Norm</t>
  </si>
  <si>
    <t>County Surcharge (per cu. ft.)</t>
  </si>
  <si>
    <t>Site Surveillance (per cu. ft.)</t>
  </si>
  <si>
    <t>Perpetual Care &amp; Maint. (per cu. ft.)</t>
  </si>
  <si>
    <t>Tools &amp; Supplies - Other</t>
  </si>
  <si>
    <t>Tools &amp; Supplies-ECBs, Etc. (Norm)</t>
  </si>
  <si>
    <t>DIRECT COSTS</t>
  </si>
  <si>
    <t>NORM/NARM EXPENSES:</t>
  </si>
  <si>
    <t>Total of all Revenue:</t>
  </si>
  <si>
    <t>Calculation of Revenue %:</t>
  </si>
  <si>
    <t>Comments</t>
  </si>
  <si>
    <t>Amount</t>
  </si>
  <si>
    <t>Invoice #</t>
  </si>
  <si>
    <t>Volume</t>
  </si>
  <si>
    <t>Generator/Broker</t>
  </si>
  <si>
    <t>NORM/NARM REVENUE:</t>
  </si>
  <si>
    <t>Generators' Share of Norm/Narm Net Revenue (50%)</t>
  </si>
  <si>
    <t>Site Availability</t>
  </si>
  <si>
    <t>Shipment</t>
  </si>
  <si>
    <t>Container</t>
  </si>
  <si>
    <t>Exposure</t>
  </si>
  <si>
    <t>Refund</t>
  </si>
  <si>
    <t>Red. Rev.Req.</t>
  </si>
  <si>
    <t>Total to be refunded directly to generators (components over revenue req.)</t>
  </si>
  <si>
    <t>Northwest NARM Services (WR Grace)</t>
  </si>
  <si>
    <t>For the Period 01/01/2017 Through 10/31/2017</t>
  </si>
  <si>
    <t>RAD Solutions, LLC</t>
  </si>
  <si>
    <t>N000944</t>
  </si>
  <si>
    <t>$1,152.73 B&amp;O not incl.</t>
  </si>
  <si>
    <t>Northwest NARM Services (Dow Chemical)</t>
  </si>
  <si>
    <t>N000945</t>
  </si>
  <si>
    <t>$213.91 B&amp;O not incl.</t>
  </si>
  <si>
    <t>N000946</t>
  </si>
  <si>
    <t>$52.29 B&amp;O not incl.</t>
  </si>
  <si>
    <t>N000949</t>
  </si>
  <si>
    <t>$1,379.29 B&amp;O not incl.</t>
  </si>
  <si>
    <t>Northwest NARM Services (Chevron Phillips Chemical)</t>
  </si>
  <si>
    <t>N000950</t>
  </si>
  <si>
    <t>$534.77 B&amp;O not incl.</t>
  </si>
  <si>
    <t>N000952</t>
  </si>
  <si>
    <t>Less amount recognized in January:</t>
  </si>
  <si>
    <t>Less amount recognized in February:</t>
  </si>
  <si>
    <t>Less amount recognized in May:</t>
  </si>
  <si>
    <t>Less amount recognized in June:</t>
  </si>
  <si>
    <t>Less amount recognized Oct.-Dec.</t>
  </si>
  <si>
    <t>Amount to reduce the 2018 Rev. Req.</t>
  </si>
  <si>
    <t>Allocators for 2017:</t>
  </si>
  <si>
    <t>Total to reduce the 2018 Revenue Requirement (components under revenue req.)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</si>
</sst>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color indexed="12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/>
    <xf numFmtId="44" fontId="3" fillId="0" borderId="0" xfId="2" applyFont="1"/>
    <xf numFmtId="43" fontId="3" fillId="0" borderId="0" xfId="1" applyFont="1"/>
    <xf numFmtId="0" fontId="5" fillId="0" borderId="0" xfId="0" applyFont="1"/>
    <xf numFmtId="165" fontId="4" fillId="0" borderId="0" xfId="1" applyNumberFormat="1" applyFont="1"/>
    <xf numFmtId="164" fontId="3" fillId="0" borderId="0" xfId="3" applyNumberFormat="1" applyFont="1"/>
    <xf numFmtId="165" fontId="4" fillId="0" borderId="1" xfId="1" applyNumberFormat="1" applyFont="1" applyBorder="1"/>
    <xf numFmtId="0" fontId="4" fillId="0" borderId="0" xfId="0" applyFont="1"/>
    <xf numFmtId="165" fontId="4" fillId="0" borderId="2" xfId="1" applyNumberFormat="1" applyFont="1" applyBorder="1"/>
    <xf numFmtId="44" fontId="1" fillId="0" borderId="0" xfId="2"/>
    <xf numFmtId="43" fontId="1" fillId="0" borderId="0" xfId="1"/>
    <xf numFmtId="43" fontId="1" fillId="0" borderId="3" xfId="1" applyBorder="1"/>
    <xf numFmtId="10" fontId="1" fillId="0" borderId="0" xfId="3" applyNumberFormat="1"/>
    <xf numFmtId="43" fontId="1" fillId="0" borderId="0" xfId="1" applyNumberFormat="1" applyFont="1"/>
    <xf numFmtId="43" fontId="1" fillId="0" borderId="0" xfId="1" applyFont="1"/>
    <xf numFmtId="43" fontId="7" fillId="0" borderId="0" xfId="1" applyFont="1"/>
    <xf numFmtId="10" fontId="6" fillId="0" borderId="0" xfId="3" applyNumberFormat="1" applyFont="1"/>
    <xf numFmtId="43" fontId="6" fillId="0" borderId="3" xfId="1" applyFont="1" applyBorder="1"/>
    <xf numFmtId="43" fontId="1" fillId="0" borderId="0" xfId="1" applyBorder="1"/>
    <xf numFmtId="44" fontId="1" fillId="0" borderId="0" xfId="2" applyFont="1"/>
    <xf numFmtId="43" fontId="6" fillId="0" borderId="0" xfId="1" applyFont="1" applyAlignment="1">
      <alignment horizontal="center"/>
    </xf>
    <xf numFmtId="165" fontId="4" fillId="0" borderId="0" xfId="1" applyNumberFormat="1" applyFont="1" applyBorder="1"/>
    <xf numFmtId="44" fontId="7" fillId="0" borderId="0" xfId="2" applyFont="1" applyAlignment="1">
      <alignment horizontal="center"/>
    </xf>
    <xf numFmtId="43" fontId="7" fillId="0" borderId="0" xfId="1" applyFont="1" applyAlignment="1">
      <alignment horizontal="center"/>
    </xf>
    <xf numFmtId="166" fontId="7" fillId="0" borderId="0" xfId="3" applyNumberFormat="1" applyFont="1" applyAlignment="1">
      <alignment horizontal="center"/>
    </xf>
    <xf numFmtId="44" fontId="7" fillId="0" borderId="0" xfId="2" applyFont="1"/>
    <xf numFmtId="44" fontId="12" fillId="0" borderId="0" xfId="2" applyFont="1"/>
    <xf numFmtId="0" fontId="1" fillId="0" borderId="0" xfId="4"/>
    <xf numFmtId="10" fontId="1" fillId="0" borderId="0" xfId="3" applyNumberFormat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44" fontId="7" fillId="0" borderId="0" xfId="0" applyNumberFormat="1" applyFont="1"/>
    <xf numFmtId="0" fontId="1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43" fontId="0" fillId="0" borderId="0" xfId="0" applyNumberFormat="1"/>
    <xf numFmtId="0" fontId="4" fillId="0" borderId="0" xfId="0" applyFont="1" applyAlignment="1">
      <alignment horizontal="center"/>
    </xf>
    <xf numFmtId="44" fontId="13" fillId="0" borderId="0" xfId="0" applyNumberFormat="1" applyFont="1"/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CDC02\Boise\GROUPS\FINANCE\CALDWELL\Norm%20Revenue%20Share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-Detail 1-31"/>
      <sheetName val="Norm 1-31 50% Refund"/>
      <sheetName val="Norm-Detail 2-28"/>
      <sheetName val="Norm 2-28 50% Refund"/>
      <sheetName val="Norm-Detail 5-31"/>
      <sheetName val="Norm 5-31 50% Refund"/>
      <sheetName val="Norm-Detail 6-30"/>
      <sheetName val="Norm 6-30 50% Refund"/>
      <sheetName val="Norm 6-30 50% Refund (2)"/>
      <sheetName val="Norm-Detail 10-31"/>
      <sheetName val="Norm 10-31 50% Refund"/>
      <sheetName val="Norm 10-31"/>
      <sheetName val="Norm-Detail 7-31"/>
      <sheetName val="Norm 7-31 50% Refund"/>
      <sheetName val="Norm-Detail 11-30"/>
      <sheetName val="Norm 11-30 50% Refund"/>
      <sheetName val="Norm-Detail 12-31"/>
      <sheetName val="Norm 12-31 50% Refund"/>
      <sheetName val="Norm 12-31"/>
      <sheetName val="Rate Calculation"/>
      <sheetName val="Norm Corp Allocation"/>
      <sheetName val="Richland Corp Allocation"/>
      <sheetName val="LLRW Richland 12-31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">
          <cell r="D12">
            <v>147605.87</v>
          </cell>
        </row>
        <row r="25">
          <cell r="D25">
            <v>42732.24015817076</v>
          </cell>
        </row>
        <row r="38">
          <cell r="D38">
            <v>3478.7186477821651</v>
          </cell>
        </row>
        <row r="40">
          <cell r="D40">
            <v>53731.813088333336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4" sqref="C14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0" customWidth="1"/>
    <col min="5" max="5" width="15.7109375" style="11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5" t="s">
        <v>0</v>
      </c>
      <c r="B2" s="45"/>
      <c r="C2" s="45"/>
      <c r="D2" s="45"/>
      <c r="E2" s="45"/>
      <c r="F2" s="45"/>
    </row>
    <row r="3" spans="1:6" ht="15.75" x14ac:dyDescent="0.25">
      <c r="A3" s="45" t="s">
        <v>1</v>
      </c>
      <c r="B3" s="45"/>
      <c r="C3" s="45"/>
      <c r="D3" s="45"/>
      <c r="E3" s="45"/>
      <c r="F3" s="45"/>
    </row>
    <row r="4" spans="1:6" ht="15.75" x14ac:dyDescent="0.25">
      <c r="A4" s="45" t="s">
        <v>49</v>
      </c>
      <c r="B4" s="45"/>
      <c r="C4" s="45"/>
      <c r="D4" s="45"/>
      <c r="E4" s="45"/>
      <c r="F4" s="45"/>
    </row>
    <row r="5" spans="1:6" ht="15.75" x14ac:dyDescent="0.25">
      <c r="A5" s="43"/>
      <c r="B5" s="43"/>
      <c r="C5" s="43"/>
      <c r="D5" s="43"/>
      <c r="E5" s="43"/>
      <c r="F5" s="43"/>
    </row>
    <row r="6" spans="1:6" ht="15.75" x14ac:dyDescent="0.25">
      <c r="A6" s="43"/>
      <c r="B6" s="43"/>
      <c r="C6" s="43"/>
      <c r="D6" s="43"/>
      <c r="E6" s="43"/>
      <c r="F6" s="43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v>147605.87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42732.24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104873.63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3478.72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101394.91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v>53731.81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F16-F19+0.04</f>
        <v>47663.140000000007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40</v>
      </c>
      <c r="F23" s="22">
        <f>ROUND(F21*50%,0)</f>
        <v>23832</v>
      </c>
    </row>
    <row r="24" spans="1:6" ht="15.75" x14ac:dyDescent="0.25">
      <c r="A24" s="8"/>
      <c r="F24" s="22"/>
    </row>
  </sheetData>
  <mergeCells count="3">
    <mergeCell ref="A2:F2"/>
    <mergeCell ref="A3:F3"/>
    <mergeCell ref="A4:F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2018 PRELIMINARY RATES
EXHIBIT 3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28" zoomScaleNormal="100" workbookViewId="0">
      <selection activeCell="A41" sqref="A41"/>
    </sheetView>
  </sheetViews>
  <sheetFormatPr defaultRowHeight="12.75" x14ac:dyDescent="0.2"/>
  <cols>
    <col min="1" max="1" width="34" customWidth="1"/>
    <col min="2" max="2" width="14" style="11" bestFit="1" customWidth="1"/>
    <col min="3" max="3" width="9.28515625" bestFit="1" customWidth="1"/>
    <col min="4" max="4" width="12.7109375" style="11" customWidth="1"/>
    <col min="5" max="5" width="32" customWidth="1"/>
    <col min="6" max="6" width="10.28515625" bestFit="1" customWidth="1"/>
    <col min="7" max="7" width="9.28515625" bestFit="1" customWidth="1"/>
  </cols>
  <sheetData>
    <row r="1" spans="1:5" x14ac:dyDescent="0.2">
      <c r="A1" s="35" t="s">
        <v>39</v>
      </c>
    </row>
    <row r="2" spans="1:5" x14ac:dyDescent="0.2">
      <c r="A2" s="36"/>
    </row>
    <row r="3" spans="1:5" x14ac:dyDescent="0.2">
      <c r="A3" s="35" t="s">
        <v>38</v>
      </c>
      <c r="B3" s="21" t="s">
        <v>37</v>
      </c>
      <c r="C3" s="37" t="s">
        <v>36</v>
      </c>
      <c r="D3" s="21" t="s">
        <v>35</v>
      </c>
      <c r="E3" s="37" t="s">
        <v>34</v>
      </c>
    </row>
    <row r="4" spans="1:5" x14ac:dyDescent="0.2">
      <c r="A4" s="35"/>
      <c r="B4" s="21"/>
      <c r="C4" s="37"/>
      <c r="D4" s="21"/>
      <c r="E4" s="37"/>
    </row>
    <row r="5" spans="1:5" x14ac:dyDescent="0.2">
      <c r="A5" s="34" t="s">
        <v>50</v>
      </c>
      <c r="B5" s="11">
        <v>45</v>
      </c>
      <c r="C5" s="34" t="s">
        <v>51</v>
      </c>
      <c r="D5" s="20">
        <v>36472.54</v>
      </c>
      <c r="E5" s="34" t="s">
        <v>52</v>
      </c>
    </row>
    <row r="6" spans="1:5" x14ac:dyDescent="0.2">
      <c r="A6" s="34" t="s">
        <v>53</v>
      </c>
      <c r="B6" s="11">
        <v>96</v>
      </c>
      <c r="C6" s="34" t="s">
        <v>54</v>
      </c>
      <c r="D6" s="20">
        <v>9770.09</v>
      </c>
      <c r="E6" s="34" t="s">
        <v>55</v>
      </c>
    </row>
    <row r="7" spans="1:5" x14ac:dyDescent="0.2">
      <c r="A7" s="34" t="s">
        <v>48</v>
      </c>
      <c r="B7" s="11">
        <v>22.5</v>
      </c>
      <c r="C7" s="34" t="s">
        <v>56</v>
      </c>
      <c r="D7" s="20">
        <v>2355.21</v>
      </c>
      <c r="E7" s="34" t="s">
        <v>57</v>
      </c>
    </row>
    <row r="8" spans="1:5" x14ac:dyDescent="0.2">
      <c r="A8" s="34" t="s">
        <v>53</v>
      </c>
      <c r="B8" s="11">
        <v>672</v>
      </c>
      <c r="C8" s="34" t="s">
        <v>58</v>
      </c>
      <c r="D8" s="20">
        <v>64812.71</v>
      </c>
      <c r="E8" s="34" t="s">
        <v>59</v>
      </c>
    </row>
    <row r="9" spans="1:5" x14ac:dyDescent="0.2">
      <c r="A9" s="34" t="s">
        <v>60</v>
      </c>
      <c r="B9" s="11">
        <v>240</v>
      </c>
      <c r="C9" s="34" t="s">
        <v>61</v>
      </c>
      <c r="D9" s="20">
        <v>24425.23</v>
      </c>
      <c r="E9" s="34" t="s">
        <v>62</v>
      </c>
    </row>
    <row r="10" spans="1:5" x14ac:dyDescent="0.2">
      <c r="A10" s="34" t="s">
        <v>53</v>
      </c>
      <c r="B10" s="11">
        <v>96</v>
      </c>
      <c r="C10" s="34" t="s">
        <v>63</v>
      </c>
      <c r="D10" s="20">
        <v>9770.09</v>
      </c>
      <c r="E10" s="34" t="s">
        <v>55</v>
      </c>
    </row>
    <row r="11" spans="1:5" x14ac:dyDescent="0.2">
      <c r="D11" s="19"/>
      <c r="E11" s="38"/>
    </row>
    <row r="12" spans="1:5" ht="13.5" thickBot="1" x14ac:dyDescent="0.25">
      <c r="B12" s="18">
        <f>SUM(B5:B11)</f>
        <v>1171.5</v>
      </c>
      <c r="D12" s="18">
        <f>SUM(D5:D11)</f>
        <v>147605.87</v>
      </c>
    </row>
    <row r="13" spans="1:5" ht="13.5" thickTop="1" x14ac:dyDescent="0.2">
      <c r="A13" t="s">
        <v>33</v>
      </c>
    </row>
    <row r="14" spans="1:5" x14ac:dyDescent="0.2">
      <c r="A14" s="39" t="s">
        <v>32</v>
      </c>
      <c r="B14" s="15">
        <f>147605.87+7300+48816.04</f>
        <v>203721.91</v>
      </c>
      <c r="C14" s="40"/>
      <c r="D14" s="17">
        <f>D12/B14</f>
        <v>0.72454587726965647</v>
      </c>
    </row>
    <row r="15" spans="1:5" x14ac:dyDescent="0.2">
      <c r="A15" s="39"/>
      <c r="B15" s="15"/>
    </row>
    <row r="16" spans="1:5" x14ac:dyDescent="0.2">
      <c r="A16" s="35" t="s">
        <v>31</v>
      </c>
    </row>
    <row r="17" spans="1:6" x14ac:dyDescent="0.2">
      <c r="A17" s="35" t="s">
        <v>30</v>
      </c>
      <c r="B17" s="16"/>
      <c r="E17" s="40"/>
    </row>
    <row r="18" spans="1:6" x14ac:dyDescent="0.2">
      <c r="A18" t="s">
        <v>29</v>
      </c>
      <c r="B18" s="11">
        <v>0</v>
      </c>
      <c r="C18" s="13">
        <v>1</v>
      </c>
      <c r="D18" s="11">
        <f t="shared" ref="D18:D24" si="0">B18*C18</f>
        <v>0</v>
      </c>
      <c r="E18" s="40"/>
    </row>
    <row r="19" spans="1:6" x14ac:dyDescent="0.2">
      <c r="A19" t="s">
        <v>28</v>
      </c>
      <c r="B19" s="11">
        <v>0</v>
      </c>
      <c r="C19" s="13">
        <f>$D$14</f>
        <v>0.72454587726965647</v>
      </c>
      <c r="D19" s="11">
        <f t="shared" si="0"/>
        <v>0</v>
      </c>
      <c r="E19" s="40"/>
    </row>
    <row r="20" spans="1:6" x14ac:dyDescent="0.2">
      <c r="A20" t="s">
        <v>27</v>
      </c>
      <c r="B20" s="11">
        <f>$B$12</f>
        <v>1171.5</v>
      </c>
      <c r="C20" s="11">
        <v>1.75</v>
      </c>
      <c r="D20" s="11">
        <f t="shared" si="0"/>
        <v>2050.125</v>
      </c>
    </row>
    <row r="21" spans="1:6" x14ac:dyDescent="0.2">
      <c r="A21" t="s">
        <v>26</v>
      </c>
      <c r="B21" s="11">
        <f>$B$12</f>
        <v>1171.5</v>
      </c>
      <c r="C21" s="11">
        <v>26</v>
      </c>
      <c r="D21" s="11">
        <f t="shared" si="0"/>
        <v>30459</v>
      </c>
    </row>
    <row r="22" spans="1:6" x14ac:dyDescent="0.2">
      <c r="A22" t="s">
        <v>25</v>
      </c>
      <c r="B22" s="11">
        <f>$B$12</f>
        <v>1171.5</v>
      </c>
      <c r="C22" s="11">
        <v>6.5</v>
      </c>
      <c r="D22" s="11">
        <f t="shared" si="0"/>
        <v>7614.75</v>
      </c>
    </row>
    <row r="23" spans="1:6" x14ac:dyDescent="0.2">
      <c r="A23" t="s">
        <v>24</v>
      </c>
      <c r="B23" s="11">
        <v>0</v>
      </c>
      <c r="C23" s="13">
        <v>1</v>
      </c>
      <c r="D23" s="11">
        <f t="shared" si="0"/>
        <v>0</v>
      </c>
      <c r="F23" s="11"/>
    </row>
    <row r="24" spans="1:6" x14ac:dyDescent="0.2">
      <c r="A24" t="s">
        <v>23</v>
      </c>
      <c r="B24" s="15">
        <f>1000+2600</f>
        <v>3600</v>
      </c>
      <c r="C24" s="13">
        <f>$D$14</f>
        <v>0.72454587726965647</v>
      </c>
      <c r="D24" s="11">
        <f t="shared" si="0"/>
        <v>2608.3651581707632</v>
      </c>
      <c r="E24" s="41"/>
    </row>
    <row r="25" spans="1:6" ht="13.5" thickBot="1" x14ac:dyDescent="0.25">
      <c r="A25" s="35"/>
      <c r="D25" s="12">
        <f>SUM(D18:D24)</f>
        <v>42732.24015817076</v>
      </c>
    </row>
    <row r="26" spans="1:6" ht="13.5" thickTop="1" x14ac:dyDescent="0.2">
      <c r="A26" s="35" t="s">
        <v>5</v>
      </c>
      <c r="B26" s="16"/>
    </row>
    <row r="27" spans="1:6" x14ac:dyDescent="0.2">
      <c r="A27" t="s">
        <v>22</v>
      </c>
      <c r="B27" s="15"/>
      <c r="C27" s="13">
        <f t="shared" ref="C27:C37" si="1">$D$14</f>
        <v>0.72454587726965647</v>
      </c>
      <c r="D27" s="11">
        <f t="shared" ref="D27:D37" si="2">B27*C27</f>
        <v>0</v>
      </c>
    </row>
    <row r="28" spans="1:6" x14ac:dyDescent="0.2">
      <c r="A28" t="s">
        <v>21</v>
      </c>
      <c r="B28" s="15">
        <v>493.03</v>
      </c>
      <c r="C28" s="13">
        <f t="shared" si="1"/>
        <v>0.72454587726965647</v>
      </c>
      <c r="D28" s="11">
        <f t="shared" si="2"/>
        <v>357.22285387025869</v>
      </c>
    </row>
    <row r="29" spans="1:6" x14ac:dyDescent="0.2">
      <c r="A29" t="s">
        <v>20</v>
      </c>
      <c r="B29" s="15">
        <v>330</v>
      </c>
      <c r="C29" s="13">
        <f t="shared" si="1"/>
        <v>0.72454587726965647</v>
      </c>
      <c r="D29" s="11">
        <f t="shared" si="2"/>
        <v>239.10013949898664</v>
      </c>
    </row>
    <row r="30" spans="1:6" x14ac:dyDescent="0.2">
      <c r="A30" t="s">
        <v>19</v>
      </c>
      <c r="B30" s="15"/>
      <c r="C30" s="13">
        <f t="shared" si="1"/>
        <v>0.72454587726965647</v>
      </c>
      <c r="D30" s="11">
        <f t="shared" si="2"/>
        <v>0</v>
      </c>
    </row>
    <row r="31" spans="1:6" x14ac:dyDescent="0.2">
      <c r="A31" t="s">
        <v>18</v>
      </c>
      <c r="B31" s="15"/>
      <c r="C31" s="13">
        <f t="shared" si="1"/>
        <v>0.72454587726965647</v>
      </c>
      <c r="D31" s="11">
        <f t="shared" si="2"/>
        <v>0</v>
      </c>
    </row>
    <row r="32" spans="1:6" x14ac:dyDescent="0.2">
      <c r="A32" t="s">
        <v>17</v>
      </c>
      <c r="B32" s="15">
        <v>434.43</v>
      </c>
      <c r="C32" s="13">
        <f t="shared" si="1"/>
        <v>0.72454587726965647</v>
      </c>
      <c r="D32" s="11">
        <f t="shared" si="2"/>
        <v>314.76446546225685</v>
      </c>
    </row>
    <row r="33" spans="1:7" x14ac:dyDescent="0.2">
      <c r="A33" t="s">
        <v>16</v>
      </c>
      <c r="B33" s="15">
        <v>4029.6</v>
      </c>
      <c r="C33" s="13">
        <f t="shared" si="1"/>
        <v>0.72454587726965647</v>
      </c>
      <c r="D33" s="11">
        <f t="shared" si="2"/>
        <v>2919.6300670458077</v>
      </c>
    </row>
    <row r="34" spans="1:7" x14ac:dyDescent="0.2">
      <c r="A34" t="s">
        <v>15</v>
      </c>
      <c r="B34" s="15">
        <f>71.96+489.98</f>
        <v>561.94000000000005</v>
      </c>
      <c r="C34" s="13">
        <f t="shared" si="1"/>
        <v>0.72454587726965647</v>
      </c>
      <c r="D34" s="11">
        <f t="shared" si="2"/>
        <v>407.15131027291079</v>
      </c>
    </row>
    <row r="35" spans="1:7" x14ac:dyDescent="0.2">
      <c r="A35" t="s">
        <v>14</v>
      </c>
      <c r="B35" s="15">
        <f>20.01-15.67</f>
        <v>4.3400000000000016</v>
      </c>
      <c r="C35" s="13">
        <f t="shared" si="1"/>
        <v>0.72454587726965647</v>
      </c>
      <c r="D35" s="11">
        <f t="shared" si="2"/>
        <v>3.1445291073503103</v>
      </c>
      <c r="F35" s="11"/>
      <c r="G35" s="42"/>
    </row>
    <row r="36" spans="1:7" x14ac:dyDescent="0.2">
      <c r="A36" t="s">
        <v>13</v>
      </c>
      <c r="B36" s="11">
        <v>-1052.0999999999999</v>
      </c>
      <c r="C36" s="13">
        <f t="shared" si="1"/>
        <v>0.72454587726965647</v>
      </c>
      <c r="D36" s="11">
        <f t="shared" si="2"/>
        <v>-762.29471747540549</v>
      </c>
    </row>
    <row r="37" spans="1:7" x14ac:dyDescent="0.2">
      <c r="A37" t="s">
        <v>12</v>
      </c>
      <c r="C37" s="13">
        <f t="shared" si="1"/>
        <v>0.72454587726965647</v>
      </c>
      <c r="D37" s="11">
        <f t="shared" si="2"/>
        <v>0</v>
      </c>
      <c r="F37" s="11"/>
    </row>
    <row r="38" spans="1:7" ht="13.5" thickBot="1" x14ac:dyDescent="0.25">
      <c r="D38" s="12">
        <f>SUM(D27:D37)</f>
        <v>3478.7186477821651</v>
      </c>
    </row>
    <row r="39" spans="1:7" ht="13.5" thickTop="1" x14ac:dyDescent="0.2">
      <c r="A39" s="35" t="s">
        <v>11</v>
      </c>
    </row>
    <row r="40" spans="1:7" ht="13.5" thickBot="1" x14ac:dyDescent="0.25">
      <c r="A40" t="s">
        <v>10</v>
      </c>
      <c r="B40" s="14">
        <f>46055839.79/12*10</f>
        <v>38379866.491666667</v>
      </c>
      <c r="C40" s="29">
        <v>1.4E-3</v>
      </c>
      <c r="D40" s="12">
        <f>B40*C40</f>
        <v>53731.813088333336</v>
      </c>
    </row>
    <row r="41" spans="1:7" ht="13.5" thickTop="1" x14ac:dyDescent="0.2">
      <c r="F41" s="11"/>
    </row>
  </sheetData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3" workbookViewId="0">
      <selection activeCell="D42" sqref="D42"/>
    </sheetView>
  </sheetViews>
  <sheetFormatPr defaultColWidth="9.140625" defaultRowHeight="12.75" x14ac:dyDescent="0.2"/>
  <cols>
    <col min="1" max="1" width="9.140625" style="28"/>
    <col min="2" max="2" width="13.7109375" style="28" customWidth="1"/>
    <col min="3" max="3" width="15.7109375" style="28" customWidth="1"/>
    <col min="4" max="4" width="16.7109375" style="10" customWidth="1"/>
    <col min="5" max="5" width="15.7109375" style="11" customWidth="1"/>
    <col min="6" max="6" width="14.7109375" style="28" customWidth="1"/>
    <col min="7" max="16384" width="9.140625" style="28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45" t="s">
        <v>0</v>
      </c>
      <c r="B2" s="45"/>
      <c r="C2" s="45"/>
      <c r="D2" s="45"/>
      <c r="E2" s="45"/>
      <c r="F2" s="45"/>
    </row>
    <row r="3" spans="1:6" ht="15.75" x14ac:dyDescent="0.25">
      <c r="A3" s="45" t="s">
        <v>1</v>
      </c>
      <c r="B3" s="45"/>
      <c r="C3" s="45"/>
      <c r="D3" s="45"/>
      <c r="E3" s="45"/>
      <c r="F3" s="45"/>
    </row>
    <row r="4" spans="1:6" ht="15.75" x14ac:dyDescent="0.25">
      <c r="A4" s="45" t="s">
        <v>49</v>
      </c>
      <c r="B4" s="45"/>
      <c r="C4" s="45"/>
      <c r="D4" s="45"/>
      <c r="E4" s="45"/>
      <c r="F4" s="45"/>
    </row>
    <row r="5" spans="1:6" ht="15.75" x14ac:dyDescent="0.25">
      <c r="A5" s="43"/>
      <c r="B5" s="43"/>
      <c r="C5" s="43"/>
      <c r="D5" s="43"/>
      <c r="E5" s="43"/>
      <c r="F5" s="43"/>
    </row>
    <row r="6" spans="1:6" ht="15.75" x14ac:dyDescent="0.25">
      <c r="A6" s="43"/>
      <c r="B6" s="43"/>
      <c r="C6" s="43"/>
      <c r="D6" s="43"/>
      <c r="E6" s="43"/>
      <c r="F6" s="43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D8" s="2"/>
      <c r="E8" s="3"/>
      <c r="F8" s="5">
        <f>'[1]Norm-Detail 10-31'!D12</f>
        <v>147605.87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f>'[1]Norm-Detail 10-31'!D25</f>
        <v>42732.24015817076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104873.62984182924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f>'[1]Norm-Detail 10-31'!D38</f>
        <v>3478.7186477821651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101394.91119404708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8</v>
      </c>
      <c r="B19" s="1"/>
      <c r="C19" s="3"/>
      <c r="D19" s="6"/>
      <c r="E19" s="3"/>
      <c r="F19" s="7">
        <f>'[1]Norm-Detail 10-31'!D40</f>
        <v>53731.813088333336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9</v>
      </c>
      <c r="B21" s="1"/>
      <c r="C21" s="1"/>
      <c r="D21" s="2"/>
      <c r="E21" s="3"/>
      <c r="F21" s="9">
        <f>F16-F19+0.04</f>
        <v>47663.138105713741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40</v>
      </c>
      <c r="B23"/>
      <c r="C23"/>
      <c r="F23" s="22">
        <f>ROUND(F21*50%,0)</f>
        <v>23832</v>
      </c>
    </row>
    <row r="24" spans="1:6" ht="15.75" x14ac:dyDescent="0.25">
      <c r="A24" s="8"/>
      <c r="B24"/>
      <c r="C24"/>
      <c r="F24" s="22"/>
    </row>
    <row r="25" spans="1:6" ht="15.75" x14ac:dyDescent="0.25">
      <c r="A25" s="8" t="s">
        <v>64</v>
      </c>
      <c r="B25"/>
      <c r="C25"/>
      <c r="F25" s="22">
        <v>-13947</v>
      </c>
    </row>
    <row r="26" spans="1:6" ht="15.75" x14ac:dyDescent="0.25">
      <c r="A26" s="8" t="s">
        <v>65</v>
      </c>
      <c r="B26"/>
      <c r="C26"/>
      <c r="F26" s="22">
        <v>-1127</v>
      </c>
    </row>
    <row r="27" spans="1:6" ht="15.75" x14ac:dyDescent="0.25">
      <c r="A27" s="8" t="s">
        <v>66</v>
      </c>
      <c r="B27"/>
      <c r="C27"/>
      <c r="F27" s="22">
        <v>-20745</v>
      </c>
    </row>
    <row r="28" spans="1:6" ht="15.75" x14ac:dyDescent="0.25">
      <c r="A28" s="8" t="s">
        <v>67</v>
      </c>
      <c r="B28"/>
      <c r="C28"/>
      <c r="F28" s="22">
        <v>-527</v>
      </c>
    </row>
    <row r="29" spans="1:6" ht="15.75" x14ac:dyDescent="0.25">
      <c r="A29" s="8" t="s">
        <v>68</v>
      </c>
      <c r="B29"/>
      <c r="C29"/>
      <c r="F29" s="22">
        <f>36346</f>
        <v>36346</v>
      </c>
    </row>
    <row r="30" spans="1:6" ht="15.75" x14ac:dyDescent="0.25">
      <c r="A30" s="8"/>
      <c r="B30"/>
      <c r="C30"/>
      <c r="F30" s="22"/>
    </row>
    <row r="31" spans="1:6" ht="15.75" x14ac:dyDescent="0.25">
      <c r="A31" s="8" t="s">
        <v>69</v>
      </c>
      <c r="B31"/>
      <c r="C31"/>
      <c r="F31" s="22">
        <f>F23+SUM(F24:F30)</f>
        <v>23832</v>
      </c>
    </row>
    <row r="32" spans="1:6" x14ac:dyDescent="0.2">
      <c r="A32"/>
      <c r="B32"/>
      <c r="C32"/>
      <c r="F32"/>
    </row>
    <row r="33" spans="1:6" ht="15.75" x14ac:dyDescent="0.25">
      <c r="A33" s="8" t="s">
        <v>70</v>
      </c>
      <c r="B33"/>
      <c r="C33"/>
      <c r="F33"/>
    </row>
    <row r="34" spans="1:6" ht="15" x14ac:dyDescent="0.2">
      <c r="A34" s="1"/>
      <c r="B34" s="30" t="s">
        <v>41</v>
      </c>
      <c r="C34" s="30" t="s">
        <v>37</v>
      </c>
      <c r="D34" s="23" t="s">
        <v>42</v>
      </c>
      <c r="E34" s="24" t="s">
        <v>43</v>
      </c>
      <c r="F34" s="30" t="s">
        <v>44</v>
      </c>
    </row>
    <row r="35" spans="1:6" ht="15" x14ac:dyDescent="0.2">
      <c r="A35" s="1"/>
      <c r="B35" s="25">
        <v>0.22</v>
      </c>
      <c r="C35" s="25">
        <v>0.316</v>
      </c>
      <c r="D35" s="25">
        <v>0.107</v>
      </c>
      <c r="E35" s="25">
        <v>0.215</v>
      </c>
      <c r="F35" s="25">
        <v>0.14199999999999999</v>
      </c>
    </row>
    <row r="36" spans="1:6" ht="15" x14ac:dyDescent="0.2">
      <c r="A36" s="31" t="s">
        <v>45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32" t="s">
        <v>46</v>
      </c>
      <c r="B37" s="27">
        <f>F23*B35</f>
        <v>5243.04</v>
      </c>
      <c r="C37" s="27">
        <f>F23*C35</f>
        <v>7530.9120000000003</v>
      </c>
      <c r="D37" s="27">
        <f>F23*D35</f>
        <v>2550.0239999999999</v>
      </c>
      <c r="E37" s="27">
        <f>F23*E35</f>
        <v>5123.88</v>
      </c>
      <c r="F37" s="27">
        <f>F23*F35</f>
        <v>3384.1439999999998</v>
      </c>
    </row>
    <row r="38" spans="1:6" x14ac:dyDescent="0.2">
      <c r="A38"/>
      <c r="B38"/>
      <c r="C38"/>
      <c r="F38"/>
    </row>
    <row r="39" spans="1:6" x14ac:dyDescent="0.2">
      <c r="A39" t="s">
        <v>47</v>
      </c>
      <c r="B39"/>
      <c r="C39"/>
      <c r="F39" s="33">
        <v>0</v>
      </c>
    </row>
    <row r="40" spans="1:6" x14ac:dyDescent="0.2">
      <c r="A40"/>
      <c r="B40"/>
      <c r="C40"/>
      <c r="F40"/>
    </row>
    <row r="41" spans="1:6" x14ac:dyDescent="0.2">
      <c r="A41" s="34" t="s">
        <v>71</v>
      </c>
      <c r="B41"/>
      <c r="C41"/>
      <c r="F41" s="44">
        <f>B37+C37+D37+E37+F37</f>
        <v>23832</v>
      </c>
    </row>
    <row r="42" spans="1:6" x14ac:dyDescent="0.2">
      <c r="A42"/>
      <c r="B42"/>
      <c r="C42"/>
      <c r="F42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E1FFFB0D5859042BB2EDBE03FD57DCE" ma:contentTypeVersion="92" ma:contentTypeDescription="" ma:contentTypeScope="" ma:versionID="bfe4a18d32f9d10c3a02cfdff96435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2017-11-21T08:00:00+00:00</OpenedDate>
    <Date1 xmlns="dc463f71-b30c-4ab2-9473-d307f9d35888">2017-11-21T08:00:00+00:00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171150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DAF5450-42E7-4D76-9B85-D0148F634E26}"/>
</file>

<file path=customXml/itemProps2.xml><?xml version="1.0" encoding="utf-8"?>
<ds:datastoreItem xmlns:ds="http://schemas.openxmlformats.org/officeDocument/2006/customXml" ds:itemID="{E2E69493-96B9-4482-9810-F662D9EABBC7}"/>
</file>

<file path=customXml/itemProps3.xml><?xml version="1.0" encoding="utf-8"?>
<ds:datastoreItem xmlns:ds="http://schemas.openxmlformats.org/officeDocument/2006/customXml" ds:itemID="{5095B4CE-8B38-421B-91FC-CC434F72685D}"/>
</file>

<file path=customXml/itemProps4.xml><?xml version="1.0" encoding="utf-8"?>
<ds:datastoreItem xmlns:ds="http://schemas.openxmlformats.org/officeDocument/2006/customXml" ds:itemID="{95B39C73-4FFC-4814-9E6C-18EC7D7F64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 10-31 P&amp;L</vt:lpstr>
      <vt:lpstr>Norm-Detail 10-31</vt:lpstr>
      <vt:lpstr>Norm 10-31 50% Refund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2017-11-17T23:02:45Z</cp:lastPrinted>
  <dcterms:created xsi:type="dcterms:W3CDTF">2008-12-02T21:17:14Z</dcterms:created>
  <dcterms:modified xsi:type="dcterms:W3CDTF">2017-11-21T17:01:24Z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0x0101006E56B4D1795A2E4DB2F0B01679ED314A004E1FFFB0D5859042BB2EDBE03FD57DCE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