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PSE Tariff\"/>
    </mc:Choice>
  </mc:AlternateContent>
  <bookViews>
    <workbookView xWindow="480" yWindow="75" windowWidth="27795" windowHeight="13860"/>
  </bookViews>
  <sheets>
    <sheet name="Amort Balances Tracker-1" sheetId="1" r:id="rId1"/>
    <sheet name="Amort Rates Tracker-2" sheetId="2" r:id="rId2"/>
    <sheet name="Forecast Tracker-3" sheetId="3" r:id="rId3"/>
    <sheet name="Amort Cust Impact Tracker-4" sheetId="4" r:id="rId4"/>
    <sheet name="Amort Rev Impact Tracker-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Feb04">[1]BS!$S$7:$S$3582</definedName>
    <definedName name="__Jan04">[1]BS!$R$7:$R$3582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r04">[1]BS!$T$7:$T$3582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0</definedName>
    <definedName name="_Order2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q1Plant">'[5]Acquisition Inputs'!$C$8</definedName>
    <definedName name="Acq2Plant">'[5]Acquisition Inputs'!$C$70</definedName>
    <definedName name="ADJPTDCE.T">[4]INTERNAL!$A$31:$IV$33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'[6]Cabot Gas Replacement'!$B$8:$F$16</definedName>
    <definedName name="AS2DocOpenMode">"AS2DocumentEdit"</definedName>
    <definedName name="Asset_Class_Switch">[7]Assumptions!$D$5</definedName>
    <definedName name="Aug04AMA">[1]BS!$AK$7:$AK$3582</definedName>
    <definedName name="Aug09AMA">[2]BS!$AR$7:$AR$1726</definedName>
    <definedName name="Aurora_Prices">"Monthly Price Summary'!$C$4:$H$63"</definedName>
    <definedName name="Beg_Unb_KWHs">[8]LeadSht!$L$10</definedName>
    <definedName name="BOOK_LIFE">'[9]Lvl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SE">[10]INPUTS!$C$8</definedName>
    <definedName name="CaseDescription">'[5]Dispatch Cases'!$C$11</definedName>
    <definedName name="CBWorkbookPriority">-2060790043</definedName>
    <definedName name="CCGT_HeatRate">[5]Assumptions!$H$23</definedName>
    <definedName name="CCGTPrice">[5]Assumptions!$H$22</definedName>
    <definedName name="CL_RT2">'[11]Transp Data'!$A$6:$C$81</definedName>
    <definedName name="Construction_OH">'[12]Virtual 49 Back-Up'!$E$54</definedName>
    <definedName name="ConversionFactor">[5]Assumptions!$I$65</definedName>
    <definedName name="CurrQtr">'[13]Inc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'[13]Avg Amts'!$A$5:$BP$34</definedName>
    <definedName name="Data.Qtrs.Avg">'[13]Avg Amts'!$A$5:$IV$5</definedName>
    <definedName name="data1">'[14]Mix Variance'!$O$5:$T$25</definedName>
    <definedName name="DebtPerc">[5]Assumptions!$I$58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S1.T">[4]INTERNAL!$A$40:$IV$42</definedName>
    <definedName name="DES2.T">[4]INTERNAL!$A$43:$IV$45</definedName>
    <definedName name="DF_HeatRate">[5]Assumptions!$L$23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count_for_Revenue_Reqmt">'[15]Assumptions of Purchase'!$B$45</definedName>
    <definedName name="DocketNumber">'[16]JHS-4'!$AP$2</definedName>
    <definedName name="DP.T">[4]INTERNAL!$A$46:$IV$48</definedName>
    <definedName name="EBFIT.T">[4]INTERNAL!$A$88:$IV$90</definedName>
    <definedName name="EffTax">[4]INPUTS!$F$31</definedName>
    <definedName name="Electric_Prices">'[17]Monthly Price Summary'!$B$4:$E$27</definedName>
    <definedName name="ElRBLine">[1]BS!$AQ$7:$AQ$3303</definedName>
    <definedName name="EndDate">[5]Assumptions!$C$11</definedName>
    <definedName name="ENERGY_1">[4]EXTERNAL!$A$4:$IV$6</definedName>
    <definedName name="ENERGY_2">[4]EXTERNAL!$A$145:$IV$147</definedName>
    <definedName name="EPIS.T">[4]INTERNAL!$A$49:$IV$51</definedName>
    <definedName name="FCR">'[12]Virtual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[18]Inputs!$E$112</definedName>
    <definedName name="FedTaxRate">[5]Assumptions!$C$33</definedName>
    <definedName name="FERC_Lookup">'[19]Map Table'!$E$2:$F$58</definedName>
    <definedName name="FTAX">[4]INPUTS!$F$30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Jan04AMA">[1]BS!$AD$7:$AD$3582</definedName>
    <definedName name="Jan09AMA">[2]BS!$AK$7:$AK$1743</definedName>
    <definedName name="Jan10AMA">[2]BS!$AW$7:$AW$1726</definedName>
    <definedName name="JP_Bal">[20]ACCOUNTS!$AG$31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Last_Row">IF([0]!Values_Entered,Header_Row+[0]!Number_of_Payments,Header_Row)</definedName>
    <definedName name="LINE.T">[4]INTERNAL!$A$55:$IV$57</definedName>
    <definedName name="LoadArray">'[21]Load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[22]M9100F4!$A$1:$V$99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[23]!menu1_Button5_Click</definedName>
    <definedName name="menu1_Button6_Click">[23]!menu1_Button6_Click</definedName>
    <definedName name="MERGER_COST">[24]Sheet1!$AF$3:$AJ$28</definedName>
    <definedName name="METER">[4]EXTERNAL!$A$34:$IV$36</definedName>
    <definedName name="MTD_Format">[25]Mthly!$B$11:$D$11,[25]Mthly!$B$35:$D$35</definedName>
    <definedName name="NCP_360">[4]EXTERNAL!$A$13:$IV$15</definedName>
    <definedName name="NCP_361">[4]EXTERNAL!$A$16:$IV$18</definedName>
    <definedName name="NCP_362">[4]EXTERNAL!$A$19:$IV$21</definedName>
    <definedName name="Nov03AMA">[3]BS!$AI$7:$AI$3582</definedName>
    <definedName name="Nov04AMA">[1]BS!$AN$7:$AN$3582</definedName>
    <definedName name="Nov09AMA">[2]BS!$AU$7:$AU$1726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'[12]Virtual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thRCF">[10]INPUTS!$F$41</definedName>
    <definedName name="OthUnc">[4]INPUTS!$F$36</definedName>
    <definedName name="outlookdata">'[26]pivoted data'!$D$3:$Q$90</definedName>
    <definedName name="peak_new_table">'[27]2008 Extreme Peaks - 080403'!$E$5:$AD$8</definedName>
    <definedName name="peak_table">'[27]Peaks-F01'!$C$5:$E$243</definedName>
    <definedName name="Percent_debt">[18]Inputs!$E$129</definedName>
    <definedName name="POWER.T">[4]INTERNAL!$A$58:$IV$60</definedName>
    <definedName name="PP.T">[4]INTERNAL!$A$61:$IV$63</definedName>
    <definedName name="PreTaxDebtCost">[5]Assumptions!$I$56</definedName>
    <definedName name="PreTaxWACC">[5]Assumptions!$I$62</definedName>
    <definedName name="Prices_Aurora">'[17]Monthly Price Summary'!$C$4:$H$63</definedName>
    <definedName name="_xlnm.Print_Area" localSheetId="0">'Amort Balances Tracker-1'!$A$1:$E$51</definedName>
    <definedName name="_xlnm.Print_Area" localSheetId="2">'Forecast Tracker-3'!$A$1:$P$49</definedName>
    <definedName name="Prior_Month">[28]Sch_120!$I$21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[29]Sheet1!$A$1147:$B$1887</definedName>
    <definedName name="Prov_Cap_Tax">[18]Inputs!$E$111</definedName>
    <definedName name="PSE">'[30]4.04'!$A$6</definedName>
    <definedName name="PSE_Pre_Tax_Equity_Rate">'[15]Assumptions of Purchase'!$B$42</definedName>
    <definedName name="PTDGP.T">[4]INTERNAL!$A$64:$IV$66</definedName>
    <definedName name="PTDP.T">[4]INTERNAL!$A$67:$IV$69</definedName>
    <definedName name="QTD_Format">[25]QTD!$B$11:$D$11,[25]QTD!$B$35:$D$35</definedName>
    <definedName name="RATE2">'[11]Transp Data'!$A$8:$I$112</definedName>
    <definedName name="RB.T">[4]INTERNAL!$A$70:$IV$72</definedName>
    <definedName name="RCF">[20]INPUTS!$F$48</definedName>
    <definedName name="ResExchCrRate">[28]Sch_194!$M$31</definedName>
    <definedName name="RESID">[4]EXTERNAL!$A$88:$IV$90</definedName>
    <definedName name="resource_lookup">'[31]#REF'!$B$3:$C$112</definedName>
    <definedName name="ResRCF">[10]INPUTS!$F$39</definedName>
    <definedName name="ResUnc">[4]INPUTS!$F$34</definedName>
    <definedName name="REVFAC1.T">[4]INTERNAL!$A$73:$IV$75</definedName>
    <definedName name="ROD">[32]INPUTS!$F$25</definedName>
    <definedName name="ROE">[20]INPUTS!$F$31</definedName>
    <definedName name="ROR">[20]INPUTS!$F$29</definedName>
    <definedName name="SAPBEXhrIndnt">"Wide"</definedName>
    <definedName name="SAPsysID">"708C5W7SBKP804JT78WJ0JNKI"</definedName>
    <definedName name="SAPwbID">"ARS"</definedName>
    <definedName name="SBRCF">[10]INPUTS!$F$40</definedName>
    <definedName name="SbUnc">[4]INPUTS!$F$35</definedName>
    <definedName name="Sch194Rlfwd">'[33]Sch94 Rlfwd'!$B$11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[5]Assumptions!$C$9</definedName>
    <definedName name="STAX">[4]INPUTS!$F$29</definedName>
    <definedName name="SW.T">[4]INTERNAL!$A$76:$IV$78</definedName>
    <definedName name="SWPTD.T">[4]INTERNAL!$A$79:$IV$81</definedName>
    <definedName name="TDP.T">[4]INTERNAL!$A$82:$IV$84</definedName>
    <definedName name="TFR">[4]CLASSIFIERS!$A$11:$IV$11</definedName>
    <definedName name="ThermalBookLife">[5]Assumptions!$C$25</definedName>
    <definedName name="Title">[5]Assumptions!$A$1</definedName>
    <definedName name="TP.T">[4]INTERNAL!$A$91:$IV$93</definedName>
    <definedName name="transdb">'[34]Transp Unbilled'!$A$8:$E$174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VOMEsc">[5]Assumptions!$C$21</definedName>
    <definedName name="WACC">[5]Assumptions!$I$61</definedName>
    <definedName name="Winter">'[35]Input Tab'!$B$11</definedName>
    <definedName name="Years_evaluated">'[36]Revison Inputs'!$B$6</definedName>
    <definedName name="YTD_Format">[25]YTD!$B$13:$D$13,[25]YTD!$B$36:$D$36</definedName>
  </definedNames>
  <calcPr calcId="152511"/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B2" i="5"/>
  <c r="D24" i="4"/>
  <c r="H23" i="4"/>
  <c r="D23" i="4"/>
  <c r="D22" i="4"/>
  <c r="D18" i="4"/>
  <c r="A18" i="4"/>
  <c r="A19" i="4" s="1"/>
  <c r="A22" i="4" s="1"/>
  <c r="A23" i="4" s="1"/>
  <c r="A24" i="4" s="1"/>
  <c r="A25" i="4" s="1"/>
  <c r="A26" i="4" s="1"/>
  <c r="D17" i="4"/>
  <c r="H13" i="4"/>
  <c r="D13" i="4"/>
  <c r="A13" i="4"/>
  <c r="A14" i="4" s="1"/>
  <c r="A17" i="4" s="1"/>
  <c r="I12" i="4"/>
  <c r="D12" i="4"/>
  <c r="A2" i="4"/>
  <c r="F38" i="3"/>
  <c r="P36" i="3"/>
  <c r="I24" i="4" s="1"/>
  <c r="P35" i="3"/>
  <c r="P34" i="3"/>
  <c r="I22" i="4" s="1"/>
  <c r="P30" i="3"/>
  <c r="I18" i="4" s="1"/>
  <c r="P29" i="3"/>
  <c r="I17" i="4" s="1"/>
  <c r="O26" i="3"/>
  <c r="O38" i="3" s="1"/>
  <c r="N26" i="3"/>
  <c r="N38" i="3" s="1"/>
  <c r="M26" i="3"/>
  <c r="M38" i="3" s="1"/>
  <c r="L26" i="3"/>
  <c r="L38" i="3" s="1"/>
  <c r="K26" i="3"/>
  <c r="K38" i="3" s="1"/>
  <c r="J26" i="3"/>
  <c r="J38" i="3" s="1"/>
  <c r="I26" i="3"/>
  <c r="I38" i="3" s="1"/>
  <c r="H26" i="3"/>
  <c r="H38" i="3" s="1"/>
  <c r="G26" i="3"/>
  <c r="G38" i="3" s="1"/>
  <c r="F26" i="3"/>
  <c r="E26" i="3"/>
  <c r="E38" i="3" s="1"/>
  <c r="D26" i="3"/>
  <c r="D38" i="3" s="1"/>
  <c r="P25" i="3"/>
  <c r="I20" i="3"/>
  <c r="H20" i="3"/>
  <c r="J8" i="2" s="1"/>
  <c r="J11" i="2" s="1"/>
  <c r="G20" i="3"/>
  <c r="F20" i="3"/>
  <c r="E20" i="3"/>
  <c r="D20" i="3"/>
  <c r="C20" i="3"/>
  <c r="P16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P13" i="3"/>
  <c r="E17" i="5" s="1"/>
  <c r="P12" i="3"/>
  <c r="E16" i="5" s="1"/>
  <c r="P11" i="3"/>
  <c r="P10" i="3"/>
  <c r="H18" i="4" s="1"/>
  <c r="P9" i="3"/>
  <c r="E13" i="5" s="1"/>
  <c r="P8" i="3"/>
  <c r="E12" i="5" s="1"/>
  <c r="P7" i="3"/>
  <c r="D6" i="3"/>
  <c r="C6" i="3"/>
  <c r="A2" i="3"/>
  <c r="C23" i="2"/>
  <c r="B10" i="2"/>
  <c r="B11" i="2" s="1"/>
  <c r="B13" i="2" s="1"/>
  <c r="B14" i="2" s="1"/>
  <c r="B16" i="2" s="1"/>
  <c r="B17" i="2" s="1"/>
  <c r="B19" i="2" s="1"/>
  <c r="B22" i="2" s="1"/>
  <c r="B23" i="2" s="1"/>
  <c r="B24" i="2" s="1"/>
  <c r="B25" i="2" s="1"/>
  <c r="B26" i="2" s="1"/>
  <c r="B29" i="2" s="1"/>
  <c r="B30" i="2" s="1"/>
  <c r="B31" i="2" s="1"/>
  <c r="B32" i="2" s="1"/>
  <c r="B33" i="2" s="1"/>
  <c r="B34" i="2" s="1"/>
  <c r="B35" i="2" s="1"/>
  <c r="B36" i="2" s="1"/>
  <c r="B37" i="2" s="1"/>
  <c r="K8" i="2"/>
  <c r="K23" i="2" s="1"/>
  <c r="I8" i="2"/>
  <c r="I11" i="2" s="1"/>
  <c r="H8" i="2"/>
  <c r="G8" i="2"/>
  <c r="G23" i="2" s="1"/>
  <c r="E8" i="2"/>
  <c r="E11" i="2" s="1"/>
  <c r="E30" i="1"/>
  <c r="C30" i="1"/>
  <c r="C29" i="1"/>
  <c r="C31" i="1" s="1"/>
  <c r="D30" i="1"/>
  <c r="C19" i="1"/>
  <c r="E20" i="1"/>
  <c r="D29" i="1"/>
  <c r="D31" i="1" s="1"/>
  <c r="C18" i="1"/>
  <c r="C20" i="1" s="1"/>
  <c r="C37" i="1"/>
  <c r="D22" i="2" s="1"/>
  <c r="A12" i="1"/>
  <c r="A13" i="1" s="1"/>
  <c r="A18" i="1" s="1"/>
  <c r="A19" i="1" s="1"/>
  <c r="A20" i="1" s="1"/>
  <c r="A22" i="1" s="1"/>
  <c r="A26" i="1" s="1"/>
  <c r="A29" i="1" s="1"/>
  <c r="A30" i="1" s="1"/>
  <c r="A31" i="1" s="1"/>
  <c r="A36" i="1" s="1"/>
  <c r="A37" i="1" s="1"/>
  <c r="A38" i="1" s="1"/>
  <c r="A44" i="1" s="1"/>
  <c r="A45" i="1" s="1"/>
  <c r="A46" i="1" s="1"/>
  <c r="A47" i="1" s="1"/>
  <c r="A48" i="1" s="1"/>
  <c r="C13" i="1"/>
  <c r="C22" i="1" s="1"/>
  <c r="E14" i="5" l="1"/>
  <c r="J23" i="2"/>
  <c r="G11" i="2"/>
  <c r="K11" i="2"/>
  <c r="P14" i="3"/>
  <c r="E11" i="5"/>
  <c r="H12" i="4"/>
  <c r="I14" i="4"/>
  <c r="E6" i="3"/>
  <c r="D23" i="3"/>
  <c r="P26" i="3"/>
  <c r="I13" i="4" s="1"/>
  <c r="E29" i="1"/>
  <c r="E31" i="1" s="1"/>
  <c r="C36" i="1"/>
  <c r="H23" i="2"/>
  <c r="H11" i="2"/>
  <c r="F18" i="5"/>
  <c r="E15" i="5"/>
  <c r="H22" i="4"/>
  <c r="P38" i="3"/>
  <c r="I23" i="4"/>
  <c r="I25" i="4" s="1"/>
  <c r="J20" i="3"/>
  <c r="F8" i="2"/>
  <c r="I19" i="4"/>
  <c r="D20" i="1"/>
  <c r="E23" i="2"/>
  <c r="I23" i="2"/>
  <c r="H17" i="4"/>
  <c r="H24" i="4"/>
  <c r="F6" i="3" l="1"/>
  <c r="E23" i="3"/>
  <c r="I26" i="4"/>
  <c r="H14" i="4"/>
  <c r="H19" i="4"/>
  <c r="H25" i="4"/>
  <c r="D13" i="2"/>
  <c r="C38" i="1"/>
  <c r="E18" i="5"/>
  <c r="F11" i="2"/>
  <c r="D11" i="2" s="1"/>
  <c r="F23" i="2"/>
  <c r="D23" i="2" s="1"/>
  <c r="D24" i="2" s="1"/>
  <c r="D8" i="2"/>
  <c r="K24" i="2" l="1"/>
  <c r="G24" i="2"/>
  <c r="J24" i="2"/>
  <c r="F24" i="2"/>
  <c r="H24" i="2"/>
  <c r="E24" i="2"/>
  <c r="I24" i="2"/>
  <c r="F25" i="2"/>
  <c r="F23" i="3"/>
  <c r="G6" i="3"/>
  <c r="H13" i="2"/>
  <c r="K13" i="2"/>
  <c r="G13" i="2"/>
  <c r="I13" i="2"/>
  <c r="E13" i="2"/>
  <c r="J13" i="2"/>
  <c r="F13" i="2"/>
  <c r="H26" i="4"/>
  <c r="E14" i="2" l="1"/>
  <c r="E16" i="2"/>
  <c r="J30" i="2"/>
  <c r="J25" i="2"/>
  <c r="J16" i="2"/>
  <c r="J14" i="2"/>
  <c r="K16" i="2"/>
  <c r="K14" i="2"/>
  <c r="F26" i="2"/>
  <c r="F30" i="2"/>
  <c r="I30" i="2"/>
  <c r="I25" i="2"/>
  <c r="I14" i="2"/>
  <c r="I16" i="2"/>
  <c r="G23" i="3"/>
  <c r="H6" i="3"/>
  <c r="E30" i="2"/>
  <c r="E25" i="2"/>
  <c r="G30" i="2"/>
  <c r="G25" i="2"/>
  <c r="H16" i="2"/>
  <c r="H14" i="2"/>
  <c r="F16" i="2"/>
  <c r="F14" i="2"/>
  <c r="G16" i="2"/>
  <c r="G14" i="2"/>
  <c r="H30" i="2"/>
  <c r="H25" i="2"/>
  <c r="K30" i="2"/>
  <c r="K25" i="2"/>
  <c r="K29" i="2" l="1"/>
  <c r="K31" i="2" s="1"/>
  <c r="K33" i="2" s="1"/>
  <c r="K19" i="2"/>
  <c r="H29" i="2"/>
  <c r="H31" i="2" s="1"/>
  <c r="H33" i="2" s="1"/>
  <c r="H19" i="2"/>
  <c r="I6" i="3"/>
  <c r="H23" i="3"/>
  <c r="F19" i="2"/>
  <c r="F29" i="2"/>
  <c r="F31" i="2" s="1"/>
  <c r="F33" i="2" s="1"/>
  <c r="F17" i="2"/>
  <c r="D25" i="2"/>
  <c r="I29" i="2"/>
  <c r="I31" i="2" s="1"/>
  <c r="I33" i="2" s="1"/>
  <c r="I19" i="2"/>
  <c r="E29" i="2"/>
  <c r="E31" i="2" s="1"/>
  <c r="E33" i="2" s="1"/>
  <c r="E19" i="2"/>
  <c r="G29" i="2"/>
  <c r="G31" i="2" s="1"/>
  <c r="G33" i="2" s="1"/>
  <c r="G19" i="2"/>
  <c r="J29" i="2"/>
  <c r="J31" i="2" s="1"/>
  <c r="J33" i="2" s="1"/>
  <c r="J19" i="2"/>
  <c r="D14" i="2"/>
  <c r="E23" i="4" l="1"/>
  <c r="F23" i="4" s="1"/>
  <c r="J23" i="4" s="1"/>
  <c r="K23" i="4" s="1"/>
  <c r="L23" i="4" s="1"/>
  <c r="D16" i="5"/>
  <c r="G16" i="5" s="1"/>
  <c r="H16" i="5" s="1"/>
  <c r="I16" i="5" s="1"/>
  <c r="J36" i="2"/>
  <c r="J37" i="2" s="1"/>
  <c r="D11" i="5"/>
  <c r="G11" i="5" s="1"/>
  <c r="H11" i="5" s="1"/>
  <c r="E12" i="4"/>
  <c r="F12" i="4" s="1"/>
  <c r="J12" i="4" s="1"/>
  <c r="E36" i="2"/>
  <c r="E37" i="2" s="1"/>
  <c r="E13" i="4"/>
  <c r="F13" i="4" s="1"/>
  <c r="J13" i="4" s="1"/>
  <c r="K13" i="4" s="1"/>
  <c r="L13" i="4" s="1"/>
  <c r="D12" i="5"/>
  <c r="G12" i="5" s="1"/>
  <c r="H12" i="5" s="1"/>
  <c r="I12" i="5" s="1"/>
  <c r="F36" i="2"/>
  <c r="F37" i="2" s="1"/>
  <c r="F34" i="2"/>
  <c r="E17" i="4"/>
  <c r="F17" i="4" s="1"/>
  <c r="J17" i="4" s="1"/>
  <c r="G36" i="2"/>
  <c r="G37" i="2" s="1"/>
  <c r="D13" i="5"/>
  <c r="G13" i="5" s="1"/>
  <c r="H13" i="5" s="1"/>
  <c r="I13" i="5" s="1"/>
  <c r="D15" i="5"/>
  <c r="G15" i="5" s="1"/>
  <c r="H15" i="5" s="1"/>
  <c r="I15" i="5" s="1"/>
  <c r="E22" i="4"/>
  <c r="F22" i="4" s="1"/>
  <c r="J22" i="4" s="1"/>
  <c r="I36" i="2"/>
  <c r="I37" i="2" s="1"/>
  <c r="E18" i="4"/>
  <c r="F18" i="4" s="1"/>
  <c r="J18" i="4" s="1"/>
  <c r="K18" i="4" s="1"/>
  <c r="L18" i="4" s="1"/>
  <c r="H36" i="2"/>
  <c r="H37" i="2" s="1"/>
  <c r="D14" i="5"/>
  <c r="G14" i="5" s="1"/>
  <c r="H14" i="5" s="1"/>
  <c r="I14" i="5" s="1"/>
  <c r="D19" i="2"/>
  <c r="J6" i="3"/>
  <c r="I23" i="3"/>
  <c r="D17" i="5"/>
  <c r="G17" i="5" s="1"/>
  <c r="H17" i="5" s="1"/>
  <c r="I17" i="5" s="1"/>
  <c r="K36" i="2"/>
  <c r="K37" i="2" s="1"/>
  <c r="E24" i="4"/>
  <c r="F24" i="4" s="1"/>
  <c r="J24" i="4" s="1"/>
  <c r="K24" i="4" s="1"/>
  <c r="L24" i="4" s="1"/>
  <c r="H18" i="5" l="1"/>
  <c r="I11" i="5"/>
  <c r="K17" i="4"/>
  <c r="L17" i="4" s="1"/>
  <c r="J19" i="4"/>
  <c r="K19" i="4" s="1"/>
  <c r="L19" i="4" s="1"/>
  <c r="K22" i="4"/>
  <c r="L22" i="4" s="1"/>
  <c r="J25" i="4"/>
  <c r="K25" i="4" s="1"/>
  <c r="L25" i="4" s="1"/>
  <c r="J23" i="3"/>
  <c r="K6" i="3"/>
  <c r="K12" i="4"/>
  <c r="L12" i="4" s="1"/>
  <c r="J14" i="4"/>
  <c r="K23" i="3" l="1"/>
  <c r="L6" i="3"/>
  <c r="K14" i="4"/>
  <c r="L14" i="4" s="1"/>
  <c r="J26" i="4"/>
  <c r="I18" i="5"/>
  <c r="G18" i="5"/>
  <c r="M6" i="3" l="1"/>
  <c r="L23" i="3"/>
  <c r="N6" i="3" l="1"/>
  <c r="M23" i="3"/>
  <c r="N23" i="3" l="1"/>
  <c r="O6" i="3"/>
  <c r="O23" i="3" s="1"/>
</calcChain>
</file>

<file path=xl/sharedStrings.xml><?xml version="1.0" encoding="utf-8"?>
<sst xmlns="http://schemas.openxmlformats.org/spreadsheetml/2006/main" count="187" uniqueCount="151">
  <si>
    <t>Advice No. 2017 - 14</t>
  </si>
  <si>
    <t>Exhibit ___ (Tracker -1)</t>
  </si>
  <si>
    <t>Page 1 of 1</t>
  </si>
  <si>
    <t>Puget Sound Energy</t>
  </si>
  <si>
    <t>PGA Deferral Amortization (Tracker) Filing Proposed Effective November 1, 2017</t>
  </si>
  <si>
    <t>Allocation and Transfer of Amortization Balances</t>
  </si>
  <si>
    <t>Estimated Amortization Balance as of Oct 31, 2017</t>
  </si>
  <si>
    <t>Total</t>
  </si>
  <si>
    <t>Estimated Demand Amortization Balance</t>
  </si>
  <si>
    <t>Estimated Commodity Amortization Balance</t>
  </si>
  <si>
    <t>Estimated Total Amortization Balance</t>
  </si>
  <si>
    <t>Estimated Current Period Balance as of Oct 31, 2017</t>
  </si>
  <si>
    <t>Interest</t>
  </si>
  <si>
    <t>Current Balance</t>
  </si>
  <si>
    <t>Estimated Demand Balance</t>
  </si>
  <si>
    <t>Estimated Commodity Balance</t>
  </si>
  <si>
    <t>Estimated Current Period Balance</t>
  </si>
  <si>
    <t>Net Under (Over) Collection (Line 3 + Line 6)</t>
  </si>
  <si>
    <t>Transfer from Current and Interest Accounts to Amortization Accounts</t>
  </si>
  <si>
    <t>Portion of Current Demand to Transfer to Amortization Account (1)</t>
  </si>
  <si>
    <t>Demand</t>
  </si>
  <si>
    <t xml:space="preserve">Commodity </t>
  </si>
  <si>
    <t xml:space="preserve">Balance To Collect Through Schedule 106 Amortization Rates in 2017 PGA </t>
  </si>
  <si>
    <t>Demand (line 1 + line 9)</t>
  </si>
  <si>
    <t>Commodity (line 2 + line 10)</t>
  </si>
  <si>
    <t>Projected 191 Balances Nov 17 - Oct 18</t>
  </si>
  <si>
    <t>Average Monthly</t>
  </si>
  <si>
    <t>Oct. 2018</t>
  </si>
  <si>
    <t>Balance</t>
  </si>
  <si>
    <t>Ending Balance</t>
  </si>
  <si>
    <t>Current Demand Balance</t>
  </si>
  <si>
    <t>Current Commodity Balance</t>
  </si>
  <si>
    <t>Amortization Account</t>
  </si>
  <si>
    <t>Supplemental Amortization Account</t>
  </si>
  <si>
    <t>Total 191 Balance</t>
  </si>
  <si>
    <t xml:space="preserve">(1)  None of the PGA demand balance is transferred to the amortization account because an under-collected balance is expected at the end of October due to the cyclical nature of demand gas cost recoveries relative to cost incurrence.  </t>
  </si>
  <si>
    <t>PGA Tracker Filing Proposed Effective November 1, 2017</t>
  </si>
  <si>
    <t>Calculation of Proposed Schedule 106 Rates</t>
  </si>
  <si>
    <t>Residential</t>
  </si>
  <si>
    <t>Commercial and Industrial</t>
  </si>
  <si>
    <t>Interruptible</t>
  </si>
  <si>
    <t>Line</t>
  </si>
  <si>
    <t>Description</t>
  </si>
  <si>
    <t>Calculation of Amortization Demand Rates</t>
  </si>
  <si>
    <r>
      <t xml:space="preserve">Projected Volume </t>
    </r>
    <r>
      <rPr>
        <sz val="10"/>
        <color rgb="FF0000FF"/>
        <rFont val="Arial"/>
        <family val="2"/>
      </rPr>
      <t>Nov. 17 - Oct. 18</t>
    </r>
    <r>
      <rPr>
        <sz val="10"/>
        <rFont val="Arial"/>
        <family val="2"/>
      </rPr>
      <t xml:space="preserve"> (therms)</t>
    </r>
  </si>
  <si>
    <t>Unit Demand Costs from Cost Study (1)</t>
  </si>
  <si>
    <t>Estimated PGA Revenue Under Cost of Service Rates (line 1 x line 3)</t>
  </si>
  <si>
    <t>Projected Annual Demand Balance (2)</t>
  </si>
  <si>
    <t>Percent of Total Demand Balance</t>
  </si>
  <si>
    <t>Proposed Demand Amortization Rates (line 4 / line 1)</t>
  </si>
  <si>
    <t>Proposed Schedule 16 rate per Mantle (line 6 x 19)</t>
  </si>
  <si>
    <t>Proposed Total Demand Amortization Revenue</t>
  </si>
  <si>
    <t>Calculation of Amortization Commodity Rates</t>
  </si>
  <si>
    <t>Projected Annual Commodity Balance</t>
  </si>
  <si>
    <t>Proposed Commodity Rates (line 9 / line 10)</t>
  </si>
  <si>
    <t>Revenue Under Proposed Rates</t>
  </si>
  <si>
    <t>Schedule 16 Rate per Mantle (line 11 x 19)</t>
  </si>
  <si>
    <t>Total Proposed Amortization Rates</t>
  </si>
  <si>
    <t>Proposed Demand Amortization Rates (line 6)</t>
  </si>
  <si>
    <t>Proposed Commodity Amortization Rates (line 11)</t>
  </si>
  <si>
    <t>Proposed Total Rates</t>
  </si>
  <si>
    <t>Revenue Adjustment Factor (RAF)</t>
  </si>
  <si>
    <t>Proposed Total Rates Including RAF (line 16 x (1 + line 17))</t>
  </si>
  <si>
    <t>Schedule 16 Rate per Mantle (line 18 x 19)</t>
  </si>
  <si>
    <t>Current Rates Including RAF (Schedule 106)</t>
  </si>
  <si>
    <t>Proposed Change Including RAF (line 18 - line 20)</t>
  </si>
  <si>
    <t>Percent Change</t>
  </si>
  <si>
    <t>(1) 2011 GRC cost of service study</t>
  </si>
  <si>
    <t>(2) Allocated based on line 3</t>
  </si>
  <si>
    <t>Sources: Schedule 106; Exhibit Tracker 1</t>
  </si>
  <si>
    <t>Forecasted Sales Volumes and Customer Counts</t>
  </si>
  <si>
    <t>Projected Sales Volume by Month (Therms)</t>
  </si>
  <si>
    <t>Nov 17 - Oct 18</t>
  </si>
  <si>
    <t>Rate Sch</t>
  </si>
  <si>
    <t>Sales</t>
  </si>
  <si>
    <t>Transportation</t>
  </si>
  <si>
    <t>Annual Sales Volume</t>
  </si>
  <si>
    <t>Schedule:</t>
  </si>
  <si>
    <t>Annual Sales:</t>
  </si>
  <si>
    <t>Number of Customers by Month</t>
  </si>
  <si>
    <t>Average</t>
  </si>
  <si>
    <t>16 (1)</t>
  </si>
  <si>
    <t>Commercial &amp; Industrial</t>
  </si>
  <si>
    <t>Large Volume</t>
  </si>
  <si>
    <t>(1) Number of mantles</t>
  </si>
  <si>
    <t>Source: F2016 Load forecast</t>
  </si>
  <si>
    <t>Estimated Annual and Monthly Customer Impact for PGA Period</t>
  </si>
  <si>
    <t>PGA Period</t>
  </si>
  <si>
    <t>Total Annual</t>
  </si>
  <si>
    <t>Rate</t>
  </si>
  <si>
    <t>Schedule 106 Rates Including RAF</t>
  </si>
  <si>
    <t>Revenue</t>
  </si>
  <si>
    <t>Change Per Customer</t>
  </si>
  <si>
    <t>Schedule</t>
  </si>
  <si>
    <t>Current</t>
  </si>
  <si>
    <t>Proposed</t>
  </si>
  <si>
    <t>Change</t>
  </si>
  <si>
    <t>Volume (therms)</t>
  </si>
  <si>
    <t>Customers (1)</t>
  </si>
  <si>
    <t>Annual</t>
  </si>
  <si>
    <t>Monthly</t>
  </si>
  <si>
    <t>(a)</t>
  </si>
  <si>
    <t>(b)</t>
  </si>
  <si>
    <t>(c)</t>
  </si>
  <si>
    <t>(d)</t>
  </si>
  <si>
    <t>(e)</t>
  </si>
  <si>
    <t>(f)</t>
  </si>
  <si>
    <t>(g)</t>
  </si>
  <si>
    <t>(h)</t>
  </si>
  <si>
    <t>c = (b) - (a)</t>
  </si>
  <si>
    <t>f = (c) * (d)</t>
  </si>
  <si>
    <t>g = (f) / (e)</t>
  </si>
  <si>
    <t>h = (g) / 12</t>
  </si>
  <si>
    <t>Total Residential</t>
  </si>
  <si>
    <t>Total Commercial &amp; Industrial</t>
  </si>
  <si>
    <t>Total Interruptible</t>
  </si>
  <si>
    <t xml:space="preserve">Total </t>
  </si>
  <si>
    <t>(1) Average customers for schedule 16 is the average numbers of mantles</t>
  </si>
  <si>
    <t xml:space="preserve">Exhibit____(Tracker-4)  </t>
  </si>
  <si>
    <t>Sources: Rate Schedule 106; Exhibit Tracker-2</t>
  </si>
  <si>
    <t>Estimated Impact of Schedule 106 Change on Total Bills</t>
  </si>
  <si>
    <t>Forecasted</t>
  </si>
  <si>
    <t>2017 PGA</t>
  </si>
  <si>
    <t>Schedule 106</t>
  </si>
  <si>
    <t>Volume (Therms)</t>
  </si>
  <si>
    <t>Revenue at</t>
  </si>
  <si>
    <t xml:space="preserve">Net Change </t>
  </si>
  <si>
    <t xml:space="preserve">Percent </t>
  </si>
  <si>
    <t>Rate Class</t>
  </si>
  <si>
    <t>Rates</t>
  </si>
  <si>
    <t>Nov17 - Oct18</t>
  </si>
  <si>
    <t>Current Rates (1)</t>
  </si>
  <si>
    <t>$ / therm</t>
  </si>
  <si>
    <t xml:space="preserve">$ </t>
  </si>
  <si>
    <t>A</t>
  </si>
  <si>
    <t>B</t>
  </si>
  <si>
    <t>C</t>
  </si>
  <si>
    <t>D</t>
  </si>
  <si>
    <t>E</t>
  </si>
  <si>
    <t>F</t>
  </si>
  <si>
    <t>G=D*F</t>
  </si>
  <si>
    <t>H=G/E</t>
  </si>
  <si>
    <t>Residential (23)</t>
  </si>
  <si>
    <t>Residential (16)</t>
  </si>
  <si>
    <t>Commercial &amp; industrial (31)</t>
  </si>
  <si>
    <t>Large volume (41)</t>
  </si>
  <si>
    <t>Interruptible (85)</t>
  </si>
  <si>
    <t>Limited interruptible (86)</t>
  </si>
  <si>
    <t>Non exclusive interruptible (87)</t>
  </si>
  <si>
    <t>(1) Forecasted revenue at rates in effect May 1, 2017 for the 12 months ended October 2018.</t>
  </si>
  <si>
    <t xml:space="preserve">Exhibit____(Tracker-5)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</si>
</sst>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000%"/>
    <numFmt numFmtId="168" formatCode="&quot;$&quot;#,##0"/>
    <numFmt numFmtId="169" formatCode="_(&quot;$&quot;* #,##0.00000_);_(&quot;$&quot;* \(#,##0.00000\);_(&quot;$&quot;* &quot;-&quot;?????_);_(@_)"/>
    <numFmt numFmtId="170" formatCode="_(&quot;$&quot;* #,##0.00000_);_(&quot;$&quot;* \(#,##0.00000\);_(&quot;$&quot;* &quot;-&quot;??_);_(@_)"/>
    <numFmt numFmtId="171" formatCode="0.0000%"/>
    <numFmt numFmtId="172" formatCode="#,##0.000_);\(#,##0.000\)"/>
    <numFmt numFmtId="173" formatCode="&quot;$&quot;#,##0.00000_);[Red]\(&quot;$&quot;#,##0.00000\)"/>
    <numFmt numFmtId="174" formatCode="_(&quot;$&quot;* #,##0.00_);_(&quot;$&quot;* \(#,##0.00\);_(&quot;$&quot;* &quot;-&quot;_);_(@_)"/>
  </numFmts>
  <fonts count="20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b/>
      <sz val="12"/>
      <color rgb="FF00808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61"/>
      <name val="Arial"/>
      <family val="2"/>
    </font>
    <font>
      <sz val="10"/>
      <color indexed="57"/>
      <name val="Arial"/>
      <family val="2"/>
    </font>
    <font>
      <b/>
      <sz val="14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Fill="1" applyBorder="1"/>
    <xf numFmtId="0" fontId="1" fillId="0" borderId="2" xfId="0" applyFont="1" applyFill="1" applyBorder="1"/>
    <xf numFmtId="0" fontId="3" fillId="0" borderId="0" xfId="0" applyFont="1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0" xfId="0" applyFont="1" applyBorder="1" applyAlignment="1">
      <alignment horizontal="center" wrapText="1"/>
    </xf>
    <xf numFmtId="0" fontId="1" fillId="0" borderId="0" xfId="0" quotePrefix="1" applyNumberFormat="1" applyFont="1"/>
    <xf numFmtId="0" fontId="1" fillId="0" borderId="0" xfId="0" applyFont="1" applyFill="1" applyAlignment="1">
      <alignment horizontal="center"/>
    </xf>
    <xf numFmtId="0" fontId="5" fillId="0" borderId="0" xfId="0" applyFont="1"/>
    <xf numFmtId="17" fontId="1" fillId="0" borderId="0" xfId="0" applyNumberFormat="1" applyFont="1" applyAlignment="1">
      <alignment horizontal="center" wrapText="1"/>
    </xf>
    <xf numFmtId="17" fontId="1" fillId="0" borderId="7" xfId="0" applyNumberFormat="1" applyFont="1" applyBorder="1" applyAlignment="1">
      <alignment horizontal="center" wrapText="1"/>
    </xf>
    <xf numFmtId="164" fontId="6" fillId="0" borderId="0" xfId="0" applyNumberFormat="1" applyFont="1"/>
    <xf numFmtId="164" fontId="1" fillId="0" borderId="8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/>
    </xf>
    <xf numFmtId="9" fontId="1" fillId="0" borderId="7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/>
    <xf numFmtId="166" fontId="7" fillId="0" borderId="9" xfId="0" applyNumberFormat="1" applyFont="1" applyFill="1" applyBorder="1"/>
    <xf numFmtId="167" fontId="7" fillId="0" borderId="0" xfId="0" applyNumberFormat="1" applyFont="1" applyFill="1" applyBorder="1"/>
    <xf numFmtId="164" fontId="1" fillId="0" borderId="0" xfId="0" applyNumberFormat="1" applyFont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4" fontId="1" fillId="0" borderId="0" xfId="0" applyNumberFormat="1" applyFont="1" applyFill="1"/>
    <xf numFmtId="43" fontId="1" fillId="0" borderId="0" xfId="0" applyNumberFormat="1" applyFont="1" applyFill="1"/>
    <xf numFmtId="0" fontId="1" fillId="0" borderId="0" xfId="0" applyFont="1" applyBorder="1" applyAlignment="1">
      <alignment horizontal="center"/>
    </xf>
    <xf numFmtId="164" fontId="1" fillId="0" borderId="10" xfId="0" applyNumberFormat="1" applyFont="1" applyFill="1" applyBorder="1"/>
    <xf numFmtId="168" fontId="1" fillId="0" borderId="0" xfId="0" applyNumberFormat="1" applyFont="1" applyFill="1"/>
    <xf numFmtId="42" fontId="8" fillId="0" borderId="0" xfId="0" applyNumberFormat="1" applyFont="1" applyFill="1"/>
    <xf numFmtId="164" fontId="1" fillId="0" borderId="9" xfId="0" applyNumberFormat="1" applyFont="1" applyBorder="1"/>
    <xf numFmtId="168" fontId="1" fillId="0" borderId="0" xfId="0" applyNumberFormat="1" applyFont="1"/>
    <xf numFmtId="0" fontId="5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2" fontId="9" fillId="0" borderId="0" xfId="0" applyNumberFormat="1" applyFont="1" applyFill="1" applyBorder="1"/>
    <xf numFmtId="42" fontId="6" fillId="0" borderId="0" xfId="0" applyNumberFormat="1" applyFont="1" applyFill="1" applyBorder="1"/>
    <xf numFmtId="0" fontId="1" fillId="0" borderId="0" xfId="0" applyFont="1" applyAlignment="1">
      <alignment horizontal="left" wrapText="1"/>
    </xf>
    <xf numFmtId="42" fontId="6" fillId="0" borderId="8" xfId="0" applyNumberFormat="1" applyFont="1" applyFill="1" applyBorder="1"/>
    <xf numFmtId="42" fontId="1" fillId="0" borderId="0" xfId="0" applyNumberFormat="1" applyFont="1" applyFill="1" applyBorder="1"/>
    <xf numFmtId="0" fontId="1" fillId="0" borderId="0" xfId="0" quotePrefix="1" applyFont="1" applyFill="1" applyAlignment="1">
      <alignment horizontal="center" vertical="top"/>
    </xf>
    <xf numFmtId="0" fontId="3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1" fillId="0" borderId="7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3" fontId="0" fillId="0" borderId="0" xfId="0" applyNumberFormat="1"/>
    <xf numFmtId="3" fontId="6" fillId="0" borderId="0" xfId="0" applyNumberFormat="1" applyFont="1"/>
    <xf numFmtId="169" fontId="6" fillId="0" borderId="0" xfId="0" applyNumberFormat="1" applyFont="1"/>
    <xf numFmtId="169" fontId="12" fillId="0" borderId="0" xfId="0" applyNumberFormat="1" applyFont="1"/>
    <xf numFmtId="44" fontId="1" fillId="0" borderId="0" xfId="0" applyNumberFormat="1" applyFont="1"/>
    <xf numFmtId="42" fontId="12" fillId="0" borderId="0" xfId="0" applyNumberFormat="1" applyFont="1" applyFill="1"/>
    <xf numFmtId="42" fontId="1" fillId="0" borderId="0" xfId="0" applyNumberFormat="1" applyFont="1"/>
    <xf numFmtId="166" fontId="2" fillId="0" borderId="0" xfId="0" applyNumberFormat="1" applyFont="1" applyFill="1"/>
    <xf numFmtId="166" fontId="1" fillId="0" borderId="0" xfId="0" applyNumberFormat="1" applyFont="1"/>
    <xf numFmtId="170" fontId="1" fillId="0" borderId="0" xfId="0" applyNumberFormat="1" applyFont="1"/>
    <xf numFmtId="169" fontId="0" fillId="0" borderId="0" xfId="0" applyNumberFormat="1"/>
    <xf numFmtId="42" fontId="0" fillId="0" borderId="0" xfId="0" applyNumberFormat="1"/>
    <xf numFmtId="44" fontId="0" fillId="0" borderId="0" xfId="0" applyNumberFormat="1"/>
    <xf numFmtId="169" fontId="0" fillId="0" borderId="8" xfId="0" applyNumberFormat="1" applyBorder="1"/>
    <xf numFmtId="171" fontId="11" fillId="0" borderId="0" xfId="0" applyNumberFormat="1" applyFont="1" applyFill="1" applyBorder="1"/>
    <xf numFmtId="169" fontId="8" fillId="0" borderId="0" xfId="0" applyNumberFormat="1" applyFont="1"/>
    <xf numFmtId="166" fontId="0" fillId="0" borderId="0" xfId="0" applyNumberFormat="1" applyFont="1"/>
    <xf numFmtId="0" fontId="4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11" fillId="0" borderId="0" xfId="0" applyFont="1" applyFill="1" applyAlignment="1">
      <alignment horizontal="center"/>
    </xf>
    <xf numFmtId="17" fontId="11" fillId="0" borderId="7" xfId="0" applyNumberFormat="1" applyFont="1" applyFill="1" applyBorder="1" applyAlignment="1">
      <alignment horizontal="center"/>
    </xf>
    <xf numFmtId="17" fontId="1" fillId="0" borderId="7" xfId="0" applyNumberFormat="1" applyFont="1" applyFill="1" applyBorder="1" applyAlignment="1">
      <alignment horizontal="center"/>
    </xf>
    <xf numFmtId="37" fontId="8" fillId="0" borderId="0" xfId="0" applyNumberFormat="1" applyFont="1" applyFill="1" applyBorder="1"/>
    <xf numFmtId="37" fontId="1" fillId="0" borderId="0" xfId="0" applyNumberFormat="1" applyFont="1" applyFill="1"/>
    <xf numFmtId="165" fontId="1" fillId="0" borderId="0" xfId="0" applyNumberFormat="1" applyFont="1" applyFill="1" applyBorder="1"/>
    <xf numFmtId="43" fontId="1" fillId="0" borderId="0" xfId="0" applyNumberFormat="1" applyFont="1" applyFill="1" applyBorder="1"/>
    <xf numFmtId="37" fontId="11" fillId="0" borderId="0" xfId="0" applyNumberFormat="1" applyFont="1" applyFill="1" applyBorder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37" fontId="5" fillId="0" borderId="0" xfId="0" applyNumberFormat="1" applyFont="1" applyFill="1"/>
    <xf numFmtId="37" fontId="5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/>
    <xf numFmtId="0" fontId="1" fillId="0" borderId="0" xfId="0" applyFont="1" applyFill="1" applyBorder="1"/>
    <xf numFmtId="17" fontId="1" fillId="0" borderId="0" xfId="0" applyNumberFormat="1" applyFont="1" applyFill="1" applyBorder="1"/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39" fontId="1" fillId="0" borderId="0" xfId="0" applyNumberFormat="1" applyFont="1" applyFill="1"/>
    <xf numFmtId="2" fontId="1" fillId="0" borderId="0" xfId="0" applyNumberFormat="1" applyFont="1" applyFill="1"/>
    <xf numFmtId="172" fontId="1" fillId="0" borderId="0" xfId="0" applyNumberFormat="1" applyFont="1" applyFill="1"/>
    <xf numFmtId="172" fontId="1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5" fillId="0" borderId="0" xfId="0" applyFont="1" applyFill="1"/>
    <xf numFmtId="0" fontId="4" fillId="0" borderId="0" xfId="0" applyFont="1" applyFill="1"/>
    <xf numFmtId="6" fontId="1" fillId="0" borderId="0" xfId="0" applyNumberFormat="1" applyFont="1" applyFill="1"/>
    <xf numFmtId="44" fontId="1" fillId="0" borderId="0" xfId="0" applyNumberFormat="1" applyFont="1" applyFill="1"/>
    <xf numFmtId="38" fontId="1" fillId="0" borderId="7" xfId="0" applyNumberFormat="1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6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38" fontId="1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>
      <alignment horizontal="centerContinuous"/>
    </xf>
    <xf numFmtId="44" fontId="1" fillId="0" borderId="7" xfId="0" applyNumberFormat="1" applyFont="1" applyFill="1" applyBorder="1" applyAlignment="1">
      <alignment horizontal="centerContinuous"/>
    </xf>
    <xf numFmtId="0" fontId="1" fillId="0" borderId="7" xfId="0" applyFont="1" applyFill="1" applyBorder="1"/>
    <xf numFmtId="38" fontId="1" fillId="0" borderId="7" xfId="0" applyNumberFormat="1" applyFont="1" applyBorder="1" applyAlignment="1">
      <alignment horizontal="center"/>
    </xf>
    <xf numFmtId="38" fontId="1" fillId="0" borderId="7" xfId="0" applyNumberFormat="1" applyFont="1" applyFill="1" applyBorder="1" applyAlignment="1">
      <alignment horizontal="center"/>
    </xf>
    <xf numFmtId="6" fontId="1" fillId="0" borderId="7" xfId="0" applyNumberFormat="1" applyFont="1" applyFill="1" applyBorder="1" applyAlignment="1">
      <alignment horizontal="center"/>
    </xf>
    <xf numFmtId="44" fontId="1" fillId="0" borderId="7" xfId="0" applyNumberFormat="1" applyFont="1" applyFill="1" applyBorder="1" applyAlignment="1">
      <alignment horizontal="center"/>
    </xf>
    <xf numFmtId="4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38" fontId="1" fillId="0" borderId="0" xfId="0" applyNumberFormat="1" applyFont="1" applyFill="1" applyAlignment="1">
      <alignment horizontal="right"/>
    </xf>
    <xf numFmtId="6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Alignment="1">
      <alignment horizontal="right"/>
    </xf>
    <xf numFmtId="173" fontId="1" fillId="0" borderId="0" xfId="0" applyNumberFormat="1" applyFont="1" applyFill="1"/>
    <xf numFmtId="169" fontId="12" fillId="0" borderId="0" xfId="0" applyNumberFormat="1" applyFont="1" applyFill="1"/>
    <xf numFmtId="169" fontId="6" fillId="0" borderId="0" xfId="0" applyNumberFormat="1" applyFont="1" applyFill="1"/>
    <xf numFmtId="169" fontId="1" fillId="0" borderId="0" xfId="0" applyNumberFormat="1" applyFont="1" applyFill="1"/>
    <xf numFmtId="38" fontId="6" fillId="0" borderId="0" xfId="0" applyNumberFormat="1" applyFont="1" applyFill="1" applyAlignment="1">
      <alignment horizontal="right"/>
    </xf>
    <xf numFmtId="42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169" fontId="16" fillId="0" borderId="0" xfId="0" applyNumberFormat="1" applyFont="1" applyFill="1"/>
    <xf numFmtId="169" fontId="17" fillId="0" borderId="0" xfId="0" applyNumberFormat="1" applyFont="1" applyFill="1"/>
    <xf numFmtId="38" fontId="1" fillId="0" borderId="11" xfId="0" applyNumberFormat="1" applyFont="1" applyFill="1" applyBorder="1" applyAlignment="1">
      <alignment horizontal="right"/>
    </xf>
    <xf numFmtId="42" fontId="1" fillId="0" borderId="11" xfId="0" applyNumberFormat="1" applyFont="1" applyFill="1" applyBorder="1" applyAlignment="1">
      <alignment horizontal="right"/>
    </xf>
    <xf numFmtId="174" fontId="1" fillId="0" borderId="11" xfId="0" applyNumberFormat="1" applyFont="1" applyFill="1" applyBorder="1" applyAlignment="1">
      <alignment horizontal="right"/>
    </xf>
    <xf numFmtId="38" fontId="1" fillId="0" borderId="0" xfId="0" applyNumberFormat="1" applyFont="1" applyFill="1" applyBorder="1" applyAlignment="1">
      <alignment horizontal="right"/>
    </xf>
    <xf numFmtId="42" fontId="1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 applyAlignment="1">
      <alignment horizontal="right"/>
    </xf>
    <xf numFmtId="42" fontId="1" fillId="0" borderId="0" xfId="0" applyNumberFormat="1" applyFont="1" applyFill="1"/>
    <xf numFmtId="8" fontId="1" fillId="0" borderId="0" xfId="0" applyNumberFormat="1" applyFont="1" applyFill="1"/>
    <xf numFmtId="38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" fillId="0" borderId="13" xfId="0" applyFont="1" applyFill="1" applyBorder="1" applyAlignment="1">
      <alignment horizontal="center" vertical="center" textRotation="180"/>
    </xf>
    <xf numFmtId="0" fontId="1" fillId="0" borderId="11" xfId="0" applyFont="1" applyFill="1" applyBorder="1" applyAlignment="1">
      <alignment horizontal="center" vertical="center" textRotation="180"/>
    </xf>
    <xf numFmtId="0" fontId="1" fillId="0" borderId="12" xfId="0" applyFont="1" applyFill="1" applyBorder="1" applyAlignment="1">
      <alignment horizontal="center" vertical="center" textRotation="180"/>
    </xf>
    <xf numFmtId="0" fontId="3" fillId="0" borderId="0" xfId="0" applyFont="1" applyFill="1" applyAlignment="1">
      <alignment horizontal="left"/>
    </xf>
    <xf numFmtId="42" fontId="1" fillId="0" borderId="0" xfId="0" applyNumberFormat="1" applyFont="1" applyFill="1" applyAlignment="1">
      <alignment horizontal="centerContinuous"/>
    </xf>
    <xf numFmtId="6" fontId="18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42" fontId="12" fillId="0" borderId="0" xfId="0" applyNumberFormat="1" applyFont="1"/>
    <xf numFmtId="169" fontId="2" fillId="0" borderId="0" xfId="0" applyNumberFormat="1" applyFont="1"/>
    <xf numFmtId="10" fontId="1" fillId="0" borderId="0" xfId="0" applyNumberFormat="1" applyFont="1"/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0" fontId="1" fillId="0" borderId="0" xfId="0" applyNumberFormat="1" applyFont="1" applyBorder="1"/>
    <xf numFmtId="0" fontId="0" fillId="0" borderId="8" xfId="0" applyBorder="1" applyAlignment="1">
      <alignment horizontal="left"/>
    </xf>
    <xf numFmtId="169" fontId="0" fillId="0" borderId="8" xfId="0" applyNumberFormat="1" applyFill="1" applyBorder="1"/>
    <xf numFmtId="165" fontId="1" fillId="0" borderId="8" xfId="0" applyNumberFormat="1" applyFont="1" applyBorder="1"/>
    <xf numFmtId="42" fontId="1" fillId="0" borderId="8" xfId="0" applyNumberFormat="1" applyFont="1" applyBorder="1"/>
    <xf numFmtId="10" fontId="1" fillId="0" borderId="8" xfId="0" applyNumberFormat="1" applyFont="1" applyBorder="1"/>
    <xf numFmtId="0" fontId="6" fillId="0" borderId="0" xfId="0" applyFont="1" applyAlignment="1">
      <alignment wrapText="1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Fill="1" applyBorder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38</xdr:row>
      <xdr:rowOff>0</xdr:rowOff>
    </xdr:from>
    <xdr:to>
      <xdr:col>10</xdr:col>
      <xdr:colOff>666750</xdr:colOff>
      <xdr:row>46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34600" y="6267450"/>
          <a:ext cx="609600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27432" tIns="22860" rIns="0" bIns="22860" anchor="b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Advice No. 2017 - 14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Exhibit____(Tracker-2)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 1 of 1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39</xdr:row>
      <xdr:rowOff>152400</xdr:rowOff>
    </xdr:from>
    <xdr:to>
      <xdr:col>15</xdr:col>
      <xdr:colOff>819150</xdr:colOff>
      <xdr:row>48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82575" y="6619875"/>
          <a:ext cx="609600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27432" tIns="22860" rIns="0" bIns="22860" anchor="b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Advice No. 2017 - 14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Exhibit____(Tracker-3)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 1 of 1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4Home/JDyer/Unbilled%20Reasonableness/04-2013%20Gas%20Reasonablene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lsea%20Projects/Encogen/Sept%2023%20Review/PSE%20Own%2011-99%20for%20$1yr00noboilerJ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ates/Public/Gas%20GRC%202011/Compliance%20Filing/Mei%20Cass%20Files/2011%20Gas%20COSS%20December%20TY%20Compliance_Me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Mid%20Office/aaa%20Jody%20Test/variance%20to%20budget%20dollar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COS%20Inputs\COS%20Model\ECOS%20Model%20-%20FINAL%20COMPAN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  <sheetName val="SUMMARY (Sum Sales and Trans)"/>
      <sheetName val="SUMMARY (Compliance Filing)"/>
      <sheetName val="SUMMARY (check)"/>
    </sheetNames>
    <sheetDataSet>
      <sheetData sheetId="0" refreshError="1"/>
      <sheetData sheetId="1">
        <row r="11">
          <cell r="C11">
            <v>4</v>
          </cell>
        </row>
        <row r="29">
          <cell r="F29">
            <v>7.8E-2</v>
          </cell>
        </row>
        <row r="31">
          <cell r="F31">
            <v>4.7E-2</v>
          </cell>
        </row>
        <row r="48">
          <cell r="F48">
            <v>0.62148999999999999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"/>
      <sheetName val="2006-07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Normal="100" workbookViewId="0">
      <selection activeCell="F13" sqref="F13"/>
    </sheetView>
  </sheetViews>
  <sheetFormatPr defaultRowHeight="12.75" x14ac:dyDescent="0.2"/>
  <cols>
    <col min="1" max="1" width="4" style="1" bestFit="1" customWidth="1"/>
    <col min="2" max="2" width="47" style="2" customWidth="1"/>
    <col min="3" max="3" width="15" style="2" bestFit="1" customWidth="1"/>
    <col min="4" max="4" width="15.42578125" style="2" customWidth="1"/>
    <col min="5" max="5" width="16.42578125" style="2" customWidth="1"/>
    <col min="6" max="6" width="15.28515625" style="2" customWidth="1"/>
    <col min="7" max="7" width="10.7109375" style="2" bestFit="1" customWidth="1"/>
    <col min="8" max="16384" width="9.140625" style="2"/>
  </cols>
  <sheetData>
    <row r="1" spans="1:6" x14ac:dyDescent="0.2">
      <c r="D1" s="3" t="s">
        <v>0</v>
      </c>
      <c r="E1" s="4"/>
    </row>
    <row r="2" spans="1:6" ht="15.75" x14ac:dyDescent="0.25">
      <c r="A2" s="5"/>
      <c r="D2" s="6" t="s">
        <v>1</v>
      </c>
      <c r="E2" s="7"/>
    </row>
    <row r="3" spans="1:6" x14ac:dyDescent="0.2">
      <c r="D3" s="8" t="s">
        <v>2</v>
      </c>
      <c r="E3" s="9"/>
    </row>
    <row r="4" spans="1:6" ht="15.75" customHeight="1" x14ac:dyDescent="0.25">
      <c r="A4" s="10" t="s">
        <v>3</v>
      </c>
      <c r="B4" s="11"/>
      <c r="C4" s="11"/>
      <c r="D4" s="12"/>
      <c r="E4" s="12"/>
    </row>
    <row r="5" spans="1:6" ht="15.75" customHeight="1" x14ac:dyDescent="0.25">
      <c r="A5" s="10" t="s">
        <v>4</v>
      </c>
      <c r="B5" s="12"/>
      <c r="C5" s="11"/>
      <c r="D5" s="12"/>
      <c r="E5" s="12"/>
    </row>
    <row r="6" spans="1:6" ht="15.75" customHeight="1" x14ac:dyDescent="0.25">
      <c r="A6" s="10" t="s">
        <v>5</v>
      </c>
      <c r="B6" s="11"/>
      <c r="C6" s="11"/>
      <c r="D6" s="12"/>
      <c r="E6" s="12"/>
    </row>
    <row r="8" spans="1:6" x14ac:dyDescent="0.2">
      <c r="A8" s="13"/>
      <c r="F8" s="14"/>
    </row>
    <row r="9" spans="1:6" x14ac:dyDescent="0.2">
      <c r="A9" s="15"/>
      <c r="B9" s="16" t="s">
        <v>6</v>
      </c>
      <c r="C9" s="17"/>
    </row>
    <row r="10" spans="1:6" x14ac:dyDescent="0.2">
      <c r="A10" s="15"/>
      <c r="B10" s="16"/>
      <c r="C10" s="18" t="s">
        <v>7</v>
      </c>
    </row>
    <row r="11" spans="1:6" x14ac:dyDescent="0.2">
      <c r="A11" s="15">
        <v>1</v>
      </c>
      <c r="B11" s="2" t="s">
        <v>8</v>
      </c>
      <c r="C11" s="19">
        <v>76226.243957499973</v>
      </c>
    </row>
    <row r="12" spans="1:6" x14ac:dyDescent="0.2">
      <c r="A12" s="15">
        <f>A11+1</f>
        <v>2</v>
      </c>
      <c r="B12" s="2" t="s">
        <v>9</v>
      </c>
      <c r="C12" s="19">
        <v>-290237.698905</v>
      </c>
    </row>
    <row r="13" spans="1:6" x14ac:dyDescent="0.2">
      <c r="A13" s="15">
        <f>A12+1</f>
        <v>3</v>
      </c>
      <c r="B13" s="2" t="s">
        <v>10</v>
      </c>
      <c r="C13" s="20">
        <f>SUM(C11:C12)</f>
        <v>-214011.45494750002</v>
      </c>
      <c r="D13" s="21"/>
    </row>
    <row r="14" spans="1:6" x14ac:dyDescent="0.2">
      <c r="A14" s="15"/>
      <c r="C14" s="22"/>
    </row>
    <row r="15" spans="1:6" x14ac:dyDescent="0.2">
      <c r="A15" s="15"/>
      <c r="C15" s="22"/>
    </row>
    <row r="16" spans="1:6" x14ac:dyDescent="0.2">
      <c r="A16" s="15"/>
      <c r="B16" s="16" t="s">
        <v>11</v>
      </c>
      <c r="C16" s="22"/>
      <c r="E16" s="23"/>
    </row>
    <row r="17" spans="1:6" x14ac:dyDescent="0.2">
      <c r="A17" s="15"/>
      <c r="C17" s="18" t="s">
        <v>7</v>
      </c>
      <c r="D17" s="24" t="s">
        <v>12</v>
      </c>
      <c r="E17" s="25" t="s">
        <v>13</v>
      </c>
      <c r="F17" s="26"/>
    </row>
    <row r="18" spans="1:6" x14ac:dyDescent="0.2">
      <c r="A18" s="15">
        <f>A13+1</f>
        <v>4</v>
      </c>
      <c r="B18" s="2" t="s">
        <v>14</v>
      </c>
      <c r="C18" s="21">
        <f>SUM(D18:E18)</f>
        <v>10525473.365503108</v>
      </c>
      <c r="D18" s="19">
        <v>-14422.204997857269</v>
      </c>
      <c r="E18" s="19">
        <v>10539895.570500966</v>
      </c>
      <c r="F18" s="26"/>
    </row>
    <row r="19" spans="1:6" x14ac:dyDescent="0.2">
      <c r="A19" s="15">
        <f>A18+1</f>
        <v>5</v>
      </c>
      <c r="B19" s="2" t="s">
        <v>15</v>
      </c>
      <c r="C19" s="21">
        <f>SUM(D19:E19)</f>
        <v>-15241895.418444414</v>
      </c>
      <c r="D19" s="19">
        <v>56691.532940653218</v>
      </c>
      <c r="E19" s="19">
        <v>-15298586.951385068</v>
      </c>
      <c r="F19" s="26"/>
    </row>
    <row r="20" spans="1:6" x14ac:dyDescent="0.2">
      <c r="A20" s="15">
        <f>A19+1</f>
        <v>6</v>
      </c>
      <c r="B20" s="2" t="s">
        <v>16</v>
      </c>
      <c r="C20" s="20">
        <f>SUM(C18:C19)</f>
        <v>-4716422.0529413056</v>
      </c>
      <c r="D20" s="20">
        <f>SUM(D18:D19)</f>
        <v>42269.32794279595</v>
      </c>
      <c r="E20" s="20">
        <f>SUM(E18:E19)</f>
        <v>-4758691.3808841016</v>
      </c>
      <c r="F20" s="26"/>
    </row>
    <row r="21" spans="1:6" x14ac:dyDescent="0.2">
      <c r="A21" s="15"/>
      <c r="C21" s="21"/>
      <c r="D21" s="21"/>
      <c r="E21" s="21"/>
      <c r="F21" s="26"/>
    </row>
    <row r="22" spans="1:6" x14ac:dyDescent="0.2">
      <c r="A22" s="15">
        <f>A20+1</f>
        <v>7</v>
      </c>
      <c r="B22" s="27" t="s">
        <v>17</v>
      </c>
      <c r="C22" s="21">
        <f>+C13+C20</f>
        <v>-4930433.5078888051</v>
      </c>
      <c r="D22" s="21"/>
      <c r="E22" s="21"/>
      <c r="F22" s="26"/>
    </row>
    <row r="23" spans="1:6" x14ac:dyDescent="0.2">
      <c r="A23" s="15"/>
      <c r="B23" s="27"/>
      <c r="C23" s="21"/>
      <c r="D23" s="21"/>
      <c r="E23" s="21"/>
      <c r="F23" s="26"/>
    </row>
    <row r="24" spans="1:6" x14ac:dyDescent="0.2">
      <c r="A24" s="15"/>
      <c r="D24" s="21"/>
      <c r="E24" s="21"/>
      <c r="F24" s="26"/>
    </row>
    <row r="25" spans="1:6" x14ac:dyDescent="0.2">
      <c r="A25" s="15"/>
      <c r="B25" s="16" t="s">
        <v>18</v>
      </c>
      <c r="D25" s="21"/>
      <c r="E25" s="21"/>
      <c r="F25" s="26"/>
    </row>
    <row r="26" spans="1:6" x14ac:dyDescent="0.2">
      <c r="A26" s="15">
        <f>A22+1</f>
        <v>8</v>
      </c>
      <c r="B26" s="2" t="s">
        <v>19</v>
      </c>
      <c r="D26" s="28">
        <v>0</v>
      </c>
      <c r="E26" s="29"/>
      <c r="F26" s="26"/>
    </row>
    <row r="27" spans="1:6" x14ac:dyDescent="0.2">
      <c r="A27" s="15"/>
      <c r="B27" s="16"/>
      <c r="D27" s="21"/>
      <c r="E27" s="30"/>
      <c r="F27" s="26"/>
    </row>
    <row r="28" spans="1:6" x14ac:dyDescent="0.2">
      <c r="A28" s="15"/>
      <c r="B28" s="16"/>
      <c r="C28" s="31" t="s">
        <v>7</v>
      </c>
      <c r="D28" s="24" t="s">
        <v>12</v>
      </c>
      <c r="E28" s="25" t="s">
        <v>13</v>
      </c>
      <c r="F28" s="26"/>
    </row>
    <row r="29" spans="1:6" x14ac:dyDescent="0.2">
      <c r="A29" s="15">
        <f>A26+1</f>
        <v>9</v>
      </c>
      <c r="B29" s="2" t="s">
        <v>20</v>
      </c>
      <c r="C29" s="32">
        <f>+C18*D26</f>
        <v>0</v>
      </c>
      <c r="D29" s="30">
        <f>D18*D26</f>
        <v>0</v>
      </c>
      <c r="E29" s="21">
        <f>+C29-D29</f>
        <v>0</v>
      </c>
      <c r="F29" s="33"/>
    </row>
    <row r="30" spans="1:6" x14ac:dyDescent="0.2">
      <c r="A30" s="15">
        <f>A29+1</f>
        <v>10</v>
      </c>
      <c r="B30" s="2" t="s">
        <v>21</v>
      </c>
      <c r="C30" s="21">
        <f>SUM(D30:E30)</f>
        <v>-15241895.418444414</v>
      </c>
      <c r="D30" s="21">
        <f>D19</f>
        <v>56691.532940653218</v>
      </c>
      <c r="E30" s="21">
        <f>E19</f>
        <v>-15298586.951385068</v>
      </c>
      <c r="F30" s="32"/>
    </row>
    <row r="31" spans="1:6" x14ac:dyDescent="0.2">
      <c r="A31" s="15">
        <f>A30+1</f>
        <v>11</v>
      </c>
      <c r="B31" s="2" t="s">
        <v>7</v>
      </c>
      <c r="C31" s="20">
        <f>+C29+C30</f>
        <v>-15241895.418444414</v>
      </c>
      <c r="D31" s="20">
        <f>SUM(D29:D30)</f>
        <v>56691.532940653218</v>
      </c>
      <c r="E31" s="20">
        <f>SUM(E29:E30)</f>
        <v>-15298586.951385068</v>
      </c>
      <c r="F31" s="26"/>
    </row>
    <row r="32" spans="1:6" x14ac:dyDescent="0.2">
      <c r="A32" s="15"/>
      <c r="D32" s="21"/>
      <c r="E32" s="21"/>
      <c r="F32" s="26"/>
    </row>
    <row r="33" spans="1:14" x14ac:dyDescent="0.2">
      <c r="A33" s="15"/>
      <c r="D33" s="21"/>
      <c r="E33" s="21"/>
      <c r="F33" s="26"/>
    </row>
    <row r="34" spans="1:14" x14ac:dyDescent="0.2">
      <c r="A34" s="15"/>
      <c r="B34" s="16" t="s">
        <v>22</v>
      </c>
      <c r="D34" s="26"/>
      <c r="E34" s="26"/>
      <c r="F34" s="26"/>
    </row>
    <row r="35" spans="1:14" x14ac:dyDescent="0.2">
      <c r="A35" s="15"/>
      <c r="B35" s="16"/>
      <c r="C35" s="34" t="s">
        <v>7</v>
      </c>
      <c r="D35" s="26"/>
      <c r="E35" s="26"/>
      <c r="F35" s="26"/>
    </row>
    <row r="36" spans="1:14" x14ac:dyDescent="0.2">
      <c r="A36" s="15">
        <f>A31+1</f>
        <v>12</v>
      </c>
      <c r="B36" s="2" t="s">
        <v>23</v>
      </c>
      <c r="C36" s="35">
        <f>C11+C29</f>
        <v>76226.243957499973</v>
      </c>
      <c r="D36" s="36"/>
      <c r="E36" s="36"/>
      <c r="F36" s="36"/>
    </row>
    <row r="37" spans="1:14" x14ac:dyDescent="0.2">
      <c r="A37" s="15">
        <f>A36+1</f>
        <v>13</v>
      </c>
      <c r="B37" s="2" t="s">
        <v>24</v>
      </c>
      <c r="C37" s="35">
        <f>C12+C30</f>
        <v>-15532133.117349414</v>
      </c>
      <c r="D37" s="37"/>
      <c r="E37" s="36"/>
      <c r="F37" s="36"/>
    </row>
    <row r="38" spans="1:14" x14ac:dyDescent="0.2">
      <c r="A38" s="15">
        <f>A37+1</f>
        <v>14</v>
      </c>
      <c r="B38" s="2" t="s">
        <v>7</v>
      </c>
      <c r="C38" s="38">
        <f>SUM(C36:C37)</f>
        <v>-15455906.873391915</v>
      </c>
      <c r="D38" s="36"/>
      <c r="E38" s="36"/>
      <c r="F38" s="36"/>
      <c r="G38" s="39"/>
    </row>
    <row r="39" spans="1:14" x14ac:dyDescent="0.2">
      <c r="A39" s="15"/>
      <c r="D39" s="26"/>
      <c r="E39" s="26"/>
      <c r="F39" s="26"/>
    </row>
    <row r="40" spans="1:14" x14ac:dyDescent="0.2">
      <c r="A40" s="15"/>
      <c r="D40" s="26"/>
      <c r="E40" s="26"/>
      <c r="F40" s="26"/>
    </row>
    <row r="41" spans="1:14" x14ac:dyDescent="0.2">
      <c r="A41" s="15"/>
      <c r="B41" s="40" t="s">
        <v>25</v>
      </c>
      <c r="F41" s="26"/>
    </row>
    <row r="42" spans="1:14" x14ac:dyDescent="0.2">
      <c r="A42" s="15"/>
      <c r="B42" s="40"/>
      <c r="C42" s="13" t="s">
        <v>26</v>
      </c>
      <c r="D42" s="41" t="s">
        <v>27</v>
      </c>
      <c r="F42" s="26"/>
    </row>
    <row r="43" spans="1:14" x14ac:dyDescent="0.2">
      <c r="A43" s="15"/>
      <c r="B43" s="40"/>
      <c r="C43" s="24" t="s">
        <v>28</v>
      </c>
      <c r="D43" s="42" t="s">
        <v>29</v>
      </c>
      <c r="F43" s="26"/>
    </row>
    <row r="44" spans="1:14" x14ac:dyDescent="0.2">
      <c r="A44" s="15">
        <f>A38+1</f>
        <v>15</v>
      </c>
      <c r="B44" s="43" t="s">
        <v>30</v>
      </c>
      <c r="C44" s="44">
        <v>-3582772.6016285974</v>
      </c>
      <c r="D44" s="45">
        <v>10242810.967821911</v>
      </c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">
      <c r="A45" s="15">
        <f>A44+1</f>
        <v>16</v>
      </c>
      <c r="B45" s="43" t="s">
        <v>31</v>
      </c>
      <c r="C45" s="45">
        <v>7463302.7220832277</v>
      </c>
      <c r="D45" s="45">
        <v>269541.57497296832</v>
      </c>
      <c r="F45" s="26"/>
    </row>
    <row r="46" spans="1:14" x14ac:dyDescent="0.2">
      <c r="A46" s="15">
        <f>A45+1</f>
        <v>17</v>
      </c>
      <c r="B46" s="46" t="s">
        <v>32</v>
      </c>
      <c r="C46" s="45">
        <v>-5188011.2899932433</v>
      </c>
      <c r="D46" s="45">
        <v>-206231.02384799984</v>
      </c>
    </row>
    <row r="47" spans="1:14" x14ac:dyDescent="0.2">
      <c r="A47" s="15">
        <f>A46+1</f>
        <v>18</v>
      </c>
      <c r="B47" s="46" t="s">
        <v>33</v>
      </c>
      <c r="C47" s="45">
        <v>0</v>
      </c>
      <c r="D47" s="45">
        <v>0</v>
      </c>
    </row>
    <row r="48" spans="1:14" x14ac:dyDescent="0.2">
      <c r="A48" s="15">
        <f>A47+1</f>
        <v>19</v>
      </c>
      <c r="B48" s="46" t="s">
        <v>34</v>
      </c>
      <c r="C48" s="47">
        <v>-1307481.1603719471</v>
      </c>
      <c r="D48" s="47">
        <v>10306121.538946878</v>
      </c>
    </row>
    <row r="49" spans="1:5" x14ac:dyDescent="0.2">
      <c r="A49" s="15"/>
      <c r="B49" s="46"/>
      <c r="C49" s="48"/>
      <c r="D49" s="48"/>
    </row>
    <row r="50" spans="1:5" x14ac:dyDescent="0.2">
      <c r="A50" s="15"/>
      <c r="B50" s="26"/>
      <c r="C50" s="32"/>
      <c r="D50" s="32"/>
      <c r="E50" s="26"/>
    </row>
    <row r="51" spans="1:5" ht="42.75" customHeight="1" x14ac:dyDescent="0.2">
      <c r="A51" s="49"/>
      <c r="B51" s="184" t="s">
        <v>35</v>
      </c>
      <c r="C51" s="184"/>
      <c r="D51" s="184"/>
      <c r="E51" s="184"/>
    </row>
    <row r="52" spans="1:5" x14ac:dyDescent="0.2">
      <c r="A52" s="15"/>
    </row>
    <row r="53" spans="1:5" x14ac:dyDescent="0.2">
      <c r="A53" s="15"/>
    </row>
    <row r="54" spans="1:5" x14ac:dyDescent="0.2">
      <c r="A54" s="15"/>
    </row>
    <row r="55" spans="1:5" x14ac:dyDescent="0.2">
      <c r="A55" s="15"/>
    </row>
    <row r="56" spans="1:5" x14ac:dyDescent="0.2">
      <c r="A56" s="15"/>
    </row>
    <row r="57" spans="1:5" x14ac:dyDescent="0.2">
      <c r="A57" s="15"/>
    </row>
    <row r="58" spans="1:5" x14ac:dyDescent="0.2">
      <c r="A58" s="15"/>
    </row>
    <row r="59" spans="1:5" x14ac:dyDescent="0.2">
      <c r="A59" s="15"/>
    </row>
    <row r="60" spans="1:5" x14ac:dyDescent="0.2">
      <c r="A60" s="15"/>
    </row>
    <row r="61" spans="1:5" x14ac:dyDescent="0.2">
      <c r="A61" s="15"/>
    </row>
    <row r="62" spans="1:5" x14ac:dyDescent="0.2">
      <c r="A62" s="15"/>
    </row>
    <row r="63" spans="1:5" x14ac:dyDescent="0.2">
      <c r="A63" s="15"/>
    </row>
    <row r="64" spans="1:5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</sheetData>
  <mergeCells count="1">
    <mergeCell ref="B51:E51"/>
  </mergeCells>
  <pageMargins left="0.75" right="0.75" top="1" bottom="1" header="0.5" footer="0.5"/>
  <pageSetup scale="93" orientation="portrait" blackAndWhite="1" r:id="rId1"/>
  <headerFooter alignWithMargins="0">
    <oddFooter>&amp;L&amp;F  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zoomScaleNormal="100" workbookViewId="0">
      <pane xSplit="3" ySplit="6" topLeftCell="D7" activePane="bottomRight" state="frozen"/>
      <selection activeCell="E8" sqref="E8"/>
      <selection pane="topRight" activeCell="E8" sqref="E8"/>
      <selection pane="bottomLeft" activeCell="E8" sqref="E8"/>
      <selection pane="bottomRight" activeCell="E42" sqref="E42"/>
    </sheetView>
  </sheetViews>
  <sheetFormatPr defaultRowHeight="12.75" x14ac:dyDescent="0.2"/>
  <cols>
    <col min="1" max="1" width="3" customWidth="1"/>
    <col min="2" max="2" width="4.5703125" customWidth="1"/>
    <col min="3" max="3" width="58.5703125" customWidth="1"/>
    <col min="4" max="4" width="13.42578125" bestFit="1" customWidth="1"/>
    <col min="5" max="5" width="12.85546875" bestFit="1" customWidth="1"/>
    <col min="6" max="6" width="10.28515625" bestFit="1" customWidth="1"/>
    <col min="7" max="7" width="12.85546875" bestFit="1" customWidth="1"/>
    <col min="8" max="11" width="11.85546875" bestFit="1" customWidth="1"/>
    <col min="12" max="12" width="10.28515625" bestFit="1" customWidth="1"/>
  </cols>
  <sheetData>
    <row r="1" spans="2:11" ht="15.75" x14ac:dyDescent="0.25">
      <c r="B1" s="50" t="s">
        <v>3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15.75" x14ac:dyDescent="0.25">
      <c r="B2" s="51" t="s">
        <v>36</v>
      </c>
      <c r="C2" s="52"/>
      <c r="D2" s="52"/>
      <c r="E2" s="52"/>
      <c r="F2" s="52"/>
      <c r="G2" s="52"/>
      <c r="H2" s="52"/>
      <c r="I2" s="52"/>
      <c r="J2" s="52"/>
      <c r="K2" s="52"/>
    </row>
    <row r="3" spans="2:11" ht="15.75" x14ac:dyDescent="0.25">
      <c r="B3" s="50" t="s">
        <v>37</v>
      </c>
      <c r="C3" s="52"/>
      <c r="D3" s="52"/>
      <c r="E3" s="52"/>
      <c r="F3" s="52"/>
      <c r="G3" s="52"/>
      <c r="H3" s="52"/>
      <c r="I3" s="52"/>
      <c r="J3" s="52"/>
      <c r="K3" s="52"/>
    </row>
    <row r="4" spans="2:11" x14ac:dyDescent="0.2">
      <c r="C4" s="53"/>
    </row>
    <row r="5" spans="2:11" x14ac:dyDescent="0.2">
      <c r="D5" s="7"/>
      <c r="E5" s="54" t="s">
        <v>38</v>
      </c>
      <c r="F5" s="55"/>
      <c r="G5" s="54" t="s">
        <v>39</v>
      </c>
      <c r="H5" s="54"/>
      <c r="I5" s="56" t="s">
        <v>40</v>
      </c>
      <c r="J5" s="54"/>
      <c r="K5" s="54"/>
    </row>
    <row r="6" spans="2:11" x14ac:dyDescent="0.2">
      <c r="B6" s="57" t="s">
        <v>41</v>
      </c>
      <c r="C6" s="57" t="s">
        <v>42</v>
      </c>
      <c r="D6" s="58" t="s">
        <v>7</v>
      </c>
      <c r="E6" s="59">
        <v>23</v>
      </c>
      <c r="F6" s="60">
        <v>16</v>
      </c>
      <c r="G6" s="59">
        <v>31</v>
      </c>
      <c r="H6" s="61">
        <v>41</v>
      </c>
      <c r="I6" s="62">
        <v>85</v>
      </c>
      <c r="J6" s="61">
        <v>86</v>
      </c>
      <c r="K6" s="61">
        <v>87</v>
      </c>
    </row>
    <row r="7" spans="2:11" x14ac:dyDescent="0.2">
      <c r="C7" s="63" t="s">
        <v>43</v>
      </c>
    </row>
    <row r="8" spans="2:11" x14ac:dyDescent="0.2">
      <c r="B8">
        <v>1</v>
      </c>
      <c r="C8" s="2" t="s">
        <v>44</v>
      </c>
      <c r="D8" s="64">
        <f>SUM(E8:K8)</f>
        <v>953859187</v>
      </c>
      <c r="E8" s="65">
        <f>'Forecast Tracker-3'!C20</f>
        <v>607149561</v>
      </c>
      <c r="F8" s="65">
        <f>'Forecast Tracker-3'!D20</f>
        <v>13738</v>
      </c>
      <c r="G8" s="65">
        <f>'Forecast Tracker-3'!E20</f>
        <v>231908804</v>
      </c>
      <c r="H8" s="65">
        <f>'Forecast Tracker-3'!F20</f>
        <v>67177571</v>
      </c>
      <c r="I8" s="65">
        <f>'Forecast Tracker-3'!G20</f>
        <v>17913519</v>
      </c>
      <c r="J8" s="65">
        <f>'Forecast Tracker-3'!H20</f>
        <v>8625159</v>
      </c>
      <c r="K8" s="65">
        <f>'Forecast Tracker-3'!I20</f>
        <v>21070835</v>
      </c>
    </row>
    <row r="9" spans="2:11" x14ac:dyDescent="0.2">
      <c r="C9" s="53"/>
      <c r="E9" s="66"/>
      <c r="F9" s="66"/>
      <c r="G9" s="66"/>
      <c r="H9" s="66"/>
      <c r="I9" s="66"/>
      <c r="J9" s="66"/>
      <c r="K9" s="66"/>
    </row>
    <row r="10" spans="2:11" x14ac:dyDescent="0.2">
      <c r="B10">
        <f>B8+1</f>
        <v>2</v>
      </c>
      <c r="C10" s="2" t="s">
        <v>45</v>
      </c>
      <c r="D10" s="67"/>
      <c r="E10" s="67">
        <v>0.13101480759517126</v>
      </c>
      <c r="F10" s="67">
        <v>0.13101480759517126</v>
      </c>
      <c r="G10" s="67">
        <v>0.12471608965842278</v>
      </c>
      <c r="H10" s="67">
        <v>9.6640246699616919E-2</v>
      </c>
      <c r="I10" s="67">
        <v>8.01746941725891E-2</v>
      </c>
      <c r="J10" s="67">
        <v>8.8629899588895819E-2</v>
      </c>
      <c r="K10" s="67">
        <v>7.7938765514146011E-2</v>
      </c>
    </row>
    <row r="11" spans="2:11" x14ac:dyDescent="0.2">
      <c r="B11">
        <f>B10+1</f>
        <v>3</v>
      </c>
      <c r="C11" s="2" t="s">
        <v>46</v>
      </c>
      <c r="D11" s="21">
        <f>SUM(E11:K11)</f>
        <v>118805091.77543746</v>
      </c>
      <c r="E11" s="21">
        <f t="shared" ref="E11:K11" si="0">E8*E10</f>
        <v>79545582.915907696</v>
      </c>
      <c r="F11" s="21">
        <f t="shared" si="0"/>
        <v>1799.8814267424627</v>
      </c>
      <c r="G11" s="21">
        <f t="shared" si="0"/>
        <v>28922759.192241594</v>
      </c>
      <c r="H11" s="21">
        <f t="shared" si="0"/>
        <v>6492057.0341210309</v>
      </c>
      <c r="I11" s="21">
        <f t="shared" si="0"/>
        <v>1436210.907379864</v>
      </c>
      <c r="J11" s="21">
        <f t="shared" si="0"/>
        <v>764446.97610826103</v>
      </c>
      <c r="K11" s="21">
        <f t="shared" si="0"/>
        <v>1642234.8682522608</v>
      </c>
    </row>
    <row r="12" spans="2:11" x14ac:dyDescent="0.2">
      <c r="C12" s="2"/>
      <c r="D12" s="2"/>
      <c r="E12" s="2"/>
      <c r="F12" s="68"/>
      <c r="G12" s="2"/>
      <c r="H12" s="2"/>
      <c r="I12" s="2"/>
      <c r="J12" s="2"/>
      <c r="K12" s="2"/>
    </row>
    <row r="13" spans="2:11" x14ac:dyDescent="0.2">
      <c r="B13">
        <f>B11+1</f>
        <v>4</v>
      </c>
      <c r="C13" s="26" t="s">
        <v>47</v>
      </c>
      <c r="D13" s="69">
        <f>'Amort Balances Tracker-1'!C36</f>
        <v>76226.243957499973</v>
      </c>
      <c r="E13" s="70">
        <f>$D13*(E11/$D11)</f>
        <v>51037.046632231315</v>
      </c>
      <c r="F13" s="70">
        <f>$D13*(F11/$D11)</f>
        <v>1.1548175139561596</v>
      </c>
      <c r="G13" s="70">
        <f t="shared" ref="G13:K13" si="1">$D13*(G11/$D11)</f>
        <v>18557.060687929548</v>
      </c>
      <c r="H13" s="70">
        <f t="shared" si="1"/>
        <v>4165.352813365067</v>
      </c>
      <c r="I13" s="70">
        <f t="shared" si="1"/>
        <v>921.48376272702728</v>
      </c>
      <c r="J13" s="70">
        <f t="shared" si="1"/>
        <v>490.47495206302909</v>
      </c>
      <c r="K13" s="70">
        <f t="shared" si="1"/>
        <v>1053.6702916700283</v>
      </c>
    </row>
    <row r="14" spans="2:11" x14ac:dyDescent="0.2">
      <c r="B14">
        <f>B13+1</f>
        <v>5</v>
      </c>
      <c r="C14" s="2" t="s">
        <v>48</v>
      </c>
      <c r="D14" s="71">
        <f>SUM(E14:K14)</f>
        <v>1</v>
      </c>
      <c r="E14" s="72">
        <f>E13/$D$13</f>
        <v>0.66954691694748958</v>
      </c>
      <c r="F14" s="72">
        <f t="shared" ref="F14:K14" si="2">F13/$D$13</f>
        <v>1.5149867735842126E-5</v>
      </c>
      <c r="G14" s="72">
        <f t="shared" si="2"/>
        <v>0.24344713479882413</v>
      </c>
      <c r="H14" s="72">
        <f t="shared" si="2"/>
        <v>5.4644602660567455E-2</v>
      </c>
      <c r="I14" s="72">
        <f t="shared" si="2"/>
        <v>1.2088799275493643E-2</v>
      </c>
      <c r="J14" s="72">
        <f t="shared" si="2"/>
        <v>6.4344630746399354E-3</v>
      </c>
      <c r="K14" s="72">
        <f t="shared" si="2"/>
        <v>1.3822933375249386E-2</v>
      </c>
    </row>
    <row r="15" spans="2:11" x14ac:dyDescent="0.2">
      <c r="C15" s="2"/>
      <c r="D15" s="70"/>
      <c r="E15" s="70"/>
      <c r="F15" s="70"/>
      <c r="G15" s="70"/>
      <c r="H15" s="70"/>
      <c r="I15" s="70"/>
      <c r="J15" s="70"/>
      <c r="K15" s="70"/>
    </row>
    <row r="16" spans="2:11" x14ac:dyDescent="0.2">
      <c r="B16">
        <f>B14+1</f>
        <v>6</v>
      </c>
      <c r="C16" s="26" t="s">
        <v>49</v>
      </c>
      <c r="D16" s="2"/>
      <c r="E16" s="73">
        <f t="shared" ref="E16:K16" si="3">ROUND(E13/E8,5)</f>
        <v>8.0000000000000007E-5</v>
      </c>
      <c r="F16" s="73">
        <f t="shared" si="3"/>
        <v>8.0000000000000007E-5</v>
      </c>
      <c r="G16" s="73">
        <f t="shared" si="3"/>
        <v>8.0000000000000007E-5</v>
      </c>
      <c r="H16" s="73">
        <f t="shared" si="3"/>
        <v>6.0000000000000002E-5</v>
      </c>
      <c r="I16" s="73">
        <f t="shared" si="3"/>
        <v>5.0000000000000002E-5</v>
      </c>
      <c r="J16" s="73">
        <f t="shared" si="3"/>
        <v>6.0000000000000002E-5</v>
      </c>
      <c r="K16" s="73">
        <f t="shared" si="3"/>
        <v>5.0000000000000002E-5</v>
      </c>
    </row>
    <row r="17" spans="2:12" x14ac:dyDescent="0.2">
      <c r="B17">
        <f>B16+1</f>
        <v>7</v>
      </c>
      <c r="C17" s="2" t="s">
        <v>50</v>
      </c>
      <c r="D17" s="2"/>
      <c r="E17" s="2"/>
      <c r="F17" s="68">
        <f>ROUND(F16*19,2)</f>
        <v>0</v>
      </c>
      <c r="G17" s="2"/>
      <c r="H17" s="2"/>
      <c r="I17" s="2"/>
      <c r="J17" s="2"/>
      <c r="K17" s="2"/>
    </row>
    <row r="18" spans="2:12" x14ac:dyDescent="0.2">
      <c r="C18" s="2"/>
      <c r="D18" s="2"/>
      <c r="E18" s="2"/>
      <c r="F18" s="68"/>
      <c r="G18" s="2"/>
      <c r="H18" s="2"/>
      <c r="I18" s="2"/>
      <c r="J18" s="2"/>
      <c r="K18" s="2"/>
    </row>
    <row r="19" spans="2:12" x14ac:dyDescent="0.2">
      <c r="B19">
        <f>B17+1</f>
        <v>8</v>
      </c>
      <c r="C19" s="2" t="s">
        <v>51</v>
      </c>
      <c r="D19" s="21">
        <f>SUM(E19:K19)</f>
        <v>73623.149740000008</v>
      </c>
      <c r="E19" s="21">
        <f t="shared" ref="E19:K19" si="4">E16*E8</f>
        <v>48571.964880000007</v>
      </c>
      <c r="F19" s="21">
        <f t="shared" si="4"/>
        <v>1.09904</v>
      </c>
      <c r="G19" s="21">
        <f t="shared" si="4"/>
        <v>18552.704320000001</v>
      </c>
      <c r="H19" s="21">
        <f t="shared" si="4"/>
        <v>4030.6542600000002</v>
      </c>
      <c r="I19" s="21">
        <f t="shared" si="4"/>
        <v>895.67595000000006</v>
      </c>
      <c r="J19" s="21">
        <f t="shared" si="4"/>
        <v>517.50954000000002</v>
      </c>
      <c r="K19" s="21">
        <f t="shared" si="4"/>
        <v>1053.5417500000001</v>
      </c>
    </row>
    <row r="20" spans="2:12" x14ac:dyDescent="0.2">
      <c r="C20" s="2"/>
    </row>
    <row r="21" spans="2:12" x14ac:dyDescent="0.2">
      <c r="C21" s="16" t="s">
        <v>52</v>
      </c>
    </row>
    <row r="22" spans="2:12" x14ac:dyDescent="0.2">
      <c r="B22">
        <f>B19+1</f>
        <v>9</v>
      </c>
      <c r="C22" s="26" t="s">
        <v>53</v>
      </c>
      <c r="D22" s="69">
        <f>'Amort Balances Tracker-1'!C37</f>
        <v>-15532133.117349414</v>
      </c>
    </row>
    <row r="23" spans="2:12" x14ac:dyDescent="0.2">
      <c r="B23">
        <f>B22+1</f>
        <v>10</v>
      </c>
      <c r="C23" s="2" t="str">
        <f>+C8</f>
        <v>Projected Volume Nov. 17 - Oct. 18 (therms)</v>
      </c>
      <c r="D23" s="64">
        <f>SUM(E23:K23)</f>
        <v>953859187</v>
      </c>
      <c r="E23" s="64">
        <f t="shared" ref="E23:K23" si="5">E8</f>
        <v>607149561</v>
      </c>
      <c r="F23" s="64">
        <f t="shared" si="5"/>
        <v>13738</v>
      </c>
      <c r="G23" s="64">
        <f t="shared" si="5"/>
        <v>231908804</v>
      </c>
      <c r="H23" s="64">
        <f t="shared" si="5"/>
        <v>67177571</v>
      </c>
      <c r="I23" s="64">
        <f t="shared" si="5"/>
        <v>17913519</v>
      </c>
      <c r="J23" s="64">
        <f t="shared" si="5"/>
        <v>8625159</v>
      </c>
      <c r="K23" s="64">
        <f t="shared" si="5"/>
        <v>21070835</v>
      </c>
    </row>
    <row r="24" spans="2:12" x14ac:dyDescent="0.2">
      <c r="B24">
        <f>B23+1</f>
        <v>11</v>
      </c>
      <c r="C24" s="26" t="s">
        <v>54</v>
      </c>
      <c r="D24" s="74">
        <f>ROUND(D22/D23,5)</f>
        <v>-1.6279999999999999E-2</v>
      </c>
      <c r="E24" s="74">
        <f>$D$24</f>
        <v>-1.6279999999999999E-2</v>
      </c>
      <c r="F24" s="74">
        <f t="shared" ref="F24:K24" si="6">$D$24</f>
        <v>-1.6279999999999999E-2</v>
      </c>
      <c r="G24" s="74">
        <f t="shared" si="6"/>
        <v>-1.6279999999999999E-2</v>
      </c>
      <c r="H24" s="74">
        <f t="shared" si="6"/>
        <v>-1.6279999999999999E-2</v>
      </c>
      <c r="I24" s="74">
        <f t="shared" si="6"/>
        <v>-1.6279999999999999E-2</v>
      </c>
      <c r="J24" s="74">
        <f t="shared" si="6"/>
        <v>-1.6279999999999999E-2</v>
      </c>
      <c r="K24" s="74">
        <f t="shared" si="6"/>
        <v>-1.6279999999999999E-2</v>
      </c>
    </row>
    <row r="25" spans="2:12" x14ac:dyDescent="0.2">
      <c r="B25">
        <f>B24+1</f>
        <v>12</v>
      </c>
      <c r="C25" s="26" t="s">
        <v>55</v>
      </c>
      <c r="D25" s="75">
        <f>SUM(E25:K25)</f>
        <v>-15528828</v>
      </c>
      <c r="E25" s="75">
        <f>ROUND(E23*E24,0)</f>
        <v>-9884395</v>
      </c>
      <c r="F25" s="75">
        <f t="shared" ref="F25:K25" si="7">ROUND(F23*F24,0)</f>
        <v>-224</v>
      </c>
      <c r="G25" s="75">
        <f t="shared" si="7"/>
        <v>-3775475</v>
      </c>
      <c r="H25" s="75">
        <f t="shared" si="7"/>
        <v>-1093651</v>
      </c>
      <c r="I25" s="75">
        <f t="shared" si="7"/>
        <v>-291632</v>
      </c>
      <c r="J25" s="75">
        <f t="shared" si="7"/>
        <v>-140418</v>
      </c>
      <c r="K25" s="75">
        <f t="shared" si="7"/>
        <v>-343033</v>
      </c>
    </row>
    <row r="26" spans="2:12" x14ac:dyDescent="0.2">
      <c r="B26">
        <f>B25+1</f>
        <v>13</v>
      </c>
      <c r="C26" s="26" t="s">
        <v>56</v>
      </c>
      <c r="D26" s="75"/>
      <c r="F26" s="76">
        <f>ROUND(F24*19,2)</f>
        <v>-0.31</v>
      </c>
    </row>
    <row r="27" spans="2:12" x14ac:dyDescent="0.2">
      <c r="C27" s="2"/>
    </row>
    <row r="28" spans="2:12" x14ac:dyDescent="0.2">
      <c r="C28" s="16" t="s">
        <v>57</v>
      </c>
    </row>
    <row r="29" spans="2:12" x14ac:dyDescent="0.2">
      <c r="B29">
        <f>B26+1</f>
        <v>14</v>
      </c>
      <c r="C29" s="26" t="s">
        <v>58</v>
      </c>
      <c r="E29" s="74">
        <f>E16</f>
        <v>8.0000000000000007E-5</v>
      </c>
      <c r="F29" s="74">
        <f t="shared" ref="F29:K29" si="8">F16</f>
        <v>8.0000000000000007E-5</v>
      </c>
      <c r="G29" s="74">
        <f t="shared" si="8"/>
        <v>8.0000000000000007E-5</v>
      </c>
      <c r="H29" s="74">
        <f t="shared" si="8"/>
        <v>6.0000000000000002E-5</v>
      </c>
      <c r="I29" s="74">
        <f t="shared" si="8"/>
        <v>5.0000000000000002E-5</v>
      </c>
      <c r="J29" s="74">
        <f t="shared" si="8"/>
        <v>6.0000000000000002E-5</v>
      </c>
      <c r="K29" s="74">
        <f t="shared" si="8"/>
        <v>5.0000000000000002E-5</v>
      </c>
    </row>
    <row r="30" spans="2:12" x14ac:dyDescent="0.2">
      <c r="B30">
        <f t="shared" ref="B30:B37" si="9">B29+1</f>
        <v>15</v>
      </c>
      <c r="C30" s="26" t="s">
        <v>59</v>
      </c>
      <c r="E30" s="74">
        <f>E24</f>
        <v>-1.6279999999999999E-2</v>
      </c>
      <c r="F30" s="74">
        <f t="shared" ref="F30:K30" si="10">F24</f>
        <v>-1.6279999999999999E-2</v>
      </c>
      <c r="G30" s="74">
        <f t="shared" si="10"/>
        <v>-1.6279999999999999E-2</v>
      </c>
      <c r="H30" s="74">
        <f t="shared" si="10"/>
        <v>-1.6279999999999999E-2</v>
      </c>
      <c r="I30" s="74">
        <f t="shared" si="10"/>
        <v>-1.6279999999999999E-2</v>
      </c>
      <c r="J30" s="74">
        <f t="shared" si="10"/>
        <v>-1.6279999999999999E-2</v>
      </c>
      <c r="K30" s="74">
        <f t="shared" si="10"/>
        <v>-1.6279999999999999E-2</v>
      </c>
    </row>
    <row r="31" spans="2:12" x14ac:dyDescent="0.2">
      <c r="B31">
        <f t="shared" si="9"/>
        <v>16</v>
      </c>
      <c r="C31" s="2" t="s">
        <v>60</v>
      </c>
      <c r="E31" s="77">
        <f>SUM(E29:E30)</f>
        <v>-1.6199999999999999E-2</v>
      </c>
      <c r="F31" s="77">
        <f t="shared" ref="F31:K31" si="11">SUM(F29:F30)</f>
        <v>-1.6199999999999999E-2</v>
      </c>
      <c r="G31" s="77">
        <f t="shared" si="11"/>
        <v>-1.6199999999999999E-2</v>
      </c>
      <c r="H31" s="77">
        <f t="shared" si="11"/>
        <v>-1.6219999999999998E-2</v>
      </c>
      <c r="I31" s="77">
        <f t="shared" si="11"/>
        <v>-1.6229999999999998E-2</v>
      </c>
      <c r="J31" s="77">
        <f t="shared" si="11"/>
        <v>-1.6219999999999998E-2</v>
      </c>
      <c r="K31" s="77">
        <f t="shared" si="11"/>
        <v>-1.6229999999999998E-2</v>
      </c>
      <c r="L31" s="74"/>
    </row>
    <row r="32" spans="2:12" x14ac:dyDescent="0.2">
      <c r="B32">
        <f t="shared" si="9"/>
        <v>17</v>
      </c>
      <c r="C32" s="2" t="s">
        <v>61</v>
      </c>
      <c r="D32" s="78">
        <v>4.6135000000000002E-2</v>
      </c>
    </row>
    <row r="33" spans="2:12" x14ac:dyDescent="0.2">
      <c r="B33">
        <f t="shared" si="9"/>
        <v>18</v>
      </c>
      <c r="C33" s="2" t="s">
        <v>62</v>
      </c>
      <c r="E33" s="74">
        <f>ROUND(E31*(1+$D$32),5)</f>
        <v>-1.695E-2</v>
      </c>
      <c r="F33" s="74">
        <f t="shared" ref="F33:K33" si="12">ROUND(F31*(1+$D$32),5)</f>
        <v>-1.695E-2</v>
      </c>
      <c r="G33" s="74">
        <f t="shared" si="12"/>
        <v>-1.695E-2</v>
      </c>
      <c r="H33" s="74">
        <f t="shared" si="12"/>
        <v>-1.6969999999999999E-2</v>
      </c>
      <c r="I33" s="74">
        <f t="shared" si="12"/>
        <v>-1.6979999999999999E-2</v>
      </c>
      <c r="J33" s="74">
        <f t="shared" si="12"/>
        <v>-1.6969999999999999E-2</v>
      </c>
      <c r="K33" s="74">
        <f t="shared" si="12"/>
        <v>-1.6979999999999999E-2</v>
      </c>
    </row>
    <row r="34" spans="2:12" x14ac:dyDescent="0.2">
      <c r="B34">
        <f t="shared" si="9"/>
        <v>19</v>
      </c>
      <c r="C34" s="2" t="s">
        <v>63</v>
      </c>
      <c r="F34" s="76">
        <f>ROUND(F33*19,2)</f>
        <v>-0.32</v>
      </c>
    </row>
    <row r="35" spans="2:12" x14ac:dyDescent="0.2">
      <c r="B35">
        <f t="shared" si="9"/>
        <v>20</v>
      </c>
      <c r="C35" s="2" t="s">
        <v>64</v>
      </c>
      <c r="E35" s="79">
        <v>-1.6299999999999999E-2</v>
      </c>
      <c r="F35" s="79">
        <v>-1.6299999999999999E-2</v>
      </c>
      <c r="G35" s="79">
        <v>-1.7340000000000001E-2</v>
      </c>
      <c r="H35" s="79">
        <v>-2.2009999999999998E-2</v>
      </c>
      <c r="I35" s="79">
        <v>-2.4740000000000002E-2</v>
      </c>
      <c r="J35" s="79">
        <v>-2.334E-2</v>
      </c>
      <c r="K35" s="79">
        <v>-2.512E-2</v>
      </c>
    </row>
    <row r="36" spans="2:12" x14ac:dyDescent="0.2">
      <c r="B36">
        <f t="shared" si="9"/>
        <v>21</v>
      </c>
      <c r="C36" s="2" t="s">
        <v>65</v>
      </c>
      <c r="E36" s="74">
        <f>E33-E35</f>
        <v>-6.5000000000000127E-4</v>
      </c>
      <c r="F36" s="74">
        <f t="shared" ref="F36:K36" si="13">F33-F35</f>
        <v>-6.5000000000000127E-4</v>
      </c>
      <c r="G36" s="74">
        <f t="shared" si="13"/>
        <v>3.9000000000000146E-4</v>
      </c>
      <c r="H36" s="74">
        <f t="shared" si="13"/>
        <v>5.0399999999999993E-3</v>
      </c>
      <c r="I36" s="74">
        <f t="shared" si="13"/>
        <v>7.760000000000003E-3</v>
      </c>
      <c r="J36" s="74">
        <f t="shared" si="13"/>
        <v>6.3700000000000007E-3</v>
      </c>
      <c r="K36" s="74">
        <f t="shared" si="13"/>
        <v>8.1400000000000014E-3</v>
      </c>
    </row>
    <row r="37" spans="2:12" x14ac:dyDescent="0.2">
      <c r="B37">
        <f t="shared" si="9"/>
        <v>22</v>
      </c>
      <c r="C37" s="2" t="s">
        <v>66</v>
      </c>
      <c r="E37" s="80">
        <f>E36/E35</f>
        <v>3.9877300613497015E-2</v>
      </c>
      <c r="F37" s="80">
        <f t="shared" ref="F37:K37" si="14">F36/F35</f>
        <v>3.9877300613497015E-2</v>
      </c>
      <c r="G37" s="80">
        <f t="shared" si="14"/>
        <v>-2.2491349480968939E-2</v>
      </c>
      <c r="H37" s="80">
        <f t="shared" si="14"/>
        <v>-0.22898682417083144</v>
      </c>
      <c r="I37" s="80">
        <f t="shared" si="14"/>
        <v>-0.31366208569118847</v>
      </c>
      <c r="J37" s="80">
        <f t="shared" si="14"/>
        <v>-0.27292202227934881</v>
      </c>
      <c r="K37" s="80">
        <f t="shared" si="14"/>
        <v>-0.32404458598726121</v>
      </c>
    </row>
    <row r="38" spans="2:12" x14ac:dyDescent="0.2">
      <c r="C38" s="2"/>
    </row>
    <row r="39" spans="2:12" x14ac:dyDescent="0.2">
      <c r="C39" s="2" t="s">
        <v>67</v>
      </c>
    </row>
    <row r="40" spans="2:12" ht="15" x14ac:dyDescent="0.2">
      <c r="C40" s="2" t="s">
        <v>68</v>
      </c>
      <c r="J40" s="81"/>
      <c r="K40" s="82"/>
      <c r="L40" s="82"/>
    </row>
    <row r="41" spans="2:12" x14ac:dyDescent="0.2">
      <c r="J41" s="83"/>
      <c r="K41" s="82"/>
      <c r="L41" s="82"/>
    </row>
    <row r="42" spans="2:12" x14ac:dyDescent="0.2">
      <c r="J42" s="83"/>
      <c r="K42" s="82"/>
      <c r="L42" s="82"/>
    </row>
    <row r="43" spans="2:12" x14ac:dyDescent="0.2">
      <c r="J43" s="83"/>
      <c r="K43" s="82"/>
      <c r="L43" s="82"/>
    </row>
    <row r="44" spans="2:12" x14ac:dyDescent="0.2">
      <c r="J44" s="83"/>
      <c r="K44" s="82"/>
      <c r="L44" s="82"/>
    </row>
    <row r="45" spans="2:12" x14ac:dyDescent="0.2">
      <c r="J45" s="83"/>
      <c r="K45" s="82"/>
      <c r="L45" s="82"/>
    </row>
    <row r="46" spans="2:12" x14ac:dyDescent="0.2">
      <c r="B46" s="185"/>
      <c r="C46" s="186"/>
      <c r="D46" s="186"/>
      <c r="E46" s="186"/>
      <c r="F46" s="186"/>
      <c r="G46" s="186"/>
      <c r="H46" s="186"/>
      <c r="I46" s="186"/>
      <c r="J46" s="186"/>
      <c r="K46" s="82"/>
      <c r="L46" s="82"/>
    </row>
    <row r="47" spans="2:12" x14ac:dyDescent="0.2">
      <c r="J47" s="83"/>
      <c r="K47" s="82"/>
      <c r="L47" s="82"/>
    </row>
    <row r="48" spans="2:12" x14ac:dyDescent="0.2">
      <c r="B48" s="185" t="s">
        <v>69</v>
      </c>
      <c r="C48" s="186"/>
      <c r="D48" s="186"/>
      <c r="E48" s="186"/>
      <c r="F48" s="186"/>
      <c r="G48" s="186"/>
      <c r="H48" s="186"/>
      <c r="I48" s="186"/>
      <c r="J48" s="186"/>
      <c r="K48" s="82"/>
      <c r="L48" s="82"/>
    </row>
    <row r="49" spans="10:12" x14ac:dyDescent="0.2">
      <c r="J49" s="83"/>
      <c r="K49" s="82"/>
      <c r="L49" s="82"/>
    </row>
    <row r="50" spans="10:12" x14ac:dyDescent="0.2">
      <c r="J50" s="53"/>
    </row>
  </sheetData>
  <mergeCells count="2">
    <mergeCell ref="B46:J46"/>
    <mergeCell ref="B48:J48"/>
  </mergeCells>
  <printOptions horizontalCentered="1"/>
  <pageMargins left="0.75" right="0.75" top="1" bottom="1" header="0.5" footer="0.5"/>
  <pageSetup scale="75" orientation="landscape" blackAndWhite="1" r:id="rId1"/>
  <headerFooter alignWithMargins="0">
    <oddFooter>&amp;L&amp;F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2.75" x14ac:dyDescent="0.2"/>
  <cols>
    <col min="1" max="1" width="13.5703125" style="26" customWidth="1"/>
    <col min="2" max="15" width="12.7109375" style="26" customWidth="1"/>
    <col min="16" max="16" width="15.28515625" style="26" customWidth="1"/>
    <col min="17" max="18" width="14" style="26" bestFit="1" customWidth="1"/>
    <col min="19" max="19" width="4.7109375" style="26" bestFit="1" customWidth="1"/>
    <col min="20" max="16384" width="9.140625" style="26"/>
  </cols>
  <sheetData>
    <row r="1" spans="1:18" ht="15.75" x14ac:dyDescent="0.25">
      <c r="A1" s="187" t="s">
        <v>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50"/>
    </row>
    <row r="2" spans="1:18" ht="15.75" x14ac:dyDescent="0.25">
      <c r="A2" s="188" t="str">
        <f>'Amort Rates Tracker-2'!B2</f>
        <v>PGA Tracker Filing Proposed Effective November 1, 2017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84"/>
    </row>
    <row r="3" spans="1:18" ht="15.75" x14ac:dyDescent="0.25">
      <c r="A3" s="187" t="s">
        <v>70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50"/>
    </row>
    <row r="4" spans="1:18" ht="15.75" x14ac:dyDescent="0.25">
      <c r="A4" s="50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0"/>
    </row>
    <row r="5" spans="1:18" x14ac:dyDescent="0.2">
      <c r="A5" s="85" t="s">
        <v>71</v>
      </c>
      <c r="G5" s="85"/>
      <c r="H5" s="85"/>
      <c r="P5" s="86" t="s">
        <v>72</v>
      </c>
      <c r="Q5" s="15"/>
    </row>
    <row r="6" spans="1:18" x14ac:dyDescent="0.2">
      <c r="A6" s="42" t="s">
        <v>73</v>
      </c>
      <c r="B6" s="87">
        <v>42979</v>
      </c>
      <c r="C6" s="88">
        <f>EDATE(B6,1)</f>
        <v>43009</v>
      </c>
      <c r="D6" s="88">
        <f t="shared" ref="D6:O6" si="0">EDATE(C6,1)</f>
        <v>43040</v>
      </c>
      <c r="E6" s="88">
        <f t="shared" si="0"/>
        <v>43070</v>
      </c>
      <c r="F6" s="88">
        <f t="shared" si="0"/>
        <v>43101</v>
      </c>
      <c r="G6" s="88">
        <f t="shared" si="0"/>
        <v>43132</v>
      </c>
      <c r="H6" s="88">
        <f t="shared" si="0"/>
        <v>43160</v>
      </c>
      <c r="I6" s="88">
        <f t="shared" si="0"/>
        <v>43191</v>
      </c>
      <c r="J6" s="88">
        <f t="shared" si="0"/>
        <v>43221</v>
      </c>
      <c r="K6" s="88">
        <f t="shared" si="0"/>
        <v>43252</v>
      </c>
      <c r="L6" s="88">
        <f t="shared" si="0"/>
        <v>43282</v>
      </c>
      <c r="M6" s="88">
        <f t="shared" si="0"/>
        <v>43313</v>
      </c>
      <c r="N6" s="88">
        <f t="shared" si="0"/>
        <v>43344</v>
      </c>
      <c r="O6" s="88">
        <f t="shared" si="0"/>
        <v>43374</v>
      </c>
      <c r="P6" s="42" t="s">
        <v>7</v>
      </c>
    </row>
    <row r="7" spans="1:18" x14ac:dyDescent="0.2">
      <c r="A7" s="15">
        <v>23</v>
      </c>
      <c r="B7" s="89">
        <v>18576009</v>
      </c>
      <c r="C7" s="89">
        <v>43067983</v>
      </c>
      <c r="D7" s="89">
        <v>76553993</v>
      </c>
      <c r="E7" s="89">
        <v>99166365</v>
      </c>
      <c r="F7" s="89">
        <v>92825759</v>
      </c>
      <c r="G7" s="89">
        <v>79116472</v>
      </c>
      <c r="H7" s="89">
        <v>70321754</v>
      </c>
      <c r="I7" s="89">
        <v>50344063</v>
      </c>
      <c r="J7" s="89">
        <v>29807410</v>
      </c>
      <c r="K7" s="89">
        <v>19685784</v>
      </c>
      <c r="L7" s="89">
        <v>13977573</v>
      </c>
      <c r="M7" s="89">
        <v>13268595</v>
      </c>
      <c r="N7" s="89">
        <v>18617317</v>
      </c>
      <c r="O7" s="89">
        <v>43464476</v>
      </c>
      <c r="P7" s="90">
        <f t="shared" ref="P7:P13" si="1">SUM(D7:O7)</f>
        <v>607149561</v>
      </c>
      <c r="Q7" s="91"/>
      <c r="R7" s="92"/>
    </row>
    <row r="8" spans="1:18" x14ac:dyDescent="0.2">
      <c r="A8" s="15">
        <v>16</v>
      </c>
      <c r="B8" s="93">
        <v>1301</v>
      </c>
      <c r="C8" s="93">
        <v>990</v>
      </c>
      <c r="D8" s="93">
        <v>1269</v>
      </c>
      <c r="E8" s="93">
        <v>899</v>
      </c>
      <c r="F8" s="93">
        <v>1425</v>
      </c>
      <c r="G8" s="93">
        <v>1593</v>
      </c>
      <c r="H8" s="93">
        <v>1229</v>
      </c>
      <c r="I8" s="93">
        <v>1044</v>
      </c>
      <c r="J8" s="93">
        <v>815</v>
      </c>
      <c r="K8" s="93">
        <v>1019</v>
      </c>
      <c r="L8" s="93">
        <v>1138</v>
      </c>
      <c r="M8" s="93">
        <v>1032</v>
      </c>
      <c r="N8" s="93">
        <v>1288</v>
      </c>
      <c r="O8" s="93">
        <v>987</v>
      </c>
      <c r="P8" s="90">
        <f t="shared" si="1"/>
        <v>13738</v>
      </c>
      <c r="Q8" s="91"/>
      <c r="R8" s="92"/>
    </row>
    <row r="9" spans="1:18" x14ac:dyDescent="0.2">
      <c r="A9" s="15">
        <v>31</v>
      </c>
      <c r="B9" s="89">
        <v>9427643</v>
      </c>
      <c r="C9" s="89">
        <v>16604582</v>
      </c>
      <c r="D9" s="89">
        <v>26587672</v>
      </c>
      <c r="E9" s="89">
        <v>34692971</v>
      </c>
      <c r="F9" s="89">
        <v>32812139</v>
      </c>
      <c r="G9" s="89">
        <v>27700297</v>
      </c>
      <c r="H9" s="89">
        <v>25567558</v>
      </c>
      <c r="I9" s="89">
        <v>19496968</v>
      </c>
      <c r="J9" s="89">
        <v>12913930</v>
      </c>
      <c r="K9" s="89">
        <v>10044580</v>
      </c>
      <c r="L9" s="89">
        <v>7513580</v>
      </c>
      <c r="M9" s="89">
        <v>7996352</v>
      </c>
      <c r="N9" s="89">
        <v>9708289</v>
      </c>
      <c r="O9" s="89">
        <v>16874468</v>
      </c>
      <c r="P9" s="90">
        <f t="shared" si="1"/>
        <v>231908804</v>
      </c>
      <c r="Q9" s="91"/>
      <c r="R9" s="92"/>
    </row>
    <row r="10" spans="1:18" x14ac:dyDescent="0.2">
      <c r="A10" s="15">
        <v>41</v>
      </c>
      <c r="B10" s="89">
        <v>3830467</v>
      </c>
      <c r="C10" s="89">
        <v>5446827</v>
      </c>
      <c r="D10" s="89">
        <v>7166797</v>
      </c>
      <c r="E10" s="93">
        <v>7874157</v>
      </c>
      <c r="F10" s="89">
        <v>7557277</v>
      </c>
      <c r="G10" s="89">
        <v>7191768</v>
      </c>
      <c r="H10" s="89">
        <v>6936005</v>
      </c>
      <c r="I10" s="89">
        <v>5763934</v>
      </c>
      <c r="J10" s="89">
        <v>4968233</v>
      </c>
      <c r="K10" s="89">
        <v>3648982</v>
      </c>
      <c r="L10" s="89">
        <v>3656806</v>
      </c>
      <c r="M10" s="89">
        <v>3310061</v>
      </c>
      <c r="N10" s="89">
        <v>3773315</v>
      </c>
      <c r="O10" s="89">
        <v>5330236</v>
      </c>
      <c r="P10" s="90">
        <f t="shared" si="1"/>
        <v>67177571</v>
      </c>
      <c r="Q10" s="91"/>
      <c r="R10" s="92"/>
    </row>
    <row r="11" spans="1:18" x14ac:dyDescent="0.2">
      <c r="A11" s="15">
        <v>85</v>
      </c>
      <c r="B11" s="89">
        <v>949483</v>
      </c>
      <c r="C11" s="89">
        <v>1733070</v>
      </c>
      <c r="D11" s="89">
        <v>1645936</v>
      </c>
      <c r="E11" s="89">
        <v>1758666</v>
      </c>
      <c r="F11" s="89">
        <v>2724608</v>
      </c>
      <c r="G11" s="89">
        <v>1558969</v>
      </c>
      <c r="H11" s="89">
        <v>2194709</v>
      </c>
      <c r="I11" s="89">
        <v>1340639</v>
      </c>
      <c r="J11" s="89">
        <v>1419037</v>
      </c>
      <c r="K11" s="89">
        <v>844407</v>
      </c>
      <c r="L11" s="89">
        <v>944376</v>
      </c>
      <c r="M11" s="89">
        <v>790935</v>
      </c>
      <c r="N11" s="89">
        <v>947491</v>
      </c>
      <c r="O11" s="89">
        <v>1743746</v>
      </c>
      <c r="P11" s="90">
        <f t="shared" si="1"/>
        <v>17913519</v>
      </c>
      <c r="Q11" s="91"/>
      <c r="R11" s="92"/>
    </row>
    <row r="12" spans="1:18" x14ac:dyDescent="0.2">
      <c r="A12" s="15">
        <v>86</v>
      </c>
      <c r="B12" s="89">
        <v>169354</v>
      </c>
      <c r="C12" s="89">
        <v>772026</v>
      </c>
      <c r="D12" s="89">
        <v>937309</v>
      </c>
      <c r="E12" s="89">
        <v>1300490</v>
      </c>
      <c r="F12" s="89">
        <v>952648</v>
      </c>
      <c r="G12" s="89">
        <v>1359234</v>
      </c>
      <c r="H12" s="89">
        <v>1191245</v>
      </c>
      <c r="I12" s="89">
        <v>810549</v>
      </c>
      <c r="J12" s="89">
        <v>480608</v>
      </c>
      <c r="K12" s="89">
        <v>292769</v>
      </c>
      <c r="L12" s="89">
        <v>154090</v>
      </c>
      <c r="M12" s="89">
        <v>264387</v>
      </c>
      <c r="N12" s="89">
        <v>157839</v>
      </c>
      <c r="O12" s="89">
        <v>723991</v>
      </c>
      <c r="P12" s="90">
        <f t="shared" si="1"/>
        <v>8625159</v>
      </c>
      <c r="Q12" s="91"/>
      <c r="R12" s="92"/>
    </row>
    <row r="13" spans="1:18" x14ac:dyDescent="0.2">
      <c r="A13" s="15">
        <v>87</v>
      </c>
      <c r="B13" s="89">
        <v>1324414</v>
      </c>
      <c r="C13" s="89">
        <v>1591767</v>
      </c>
      <c r="D13" s="89">
        <v>1961858</v>
      </c>
      <c r="E13" s="89">
        <v>2639555</v>
      </c>
      <c r="F13" s="89">
        <v>2301952</v>
      </c>
      <c r="G13" s="89">
        <v>2410317</v>
      </c>
      <c r="H13" s="89">
        <v>1799345</v>
      </c>
      <c r="I13" s="89">
        <v>2022096</v>
      </c>
      <c r="J13" s="89">
        <v>1487003</v>
      </c>
      <c r="K13" s="89">
        <v>1523946</v>
      </c>
      <c r="L13" s="89">
        <v>1018641</v>
      </c>
      <c r="M13" s="89">
        <v>974325</v>
      </c>
      <c r="N13" s="89">
        <v>1327928</v>
      </c>
      <c r="O13" s="89">
        <v>1603869</v>
      </c>
      <c r="P13" s="90">
        <f t="shared" si="1"/>
        <v>21070835</v>
      </c>
      <c r="Q13" s="91"/>
      <c r="R13" s="92"/>
    </row>
    <row r="14" spans="1:18" x14ac:dyDescent="0.2">
      <c r="A14" s="26" t="s">
        <v>74</v>
      </c>
      <c r="B14" s="94">
        <f>SUM(B7:B13)</f>
        <v>34278671</v>
      </c>
      <c r="C14" s="94">
        <f>SUM(C7:C13)</f>
        <v>69217245</v>
      </c>
      <c r="D14" s="94">
        <f t="shared" ref="D14:P14" si="2">SUM(D7:D13)</f>
        <v>114854834</v>
      </c>
      <c r="E14" s="94">
        <f t="shared" si="2"/>
        <v>147433103</v>
      </c>
      <c r="F14" s="94">
        <f t="shared" si="2"/>
        <v>139175808</v>
      </c>
      <c r="G14" s="94">
        <f t="shared" si="2"/>
        <v>119338650</v>
      </c>
      <c r="H14" s="94">
        <f t="shared" si="2"/>
        <v>108011845</v>
      </c>
      <c r="I14" s="94">
        <f t="shared" si="2"/>
        <v>79779293</v>
      </c>
      <c r="J14" s="94">
        <f t="shared" si="2"/>
        <v>51077036</v>
      </c>
      <c r="K14" s="94">
        <f t="shared" si="2"/>
        <v>36041487</v>
      </c>
      <c r="L14" s="94">
        <f t="shared" si="2"/>
        <v>27266204</v>
      </c>
      <c r="M14" s="94">
        <f t="shared" si="2"/>
        <v>26605687</v>
      </c>
      <c r="N14" s="94">
        <f t="shared" si="2"/>
        <v>34533467</v>
      </c>
      <c r="O14" s="94">
        <f t="shared" si="2"/>
        <v>69741773</v>
      </c>
      <c r="P14" s="94">
        <f t="shared" si="2"/>
        <v>953859187</v>
      </c>
      <c r="Q14" s="95"/>
      <c r="R14" s="92"/>
    </row>
    <row r="16" spans="1:18" x14ac:dyDescent="0.2">
      <c r="A16" s="15" t="s">
        <v>75</v>
      </c>
      <c r="B16" s="89">
        <v>15307379</v>
      </c>
      <c r="C16" s="89">
        <v>15972932</v>
      </c>
      <c r="D16" s="89">
        <v>17084284</v>
      </c>
      <c r="E16" s="89">
        <v>17766050</v>
      </c>
      <c r="F16" s="89">
        <v>18599632</v>
      </c>
      <c r="G16" s="89">
        <v>17211117</v>
      </c>
      <c r="H16" s="89">
        <v>18989641</v>
      </c>
      <c r="I16" s="89">
        <v>17471197</v>
      </c>
      <c r="J16" s="89">
        <v>16978802</v>
      </c>
      <c r="K16" s="89">
        <v>15802387</v>
      </c>
      <c r="L16" s="89">
        <v>15440724</v>
      </c>
      <c r="M16" s="89">
        <v>15861015</v>
      </c>
      <c r="N16" s="89">
        <v>15507410</v>
      </c>
      <c r="O16" s="89">
        <v>16159641</v>
      </c>
      <c r="P16" s="90">
        <f>SUM(D16:O16)</f>
        <v>202871900</v>
      </c>
    </row>
    <row r="17" spans="1:18" x14ac:dyDescent="0.2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8" x14ac:dyDescent="0.2">
      <c r="A18" s="85" t="s">
        <v>76</v>
      </c>
      <c r="B18" s="96"/>
      <c r="C18" s="96"/>
      <c r="D18" s="96"/>
      <c r="E18" s="96"/>
      <c r="F18" s="96"/>
      <c r="G18" s="96"/>
      <c r="H18" s="96"/>
      <c r="I18" s="96"/>
      <c r="J18" s="97"/>
      <c r="K18" s="97"/>
      <c r="L18" s="97"/>
      <c r="M18" s="97"/>
      <c r="N18" s="96"/>
      <c r="O18" s="96"/>
      <c r="P18" s="96"/>
      <c r="Q18" s="96"/>
    </row>
    <row r="19" spans="1:18" x14ac:dyDescent="0.2">
      <c r="A19" s="98" t="s">
        <v>77</v>
      </c>
      <c r="C19" s="42">
        <v>23</v>
      </c>
      <c r="D19" s="42">
        <v>16</v>
      </c>
      <c r="E19" s="42">
        <v>31</v>
      </c>
      <c r="F19" s="42">
        <v>41</v>
      </c>
      <c r="G19" s="42">
        <v>85</v>
      </c>
      <c r="H19" s="42">
        <v>86</v>
      </c>
      <c r="I19" s="42">
        <v>87</v>
      </c>
      <c r="J19" s="42" t="s">
        <v>7</v>
      </c>
      <c r="K19" s="99"/>
      <c r="L19" s="99"/>
      <c r="M19" s="99"/>
    </row>
    <row r="20" spans="1:18" x14ac:dyDescent="0.2">
      <c r="A20" s="98" t="s">
        <v>78</v>
      </c>
      <c r="C20" s="100">
        <f>SUM(D7:O7)</f>
        <v>607149561</v>
      </c>
      <c r="D20" s="100">
        <f>SUM(D8:O8)</f>
        <v>13738</v>
      </c>
      <c r="E20" s="100">
        <f>SUM(D9:O9)</f>
        <v>231908804</v>
      </c>
      <c r="F20" s="100">
        <f>SUM(D10:O10)</f>
        <v>67177571</v>
      </c>
      <c r="G20" s="100">
        <f>SUM(D11:O11)</f>
        <v>17913519</v>
      </c>
      <c r="H20" s="100">
        <f>SUM(D12:O12)</f>
        <v>8625159</v>
      </c>
      <c r="I20" s="100">
        <f>SUM(D13:O13)</f>
        <v>21070835</v>
      </c>
      <c r="J20" s="100">
        <f>SUM(C20:I20)</f>
        <v>953859187</v>
      </c>
      <c r="K20" s="91"/>
      <c r="L20" s="91"/>
      <c r="M20" s="91"/>
    </row>
    <row r="21" spans="1:18" x14ac:dyDescent="0.2">
      <c r="B21" s="15"/>
      <c r="C21" s="100"/>
      <c r="D21" s="100"/>
      <c r="E21" s="100"/>
      <c r="F21" s="100"/>
      <c r="G21" s="100"/>
      <c r="H21" s="100"/>
      <c r="I21" s="100"/>
      <c r="J21" s="91"/>
      <c r="K21" s="91"/>
      <c r="L21" s="91"/>
      <c r="M21" s="91"/>
      <c r="N21" s="100"/>
      <c r="O21" s="100"/>
      <c r="P21" s="100"/>
      <c r="Q21" s="100"/>
    </row>
    <row r="22" spans="1:18" s="101" customFormat="1" x14ac:dyDescent="0.2">
      <c r="A22" s="85" t="s">
        <v>79</v>
      </c>
      <c r="P22" s="99"/>
    </row>
    <row r="23" spans="1:18" s="101" customFormat="1" x14ac:dyDescent="0.2">
      <c r="A23" s="26"/>
      <c r="B23" s="102"/>
      <c r="C23" s="102"/>
      <c r="D23" s="88">
        <f>D6</f>
        <v>43040</v>
      </c>
      <c r="E23" s="88">
        <f t="shared" ref="E23:O23" si="3">E6</f>
        <v>43070</v>
      </c>
      <c r="F23" s="88">
        <f t="shared" si="3"/>
        <v>43101</v>
      </c>
      <c r="G23" s="88">
        <f t="shared" si="3"/>
        <v>43132</v>
      </c>
      <c r="H23" s="88">
        <f t="shared" si="3"/>
        <v>43160</v>
      </c>
      <c r="I23" s="88">
        <f t="shared" si="3"/>
        <v>43191</v>
      </c>
      <c r="J23" s="88">
        <f t="shared" si="3"/>
        <v>43221</v>
      </c>
      <c r="K23" s="88">
        <f t="shared" si="3"/>
        <v>43252</v>
      </c>
      <c r="L23" s="88">
        <f t="shared" si="3"/>
        <v>43282</v>
      </c>
      <c r="M23" s="88">
        <f t="shared" si="3"/>
        <v>43313</v>
      </c>
      <c r="N23" s="88">
        <f t="shared" si="3"/>
        <v>43344</v>
      </c>
      <c r="O23" s="88">
        <f t="shared" si="3"/>
        <v>43374</v>
      </c>
      <c r="P23" s="42" t="s">
        <v>80</v>
      </c>
      <c r="Q23" s="102"/>
      <c r="R23" s="102"/>
    </row>
    <row r="24" spans="1:18" s="101" customFormat="1" x14ac:dyDescent="0.2">
      <c r="A24" s="103" t="s">
        <v>38</v>
      </c>
      <c r="B24" s="104"/>
      <c r="C24" s="104"/>
    </row>
    <row r="25" spans="1:18" s="101" customFormat="1" x14ac:dyDescent="0.2">
      <c r="A25" s="15">
        <v>23</v>
      </c>
      <c r="B25" s="89"/>
      <c r="C25" s="89"/>
      <c r="D25" s="93">
        <v>761884</v>
      </c>
      <c r="E25" s="93">
        <v>763598</v>
      </c>
      <c r="F25" s="93">
        <v>765355</v>
      </c>
      <c r="G25" s="93">
        <v>766621</v>
      </c>
      <c r="H25" s="93">
        <v>767350</v>
      </c>
      <c r="I25" s="93">
        <v>767900</v>
      </c>
      <c r="J25" s="93">
        <v>768059</v>
      </c>
      <c r="K25" s="93">
        <v>768179</v>
      </c>
      <c r="L25" s="93">
        <v>767920</v>
      </c>
      <c r="M25" s="93">
        <v>768126</v>
      </c>
      <c r="N25" s="93">
        <v>768838</v>
      </c>
      <c r="O25" s="93">
        <v>770542</v>
      </c>
      <c r="P25" s="95">
        <f>AVERAGE(D25:O25)</f>
        <v>767031</v>
      </c>
    </row>
    <row r="26" spans="1:18" s="101" customFormat="1" x14ac:dyDescent="0.2">
      <c r="A26" s="15" t="s">
        <v>81</v>
      </c>
      <c r="B26" s="89"/>
      <c r="C26" s="89"/>
      <c r="D26" s="95">
        <f>ROUND(+D8/19,0)</f>
        <v>67</v>
      </c>
      <c r="E26" s="95">
        <f t="shared" ref="E26:N26" si="4">ROUND(+E8/19,0)</f>
        <v>47</v>
      </c>
      <c r="F26" s="95">
        <f t="shared" si="4"/>
        <v>75</v>
      </c>
      <c r="G26" s="95">
        <f t="shared" si="4"/>
        <v>84</v>
      </c>
      <c r="H26" s="95">
        <f t="shared" si="4"/>
        <v>65</v>
      </c>
      <c r="I26" s="95">
        <f t="shared" si="4"/>
        <v>55</v>
      </c>
      <c r="J26" s="95">
        <f t="shared" si="4"/>
        <v>43</v>
      </c>
      <c r="K26" s="95">
        <f t="shared" si="4"/>
        <v>54</v>
      </c>
      <c r="L26" s="95">
        <f t="shared" si="4"/>
        <v>60</v>
      </c>
      <c r="M26" s="95">
        <f t="shared" si="4"/>
        <v>54</v>
      </c>
      <c r="N26" s="95">
        <f t="shared" si="4"/>
        <v>68</v>
      </c>
      <c r="O26" s="95">
        <f>ROUND(+O8/19,0)</f>
        <v>52</v>
      </c>
      <c r="P26" s="95">
        <f t="shared" ref="P26:P36" si="5">AVERAGE(D26:O26)</f>
        <v>60.333333333333336</v>
      </c>
    </row>
    <row r="27" spans="1:18" s="101" customFormat="1" x14ac:dyDescent="0.2">
      <c r="A27" s="26"/>
      <c r="B27" s="89"/>
      <c r="C27" s="89"/>
      <c r="P27" s="95"/>
      <c r="Q27" s="89"/>
      <c r="R27" s="89"/>
    </row>
    <row r="28" spans="1:18" s="101" customFormat="1" x14ac:dyDescent="0.2">
      <c r="A28" s="103" t="s">
        <v>82</v>
      </c>
      <c r="B28" s="89"/>
      <c r="C28" s="89"/>
      <c r="P28" s="95"/>
      <c r="Q28" s="89"/>
      <c r="R28" s="89"/>
    </row>
    <row r="29" spans="1:18" s="101" customFormat="1" x14ac:dyDescent="0.2">
      <c r="A29" s="15">
        <v>31</v>
      </c>
      <c r="B29" s="89"/>
      <c r="C29" s="89"/>
      <c r="D29" s="93">
        <v>56818</v>
      </c>
      <c r="E29" s="93">
        <v>56962</v>
      </c>
      <c r="F29" s="93">
        <v>57096</v>
      </c>
      <c r="G29" s="93">
        <v>57204</v>
      </c>
      <c r="H29" s="93">
        <v>57273</v>
      </c>
      <c r="I29" s="93">
        <v>57286</v>
      </c>
      <c r="J29" s="93">
        <v>57298</v>
      </c>
      <c r="K29" s="93">
        <v>57310</v>
      </c>
      <c r="L29" s="93">
        <v>57320</v>
      </c>
      <c r="M29" s="93">
        <v>57318</v>
      </c>
      <c r="N29" s="93">
        <v>57365</v>
      </c>
      <c r="O29" s="93">
        <v>57486</v>
      </c>
      <c r="P29" s="95">
        <f t="shared" si="5"/>
        <v>57228</v>
      </c>
      <c r="Q29" s="89"/>
      <c r="R29" s="89"/>
    </row>
    <row r="30" spans="1:18" s="101" customFormat="1" x14ac:dyDescent="0.2">
      <c r="A30" s="15">
        <v>41</v>
      </c>
      <c r="D30" s="93">
        <v>1328</v>
      </c>
      <c r="E30" s="93">
        <v>1325</v>
      </c>
      <c r="F30" s="93">
        <v>1324</v>
      </c>
      <c r="G30" s="93">
        <v>1321</v>
      </c>
      <c r="H30" s="93">
        <v>1318</v>
      </c>
      <c r="I30" s="93">
        <v>1316</v>
      </c>
      <c r="J30" s="93">
        <v>1314</v>
      </c>
      <c r="K30" s="93">
        <v>1312</v>
      </c>
      <c r="L30" s="93">
        <v>1311</v>
      </c>
      <c r="M30" s="93">
        <v>1309</v>
      </c>
      <c r="N30" s="93">
        <v>1309</v>
      </c>
      <c r="O30" s="93">
        <v>1305</v>
      </c>
      <c r="P30" s="95">
        <f t="shared" si="5"/>
        <v>1316</v>
      </c>
    </row>
    <row r="31" spans="1:18" s="101" customFormat="1" x14ac:dyDescent="0.2">
      <c r="A31" s="1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  <row r="32" spans="1:18" x14ac:dyDescent="0.2">
      <c r="A32" s="15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95"/>
    </row>
    <row r="33" spans="1:17" x14ac:dyDescent="0.2">
      <c r="A33" s="103" t="s">
        <v>83</v>
      </c>
      <c r="B33" s="90"/>
      <c r="C33" s="9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95"/>
      <c r="Q33" s="90"/>
    </row>
    <row r="34" spans="1:17" x14ac:dyDescent="0.2">
      <c r="A34" s="15">
        <v>85</v>
      </c>
      <c r="B34" s="90"/>
      <c r="C34" s="90"/>
      <c r="D34" s="93">
        <v>33</v>
      </c>
      <c r="E34" s="93">
        <v>33</v>
      </c>
      <c r="F34" s="93">
        <v>33</v>
      </c>
      <c r="G34" s="93">
        <v>33</v>
      </c>
      <c r="H34" s="93">
        <v>33</v>
      </c>
      <c r="I34" s="93">
        <v>33</v>
      </c>
      <c r="J34" s="93">
        <v>33</v>
      </c>
      <c r="K34" s="93">
        <v>33</v>
      </c>
      <c r="L34" s="93">
        <v>33</v>
      </c>
      <c r="M34" s="93">
        <v>34</v>
      </c>
      <c r="N34" s="93">
        <v>34</v>
      </c>
      <c r="O34" s="93">
        <v>34</v>
      </c>
      <c r="P34" s="95">
        <f t="shared" si="5"/>
        <v>33.25</v>
      </c>
      <c r="Q34" s="90"/>
    </row>
    <row r="35" spans="1:17" x14ac:dyDescent="0.2">
      <c r="A35" s="15">
        <v>86</v>
      </c>
      <c r="B35" s="90"/>
      <c r="C35" s="90"/>
      <c r="D35" s="93">
        <v>234</v>
      </c>
      <c r="E35" s="93">
        <v>233</v>
      </c>
      <c r="F35" s="93">
        <v>233</v>
      </c>
      <c r="G35" s="93">
        <v>232</v>
      </c>
      <c r="H35" s="93">
        <v>230</v>
      </c>
      <c r="I35" s="93">
        <v>229</v>
      </c>
      <c r="J35" s="93">
        <v>228</v>
      </c>
      <c r="K35" s="93">
        <v>228</v>
      </c>
      <c r="L35" s="93">
        <v>227</v>
      </c>
      <c r="M35" s="93">
        <v>226</v>
      </c>
      <c r="N35" s="93">
        <v>225</v>
      </c>
      <c r="O35" s="93">
        <v>225</v>
      </c>
      <c r="P35" s="95">
        <f t="shared" si="5"/>
        <v>229.16666666666666</v>
      </c>
      <c r="Q35" s="90"/>
    </row>
    <row r="36" spans="1:17" x14ac:dyDescent="0.2">
      <c r="A36" s="15">
        <v>87</v>
      </c>
      <c r="D36" s="93">
        <v>5</v>
      </c>
      <c r="E36" s="93">
        <v>5</v>
      </c>
      <c r="F36" s="93">
        <v>5</v>
      </c>
      <c r="G36" s="93">
        <v>5</v>
      </c>
      <c r="H36" s="93">
        <v>5</v>
      </c>
      <c r="I36" s="93">
        <v>5</v>
      </c>
      <c r="J36" s="93">
        <v>5</v>
      </c>
      <c r="K36" s="93">
        <v>5</v>
      </c>
      <c r="L36" s="93">
        <v>5</v>
      </c>
      <c r="M36" s="93">
        <v>5</v>
      </c>
      <c r="N36" s="93">
        <v>5</v>
      </c>
      <c r="O36" s="93">
        <v>5</v>
      </c>
      <c r="P36" s="95">
        <f t="shared" si="5"/>
        <v>5</v>
      </c>
    </row>
    <row r="37" spans="1:17" x14ac:dyDescent="0.2"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95"/>
    </row>
    <row r="38" spans="1:17" x14ac:dyDescent="0.2">
      <c r="A38" s="26" t="s">
        <v>7</v>
      </c>
      <c r="B38" s="105"/>
      <c r="C38" s="105"/>
      <c r="D38" s="95">
        <f>SUM(D34:D36,D29:D30,D25:D26)</f>
        <v>820369</v>
      </c>
      <c r="E38" s="95">
        <f t="shared" ref="E38:M38" si="6">SUM(E34:E36,E29:E31,E25:E26)</f>
        <v>822203</v>
      </c>
      <c r="F38" s="95">
        <f>SUM(F34:F36,F29:F31,F25:F26)</f>
        <v>824121</v>
      </c>
      <c r="G38" s="95">
        <f t="shared" si="6"/>
        <v>825500</v>
      </c>
      <c r="H38" s="95">
        <f t="shared" si="6"/>
        <v>826274</v>
      </c>
      <c r="I38" s="95">
        <f t="shared" si="6"/>
        <v>826824</v>
      </c>
      <c r="J38" s="95">
        <f t="shared" si="6"/>
        <v>826980</v>
      </c>
      <c r="K38" s="95">
        <f t="shared" si="6"/>
        <v>827121</v>
      </c>
      <c r="L38" s="95">
        <f t="shared" si="6"/>
        <v>826876</v>
      </c>
      <c r="M38" s="95">
        <f t="shared" si="6"/>
        <v>827072</v>
      </c>
      <c r="N38" s="95">
        <f>SUM(N34:N36,N29:N31,N25:N26)</f>
        <v>827844</v>
      </c>
      <c r="O38" s="95">
        <f>SUM(O34:O36,O29:O31,O25:O26)</f>
        <v>829649</v>
      </c>
      <c r="P38" s="95">
        <f>SUM(P34:P36,P29:P31,P25:P26)</f>
        <v>825902.75</v>
      </c>
      <c r="Q38" s="90"/>
    </row>
    <row r="39" spans="1:17" x14ac:dyDescent="0.2">
      <c r="A39" s="98"/>
    </row>
    <row r="40" spans="1:17" x14ac:dyDescent="0.2">
      <c r="A40" s="26" t="s">
        <v>84</v>
      </c>
    </row>
    <row r="41" spans="1:17" x14ac:dyDescent="0.2">
      <c r="B41" s="106"/>
      <c r="C41" s="106"/>
      <c r="D41" s="106"/>
    </row>
    <row r="42" spans="1:17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</row>
    <row r="43" spans="1:17" x14ac:dyDescent="0.2">
      <c r="B43" s="107"/>
      <c r="C43" s="107"/>
      <c r="D43" s="107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17" x14ac:dyDescent="0.2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17" x14ac:dyDescent="0.2">
      <c r="A45" s="15"/>
      <c r="B45" s="108"/>
      <c r="C45" s="108"/>
      <c r="D45" s="108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17" x14ac:dyDescent="0.2">
      <c r="A46" s="15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spans="1:17" x14ac:dyDescent="0.2">
      <c r="A47" s="15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spans="1:17" x14ac:dyDescent="0.2">
      <c r="A48" s="15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1:17" x14ac:dyDescent="0.2">
      <c r="A49" s="26" t="s">
        <v>85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spans="1:17" x14ac:dyDescent="0.2">
      <c r="A50" s="15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1" spans="1:17" x14ac:dyDescent="0.2">
      <c r="A51" s="15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</row>
    <row r="52" spans="1:17" x14ac:dyDescent="0.2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</row>
    <row r="54" spans="1:17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spans="1:17" x14ac:dyDescent="0.2"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</sheetData>
  <mergeCells count="3">
    <mergeCell ref="A1:P1"/>
    <mergeCell ref="A2:P2"/>
    <mergeCell ref="A3:P3"/>
  </mergeCells>
  <printOptions horizontalCentered="1"/>
  <pageMargins left="0.53" right="0.48" top="1" bottom="1" header="0.5" footer="0.5"/>
  <pageSetup scale="62" orientation="landscape" blackAndWhite="1" r:id="rId1"/>
  <headerFooter alignWithMargins="0">
    <oddFooter>&amp;L&amp;F 
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"/>
  <sheetViews>
    <sheetView workbookViewId="0">
      <selection activeCell="E8" sqref="E8"/>
    </sheetView>
  </sheetViews>
  <sheetFormatPr defaultRowHeight="12.75" x14ac:dyDescent="0.2"/>
  <cols>
    <col min="1" max="1" width="5" style="26" customWidth="1"/>
    <col min="2" max="2" width="9.7109375" style="26" customWidth="1"/>
    <col min="3" max="3" width="3" style="26" customWidth="1"/>
    <col min="4" max="4" width="10.85546875" style="26" bestFit="1" customWidth="1"/>
    <col min="5" max="5" width="11.5703125" style="26" bestFit="1" customWidth="1"/>
    <col min="6" max="6" width="10.28515625" style="26" bestFit="1" customWidth="1"/>
    <col min="7" max="7" width="2.5703125" style="26" customWidth="1"/>
    <col min="8" max="8" width="14.7109375" style="26" bestFit="1" customWidth="1"/>
    <col min="9" max="9" width="12.7109375" style="26" bestFit="1" customWidth="1"/>
    <col min="10" max="10" width="14" style="26" bestFit="1" customWidth="1"/>
    <col min="11" max="11" width="12.85546875" style="26" bestFit="1" customWidth="1"/>
    <col min="12" max="12" width="11.85546875" style="26" bestFit="1" customWidth="1"/>
    <col min="13" max="15" width="3.28515625" style="26" bestFit="1" customWidth="1"/>
    <col min="16" max="16384" width="9.140625" style="26"/>
  </cols>
  <sheetData>
    <row r="1" spans="1:15" ht="15.75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5" ht="15.75" x14ac:dyDescent="0.25">
      <c r="A2" s="109" t="str">
        <f>'Amort Rates Tracker-2'!B2</f>
        <v>PGA Tracker Filing Proposed Effective November 1, 2017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110"/>
      <c r="M2" s="111"/>
    </row>
    <row r="3" spans="1:15" ht="15.75" x14ac:dyDescent="0.25">
      <c r="A3" s="50" t="s">
        <v>86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110"/>
      <c r="M3" s="111"/>
    </row>
    <row r="4" spans="1:15" ht="15" x14ac:dyDescent="0.2">
      <c r="A4" s="112"/>
      <c r="B4" s="112"/>
      <c r="J4" s="113"/>
      <c r="K4" s="114"/>
      <c r="L4" s="114"/>
    </row>
    <row r="5" spans="1:15" x14ac:dyDescent="0.2">
      <c r="H5" s="115" t="s">
        <v>87</v>
      </c>
      <c r="I5" s="116"/>
      <c r="J5" s="117" t="s">
        <v>88</v>
      </c>
      <c r="K5" s="114"/>
      <c r="L5" s="114"/>
    </row>
    <row r="6" spans="1:15" x14ac:dyDescent="0.2">
      <c r="A6" s="118"/>
      <c r="B6" s="15" t="s">
        <v>89</v>
      </c>
      <c r="C6" s="15"/>
      <c r="D6" s="116" t="s">
        <v>90</v>
      </c>
      <c r="E6" s="116"/>
      <c r="F6" s="116"/>
      <c r="H6" s="119" t="s">
        <v>7</v>
      </c>
      <c r="I6" s="119" t="s">
        <v>80</v>
      </c>
      <c r="J6" s="120" t="s">
        <v>91</v>
      </c>
      <c r="K6" s="121" t="s">
        <v>92</v>
      </c>
      <c r="L6" s="121"/>
    </row>
    <row r="7" spans="1:15" x14ac:dyDescent="0.2">
      <c r="A7" s="122" t="s">
        <v>41</v>
      </c>
      <c r="B7" s="42" t="s">
        <v>93</v>
      </c>
      <c r="C7" s="15"/>
      <c r="D7" s="42" t="s">
        <v>94</v>
      </c>
      <c r="E7" s="42" t="s">
        <v>95</v>
      </c>
      <c r="F7" s="42" t="s">
        <v>96</v>
      </c>
      <c r="H7" s="123" t="s">
        <v>97</v>
      </c>
      <c r="I7" s="124" t="s">
        <v>98</v>
      </c>
      <c r="J7" s="125" t="s">
        <v>96</v>
      </c>
      <c r="K7" s="126" t="s">
        <v>99</v>
      </c>
      <c r="L7" s="126" t="s">
        <v>100</v>
      </c>
    </row>
    <row r="8" spans="1:15" x14ac:dyDescent="0.2">
      <c r="B8" s="15"/>
      <c r="C8" s="15"/>
      <c r="D8" s="15" t="s">
        <v>101</v>
      </c>
      <c r="E8" s="99" t="s">
        <v>102</v>
      </c>
      <c r="F8" s="15" t="s">
        <v>103</v>
      </c>
      <c r="G8" s="15"/>
      <c r="H8" s="15" t="s">
        <v>104</v>
      </c>
      <c r="I8" s="15" t="s">
        <v>105</v>
      </c>
      <c r="J8" s="117" t="s">
        <v>106</v>
      </c>
      <c r="K8" s="127" t="s">
        <v>107</v>
      </c>
      <c r="L8" s="127" t="s">
        <v>108</v>
      </c>
      <c r="M8" s="15"/>
      <c r="N8" s="15"/>
      <c r="O8" s="15"/>
    </row>
    <row r="9" spans="1:15" x14ac:dyDescent="0.2">
      <c r="A9" s="15"/>
      <c r="B9" s="15"/>
      <c r="D9" s="15"/>
      <c r="E9" s="15"/>
      <c r="F9" s="1" t="s">
        <v>109</v>
      </c>
      <c r="H9" s="119"/>
      <c r="I9" s="128"/>
      <c r="J9" s="117" t="s">
        <v>110</v>
      </c>
      <c r="K9" s="127" t="s">
        <v>111</v>
      </c>
      <c r="L9" s="127" t="s">
        <v>112</v>
      </c>
    </row>
    <row r="10" spans="1:15" x14ac:dyDescent="0.2">
      <c r="A10" s="15"/>
      <c r="B10" s="15"/>
      <c r="C10" s="98"/>
      <c r="D10" s="129"/>
      <c r="E10" s="129"/>
      <c r="F10" s="129"/>
      <c r="H10" s="130"/>
      <c r="I10" s="130"/>
      <c r="J10" s="131"/>
      <c r="K10" s="132"/>
      <c r="L10" s="132"/>
      <c r="N10" s="133"/>
      <c r="O10" s="133"/>
    </row>
    <row r="11" spans="1:15" x14ac:dyDescent="0.2">
      <c r="A11" s="15"/>
      <c r="B11" s="103" t="s">
        <v>38</v>
      </c>
      <c r="C11" s="98"/>
      <c r="D11" s="129"/>
      <c r="E11" s="129"/>
      <c r="F11" s="129"/>
      <c r="H11" s="130"/>
      <c r="I11" s="130"/>
      <c r="J11" s="131"/>
      <c r="K11" s="132"/>
      <c r="L11" s="132"/>
      <c r="N11" s="133"/>
      <c r="O11" s="133"/>
    </row>
    <row r="12" spans="1:15" x14ac:dyDescent="0.2">
      <c r="A12" s="15">
        <v>1</v>
      </c>
      <c r="B12" s="15">
        <v>23</v>
      </c>
      <c r="C12" s="15"/>
      <c r="D12" s="134">
        <f>'Amort Rates Tracker-2'!E$35</f>
        <v>-1.6299999999999999E-2</v>
      </c>
      <c r="E12" s="135">
        <f>'Amort Rates Tracker-2'!E$33</f>
        <v>-1.695E-2</v>
      </c>
      <c r="F12" s="136">
        <f>+E12-D12</f>
        <v>-6.5000000000000127E-4</v>
      </c>
      <c r="G12" s="133"/>
      <c r="H12" s="137">
        <f>'Forecast Tracker-3'!P7</f>
        <v>607149561</v>
      </c>
      <c r="I12" s="137">
        <f>'Forecast Tracker-3'!P25</f>
        <v>767031</v>
      </c>
      <c r="J12" s="138">
        <f>+H12*F12</f>
        <v>-394647.21465000079</v>
      </c>
      <c r="K12" s="139">
        <f>+J12/I12</f>
        <v>-0.5145127311021338</v>
      </c>
      <c r="L12" s="139">
        <f>+K12/12</f>
        <v>-4.2876060925177817E-2</v>
      </c>
      <c r="N12" s="133"/>
      <c r="O12" s="133"/>
    </row>
    <row r="13" spans="1:15" x14ac:dyDescent="0.2">
      <c r="A13" s="15">
        <f t="shared" ref="A13:A26" si="0">A12+1</f>
        <v>2</v>
      </c>
      <c r="B13" s="15">
        <v>16</v>
      </c>
      <c r="C13" s="15"/>
      <c r="D13" s="135">
        <f>'Amort Rates Tracker-2'!F$35</f>
        <v>-1.6299999999999999E-2</v>
      </c>
      <c r="E13" s="135">
        <f>'Amort Rates Tracker-2'!F$33</f>
        <v>-1.695E-2</v>
      </c>
      <c r="F13" s="136">
        <f>+E13-D13</f>
        <v>-6.5000000000000127E-4</v>
      </c>
      <c r="G13" s="133"/>
      <c r="H13" s="137">
        <f>'Forecast Tracker-3'!P8</f>
        <v>13738</v>
      </c>
      <c r="I13" s="137">
        <f>'Forecast Tracker-3'!P26</f>
        <v>60.333333333333336</v>
      </c>
      <c r="J13" s="138">
        <f>+H13*F13</f>
        <v>-8.9297000000000182</v>
      </c>
      <c r="K13" s="139">
        <f>+J13/I13</f>
        <v>-0.14800607734806659</v>
      </c>
      <c r="L13" s="139">
        <f>+K13/12</f>
        <v>-1.2333839779005549E-2</v>
      </c>
      <c r="N13" s="133"/>
      <c r="O13" s="133"/>
    </row>
    <row r="14" spans="1:15" x14ac:dyDescent="0.2">
      <c r="A14" s="15">
        <f t="shared" si="0"/>
        <v>3</v>
      </c>
      <c r="B14" s="98" t="s">
        <v>113</v>
      </c>
      <c r="C14" s="15"/>
      <c r="D14" s="140"/>
      <c r="E14" s="141"/>
      <c r="F14" s="136"/>
      <c r="G14" s="133"/>
      <c r="H14" s="142">
        <f>SUM(H12:H13)</f>
        <v>607163299</v>
      </c>
      <c r="I14" s="142">
        <f>SUM(I12:I13)</f>
        <v>767091.33333333337</v>
      </c>
      <c r="J14" s="143">
        <f>SUM(J12:J13)</f>
        <v>-394656.14435000077</v>
      </c>
      <c r="K14" s="144">
        <f>+J14/I14</f>
        <v>-0.51448390458937188</v>
      </c>
      <c r="L14" s="144">
        <f>+K14/12</f>
        <v>-4.2873658715780992E-2</v>
      </c>
      <c r="N14" s="133"/>
      <c r="O14" s="133"/>
    </row>
    <row r="15" spans="1:15" x14ac:dyDescent="0.2">
      <c r="A15" s="15"/>
      <c r="D15" s="140"/>
      <c r="E15" s="141"/>
      <c r="F15" s="136"/>
      <c r="G15" s="133"/>
      <c r="H15" s="130"/>
      <c r="I15" s="130"/>
      <c r="J15" s="138"/>
      <c r="K15" s="139"/>
      <c r="L15" s="139"/>
      <c r="N15" s="133"/>
      <c r="O15" s="133"/>
    </row>
    <row r="16" spans="1:15" x14ac:dyDescent="0.2">
      <c r="A16" s="15"/>
      <c r="B16" s="103" t="s">
        <v>82</v>
      </c>
      <c r="C16" s="98"/>
      <c r="D16" s="140"/>
      <c r="E16" s="141"/>
      <c r="F16" s="136"/>
      <c r="G16" s="133"/>
      <c r="H16" s="130"/>
      <c r="I16" s="130"/>
      <c r="J16" s="138"/>
      <c r="K16" s="139"/>
      <c r="L16" s="139"/>
      <c r="N16" s="133"/>
      <c r="O16" s="133"/>
    </row>
    <row r="17" spans="1:256" x14ac:dyDescent="0.2">
      <c r="A17" s="15">
        <f>A14+1</f>
        <v>4</v>
      </c>
      <c r="B17" s="15">
        <v>31</v>
      </c>
      <c r="C17" s="15"/>
      <c r="D17" s="135">
        <f>'Amort Rates Tracker-2'!G$35</f>
        <v>-1.7340000000000001E-2</v>
      </c>
      <c r="E17" s="135">
        <f>'Amort Rates Tracker-2'!G$33</f>
        <v>-1.695E-2</v>
      </c>
      <c r="F17" s="136">
        <f>+E17-D17</f>
        <v>3.9000000000000146E-4</v>
      </c>
      <c r="G17" s="133"/>
      <c r="H17" s="137">
        <f>'Forecast Tracker-3'!P9</f>
        <v>231908804</v>
      </c>
      <c r="I17" s="137">
        <f>'Forecast Tracker-3'!P29</f>
        <v>57228</v>
      </c>
      <c r="J17" s="138">
        <f>+H17*F17</f>
        <v>90444.43356000034</v>
      </c>
      <c r="K17" s="139">
        <f>+J17/I17</f>
        <v>1.5804227573914926</v>
      </c>
      <c r="L17" s="139">
        <f>+K17/12</f>
        <v>0.13170189644929106</v>
      </c>
      <c r="N17" s="133"/>
      <c r="O17" s="133"/>
    </row>
    <row r="18" spans="1:256" x14ac:dyDescent="0.2">
      <c r="A18" s="15">
        <f t="shared" si="0"/>
        <v>5</v>
      </c>
      <c r="B18" s="15">
        <v>41</v>
      </c>
      <c r="C18" s="15"/>
      <c r="D18" s="135">
        <f>'Amort Rates Tracker-2'!H$35</f>
        <v>-2.2009999999999998E-2</v>
      </c>
      <c r="E18" s="135">
        <f>'Amort Rates Tracker-2'!H$33</f>
        <v>-1.6969999999999999E-2</v>
      </c>
      <c r="F18" s="136">
        <f>+E18-D18</f>
        <v>5.0399999999999993E-3</v>
      </c>
      <c r="G18" s="133"/>
      <c r="H18" s="137">
        <f>'Forecast Tracker-3'!P10</f>
        <v>67177571</v>
      </c>
      <c r="I18" s="137">
        <f>'Forecast Tracker-3'!P30</f>
        <v>1316</v>
      </c>
      <c r="J18" s="138">
        <f>+H18*F18</f>
        <v>338574.95783999993</v>
      </c>
      <c r="K18" s="139">
        <f>+J18/I18</f>
        <v>257.27580382978721</v>
      </c>
      <c r="L18" s="139">
        <f>+K18/12</f>
        <v>21.439650319148935</v>
      </c>
      <c r="N18" s="133"/>
      <c r="O18" s="133"/>
    </row>
    <row r="19" spans="1:256" x14ac:dyDescent="0.2">
      <c r="A19" s="15">
        <f>A18+1</f>
        <v>6</v>
      </c>
      <c r="B19" s="98" t="s">
        <v>114</v>
      </c>
      <c r="C19" s="15"/>
      <c r="D19" s="140"/>
      <c r="E19" s="141"/>
      <c r="F19" s="136"/>
      <c r="G19" s="133"/>
      <c r="H19" s="142">
        <f>SUM(H17:H18)</f>
        <v>299086375</v>
      </c>
      <c r="I19" s="142">
        <f>SUM(I17:I18)</f>
        <v>58544</v>
      </c>
      <c r="J19" s="143">
        <f>SUM(J17:J18)</f>
        <v>429019.39140000026</v>
      </c>
      <c r="K19" s="144">
        <f>J19/I19</f>
        <v>7.3281530370319805</v>
      </c>
      <c r="L19" s="144">
        <f>K19/12</f>
        <v>0.61067941975266504</v>
      </c>
      <c r="N19" s="133"/>
      <c r="O19" s="133"/>
    </row>
    <row r="20" spans="1:256" x14ac:dyDescent="0.2">
      <c r="A20" s="15"/>
      <c r="B20" s="15"/>
      <c r="C20" s="15"/>
      <c r="D20" s="140"/>
      <c r="E20" s="141"/>
      <c r="F20" s="136"/>
      <c r="G20" s="133"/>
      <c r="H20" s="145"/>
      <c r="I20" s="145"/>
      <c r="J20" s="146"/>
      <c r="K20" s="147"/>
      <c r="L20" s="147"/>
      <c r="N20" s="133"/>
      <c r="O20" s="133"/>
    </row>
    <row r="21" spans="1:256" x14ac:dyDescent="0.2">
      <c r="A21" s="15"/>
      <c r="B21" s="103" t="s">
        <v>40</v>
      </c>
      <c r="C21" s="15"/>
      <c r="D21" s="140"/>
      <c r="E21" s="141"/>
      <c r="F21" s="136"/>
      <c r="G21" s="133"/>
      <c r="H21" s="130"/>
      <c r="I21" s="130"/>
      <c r="J21" s="138"/>
      <c r="K21" s="139"/>
      <c r="L21" s="139"/>
      <c r="N21" s="133"/>
      <c r="O21" s="133"/>
    </row>
    <row r="22" spans="1:256" x14ac:dyDescent="0.2">
      <c r="A22" s="15">
        <f>A19+1</f>
        <v>7</v>
      </c>
      <c r="B22" s="15">
        <v>85</v>
      </c>
      <c r="C22" s="15"/>
      <c r="D22" s="135">
        <f>'Amort Rates Tracker-2'!I$35</f>
        <v>-2.4740000000000002E-2</v>
      </c>
      <c r="E22" s="135">
        <f>'Amort Rates Tracker-2'!I$33</f>
        <v>-1.6979999999999999E-2</v>
      </c>
      <c r="F22" s="136">
        <f>+E22-D22</f>
        <v>7.760000000000003E-3</v>
      </c>
      <c r="G22" s="133"/>
      <c r="H22" s="137">
        <f>'Forecast Tracker-3'!P11</f>
        <v>17913519</v>
      </c>
      <c r="I22" s="137">
        <f>'Forecast Tracker-3'!P34</f>
        <v>33.25</v>
      </c>
      <c r="J22" s="138">
        <f>+H22*F22</f>
        <v>139008.90744000007</v>
      </c>
      <c r="K22" s="139">
        <f>+J22/I22</f>
        <v>4180.7190207518815</v>
      </c>
      <c r="L22" s="139">
        <f>+K22/12</f>
        <v>348.39325172932348</v>
      </c>
      <c r="N22" s="133"/>
      <c r="O22" s="133"/>
    </row>
    <row r="23" spans="1:256" x14ac:dyDescent="0.2">
      <c r="A23" s="15">
        <f t="shared" si="0"/>
        <v>8</v>
      </c>
      <c r="B23" s="15">
        <v>86</v>
      </c>
      <c r="C23" s="15"/>
      <c r="D23" s="135">
        <f>'Amort Rates Tracker-2'!J$35</f>
        <v>-2.334E-2</v>
      </c>
      <c r="E23" s="135">
        <f>'Amort Rates Tracker-2'!J$33</f>
        <v>-1.6969999999999999E-2</v>
      </c>
      <c r="F23" s="136">
        <f>+E23-D23</f>
        <v>6.3700000000000007E-3</v>
      </c>
      <c r="G23" s="133"/>
      <c r="H23" s="137">
        <f>'Forecast Tracker-3'!P12</f>
        <v>8625159</v>
      </c>
      <c r="I23" s="137">
        <f>'Forecast Tracker-3'!P35</f>
        <v>229.16666666666666</v>
      </c>
      <c r="J23" s="138">
        <f>+H23*F23</f>
        <v>54942.262830000007</v>
      </c>
      <c r="K23" s="139">
        <f>+J23/I23</f>
        <v>239.74805598545458</v>
      </c>
      <c r="L23" s="139">
        <f>+K23/12</f>
        <v>19.97900466545455</v>
      </c>
      <c r="N23" s="133"/>
      <c r="O23" s="133"/>
    </row>
    <row r="24" spans="1:256" x14ac:dyDescent="0.2">
      <c r="A24" s="15">
        <f t="shared" si="0"/>
        <v>9</v>
      </c>
      <c r="B24" s="15">
        <v>87</v>
      </c>
      <c r="C24" s="15"/>
      <c r="D24" s="135">
        <f>'Amort Rates Tracker-2'!K$35</f>
        <v>-2.512E-2</v>
      </c>
      <c r="E24" s="135">
        <f>'Amort Rates Tracker-2'!K$33</f>
        <v>-1.6979999999999999E-2</v>
      </c>
      <c r="F24" s="136">
        <f>+E24-D24</f>
        <v>8.1400000000000014E-3</v>
      </c>
      <c r="G24" s="133"/>
      <c r="H24" s="137">
        <f>'Forecast Tracker-3'!P13</f>
        <v>21070835</v>
      </c>
      <c r="I24" s="137">
        <f>'Forecast Tracker-3'!P36</f>
        <v>5</v>
      </c>
      <c r="J24" s="138">
        <f>+H24*F24</f>
        <v>171516.59690000003</v>
      </c>
      <c r="K24" s="139">
        <f>+J24/I24</f>
        <v>34303.319380000008</v>
      </c>
      <c r="L24" s="139">
        <f>+K24/12</f>
        <v>2858.6099483333342</v>
      </c>
      <c r="N24" s="133"/>
      <c r="O24" s="133"/>
    </row>
    <row r="25" spans="1:256" x14ac:dyDescent="0.2">
      <c r="A25" s="15">
        <f t="shared" si="0"/>
        <v>10</v>
      </c>
      <c r="B25" s="98" t="s">
        <v>115</v>
      </c>
      <c r="C25" s="15"/>
      <c r="D25" s="136"/>
      <c r="E25" s="136"/>
      <c r="F25" s="136"/>
      <c r="G25" s="133"/>
      <c r="H25" s="142">
        <f>SUM(H22:H24)</f>
        <v>47609513</v>
      </c>
      <c r="I25" s="142">
        <f>SUM(I22:I24)</f>
        <v>267.41666666666663</v>
      </c>
      <c r="J25" s="143">
        <f>SUM(J22:J24)</f>
        <v>365467.76717000012</v>
      </c>
      <c r="K25" s="144">
        <f>J25/I25</f>
        <v>1366.660394527891</v>
      </c>
      <c r="L25" s="144">
        <f>K25/12</f>
        <v>113.88836621065758</v>
      </c>
    </row>
    <row r="26" spans="1:256" x14ac:dyDescent="0.2">
      <c r="A26" s="15">
        <f t="shared" si="0"/>
        <v>11</v>
      </c>
      <c r="B26" s="98" t="s">
        <v>116</v>
      </c>
      <c r="C26" s="15"/>
      <c r="D26" s="133"/>
      <c r="E26" s="133"/>
      <c r="F26" s="133"/>
      <c r="G26" s="133"/>
      <c r="H26" s="142">
        <f>SUM(H14,H19,H25)</f>
        <v>953859187</v>
      </c>
      <c r="I26" s="142">
        <f>SUM(I14,I19,I25)</f>
        <v>825902.75</v>
      </c>
      <c r="J26" s="143">
        <f>SUM(J14,J19,J25)</f>
        <v>399831.0142199996</v>
      </c>
      <c r="K26" s="148"/>
      <c r="L26" s="138"/>
    </row>
    <row r="27" spans="1:25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">
      <c r="A28" s="2" t="s">
        <v>117</v>
      </c>
      <c r="F28" s="133"/>
      <c r="G28" s="133"/>
      <c r="H28" s="130"/>
      <c r="J28" s="149"/>
      <c r="K28" s="129"/>
      <c r="L28" s="131"/>
    </row>
    <row r="29" spans="1:256" ht="110.25" x14ac:dyDescent="0.2">
      <c r="B29" s="111"/>
      <c r="C29" s="111"/>
      <c r="D29" s="111"/>
      <c r="E29" s="111"/>
      <c r="F29" s="133"/>
      <c r="G29" s="133"/>
      <c r="H29" s="150"/>
      <c r="I29" s="111"/>
      <c r="J29" s="131"/>
      <c r="K29" s="151"/>
      <c r="L29" s="131"/>
      <c r="M29" s="152" t="s">
        <v>2</v>
      </c>
      <c r="N29" s="153" t="s">
        <v>118</v>
      </c>
      <c r="O29" s="154" t="s">
        <v>0</v>
      </c>
    </row>
    <row r="30" spans="1:256" x14ac:dyDescent="0.2">
      <c r="A30" s="2" t="s">
        <v>119</v>
      </c>
    </row>
  </sheetData>
  <printOptions horizontalCentered="1"/>
  <pageMargins left="0.75" right="0.75" top="1" bottom="1" header="0.5" footer="0.5"/>
  <pageSetup scale="95" orientation="landscape" blackAndWhite="1" r:id="rId1"/>
  <headerFooter alignWithMargins="0">
    <oddFooter>&amp;L&amp;F 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workbookViewId="0">
      <selection activeCell="H21" sqref="H21"/>
    </sheetView>
  </sheetViews>
  <sheetFormatPr defaultRowHeight="12.75" x14ac:dyDescent="0.2"/>
  <cols>
    <col min="1" max="1" width="2" customWidth="1"/>
    <col min="2" max="2" width="31.85546875" customWidth="1"/>
    <col min="3" max="3" width="12.28515625" bestFit="1" customWidth="1"/>
    <col min="4" max="4" width="12.28515625" customWidth="1"/>
    <col min="5" max="6" width="15" bestFit="1" customWidth="1"/>
    <col min="7" max="7" width="10.42578125" customWidth="1"/>
    <col min="8" max="8" width="13.7109375" customWidth="1"/>
    <col min="9" max="9" width="11.140625" customWidth="1"/>
    <col min="10" max="12" width="3.28515625" bestFit="1" customWidth="1"/>
  </cols>
  <sheetData>
    <row r="1" spans="2:11" ht="15.75" x14ac:dyDescent="0.25">
      <c r="B1" s="50" t="s">
        <v>3</v>
      </c>
      <c r="C1" s="50"/>
      <c r="D1" s="50"/>
      <c r="E1" s="50"/>
      <c r="F1" s="50"/>
      <c r="G1" s="50"/>
      <c r="H1" s="50"/>
      <c r="I1" s="50"/>
      <c r="J1" s="155"/>
      <c r="K1" s="155"/>
    </row>
    <row r="2" spans="2:11" ht="18" x14ac:dyDescent="0.25">
      <c r="B2" s="109" t="str">
        <f>'Amort Rates Tracker-2'!B2</f>
        <v>PGA Tracker Filing Proposed Effective November 1, 2017</v>
      </c>
      <c r="C2" s="156"/>
      <c r="D2" s="156"/>
      <c r="E2" s="157"/>
      <c r="F2" s="110"/>
      <c r="G2" s="158"/>
      <c r="H2" s="110"/>
      <c r="I2" s="110"/>
      <c r="J2" s="98"/>
      <c r="K2" s="98"/>
    </row>
    <row r="3" spans="2:11" ht="18" x14ac:dyDescent="0.25">
      <c r="B3" s="50" t="s">
        <v>120</v>
      </c>
      <c r="C3" s="156"/>
      <c r="D3" s="156"/>
      <c r="E3" s="157"/>
      <c r="F3" s="110"/>
      <c r="G3" s="158"/>
      <c r="H3" s="110"/>
      <c r="I3" s="110"/>
      <c r="J3" s="98"/>
      <c r="K3" s="98"/>
    </row>
    <row r="4" spans="2:11" x14ac:dyDescent="0.2">
      <c r="B4" s="159"/>
      <c r="E4" s="160"/>
      <c r="H4" s="53"/>
      <c r="J4" s="161"/>
      <c r="K4" s="161"/>
    </row>
    <row r="5" spans="2:11" x14ac:dyDescent="0.2">
      <c r="B5" s="159"/>
      <c r="E5" s="162"/>
      <c r="H5" s="53"/>
    </row>
    <row r="6" spans="2:11" x14ac:dyDescent="0.2">
      <c r="E6" s="162"/>
      <c r="H6" s="53"/>
    </row>
    <row r="7" spans="2:11" x14ac:dyDescent="0.2">
      <c r="C7" s="163" t="s">
        <v>94</v>
      </c>
      <c r="D7" s="99" t="s">
        <v>95</v>
      </c>
      <c r="E7" s="164" t="s">
        <v>121</v>
      </c>
      <c r="F7" s="164" t="s">
        <v>121</v>
      </c>
      <c r="G7" s="165" t="s">
        <v>122</v>
      </c>
      <c r="H7" s="165" t="s">
        <v>122</v>
      </c>
      <c r="I7" s="164"/>
    </row>
    <row r="8" spans="2:11" x14ac:dyDescent="0.2">
      <c r="C8" s="164" t="s">
        <v>123</v>
      </c>
      <c r="D8" s="1" t="s">
        <v>123</v>
      </c>
      <c r="E8" s="164" t="s">
        <v>124</v>
      </c>
      <c r="F8" s="164" t="s">
        <v>125</v>
      </c>
      <c r="G8" s="163" t="s">
        <v>126</v>
      </c>
      <c r="H8" s="163" t="s">
        <v>126</v>
      </c>
      <c r="I8" s="162" t="s">
        <v>127</v>
      </c>
    </row>
    <row r="9" spans="2:11" s="2" customFormat="1" x14ac:dyDescent="0.2">
      <c r="B9" s="24" t="s">
        <v>128</v>
      </c>
      <c r="C9" s="42" t="s">
        <v>129</v>
      </c>
      <c r="D9" s="42" t="s">
        <v>129</v>
      </c>
      <c r="E9" s="166" t="s">
        <v>130</v>
      </c>
      <c r="F9" s="57" t="s">
        <v>131</v>
      </c>
      <c r="G9" s="42" t="s">
        <v>132</v>
      </c>
      <c r="H9" s="42" t="s">
        <v>133</v>
      </c>
      <c r="I9" s="42" t="s">
        <v>96</v>
      </c>
    </row>
    <row r="10" spans="2:11" x14ac:dyDescent="0.2">
      <c r="B10" s="167" t="s">
        <v>134</v>
      </c>
      <c r="C10" s="168" t="s">
        <v>135</v>
      </c>
      <c r="D10" s="168" t="s">
        <v>136</v>
      </c>
      <c r="E10" s="168" t="s">
        <v>137</v>
      </c>
      <c r="F10" s="168" t="s">
        <v>138</v>
      </c>
      <c r="G10" s="168" t="s">
        <v>139</v>
      </c>
      <c r="H10" s="168" t="s">
        <v>140</v>
      </c>
      <c r="I10" s="168" t="s">
        <v>141</v>
      </c>
    </row>
    <row r="11" spans="2:11" x14ac:dyDescent="0.2">
      <c r="B11" s="161" t="s">
        <v>142</v>
      </c>
      <c r="C11" s="135">
        <f>'Amort Rates Tracker-2'!$E$35</f>
        <v>-1.6299999999999999E-2</v>
      </c>
      <c r="D11" s="135">
        <f>'Amort Rates Tracker-2'!$E$33</f>
        <v>-1.695E-2</v>
      </c>
      <c r="E11" s="65">
        <f>'Forecast Tracker-3'!P7</f>
        <v>607149561</v>
      </c>
      <c r="F11" s="169">
        <v>659980392.62383485</v>
      </c>
      <c r="G11" s="170">
        <f>D11-C11</f>
        <v>-6.5000000000000127E-4</v>
      </c>
      <c r="H11" s="70">
        <f t="shared" ref="H11:H17" si="0">G11*E11</f>
        <v>-394647.21465000079</v>
      </c>
      <c r="I11" s="171">
        <f t="shared" ref="I11:I18" si="1">H11/F11</f>
        <v>-5.9796808975041103E-4</v>
      </c>
    </row>
    <row r="12" spans="2:11" x14ac:dyDescent="0.2">
      <c r="B12" s="161" t="s">
        <v>143</v>
      </c>
      <c r="C12" s="135">
        <f>'Amort Rates Tracker-2'!$F$35</f>
        <v>-1.6299999999999999E-2</v>
      </c>
      <c r="D12" s="135">
        <f>'Amort Rates Tracker-2'!$F$33</f>
        <v>-1.695E-2</v>
      </c>
      <c r="E12" s="65">
        <f>'Forecast Tracker-3'!P8</f>
        <v>13738</v>
      </c>
      <c r="F12" s="169">
        <v>29021.797161052629</v>
      </c>
      <c r="G12" s="170">
        <f t="shared" ref="G12:G17" si="2">D12-C12</f>
        <v>-6.5000000000000127E-4</v>
      </c>
      <c r="H12" s="70">
        <f t="shared" si="0"/>
        <v>-8.9297000000000182</v>
      </c>
      <c r="I12" s="171">
        <f>H12/F12</f>
        <v>-3.0768942221068627E-4</v>
      </c>
    </row>
    <row r="13" spans="2:11" x14ac:dyDescent="0.2">
      <c r="B13" s="172" t="s">
        <v>144</v>
      </c>
      <c r="C13" s="135">
        <f>'Amort Rates Tracker-2'!$G$35</f>
        <v>-1.7340000000000001E-2</v>
      </c>
      <c r="D13" s="135">
        <f>'Amort Rates Tracker-2'!$G$33</f>
        <v>-1.695E-2</v>
      </c>
      <c r="E13" s="65">
        <f>'Forecast Tracker-3'!P9</f>
        <v>231908804</v>
      </c>
      <c r="F13" s="169">
        <v>215598323.68062288</v>
      </c>
      <c r="G13" s="170">
        <f t="shared" si="2"/>
        <v>3.9000000000000146E-4</v>
      </c>
      <c r="H13" s="70">
        <f t="shared" si="0"/>
        <v>90444.43356000034</v>
      </c>
      <c r="I13" s="171">
        <f t="shared" si="1"/>
        <v>4.1950434500585647E-4</v>
      </c>
    </row>
    <row r="14" spans="2:11" x14ac:dyDescent="0.2">
      <c r="B14" s="161" t="s">
        <v>145</v>
      </c>
      <c r="C14" s="135">
        <f>'Amort Rates Tracker-2'!$H$35</f>
        <v>-2.2009999999999998E-2</v>
      </c>
      <c r="D14" s="135">
        <f>'Amort Rates Tracker-2'!$H$33</f>
        <v>-1.6969999999999999E-2</v>
      </c>
      <c r="E14" s="65">
        <f>'Forecast Tracker-3'!P10</f>
        <v>67177571</v>
      </c>
      <c r="F14" s="169">
        <v>44692423.072534904</v>
      </c>
      <c r="G14" s="170">
        <f t="shared" si="2"/>
        <v>5.0399999999999993E-3</v>
      </c>
      <c r="H14" s="70">
        <f t="shared" si="0"/>
        <v>338574.95783999993</v>
      </c>
      <c r="I14" s="171">
        <f t="shared" si="1"/>
        <v>7.5756679670399519E-3</v>
      </c>
    </row>
    <row r="15" spans="2:11" x14ac:dyDescent="0.2">
      <c r="B15" s="161" t="s">
        <v>146</v>
      </c>
      <c r="C15" s="135">
        <f>'Amort Rates Tracker-2'!$I$35</f>
        <v>-2.4740000000000002E-2</v>
      </c>
      <c r="D15" s="135">
        <f>'Amort Rates Tracker-2'!$I$33</f>
        <v>-1.6979999999999999E-2</v>
      </c>
      <c r="E15" s="65">
        <f>'Forecast Tracker-3'!P11</f>
        <v>17913519</v>
      </c>
      <c r="F15" s="169">
        <v>8564629.7523113675</v>
      </c>
      <c r="G15" s="170">
        <f t="shared" si="2"/>
        <v>7.760000000000003E-3</v>
      </c>
      <c r="H15" s="70">
        <f t="shared" si="0"/>
        <v>139008.90744000007</v>
      </c>
      <c r="I15" s="171">
        <f t="shared" si="1"/>
        <v>1.623057989196617E-2</v>
      </c>
    </row>
    <row r="16" spans="2:11" x14ac:dyDescent="0.2">
      <c r="B16" s="161" t="s">
        <v>147</v>
      </c>
      <c r="C16" s="135">
        <f>'Amort Rates Tracker-2'!$J$35</f>
        <v>-2.334E-2</v>
      </c>
      <c r="D16" s="135">
        <f>'Amort Rates Tracker-2'!$J$33</f>
        <v>-1.6969999999999999E-2</v>
      </c>
      <c r="E16" s="65">
        <f>'Forecast Tracker-3'!P12</f>
        <v>8625159</v>
      </c>
      <c r="F16" s="169">
        <v>5522123.2415592503</v>
      </c>
      <c r="G16" s="170">
        <f t="shared" si="2"/>
        <v>6.3700000000000007E-3</v>
      </c>
      <c r="H16" s="70">
        <f t="shared" si="0"/>
        <v>54942.262830000007</v>
      </c>
      <c r="I16" s="171">
        <f t="shared" si="1"/>
        <v>9.9494814633087174E-3</v>
      </c>
    </row>
    <row r="17" spans="2:12" x14ac:dyDescent="0.2">
      <c r="B17" s="173" t="s">
        <v>148</v>
      </c>
      <c r="C17" s="135">
        <f>'Amort Rates Tracker-2'!$K$35</f>
        <v>-2.512E-2</v>
      </c>
      <c r="D17" s="135">
        <f>'Amort Rates Tracker-2'!$K$33</f>
        <v>-1.6979999999999999E-2</v>
      </c>
      <c r="E17" s="65">
        <f>'Forecast Tracker-3'!P13</f>
        <v>21070835</v>
      </c>
      <c r="F17" s="169">
        <v>9085549.79144012</v>
      </c>
      <c r="G17" s="170">
        <f t="shared" si="2"/>
        <v>8.1400000000000014E-3</v>
      </c>
      <c r="H17" s="70">
        <f t="shared" si="0"/>
        <v>171516.59690000003</v>
      </c>
      <c r="I17" s="174">
        <f t="shared" si="1"/>
        <v>1.8877954646354264E-2</v>
      </c>
    </row>
    <row r="18" spans="2:12" x14ac:dyDescent="0.2">
      <c r="B18" s="175" t="s">
        <v>7</v>
      </c>
      <c r="C18" s="176"/>
      <c r="D18" s="176"/>
      <c r="E18" s="177">
        <f>SUM(E11:E17)</f>
        <v>953859187</v>
      </c>
      <c r="F18" s="178">
        <f>SUM(F11:F17)</f>
        <v>943472463.95946443</v>
      </c>
      <c r="G18" s="77">
        <f>ROUND(H18/E18,5)</f>
        <v>4.2000000000000002E-4</v>
      </c>
      <c r="H18" s="178">
        <f>SUM(H11:H17)</f>
        <v>399831.01421999955</v>
      </c>
      <c r="I18" s="179">
        <f t="shared" si="1"/>
        <v>4.2378662811422334E-4</v>
      </c>
    </row>
    <row r="19" spans="2:12" x14ac:dyDescent="0.2">
      <c r="B19" s="161"/>
      <c r="C19" s="53"/>
      <c r="D19" s="53"/>
      <c r="E19" s="22"/>
      <c r="F19" s="70"/>
      <c r="H19" s="70"/>
      <c r="I19" s="72"/>
    </row>
    <row r="20" spans="2:12" ht="12.75" customHeight="1" x14ac:dyDescent="0.2">
      <c r="B20" s="189" t="s">
        <v>149</v>
      </c>
      <c r="C20" s="189"/>
      <c r="D20" s="189"/>
      <c r="E20" s="189"/>
      <c r="F20" s="189"/>
      <c r="G20" s="189"/>
      <c r="H20" s="189"/>
      <c r="I20" s="189"/>
    </row>
    <row r="21" spans="2:12" ht="12.75" customHeight="1" x14ac:dyDescent="0.2">
      <c r="B21" s="180"/>
      <c r="C21" s="180"/>
      <c r="D21" s="180"/>
      <c r="E21" s="180"/>
      <c r="F21" s="180"/>
      <c r="G21" s="180"/>
      <c r="H21" s="180"/>
      <c r="I21" s="180"/>
    </row>
    <row r="22" spans="2:12" ht="12.75" customHeight="1" x14ac:dyDescent="0.2">
      <c r="B22" s="180"/>
      <c r="C22" s="180"/>
      <c r="D22" s="180"/>
      <c r="E22" s="180"/>
      <c r="F22" s="180"/>
      <c r="G22" s="180"/>
      <c r="H22" s="180"/>
      <c r="I22" s="180"/>
    </row>
    <row r="23" spans="2:12" ht="114" x14ac:dyDescent="0.2">
      <c r="E23" s="22"/>
      <c r="F23" s="70"/>
      <c r="H23" s="70"/>
      <c r="J23" s="152" t="s">
        <v>2</v>
      </c>
      <c r="K23" s="153" t="s">
        <v>150</v>
      </c>
      <c r="L23" s="154" t="s">
        <v>0</v>
      </c>
    </row>
    <row r="24" spans="2:12" x14ac:dyDescent="0.2">
      <c r="B24" s="161"/>
      <c r="C24" s="160"/>
      <c r="D24" s="160"/>
      <c r="E24" s="22"/>
      <c r="F24" s="70"/>
      <c r="H24" s="70"/>
    </row>
    <row r="25" spans="2:12" x14ac:dyDescent="0.2">
      <c r="B25" s="161"/>
      <c r="C25" s="160"/>
      <c r="D25" s="160"/>
      <c r="E25" s="160"/>
      <c r="F25" s="70"/>
      <c r="H25" s="70"/>
    </row>
    <row r="26" spans="2:12" x14ac:dyDescent="0.2">
      <c r="C26" s="160"/>
      <c r="D26" s="160"/>
      <c r="E26" s="181"/>
      <c r="F26" s="70"/>
      <c r="H26" s="70"/>
    </row>
    <row r="27" spans="2:12" x14ac:dyDescent="0.2">
      <c r="C27" s="160"/>
      <c r="D27" s="160"/>
      <c r="E27" s="182"/>
      <c r="H27" s="70"/>
    </row>
    <row r="28" spans="2:12" x14ac:dyDescent="0.2">
      <c r="C28" s="183"/>
      <c r="D28" s="183"/>
      <c r="E28" s="183"/>
      <c r="F28" s="53"/>
      <c r="G28" s="53"/>
      <c r="H28" s="70"/>
      <c r="I28" s="53"/>
    </row>
    <row r="29" spans="2:12" x14ac:dyDescent="0.2">
      <c r="C29" s="183"/>
      <c r="D29" s="183"/>
      <c r="E29" s="183"/>
      <c r="F29" s="53"/>
      <c r="G29" s="53"/>
      <c r="H29" s="53"/>
      <c r="I29" s="53"/>
    </row>
    <row r="30" spans="2:12" x14ac:dyDescent="0.2">
      <c r="B30" s="118"/>
      <c r="C30" s="53"/>
      <c r="D30" s="53"/>
      <c r="E30" s="53"/>
      <c r="F30" s="53"/>
      <c r="G30" s="53"/>
      <c r="H30" s="53"/>
      <c r="I30" s="53"/>
    </row>
    <row r="31" spans="2:12" x14ac:dyDescent="0.2">
      <c r="B31" s="27"/>
      <c r="C31" s="53"/>
      <c r="D31" s="53"/>
      <c r="E31" s="53"/>
      <c r="F31" s="53"/>
      <c r="G31" s="53"/>
      <c r="H31" s="53"/>
      <c r="I31" s="53"/>
    </row>
    <row r="32" spans="2:12" s="53" customFormat="1" x14ac:dyDescent="0.2">
      <c r="B32" s="26"/>
    </row>
  </sheetData>
  <mergeCells count="1">
    <mergeCell ref="B20:I20"/>
  </mergeCells>
  <printOptions horizontalCentered="1"/>
  <pageMargins left="0.75" right="0.75" top="1" bottom="1" header="0.5" footer="0.5"/>
  <pageSetup scale="92" orientation="landscape" blackAndWhite="1" r:id="rId1"/>
  <headerFooter alignWithMargins="0">
    <oddFooter>&amp;L&amp;F 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EC5CEADC0513479C06ABF8F969A697" ma:contentTypeVersion="104" ma:contentTypeDescription="" ma:contentTypeScope="" ma:versionID="744d17b28104efbe6072e741be4de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2017-09-15T07:00:00+00:00</OpenedDate>
    <Date1 xmlns="dc463f71-b30c-4ab2-9473-d307f9d35888">2017-09-15T07:00:00+00:00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170975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DF24AD3-41E9-4AAC-818A-A5B21D62D6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5EF0C-1A98-47D6-A2D0-E01C252F1CEF}"/>
</file>

<file path=customXml/itemProps3.xml><?xml version="1.0" encoding="utf-8"?>
<ds:datastoreItem xmlns:ds="http://schemas.openxmlformats.org/officeDocument/2006/customXml" ds:itemID="{B3F78FB5-6E44-4650-AD1E-E12CCD290BBE}">
  <ds:schemaRefs>
    <ds:schemaRef ds:uri="http://purl.org/dc/elements/1.1/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16A0DE7-41B4-497D-806B-615DF8086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Amort Balances Tracker-1</vt:lpstr>
      <vt:lpstr>Amort Rates Tracker-2</vt:lpstr>
      <vt:lpstr>Forecast Tracker-3</vt:lpstr>
      <vt:lpstr>Amort Cust Impact Tracker-4</vt:lpstr>
      <vt:lpstr>Amort Rev Impact Tracker-5</vt:lpstr>
      <vt:lpstr>'Amort Balances Tracker-1'!Print_Area</vt:lpstr>
      <vt:lpstr>'Forecast Tracker-3'!Print_Area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Huff, Ashley (UTC)</cp:lastModifiedBy>
  <dcterms:created xsi:type="dcterms:W3CDTF">2017-09-15T17:43:12Z</dcterms:created>
  <dcterms:modified xsi:type="dcterms:W3CDTF">2017-09-15T22:42:55Z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0x0101006E56B4D1795A2E4DB2F0B01679ED314A009CEC5CEADC0513479C06ABF8F969A697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