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1\Whidbey Petition\"/>
    </mc:Choice>
  </mc:AlternateContent>
  <bookViews>
    <workbookView xWindow="0" yWindow="0" windowWidth="25200" windowHeight="12270" firstSheet="6" activeTab="1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12" i="8" l="1"/>
  <c r="D24" i="13"/>
  <c r="D21" i="13"/>
  <c r="E35" i="13"/>
  <c r="E36" i="13"/>
  <c r="E37" i="13"/>
  <c r="D27" i="13"/>
  <c r="D30" i="13"/>
  <c r="D20" i="13"/>
  <c r="D12" i="13"/>
  <c r="C46" i="12"/>
  <c r="H36" i="12"/>
  <c r="H13" i="12"/>
  <c r="C43" i="12"/>
  <c r="C42" i="12"/>
  <c r="I35" i="12" l="1"/>
  <c r="G35" i="5" s="1"/>
  <c r="E14" i="18" s="1"/>
  <c r="I35" i="2" l="1"/>
  <c r="F35" i="5" s="1"/>
  <c r="D14" i="18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D37" i="10"/>
  <c r="D36" i="10"/>
  <c r="D35" i="10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D35" i="19"/>
  <c r="I32" i="12"/>
  <c r="I38" i="12"/>
  <c r="E28" i="13"/>
  <c r="E29" i="13" s="1"/>
  <c r="D26" i="10"/>
  <c r="D53" i="13"/>
  <c r="D54" i="13"/>
  <c r="D29" i="13"/>
  <c r="D38" i="13" s="1"/>
  <c r="E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9" i="13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24" i="19" l="1"/>
  <c r="D38" i="19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C41" i="13" s="1"/>
  <c r="E55" i="1"/>
  <c r="E56" i="1"/>
  <c r="E41" i="13" l="1"/>
  <c r="C47" i="13"/>
  <c r="D41" i="10" l="1"/>
  <c r="D47" i="10" s="1"/>
  <c r="E47" i="13"/>
</calcChain>
</file>

<file path=xl/sharedStrings.xml><?xml version="1.0" encoding="utf-8"?>
<sst xmlns="http://schemas.openxmlformats.org/spreadsheetml/2006/main" count="673" uniqueCount="303">
  <si>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</si>
  <si>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</si>
  <si>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</si>
  <si>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</si>
  <si>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</si>
  <si>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</si>
  <si>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</si>
  <si>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</si>
  <si>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</si>
  <si>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</si>
  <si>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</si>
  <si>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</si>
  <si>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</si>
  <si>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</si>
  <si>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</si>
  <si>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</si>
  <si>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</si>
  <si>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</si>
  <si>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</si>
  <si>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</si>
  <si>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</si>
  <si>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</si>
  <si>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</si>
  <si>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</si>
  <si>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</si>
  <si>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</si>
  <si>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</si>
  <si>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</si>
  <si>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</si>
  <si>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</si>
  <si>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</si>
  <si>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</si>
  <si>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</si>
  <si>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</si>
  <si>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</si>
  <si>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</si>
  <si>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</si>
  <si>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</si>
  <si>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</si>
  <si>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</si>
  <si>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</si>
  <si>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</si>
  <si>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</si>
  <si>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</si>
  <si>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</si>
  <si>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</si>
  <si>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</si>
  <si>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</si>
  <si>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</si>
  <si>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</si>
  <si>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</si>
  <si>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</si>
  <si>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</si>
  <si>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</si>
  <si>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</si>
  <si>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</si>
  <si>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</si>
  <si>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</si>
  <si>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</si>
  <si>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</si>
  <si>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</si>
  <si>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</si>
  <si>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</si>
  <si>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</si>
  <si>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</si>
  <si>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</si>
  <si>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</si>
  <si>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</si>
  <si>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</si>
  <si>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</si>
  <si>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</si>
  <si>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</si>
  <si>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</si>
  <si>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</si>
  <si>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</si>
  <si>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</si>
  <si>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</si>
  <si>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</si>
  <si>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</si>
  <si>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</si>
  <si>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</si>
  <si>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</si>
  <si>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</si>
  <si>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</si>
  <si>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</si>
  <si>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</si>
  <si>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</si>
  <si>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</si>
  <si>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</si>
  <si>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</si>
  <si>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</si>
  <si>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</si>
  <si>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</si>
  <si>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</si>
  <si>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</si>
  <si>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</si>
  <si>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</si>
  <si>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</si>
  <si>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</si>
  <si>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</si>
  <si>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</si>
  <si>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</si>
  <si>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</si>
  <si>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</si>
  <si>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</si>
  <si>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</si>
  <si>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</si>
  <si>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</si>
  <si>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</si>
  <si>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</si>
  <si>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</si>
  <si>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</si>
  <si>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</si>
  <si>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</si>
  <si>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</si>
  <si>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</si>
  <si>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</si>
  <si>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</si>
  <si>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</si>
  <si>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</si>
  <si>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</si>
  <si>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</si>
  <si>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</si>
  <si>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</si>
  <si>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</si>
  <si>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</si>
  <si>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</si>
  <si>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</si>
  <si>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</si>
  <si>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</si>
  <si>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</si>
  <si>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</si>
  <si>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</si>
  <si>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</si>
  <si>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</si>
  <si>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</si>
  <si>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</si>
  <si>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</si>
  <si>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</si>
  <si>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</si>
  <si>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</si>
  <si>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</si>
  <si>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</si>
  <si>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</si>
  <si>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</si>
  <si>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</si>
  <si>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</si>
  <si>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</si>
  <si>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</si>
  <si>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</si>
  <si>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</si>
  <si>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</si>
  <si>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</si>
  <si>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</si>
  <si>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</si>
  <si>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</si>
  <si>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</si>
  <si>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</si>
  <si>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</si>
  <si>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</si>
  <si>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</si>
  <si>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</si>
  <si>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</si>
  <si>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</si>
  <si>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</si>
  <si>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</si>
  <si>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</si>
  <si>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</si>
  <si>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</si>
  <si>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</si>
  <si>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</si>
  <si>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</si>
  <si>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</si>
  <si>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</si>
  <si>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</si>
  <si>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</si>
  <si>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</si>
  <si>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</si>
  <si>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</si>
  <si>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</si>
  <si>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</si>
  <si>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</si>
  <si>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</si>
  <si>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</si>
  <si>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</si>
  <si>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</si>
  <si>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</si>
  <si>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</si>
  <si>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</si>
  <si>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</si>
  <si>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</si>
  <si>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</si>
  <si>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</si>
  <si>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</si>
  <si>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</si>
  <si>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</si>
  <si>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</si>
  <si>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</si>
  <si>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</si>
  <si>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</si>
  <si>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</si>
  <si>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</si>
  <si>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</si>
  <si>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</si>
  <si>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</si>
  <si>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</si>
  <si>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</si>
  <si>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</si>
  <si>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</si>
  <si>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</si>
  <si>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</si>
  <si>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(D)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</si>
  <si>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</si>
  <si>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</si>
  <si>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</si>
  <si>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</si>
  <si>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</si>
  <si>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</si>
  <si>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</si>
  <si>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</si>
  <si>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</si>
  <si>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</si>
  <si>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</si>
  <si>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</si>
  <si>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</si>
  <si>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</si>
  <si>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</si>
  <si>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</si>
  <si>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</si>
  <si>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</si>
  <si>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</si>
  <si>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</si>
  <si>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</si>
  <si>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</si>
  <si>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</si>
  <si>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</si>
  <si>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</si>
  <si>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</si>
  <si>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</si>
  <si>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</si>
  <si>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</si>
  <si>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</si>
  <si>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</si>
  <si>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</si>
  <si>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</si>
  <si>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</si>
  <si>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</si>
  <si>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Balance 2015</t>
  </si>
  <si>
    <t>Balance - 2015</t>
  </si>
  <si>
    <t>explain.</t>
  </si>
  <si>
    <t>Pro Forma (PF) Adjustments for Current Year or Reversing from Prior Year</t>
  </si>
  <si>
    <t>OOP or PDF?</t>
  </si>
  <si>
    <t>2015</t>
  </si>
  <si>
    <t>Regulated rate base Year End 2015</t>
  </si>
  <si>
    <t>Out-of-Period or Pro Forma Adjustments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</si>
  <si>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</si>
  <si>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</si>
  <si>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</si>
  <si>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</si>
  <si>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</si>
  <si>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</si>
  <si>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</si>
  <si>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</si>
  <si>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</si>
  <si>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</si>
  <si>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50.  Other Jurisdictional Differences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</si>
  <si>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</si>
  <si>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</si>
  <si>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</si>
  <si>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</si>
  <si>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</si>
  <si>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</si>
  <si>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</si>
  <si>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</si>
  <si>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59. Total Equity (51 thru 58)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</si>
  <si>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</si>
  <si>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</si>
  <si>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</si>
  <si>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</si>
  <si>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</si>
  <si>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</si>
  <si>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</si>
  <si>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</si>
  <si>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If 2015 does not equal last year's petition and template,</t>
  </si>
  <si>
    <t>Balance - 2016</t>
  </si>
  <si>
    <t>2016</t>
  </si>
  <si>
    <r>
      <t xml:space="preserve">Description of Out-of-Period - 2016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</si>
  <si>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2016</t>
  </si>
  <si>
    <t>Adj. Net Operating income after FIT (Line 4 - Line 6)</t>
  </si>
  <si>
    <t>(B)+(C)</t>
  </si>
  <si>
    <t>1. Adjusted balance includes Part 64 adjustments</t>
  </si>
  <si>
    <t>2. Normal balance of deferred income taxes and</t>
  </si>
  <si>
    <t>3. For "S Corp" companies, manual input required for</t>
  </si>
  <si>
    <t xml:space="preserve">Deferred Income Taxes, Line 5. </t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</si>
  <si>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</si>
  <si>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</si>
  <si>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</si>
  <si>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</si>
  <si>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</si>
  <si>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</si>
  <si>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</si>
  <si>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</si>
  <si>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Whidbey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</si>
</sst>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37" fontId="0" fillId="0" borderId="0" xfId="0" applyNumberFormat="1"/>
    <xf numFmtId="37" fontId="0" fillId="0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30" sqref="A30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8" t="s">
        <v>235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8" t="s">
        <v>236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8" t="s">
        <v>237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26" sqref="E2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166</v>
      </c>
    </row>
    <row r="3" spans="1:5" x14ac:dyDescent="0.25">
      <c r="B3" s="59" t="str">
        <f>PriorYearBalanceSheet!A3</f>
        <v>Whidbey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114</v>
      </c>
    </row>
    <row r="7" spans="1:5" x14ac:dyDescent="0.25">
      <c r="A7" s="18" t="s">
        <v>0</v>
      </c>
      <c r="B7" s="11" t="s">
        <v>152</v>
      </c>
      <c r="C7" s="11" t="s">
        <v>140</v>
      </c>
      <c r="D7" s="11">
        <v>2015</v>
      </c>
      <c r="E7" s="5">
        <v>2016</v>
      </c>
    </row>
    <row r="8" spans="1:5" x14ac:dyDescent="0.25">
      <c r="A8" s="20"/>
      <c r="B8" s="20"/>
      <c r="C8" s="12" t="s">
        <v>141</v>
      </c>
      <c r="D8" s="26"/>
      <c r="E8" s="30"/>
    </row>
    <row r="9" spans="1:5" x14ac:dyDescent="0.25">
      <c r="A9" s="10">
        <v>1</v>
      </c>
      <c r="B9" s="7" t="s">
        <v>142</v>
      </c>
      <c r="C9" s="28" t="s">
        <v>143</v>
      </c>
      <c r="D9" s="56">
        <v>1236838</v>
      </c>
      <c r="E9" s="56">
        <v>1268715.72</v>
      </c>
    </row>
    <row r="10" spans="1:5" x14ac:dyDescent="0.25">
      <c r="A10" s="11">
        <v>2</v>
      </c>
      <c r="B10" s="45" t="s">
        <v>144</v>
      </c>
      <c r="C10" s="29" t="s">
        <v>145</v>
      </c>
      <c r="D10" s="45"/>
      <c r="E10" s="45"/>
    </row>
    <row r="11" spans="1:5" x14ac:dyDescent="0.25">
      <c r="A11" s="11" t="s">
        <v>176</v>
      </c>
      <c r="B11" s="18" t="s">
        <v>146</v>
      </c>
      <c r="C11" s="11"/>
      <c r="D11" s="53">
        <v>657055</v>
      </c>
      <c r="E11" s="53">
        <v>667128</v>
      </c>
    </row>
    <row r="12" spans="1:5" x14ac:dyDescent="0.25">
      <c r="A12" s="11" t="s">
        <v>177</v>
      </c>
      <c r="B12" s="18" t="s">
        <v>233</v>
      </c>
      <c r="C12" s="11"/>
      <c r="D12" s="53">
        <v>1188555</v>
      </c>
      <c r="E12" s="53">
        <v>1279584.77</v>
      </c>
    </row>
    <row r="13" spans="1:5" x14ac:dyDescent="0.25">
      <c r="A13" s="11">
        <v>3</v>
      </c>
      <c r="B13" s="45" t="s">
        <v>148</v>
      </c>
      <c r="C13" s="11">
        <v>5083</v>
      </c>
      <c r="D13" s="45"/>
      <c r="E13" s="45"/>
    </row>
    <row r="14" spans="1:5" x14ac:dyDescent="0.25">
      <c r="A14" s="11" t="s">
        <v>178</v>
      </c>
      <c r="B14" s="18" t="s">
        <v>146</v>
      </c>
      <c r="C14" s="11"/>
      <c r="D14" s="53">
        <v>0</v>
      </c>
      <c r="E14" s="53">
        <v>0</v>
      </c>
    </row>
    <row r="15" spans="1:5" x14ac:dyDescent="0.25">
      <c r="A15" s="11" t="s">
        <v>179</v>
      </c>
      <c r="B15" s="18" t="s">
        <v>147</v>
      </c>
      <c r="C15" s="11"/>
      <c r="D15" s="53">
        <v>3102808</v>
      </c>
      <c r="E15" s="53">
        <v>3065016.82</v>
      </c>
    </row>
    <row r="16" spans="1:5" x14ac:dyDescent="0.25">
      <c r="A16" s="11">
        <v>4</v>
      </c>
      <c r="B16" s="18" t="s">
        <v>234</v>
      </c>
      <c r="C16" s="11" t="s">
        <v>149</v>
      </c>
      <c r="D16" s="53">
        <v>2634984</v>
      </c>
      <c r="E16" s="53">
        <v>2708286</v>
      </c>
    </row>
    <row r="17" spans="1:5" x14ac:dyDescent="0.25">
      <c r="A17" s="11">
        <v>5</v>
      </c>
      <c r="B17" s="18" t="s">
        <v>192</v>
      </c>
      <c r="C17" s="11"/>
      <c r="D17" s="53">
        <v>697315</v>
      </c>
      <c r="E17" s="53">
        <v>796915.5</v>
      </c>
    </row>
    <row r="18" spans="1:5" x14ac:dyDescent="0.25">
      <c r="A18" s="11">
        <v>6</v>
      </c>
      <c r="B18" s="18" t="s">
        <v>169</v>
      </c>
      <c r="C18" s="12"/>
      <c r="D18" s="54"/>
      <c r="E18" s="54"/>
    </row>
    <row r="19" spans="1:5" x14ac:dyDescent="0.25">
      <c r="A19" s="11">
        <v>7</v>
      </c>
      <c r="B19" s="18" t="s">
        <v>150</v>
      </c>
      <c r="C19" s="7"/>
      <c r="D19" s="36">
        <f>D9+D11+D12+D14+D15+D16+D17+D18</f>
        <v>9517555</v>
      </c>
      <c r="E19" s="36">
        <f>E9+E11+E12+E14+E15+E16+E17+E18</f>
        <v>9785646.8100000005</v>
      </c>
    </row>
    <row r="20" spans="1:5" x14ac:dyDescent="0.25">
      <c r="A20" s="11">
        <v>8</v>
      </c>
      <c r="B20" s="19" t="s">
        <v>156</v>
      </c>
      <c r="C20" s="18"/>
      <c r="D20" s="38">
        <f>IncomeStmtSummary!C10</f>
        <v>9517555</v>
      </c>
      <c r="E20" s="38">
        <f>IncomeStmtSummary!D10</f>
        <v>9785647</v>
      </c>
    </row>
    <row r="21" spans="1:5" ht="15.75" thickBot="1" x14ac:dyDescent="0.3">
      <c r="A21" s="12">
        <v>9</v>
      </c>
      <c r="B21" s="52" t="s">
        <v>130</v>
      </c>
      <c r="C21" s="20"/>
      <c r="D21" s="51">
        <f>D19-D20</f>
        <v>0</v>
      </c>
      <c r="E21" s="35">
        <f>E19-E20</f>
        <v>-0.18999999947845936</v>
      </c>
    </row>
    <row r="22" spans="1:5" ht="15.75" thickTop="1" x14ac:dyDescent="0.25">
      <c r="B22" s="73" t="s">
        <v>180</v>
      </c>
      <c r="C22" s="67"/>
      <c r="D22" s="67"/>
      <c r="E22" s="67"/>
    </row>
    <row r="23" spans="1:5" x14ac:dyDescent="0.25">
      <c r="B23" t="s">
        <v>170</v>
      </c>
      <c r="C23" s="67"/>
      <c r="D23" s="67"/>
      <c r="E23" s="67"/>
    </row>
    <row r="24" spans="1:5" x14ac:dyDescent="0.25">
      <c r="B24" t="s">
        <v>171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ndtqL17XruvkRFpDddPEqXBPSt2k9vdaNVL/kTQ1Oj38w/0juynTo8MYTq65pzMtWx9ZbKNj1er7Hb3ORKoCWA==" saltValue="QLfZiyjJkSSDjcnWXKrxx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F25" sqref="F25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255</v>
      </c>
      <c r="B2" s="48"/>
    </row>
    <row r="3" spans="1:5" x14ac:dyDescent="0.25">
      <c r="A3" s="2" t="str">
        <f>PriorYearBalanceSheet!A3</f>
        <v>Whidbey Telephone Company</v>
      </c>
      <c r="B3" s="13"/>
    </row>
    <row r="6" spans="1:5" x14ac:dyDescent="0.25">
      <c r="A6" s="10" t="s">
        <v>286</v>
      </c>
      <c r="B6" s="10" t="s">
        <v>263</v>
      </c>
      <c r="C6" s="10"/>
      <c r="D6" s="133" t="s">
        <v>188</v>
      </c>
      <c r="E6" s="134"/>
    </row>
    <row r="7" spans="1:5" x14ac:dyDescent="0.25">
      <c r="A7" s="12" t="s">
        <v>250</v>
      </c>
      <c r="B7" s="12"/>
      <c r="C7" s="12" t="s">
        <v>251</v>
      </c>
      <c r="D7" s="120" t="s">
        <v>194</v>
      </c>
      <c r="E7" s="6" t="s">
        <v>195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189</v>
      </c>
      <c r="B9" s="18"/>
      <c r="C9" s="18"/>
      <c r="D9" s="125"/>
      <c r="E9" s="123"/>
    </row>
    <row r="10" spans="1:5" x14ac:dyDescent="0.25">
      <c r="A10" s="18"/>
      <c r="B10" s="18"/>
      <c r="C10" s="18"/>
      <c r="D10" s="125"/>
      <c r="E10" s="123"/>
    </row>
    <row r="11" spans="1:5" x14ac:dyDescent="0.25">
      <c r="A11" s="18"/>
      <c r="B11" s="18"/>
      <c r="C11" s="18"/>
      <c r="D11" s="125"/>
      <c r="E11" s="123"/>
    </row>
    <row r="12" spans="1:5" x14ac:dyDescent="0.25">
      <c r="A12" s="18"/>
      <c r="B12" s="18"/>
      <c r="C12" s="18"/>
      <c r="D12" s="125"/>
      <c r="E12" s="123"/>
    </row>
    <row r="13" spans="1:5" x14ac:dyDescent="0.25">
      <c r="A13" s="20"/>
      <c r="B13" s="20"/>
      <c r="C13" s="20"/>
      <c r="D13" s="126"/>
      <c r="E13" s="124"/>
    </row>
    <row r="14" spans="1:5" x14ac:dyDescent="0.25">
      <c r="A14" s="18" t="s">
        <v>190</v>
      </c>
      <c r="B14" s="18"/>
      <c r="C14" s="18"/>
      <c r="D14" s="125"/>
      <c r="E14" s="123"/>
    </row>
    <row r="15" spans="1:5" x14ac:dyDescent="0.25">
      <c r="A15" s="18"/>
      <c r="B15" s="18"/>
      <c r="C15" s="18"/>
      <c r="D15" s="125"/>
      <c r="E15" s="123"/>
    </row>
    <row r="16" spans="1:5" x14ac:dyDescent="0.25">
      <c r="A16" s="18"/>
      <c r="B16" s="18"/>
      <c r="C16" s="18"/>
      <c r="D16" s="125"/>
      <c r="E16" s="123"/>
    </row>
    <row r="17" spans="1:5" x14ac:dyDescent="0.25">
      <c r="A17" s="18"/>
      <c r="B17" s="18"/>
      <c r="C17" s="18"/>
      <c r="D17" s="125"/>
      <c r="E17" s="123"/>
    </row>
    <row r="18" spans="1:5" x14ac:dyDescent="0.25">
      <c r="A18" s="20"/>
      <c r="B18" s="20"/>
      <c r="C18" s="20"/>
      <c r="D18" s="126"/>
      <c r="E18" s="124"/>
    </row>
    <row r="19" spans="1:5" x14ac:dyDescent="0.25">
      <c r="A19" s="18" t="s">
        <v>191</v>
      </c>
      <c r="B19" s="18"/>
      <c r="C19" s="18"/>
      <c r="D19" s="125"/>
      <c r="E19" s="123"/>
    </row>
    <row r="20" spans="1:5" x14ac:dyDescent="0.25">
      <c r="A20" s="18"/>
      <c r="B20" s="18"/>
      <c r="C20" s="18"/>
      <c r="D20" s="125"/>
      <c r="E20" s="123"/>
    </row>
    <row r="21" spans="1:5" x14ac:dyDescent="0.25">
      <c r="A21" s="18"/>
      <c r="B21" s="18"/>
      <c r="C21" s="18"/>
      <c r="D21" s="125"/>
      <c r="E21" s="123"/>
    </row>
    <row r="22" spans="1:5" x14ac:dyDescent="0.25">
      <c r="A22" s="18"/>
      <c r="B22" s="18"/>
      <c r="C22" s="18"/>
      <c r="D22" s="125"/>
      <c r="E22" s="123"/>
    </row>
    <row r="23" spans="1:5" x14ac:dyDescent="0.25">
      <c r="A23" s="20"/>
      <c r="B23" s="20"/>
      <c r="C23" s="20"/>
      <c r="D23" s="126"/>
      <c r="E23" s="124"/>
    </row>
    <row r="24" spans="1:5" x14ac:dyDescent="0.25">
      <c r="A24" s="18" t="s">
        <v>196</v>
      </c>
      <c r="B24" s="18"/>
      <c r="C24" s="18"/>
      <c r="D24" s="125"/>
      <c r="E24" s="123"/>
    </row>
    <row r="25" spans="1:5" x14ac:dyDescent="0.25">
      <c r="A25" s="18"/>
      <c r="B25" s="18"/>
      <c r="C25" s="18"/>
      <c r="D25" s="125"/>
      <c r="E25" s="123"/>
    </row>
    <row r="26" spans="1:5" x14ac:dyDescent="0.25">
      <c r="A26" s="18"/>
      <c r="B26" s="18"/>
      <c r="C26" s="18"/>
      <c r="D26" s="125"/>
      <c r="E26" s="123"/>
    </row>
    <row r="27" spans="1:5" x14ac:dyDescent="0.25">
      <c r="A27" s="18"/>
      <c r="B27" s="18"/>
      <c r="C27" s="18"/>
      <c r="D27" s="125"/>
      <c r="E27" s="123"/>
    </row>
    <row r="28" spans="1:5" x14ac:dyDescent="0.25">
      <c r="A28" s="20"/>
      <c r="B28" s="20"/>
      <c r="C28" s="20"/>
      <c r="D28" s="126"/>
      <c r="E28" s="124"/>
    </row>
    <row r="29" spans="1:5" x14ac:dyDescent="0.25">
      <c r="A29" s="18" t="s">
        <v>262</v>
      </c>
      <c r="B29" s="18"/>
      <c r="C29" s="18"/>
      <c r="D29" s="125"/>
      <c r="E29" s="123"/>
    </row>
    <row r="30" spans="1:5" x14ac:dyDescent="0.25">
      <c r="A30" s="18"/>
      <c r="B30" s="18"/>
      <c r="C30" s="18"/>
      <c r="D30" s="125"/>
      <c r="E30" s="123"/>
    </row>
    <row r="31" spans="1:5" x14ac:dyDescent="0.25">
      <c r="A31" s="18"/>
      <c r="B31" s="18"/>
      <c r="C31" s="18"/>
      <c r="D31" s="125"/>
      <c r="E31" s="123"/>
    </row>
    <row r="32" spans="1:5" x14ac:dyDescent="0.25">
      <c r="A32" s="18"/>
      <c r="B32" s="18"/>
      <c r="C32" s="18"/>
      <c r="D32" s="125"/>
      <c r="E32" s="123"/>
    </row>
    <row r="33" spans="1:5" x14ac:dyDescent="0.25">
      <c r="A33" s="20"/>
      <c r="B33" s="20"/>
      <c r="C33" s="20"/>
      <c r="D33" s="126"/>
      <c r="E33" s="124"/>
    </row>
    <row r="34" spans="1:5" x14ac:dyDescent="0.25">
      <c r="D34" s="119"/>
      <c r="E34" s="119"/>
    </row>
    <row r="35" spans="1:5" x14ac:dyDescent="0.25">
      <c r="D35" s="119"/>
      <c r="E35" s="119"/>
    </row>
    <row r="36" spans="1:5" x14ac:dyDescent="0.25">
      <c r="D36" s="119"/>
      <c r="E36" s="119"/>
    </row>
    <row r="37" spans="1:5" x14ac:dyDescent="0.25">
      <c r="D37" s="119"/>
      <c r="E37" s="119"/>
    </row>
    <row r="38" spans="1:5" x14ac:dyDescent="0.25">
      <c r="D38" s="119"/>
      <c r="E38" s="119"/>
    </row>
    <row r="39" spans="1:5" x14ac:dyDescent="0.25">
      <c r="D39" s="119"/>
      <c r="E39" s="119"/>
    </row>
    <row r="40" spans="1:5" x14ac:dyDescent="0.25">
      <c r="D40" s="119"/>
      <c r="E40" s="119"/>
    </row>
    <row r="41" spans="1:5" x14ac:dyDescent="0.25">
      <c r="D41" s="119"/>
      <c r="E41" s="119"/>
    </row>
    <row r="42" spans="1:5" x14ac:dyDescent="0.25">
      <c r="D42" s="119"/>
      <c r="E42" s="119"/>
    </row>
    <row r="43" spans="1:5" x14ac:dyDescent="0.25">
      <c r="D43" s="119"/>
      <c r="E43" s="119"/>
    </row>
    <row r="44" spans="1:5" x14ac:dyDescent="0.25">
      <c r="D44" s="119"/>
      <c r="E44" s="119"/>
    </row>
    <row r="45" spans="1:5" x14ac:dyDescent="0.25">
      <c r="D45" s="119"/>
      <c r="E45" s="119"/>
    </row>
    <row r="46" spans="1:5" x14ac:dyDescent="0.25">
      <c r="D46" s="119"/>
      <c r="E46" s="119"/>
    </row>
    <row r="47" spans="1:5" x14ac:dyDescent="0.25">
      <c r="D47" s="119"/>
      <c r="E47" s="119"/>
    </row>
    <row r="48" spans="1:5" x14ac:dyDescent="0.25">
      <c r="D48" s="119"/>
      <c r="E48" s="119"/>
    </row>
    <row r="49" spans="4:5" x14ac:dyDescent="0.25">
      <c r="D49" s="119"/>
      <c r="E49" s="119"/>
    </row>
    <row r="50" spans="4:5" x14ac:dyDescent="0.25">
      <c r="D50" s="119"/>
      <c r="E50" s="119"/>
    </row>
    <row r="51" spans="4:5" x14ac:dyDescent="0.25">
      <c r="D51" s="119"/>
      <c r="E51" s="119"/>
    </row>
    <row r="52" spans="4:5" x14ac:dyDescent="0.25">
      <c r="D52" s="119"/>
      <c r="E52" s="119"/>
    </row>
    <row r="53" spans="4:5" x14ac:dyDescent="0.25">
      <c r="D53" s="119"/>
      <c r="E53" s="119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zoomScaleNormal="100" workbookViewId="0">
      <selection activeCell="F24" sqref="F24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151</v>
      </c>
    </row>
    <row r="3" spans="1:6" ht="15.75" thickBot="1" x14ac:dyDescent="0.3">
      <c r="C3" s="112" t="str">
        <f>PriorYearBalanceSheet!A3</f>
        <v>Whidbey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285</v>
      </c>
      <c r="E6" s="7"/>
    </row>
    <row r="7" spans="1:6" x14ac:dyDescent="0.25">
      <c r="A7" s="75" t="s">
        <v>0</v>
      </c>
      <c r="B7" s="9" t="s">
        <v>199</v>
      </c>
      <c r="C7" s="9" t="s">
        <v>227</v>
      </c>
      <c r="D7" s="20"/>
      <c r="E7" s="20"/>
    </row>
    <row r="8" spans="1:6" x14ac:dyDescent="0.25">
      <c r="A8" s="10">
        <v>1</v>
      </c>
      <c r="B8" s="7" t="s">
        <v>238</v>
      </c>
      <c r="C8" s="7" t="s">
        <v>217</v>
      </c>
      <c r="D8" s="89">
        <f>IncomeStmtSummary!D29</f>
        <v>385373</v>
      </c>
      <c r="E8" s="7"/>
    </row>
    <row r="9" spans="1:6" x14ac:dyDescent="0.25">
      <c r="A9" s="11">
        <v>2</v>
      </c>
      <c r="B9" s="18"/>
      <c r="C9" s="18" t="s">
        <v>254</v>
      </c>
      <c r="D9" s="113"/>
      <c r="E9" s="18"/>
    </row>
    <row r="10" spans="1:6" x14ac:dyDescent="0.25">
      <c r="A10" s="11">
        <v>3</v>
      </c>
      <c r="B10" s="18" t="s">
        <v>239</v>
      </c>
      <c r="C10" s="18" t="s">
        <v>200</v>
      </c>
      <c r="D10" s="90">
        <f>IncomeStmtSummary!D34</f>
        <v>58641</v>
      </c>
      <c r="E10" s="11" t="s">
        <v>154</v>
      </c>
    </row>
    <row r="11" spans="1:6" x14ac:dyDescent="0.25">
      <c r="A11" s="11">
        <v>4</v>
      </c>
      <c r="B11" s="18" t="s">
        <v>201</v>
      </c>
      <c r="C11" s="18" t="s">
        <v>218</v>
      </c>
      <c r="D11" s="89">
        <f>D8+D9-D10</f>
        <v>326732</v>
      </c>
      <c r="E11" s="18"/>
    </row>
    <row r="12" spans="1:6" x14ac:dyDescent="0.25">
      <c r="A12" s="11">
        <v>5</v>
      </c>
      <c r="B12" s="18"/>
      <c r="C12" s="18" t="s">
        <v>202</v>
      </c>
      <c r="D12" s="91">
        <f>IncomeStmtSummary!D60</f>
        <v>0.37730000000000002</v>
      </c>
      <c r="E12" s="18"/>
      <c r="F12" s="111"/>
    </row>
    <row r="13" spans="1:6" x14ac:dyDescent="0.25">
      <c r="A13" s="11">
        <v>6</v>
      </c>
      <c r="B13" s="18" t="s">
        <v>203</v>
      </c>
      <c r="C13" s="18" t="s">
        <v>225</v>
      </c>
      <c r="D13" s="92">
        <f>D11*D12</f>
        <v>123275.98360000001</v>
      </c>
      <c r="E13" s="18"/>
    </row>
    <row r="14" spans="1:6" ht="15.75" thickBot="1" x14ac:dyDescent="0.3">
      <c r="A14" s="12">
        <v>7</v>
      </c>
      <c r="B14" s="20" t="s">
        <v>201</v>
      </c>
      <c r="C14" s="20" t="s">
        <v>288</v>
      </c>
      <c r="D14" s="93">
        <f>D11-D13</f>
        <v>203456.01639999999</v>
      </c>
      <c r="E14" s="12" t="s">
        <v>162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199</v>
      </c>
      <c r="C16" s="97" t="s">
        <v>204</v>
      </c>
      <c r="D16" s="77"/>
      <c r="E16" s="77"/>
    </row>
    <row r="17" spans="1:6" x14ac:dyDescent="0.25">
      <c r="A17" s="10">
        <v>8</v>
      </c>
      <c r="B17" s="7" t="s">
        <v>240</v>
      </c>
      <c r="C17" s="7" t="s">
        <v>205</v>
      </c>
      <c r="D17" s="89">
        <f>IncomeStmtSummary!D35</f>
        <v>3754671</v>
      </c>
      <c r="E17" s="7"/>
    </row>
    <row r="18" spans="1:6" x14ac:dyDescent="0.25">
      <c r="A18" s="11">
        <v>9</v>
      </c>
      <c r="B18" s="18" t="s">
        <v>241</v>
      </c>
      <c r="C18" s="18" t="s">
        <v>206</v>
      </c>
      <c r="D18" s="90">
        <f>IncomeStmtSummary!D38</f>
        <v>-326059</v>
      </c>
      <c r="E18" s="18"/>
    </row>
    <row r="19" spans="1:6" x14ac:dyDescent="0.25">
      <c r="A19" s="11">
        <v>10</v>
      </c>
      <c r="B19" s="18" t="s">
        <v>201</v>
      </c>
      <c r="C19" s="18" t="s">
        <v>207</v>
      </c>
      <c r="D19" s="89">
        <f>SUM(D17:D18)</f>
        <v>3428612</v>
      </c>
      <c r="E19" s="18"/>
    </row>
    <row r="20" spans="1:6" x14ac:dyDescent="0.25">
      <c r="A20" s="11">
        <v>11</v>
      </c>
      <c r="B20" s="18"/>
      <c r="C20" s="18" t="s">
        <v>202</v>
      </c>
      <c r="D20" s="91">
        <f>IncomeStmtSummary!D60</f>
        <v>0.37730000000000002</v>
      </c>
      <c r="E20" s="18"/>
    </row>
    <row r="21" spans="1:6" x14ac:dyDescent="0.25">
      <c r="A21" s="11">
        <v>12</v>
      </c>
      <c r="B21" s="18" t="s">
        <v>203</v>
      </c>
      <c r="C21" s="18" t="s">
        <v>219</v>
      </c>
      <c r="D21" s="92">
        <f>D19*D20</f>
        <v>1293615.3076000002</v>
      </c>
      <c r="E21" s="18"/>
    </row>
    <row r="22" spans="1:6" ht="15.75" thickBot="1" x14ac:dyDescent="0.3">
      <c r="A22" s="12">
        <v>13</v>
      </c>
      <c r="B22" s="20" t="s">
        <v>201</v>
      </c>
      <c r="C22" s="20" t="s">
        <v>220</v>
      </c>
      <c r="D22" s="93">
        <f>D19-D21</f>
        <v>2134996.6924000001</v>
      </c>
      <c r="E22" s="12" t="s">
        <v>198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201</v>
      </c>
      <c r="C24" s="97" t="s">
        <v>208</v>
      </c>
      <c r="D24" s="102">
        <f>D14+D22</f>
        <v>2338452.7088000001</v>
      </c>
      <c r="E24" s="77" t="s">
        <v>289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199</v>
      </c>
      <c r="C26" s="97" t="s">
        <v>209</v>
      </c>
      <c r="D26" s="77"/>
      <c r="E26" s="77"/>
    </row>
    <row r="27" spans="1:6" x14ac:dyDescent="0.25">
      <c r="A27" s="10">
        <v>15</v>
      </c>
      <c r="B27" s="7" t="s">
        <v>242</v>
      </c>
      <c r="C27" s="7" t="s">
        <v>226</v>
      </c>
      <c r="D27" s="89">
        <f>IncomeStmtSummary!D39</f>
        <v>3755344</v>
      </c>
      <c r="E27" s="7"/>
    </row>
    <row r="28" spans="1:6" x14ac:dyDescent="0.25">
      <c r="A28" s="11">
        <v>16</v>
      </c>
      <c r="B28" s="18"/>
      <c r="C28" s="18" t="s">
        <v>254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213</v>
      </c>
      <c r="D29" s="89">
        <f>D27+D28</f>
        <v>3755344</v>
      </c>
      <c r="E29" s="18"/>
    </row>
    <row r="30" spans="1:6" x14ac:dyDescent="0.25">
      <c r="A30" s="11">
        <v>18</v>
      </c>
      <c r="B30" s="18"/>
      <c r="C30" s="18" t="s">
        <v>210</v>
      </c>
      <c r="D30" s="91">
        <f>100%-D20</f>
        <v>0.62270000000000003</v>
      </c>
      <c r="E30" s="18"/>
    </row>
    <row r="31" spans="1:6" ht="15.75" thickBot="1" x14ac:dyDescent="0.3">
      <c r="A31" s="12">
        <v>19</v>
      </c>
      <c r="B31" s="20" t="s">
        <v>203</v>
      </c>
      <c r="C31" s="20" t="s">
        <v>221</v>
      </c>
      <c r="D31" s="104">
        <f>D29*D30</f>
        <v>2338452.7088000001</v>
      </c>
      <c r="E31" s="12" t="s">
        <v>211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199</v>
      </c>
      <c r="C33" s="97" t="s">
        <v>212</v>
      </c>
      <c r="D33" s="77"/>
      <c r="E33" s="77"/>
      <c r="G33" s="48"/>
    </row>
    <row r="34" spans="1:8" x14ac:dyDescent="0.25">
      <c r="A34" s="10">
        <v>20</v>
      </c>
      <c r="B34" s="7" t="s">
        <v>243</v>
      </c>
      <c r="C34" s="7" t="s">
        <v>253</v>
      </c>
      <c r="D34" s="89">
        <f>'RateBase '!D15</f>
        <v>17329938</v>
      </c>
      <c r="E34" s="7"/>
      <c r="G34" s="105"/>
    </row>
    <row r="35" spans="1:8" x14ac:dyDescent="0.25">
      <c r="A35" s="11">
        <v>21</v>
      </c>
      <c r="B35" s="18" t="s">
        <v>244</v>
      </c>
      <c r="C35" s="18" t="s">
        <v>287</v>
      </c>
      <c r="D35" s="90">
        <f>'RateBase '!E15</f>
        <v>17230262</v>
      </c>
      <c r="E35" s="18"/>
      <c r="G35" s="89"/>
    </row>
    <row r="36" spans="1:8" x14ac:dyDescent="0.25">
      <c r="A36" s="11">
        <v>22</v>
      </c>
      <c r="B36" s="18" t="s">
        <v>201</v>
      </c>
      <c r="C36" s="18" t="s">
        <v>213</v>
      </c>
      <c r="D36" s="89">
        <f>SUM(D34:D35)</f>
        <v>34560200</v>
      </c>
      <c r="E36" s="18"/>
      <c r="G36" s="105"/>
    </row>
    <row r="37" spans="1:8" x14ac:dyDescent="0.25">
      <c r="A37" s="11">
        <v>23</v>
      </c>
      <c r="B37" s="18" t="s">
        <v>203</v>
      </c>
      <c r="C37" s="18" t="s">
        <v>214</v>
      </c>
      <c r="D37" s="89">
        <f>D36/2</f>
        <v>17280100</v>
      </c>
      <c r="E37" s="11" t="s">
        <v>215</v>
      </c>
      <c r="G37" s="105"/>
      <c r="H37" s="48"/>
    </row>
    <row r="38" spans="1:8" x14ac:dyDescent="0.25">
      <c r="A38" s="11">
        <v>24</v>
      </c>
      <c r="B38" s="18" t="s">
        <v>222</v>
      </c>
      <c r="C38" s="14" t="s">
        <v>223</v>
      </c>
      <c r="D38" s="110">
        <f>D14</f>
        <v>203456.01639999999</v>
      </c>
      <c r="E38" s="15"/>
    </row>
    <row r="39" spans="1:8" ht="15.75" thickBot="1" x14ac:dyDescent="0.3">
      <c r="A39" s="12">
        <v>27</v>
      </c>
      <c r="B39" s="20" t="s">
        <v>203</v>
      </c>
      <c r="C39" s="20" t="s">
        <v>216</v>
      </c>
      <c r="D39" s="109">
        <f>D38/D37</f>
        <v>1.1774006886534221E-2</v>
      </c>
      <c r="E39" s="12" t="s">
        <v>224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/>
      <c r="C41" s="107"/>
      <c r="D41" s="67"/>
      <c r="E41" s="67"/>
      <c r="F41" s="67"/>
      <c r="G41" s="68"/>
      <c r="H41" s="67"/>
    </row>
    <row r="42" spans="1:8" x14ac:dyDescent="0.25">
      <c r="A42" s="67"/>
      <c r="B42" s="67"/>
      <c r="C42" s="73"/>
      <c r="D42" s="67"/>
      <c r="E42" s="67"/>
      <c r="F42" s="67"/>
      <c r="G42" s="68"/>
      <c r="H42" s="67"/>
    </row>
    <row r="43" spans="1:8" x14ac:dyDescent="0.25">
      <c r="A43" s="67"/>
      <c r="B43" s="67"/>
      <c r="C43" s="73"/>
      <c r="D43" s="67"/>
      <c r="E43" s="67"/>
      <c r="F43" s="67"/>
      <c r="G43" s="115"/>
      <c r="H43" s="67"/>
    </row>
    <row r="44" spans="1:8" x14ac:dyDescent="0.25">
      <c r="A44" s="67"/>
      <c r="B44" s="67"/>
      <c r="C44" s="67"/>
      <c r="D44" s="67"/>
      <c r="E44" s="67"/>
      <c r="F44" s="67"/>
      <c r="G44" s="116"/>
      <c r="H44" s="67"/>
    </row>
    <row r="45" spans="1:8" x14ac:dyDescent="0.25">
      <c r="A45" s="67"/>
      <c r="B45" s="67"/>
      <c r="C45" s="67"/>
      <c r="D45" s="67"/>
      <c r="E45" s="67"/>
      <c r="F45" s="67"/>
      <c r="G45" s="117"/>
      <c r="H45" s="67"/>
    </row>
    <row r="46" spans="1:8" x14ac:dyDescent="0.25">
      <c r="A46" s="67"/>
      <c r="B46" s="67"/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6" zoomScaleNormal="100" workbookViewId="0">
      <selection activeCell="H52" sqref="H52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">
        <v>302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294</v>
      </c>
      <c r="E8" s="12"/>
      <c r="F8" s="9"/>
      <c r="G8" s="12" t="s">
        <v>245</v>
      </c>
      <c r="H8" s="12" t="s">
        <v>246</v>
      </c>
      <c r="I8" s="6" t="s">
        <v>294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1687522</v>
      </c>
      <c r="C10" s="121"/>
      <c r="D10" s="60">
        <f>SUM(B10:C10)</f>
        <v>1687522</v>
      </c>
      <c r="E10" s="18"/>
      <c r="F10" s="18" t="s">
        <v>78</v>
      </c>
      <c r="G10" s="53">
        <v>580199</v>
      </c>
      <c r="H10" s="55"/>
      <c r="I10" s="60">
        <f>SUM(G10:H10)</f>
        <v>580199</v>
      </c>
    </row>
    <row r="11" spans="1:9" x14ac:dyDescent="0.25">
      <c r="A11" s="18" t="s">
        <v>134</v>
      </c>
      <c r="B11" s="53"/>
      <c r="C11" s="121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5"/>
      <c r="D13" s="60">
        <f>SUM(B13:C13)</f>
        <v>0</v>
      </c>
      <c r="E13" s="18"/>
      <c r="F13" s="18" t="s">
        <v>83</v>
      </c>
      <c r="G13" s="53">
        <v>3125</v>
      </c>
      <c r="H13" s="55"/>
      <c r="I13" s="60">
        <f t="shared" si="0"/>
        <v>3125</v>
      </c>
    </row>
    <row r="14" spans="1:9" x14ac:dyDescent="0.25">
      <c r="A14" s="18" t="s">
        <v>47</v>
      </c>
      <c r="B14" s="53">
        <v>0</v>
      </c>
      <c r="C14" s="55"/>
      <c r="D14" s="60">
        <f t="shared" ref="D14:D15" si="1">SUM(B14:C14)</f>
        <v>0</v>
      </c>
      <c r="E14" s="18"/>
      <c r="F14" s="18" t="s">
        <v>84</v>
      </c>
      <c r="G14" s="53">
        <v>1500000</v>
      </c>
      <c r="H14" s="55"/>
      <c r="I14" s="60">
        <f t="shared" si="0"/>
        <v>1500000</v>
      </c>
    </row>
    <row r="15" spans="1:9" x14ac:dyDescent="0.25">
      <c r="A15" s="18" t="s">
        <v>45</v>
      </c>
      <c r="B15" s="53">
        <v>1627962</v>
      </c>
      <c r="C15" s="55"/>
      <c r="D15" s="60">
        <f t="shared" si="1"/>
        <v>1627962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408083</v>
      </c>
      <c r="C17" s="55"/>
      <c r="D17" s="60">
        <f>SUM(B17:C17)</f>
        <v>408083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>
        <v>699486</v>
      </c>
      <c r="C18" s="55"/>
      <c r="D18" s="60">
        <f t="shared" ref="D18:D24" si="2">SUM(B18:C18)</f>
        <v>699486</v>
      </c>
      <c r="E18" s="18"/>
      <c r="F18" s="18" t="s">
        <v>88</v>
      </c>
      <c r="G18" s="53">
        <v>257138</v>
      </c>
      <c r="H18" s="55"/>
      <c r="I18" s="60">
        <f t="shared" si="0"/>
        <v>257138</v>
      </c>
    </row>
    <row r="19" spans="1:9" x14ac:dyDescent="0.25">
      <c r="A19" s="18" t="s">
        <v>45</v>
      </c>
      <c r="B19" s="53">
        <v>0</v>
      </c>
      <c r="C19" s="55"/>
      <c r="D19" s="60">
        <f t="shared" si="2"/>
        <v>0</v>
      </c>
      <c r="E19" s="18"/>
      <c r="F19" s="18" t="s">
        <v>89</v>
      </c>
      <c r="G19" s="54">
        <v>482625</v>
      </c>
      <c r="H19" s="122"/>
      <c r="I19" s="61">
        <f t="shared" si="0"/>
        <v>482625</v>
      </c>
    </row>
    <row r="20" spans="1:9" x14ac:dyDescent="0.25">
      <c r="A20" s="18" t="s">
        <v>48</v>
      </c>
      <c r="B20" s="53">
        <v>123746</v>
      </c>
      <c r="C20" s="55"/>
      <c r="D20" s="60">
        <f t="shared" si="2"/>
        <v>123746</v>
      </c>
      <c r="E20" s="18"/>
      <c r="F20" s="18" t="s">
        <v>109</v>
      </c>
      <c r="G20" s="60">
        <f>SUM(G10:G19)</f>
        <v>2823087</v>
      </c>
      <c r="H20" s="60">
        <f>SUM(H10:H19)</f>
        <v>0</v>
      </c>
      <c r="I20" s="60">
        <f t="shared" ref="I20" si="3">SUM(I10:I19)</f>
        <v>2823087</v>
      </c>
    </row>
    <row r="21" spans="1:9" x14ac:dyDescent="0.25">
      <c r="A21" s="18" t="s">
        <v>49</v>
      </c>
      <c r="B21" s="53">
        <v>611569</v>
      </c>
      <c r="C21" s="55">
        <v>-4275</v>
      </c>
      <c r="D21" s="60">
        <f t="shared" si="2"/>
        <v>607294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34531</v>
      </c>
      <c r="C22" s="55"/>
      <c r="D22" s="60">
        <f t="shared" si="2"/>
        <v>34531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>
        <v>405014</v>
      </c>
      <c r="C23" s="55"/>
      <c r="D23" s="60">
        <f t="shared" si="2"/>
        <v>405014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>
        <v>590006</v>
      </c>
      <c r="C24" s="122"/>
      <c r="D24" s="61">
        <f t="shared" si="2"/>
        <v>590006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6187919</v>
      </c>
      <c r="C25" s="60">
        <f>C10+C11+C13+C14+C15+C17+C18+C19+C20+C21+C22+C23+C24</f>
        <v>-4275</v>
      </c>
      <c r="D25" s="60">
        <f t="shared" ref="D25" si="5">D10+D11+D13+D14+D15+D17+D18+D19+D20+D21+D22+D23+D24</f>
        <v>6183644</v>
      </c>
      <c r="E25" s="18"/>
      <c r="F25" s="18" t="s">
        <v>95</v>
      </c>
      <c r="G25" s="53">
        <v>4122210</v>
      </c>
      <c r="H25" s="55"/>
      <c r="I25" s="60">
        <f t="shared" si="4"/>
        <v>4122210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>
        <v>8610545</v>
      </c>
      <c r="C30" s="55"/>
      <c r="D30" s="60">
        <f>SUM(B30:C30)</f>
        <v>8610545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>
        <v>4962486</v>
      </c>
      <c r="C31" s="55"/>
      <c r="D31" s="60">
        <f>SUM(B31:C31)</f>
        <v>4962486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8" t="s">
        <v>108</v>
      </c>
      <c r="G32" s="128">
        <f>SUM(G22:G31)</f>
        <v>4122210</v>
      </c>
      <c r="H32" s="128">
        <f>SUM(H22:H31)</f>
        <v>0</v>
      </c>
      <c r="I32" s="128">
        <f>SUM(I22:I31)</f>
        <v>4122210</v>
      </c>
    </row>
    <row r="33" spans="1:9" x14ac:dyDescent="0.25">
      <c r="A33" s="18" t="s">
        <v>57</v>
      </c>
      <c r="B33" s="53"/>
      <c r="C33" s="55"/>
      <c r="D33" s="60">
        <f>SUM(B33:C33)</f>
        <v>0</v>
      </c>
      <c r="E33" s="18"/>
      <c r="F33" s="22" t="s">
        <v>102</v>
      </c>
      <c r="G33" s="18"/>
      <c r="H33" s="18"/>
      <c r="I33" s="18"/>
    </row>
    <row r="34" spans="1:9" x14ac:dyDescent="0.25">
      <c r="A34" s="18" t="s">
        <v>58</v>
      </c>
      <c r="B34" s="53">
        <v>1885260</v>
      </c>
      <c r="C34" s="55"/>
      <c r="D34" s="60">
        <f t="shared" ref="D34:D38" si="7">SUM(B34:C34)</f>
        <v>1885260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157</v>
      </c>
      <c r="B35" s="53">
        <v>6432068</v>
      </c>
      <c r="C35" s="71">
        <f>-1*(C25+C30+C31+C33+C34+C36+C37+C38+C47)</f>
        <v>3935374</v>
      </c>
      <c r="D35" s="60">
        <f t="shared" si="7"/>
        <v>10367442</v>
      </c>
      <c r="E35" s="18"/>
      <c r="F35" s="19" t="s">
        <v>264</v>
      </c>
      <c r="G35" s="53"/>
      <c r="H35" s="53">
        <v>-4818339</v>
      </c>
      <c r="I35" s="60">
        <f>SUM(G35:H35)</f>
        <v>-4818339</v>
      </c>
    </row>
    <row r="36" spans="1:9" x14ac:dyDescent="0.25">
      <c r="A36" s="18" t="s">
        <v>62</v>
      </c>
      <c r="B36" s="53">
        <v>4052489</v>
      </c>
      <c r="C36" s="55"/>
      <c r="D36" s="60">
        <f t="shared" si="7"/>
        <v>4052489</v>
      </c>
      <c r="E36" s="18"/>
      <c r="F36" s="18" t="s">
        <v>299</v>
      </c>
      <c r="G36" s="53">
        <v>374196</v>
      </c>
      <c r="H36" s="121"/>
      <c r="I36" s="60">
        <f t="shared" ref="I36:I37" si="8">SUM(G36:H36)</f>
        <v>374196</v>
      </c>
    </row>
    <row r="37" spans="1:9" x14ac:dyDescent="0.25">
      <c r="A37" s="18" t="s">
        <v>63</v>
      </c>
      <c r="B37" s="53"/>
      <c r="C37" s="55"/>
      <c r="D37" s="60">
        <f t="shared" si="7"/>
        <v>0</v>
      </c>
      <c r="E37" s="18"/>
      <c r="F37" s="18" t="s">
        <v>265</v>
      </c>
      <c r="G37" s="54"/>
      <c r="H37" s="122"/>
      <c r="I37" s="61">
        <f t="shared" si="8"/>
        <v>0</v>
      </c>
    </row>
    <row r="38" spans="1:9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374196</v>
      </c>
      <c r="H38" s="60">
        <f>SUM(H34:H37)</f>
        <v>-4818339</v>
      </c>
      <c r="I38" s="60">
        <f>SUM(I34:I37)</f>
        <v>-4444143</v>
      </c>
    </row>
    <row r="39" spans="1:9" x14ac:dyDescent="0.25">
      <c r="A39" s="18" t="s">
        <v>65</v>
      </c>
      <c r="B39" s="60">
        <f>B30+B31+B33+B34+B35+B36+B37+B38</f>
        <v>25942848</v>
      </c>
      <c r="C39" s="60">
        <f>C30+C31+C33+C34+C35+C36+C37+C38</f>
        <v>3935374</v>
      </c>
      <c r="D39" s="60">
        <f t="shared" ref="D39" si="9">D30+D31+D33+D34+D35+D36+D37+D38</f>
        <v>29878222</v>
      </c>
      <c r="E39" s="18"/>
      <c r="F39" s="22" t="s">
        <v>104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266</v>
      </c>
      <c r="G40" s="53">
        <v>72000</v>
      </c>
      <c r="H40" s="23"/>
      <c r="I40" s="60">
        <f>SUM(G40:H40)</f>
        <v>72000</v>
      </c>
    </row>
    <row r="41" spans="1:9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165</v>
      </c>
      <c r="B42" s="53">
        <v>94399655</v>
      </c>
      <c r="C42" s="53">
        <v>-7266275</v>
      </c>
      <c r="D42" s="60">
        <f>SUM(B42:C42)</f>
        <v>87133380</v>
      </c>
      <c r="E42" s="18"/>
      <c r="F42" s="18" t="s">
        <v>268</v>
      </c>
      <c r="G42" s="53"/>
      <c r="H42" s="23"/>
      <c r="I42" s="60">
        <f t="shared" si="10"/>
        <v>0</v>
      </c>
    </row>
    <row r="43" spans="1:9" x14ac:dyDescent="0.25">
      <c r="A43" s="18" t="s">
        <v>68</v>
      </c>
      <c r="B43" s="53">
        <v>798914</v>
      </c>
      <c r="C43" s="53">
        <v>-798914</v>
      </c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9" x14ac:dyDescent="0.25">
      <c r="A44" s="18" t="s">
        <v>69</v>
      </c>
      <c r="B44" s="53">
        <v>190061</v>
      </c>
      <c r="C44" s="53"/>
      <c r="D44" s="60">
        <f t="shared" si="11"/>
        <v>190061</v>
      </c>
      <c r="E44" s="18"/>
      <c r="F44" s="18" t="s">
        <v>270</v>
      </c>
      <c r="G44" s="53">
        <v>47840</v>
      </c>
      <c r="H44" s="23"/>
      <c r="I44" s="60">
        <f t="shared" si="10"/>
        <v>47840</v>
      </c>
    </row>
    <row r="45" spans="1:9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-69726487</v>
      </c>
      <c r="C46" s="54">
        <v>4134090</v>
      </c>
      <c r="D46" s="61">
        <f t="shared" si="11"/>
        <v>-65592397</v>
      </c>
      <c r="E46" s="18"/>
      <c r="F46" s="18" t="s">
        <v>272</v>
      </c>
      <c r="G46" s="54">
        <v>50353577</v>
      </c>
      <c r="H46" s="80">
        <f>-1*(H20+H32+H38)</f>
        <v>4818339</v>
      </c>
      <c r="I46" s="61">
        <f t="shared" si="10"/>
        <v>55171916</v>
      </c>
    </row>
    <row r="47" spans="1:9" x14ac:dyDescent="0.25">
      <c r="A47" s="18" t="s">
        <v>71</v>
      </c>
      <c r="B47" s="60">
        <f>B42+B43+B44+B45+B46</f>
        <v>25662143</v>
      </c>
      <c r="C47" s="60">
        <f t="shared" ref="C47:D47" si="12">C42+C43+C44+C45+C46</f>
        <v>-3931099</v>
      </c>
      <c r="D47" s="60">
        <f t="shared" si="12"/>
        <v>21731044</v>
      </c>
      <c r="E47" s="18"/>
      <c r="F47" s="18" t="s">
        <v>274</v>
      </c>
      <c r="G47" s="60">
        <f>SUM(G40:G46)</f>
        <v>50473417</v>
      </c>
      <c r="H47" s="63">
        <f t="shared" ref="H47:I47" si="13">SUM(H40:H46)</f>
        <v>4818339</v>
      </c>
      <c r="I47" s="60">
        <f t="shared" si="13"/>
        <v>55291756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57792910</v>
      </c>
      <c r="C49" s="62">
        <f t="shared" ref="C49:D49" si="14">C25+C39+C47</f>
        <v>0</v>
      </c>
      <c r="D49" s="62">
        <f t="shared" si="14"/>
        <v>57792910</v>
      </c>
      <c r="E49" s="20"/>
      <c r="F49" s="75" t="s">
        <v>275</v>
      </c>
      <c r="G49" s="62">
        <f>G20+G32+G38+G47</f>
        <v>57792910</v>
      </c>
      <c r="H49" s="62">
        <f>H20+H32+H38+H47</f>
        <v>0</v>
      </c>
      <c r="I49" s="62">
        <f>I20+I32+I38+I47</f>
        <v>57792910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eu1PbFOLivvg+mllbKgzl1WD5IG0Og1eVmVfQwh+Ompe7o9dMvqFHG1v/dNLNfjJrkzJPQQVyzEcbx1Sr/nX/w==" saltValue="54ETJ/Hnt0hXeFzbI+Ahi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3" zoomScaleNormal="100" workbookViewId="0">
      <selection activeCell="E34" sqref="E3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tr">
        <f>PriorYearBalanceSheet!A3</f>
        <v>Whidbey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276</v>
      </c>
      <c r="C8" s="12" t="s">
        <v>277</v>
      </c>
      <c r="D8" s="12" t="s">
        <v>295</v>
      </c>
      <c r="E8" s="12"/>
      <c r="F8" s="9"/>
      <c r="G8" s="12" t="s">
        <v>276</v>
      </c>
      <c r="H8" s="12" t="s">
        <v>277</v>
      </c>
      <c r="I8" s="6" t="s">
        <v>295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5466584</v>
      </c>
      <c r="C10" s="55"/>
      <c r="D10" s="60">
        <f>SUM(B10:C10)</f>
        <v>5466584</v>
      </c>
      <c r="E10" s="18"/>
      <c r="F10" s="18" t="s">
        <v>78</v>
      </c>
      <c r="G10" s="53">
        <v>873012</v>
      </c>
      <c r="H10" s="55"/>
      <c r="I10" s="60">
        <f>SUM(G10:H10)</f>
        <v>873012</v>
      </c>
    </row>
    <row r="11" spans="1:9" x14ac:dyDescent="0.25">
      <c r="A11" s="18" t="s">
        <v>134</v>
      </c>
      <c r="B11" s="53"/>
      <c r="C11" s="55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5"/>
      <c r="D13" s="60">
        <f>SUM(B13:C13)</f>
        <v>0</v>
      </c>
      <c r="E13" s="18"/>
      <c r="F13" s="18" t="s">
        <v>83</v>
      </c>
      <c r="G13" s="53">
        <v>3125</v>
      </c>
      <c r="H13" s="55">
        <f>-G13</f>
        <v>-3125</v>
      </c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5"/>
      <c r="D14" s="60">
        <f t="shared" ref="D14:D15" si="1">SUM(B14:C14)</f>
        <v>0</v>
      </c>
      <c r="E14" s="18"/>
      <c r="F14" s="18" t="s">
        <v>84</v>
      </c>
      <c r="G14" s="53"/>
      <c r="H14" s="55"/>
      <c r="I14" s="60">
        <f t="shared" si="0"/>
        <v>0</v>
      </c>
    </row>
    <row r="15" spans="1:9" x14ac:dyDescent="0.25">
      <c r="A15" s="18" t="s">
        <v>45</v>
      </c>
      <c r="B15" s="53">
        <v>1719789</v>
      </c>
      <c r="C15" s="55"/>
      <c r="D15" s="60">
        <f t="shared" si="1"/>
        <v>1719789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400541</v>
      </c>
      <c r="C17" s="55"/>
      <c r="D17" s="60">
        <f>SUM(B17:C17)</f>
        <v>400541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>
        <v>1346322</v>
      </c>
      <c r="C18" s="55"/>
      <c r="D18" s="60">
        <f t="shared" ref="D18:D24" si="2">SUM(B18:C18)</f>
        <v>1346322</v>
      </c>
      <c r="E18" s="18"/>
      <c r="F18" s="18" t="s">
        <v>88</v>
      </c>
      <c r="G18" s="53">
        <v>264677</v>
      </c>
      <c r="H18" s="55"/>
      <c r="I18" s="60">
        <f t="shared" si="0"/>
        <v>264677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671157</v>
      </c>
      <c r="H19" s="122"/>
      <c r="I19" s="61">
        <f t="shared" si="0"/>
        <v>671157</v>
      </c>
    </row>
    <row r="20" spans="1:9" x14ac:dyDescent="0.25">
      <c r="A20" s="18" t="s">
        <v>48</v>
      </c>
      <c r="B20" s="53">
        <v>193227</v>
      </c>
      <c r="C20" s="55"/>
      <c r="D20" s="60">
        <f t="shared" si="2"/>
        <v>193227</v>
      </c>
      <c r="E20" s="18"/>
      <c r="F20" s="18" t="s">
        <v>109</v>
      </c>
      <c r="G20" s="60">
        <f>SUM(G10:G19)</f>
        <v>1811971</v>
      </c>
      <c r="H20" s="60">
        <f>SUM(H10:H19)</f>
        <v>-3125</v>
      </c>
      <c r="I20" s="60">
        <f t="shared" ref="I20" si="3">SUM(I10:I19)</f>
        <v>1808846</v>
      </c>
    </row>
    <row r="21" spans="1:9" x14ac:dyDescent="0.25">
      <c r="A21" s="18" t="s">
        <v>49</v>
      </c>
      <c r="B21" s="53">
        <v>874713</v>
      </c>
      <c r="C21" s="55"/>
      <c r="D21" s="60">
        <f t="shared" si="2"/>
        <v>874713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26180</v>
      </c>
      <c r="C22" s="55"/>
      <c r="D22" s="60">
        <f t="shared" si="2"/>
        <v>26180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>
        <v>354765</v>
      </c>
      <c r="C23" s="55"/>
      <c r="D23" s="60">
        <f t="shared" si="2"/>
        <v>354765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>
        <v>590006</v>
      </c>
      <c r="C24" s="122"/>
      <c r="D24" s="61">
        <f t="shared" si="2"/>
        <v>590006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10972127</v>
      </c>
      <c r="C25" s="60">
        <f>C10+C11+C13+C14+C15+C17+C18+C19+C20+C21+C22+C23+C24</f>
        <v>0</v>
      </c>
      <c r="D25" s="60">
        <f t="shared" ref="D25" si="5">D10+D11+D13+D14+D15+D17+D18+D19+D20+D21+D22+D23+D24</f>
        <v>10972127</v>
      </c>
      <c r="E25" s="18"/>
      <c r="F25" s="18" t="s">
        <v>95</v>
      </c>
      <c r="G25" s="53">
        <v>8000000</v>
      </c>
      <c r="H25" s="55"/>
      <c r="I25" s="60">
        <f t="shared" si="4"/>
        <v>8000000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>
        <v>8734033</v>
      </c>
      <c r="C30" s="55"/>
      <c r="D30" s="60">
        <f>SUM(B30:C30)</f>
        <v>8734033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>
        <v>4962486</v>
      </c>
      <c r="C31" s="55"/>
      <c r="D31" s="60">
        <f>SUM(B31:C31)</f>
        <v>4962486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4" t="s">
        <v>108</v>
      </c>
      <c r="G32" s="128">
        <f>SUM(G22:G31)</f>
        <v>8000000</v>
      </c>
      <c r="H32" s="128">
        <f>SUM(H22:H31)</f>
        <v>0</v>
      </c>
      <c r="I32" s="128">
        <f>SUM(I22:I31)</f>
        <v>8000000</v>
      </c>
    </row>
    <row r="33" spans="1:11" x14ac:dyDescent="0.25">
      <c r="A33" s="18" t="s">
        <v>57</v>
      </c>
      <c r="B33" s="53"/>
      <c r="C33" s="55"/>
      <c r="D33" s="60">
        <f>SUM(B33:C33)</f>
        <v>0</v>
      </c>
      <c r="E33" s="18"/>
      <c r="F33" s="129" t="s">
        <v>102</v>
      </c>
      <c r="G33" s="18"/>
      <c r="H33" s="18"/>
      <c r="I33" s="18"/>
    </row>
    <row r="34" spans="1:11" x14ac:dyDescent="0.25">
      <c r="A34" s="18" t="s">
        <v>58</v>
      </c>
      <c r="B34" s="53">
        <v>1439096</v>
      </c>
      <c r="C34" s="55"/>
      <c r="D34" s="60">
        <f t="shared" ref="D34:D38" si="7">SUM(B34:C34)</f>
        <v>1439096</v>
      </c>
      <c r="E34" s="18"/>
      <c r="F34" s="14" t="s">
        <v>103</v>
      </c>
      <c r="G34" s="53"/>
      <c r="H34" s="55"/>
      <c r="I34" s="60">
        <f>SUM(G34:H34)</f>
        <v>0</v>
      </c>
    </row>
    <row r="35" spans="1:11" x14ac:dyDescent="0.25">
      <c r="A35" s="18" t="s">
        <v>157</v>
      </c>
      <c r="B35" s="53">
        <v>6132044</v>
      </c>
      <c r="C35" s="71">
        <f>-1*(C25+C30+C31+C33+C34+C36+C37+C38+C47)</f>
        <v>2405402</v>
      </c>
      <c r="D35" s="60">
        <f t="shared" si="7"/>
        <v>8537446</v>
      </c>
      <c r="E35" s="18"/>
      <c r="F35" s="130" t="s">
        <v>264</v>
      </c>
      <c r="G35" s="53"/>
      <c r="H35" s="53">
        <v>-4456194</v>
      </c>
      <c r="I35" s="60">
        <f>SUM(G35:H35)</f>
        <v>-4456194</v>
      </c>
    </row>
    <row r="36" spans="1:11" x14ac:dyDescent="0.25">
      <c r="A36" s="18" t="s">
        <v>62</v>
      </c>
      <c r="B36" s="53">
        <v>4505938</v>
      </c>
      <c r="C36" s="55"/>
      <c r="D36" s="60">
        <f t="shared" si="7"/>
        <v>4505938</v>
      </c>
      <c r="E36" s="18"/>
      <c r="F36" s="14" t="s">
        <v>299</v>
      </c>
      <c r="G36" s="53">
        <v>422720</v>
      </c>
      <c r="H36" s="121">
        <f>-G36</f>
        <v>-422720</v>
      </c>
      <c r="I36" s="60">
        <f t="shared" ref="I36:I37" si="8">SUM(G36:H36)</f>
        <v>0</v>
      </c>
    </row>
    <row r="37" spans="1:11" x14ac:dyDescent="0.25">
      <c r="A37" s="18" t="s">
        <v>63</v>
      </c>
      <c r="B37" s="53"/>
      <c r="C37" s="55"/>
      <c r="D37" s="60">
        <f t="shared" si="7"/>
        <v>0</v>
      </c>
      <c r="E37" s="18"/>
      <c r="F37" s="14" t="s">
        <v>265</v>
      </c>
      <c r="G37" s="54"/>
      <c r="H37" s="122"/>
      <c r="I37" s="61">
        <f t="shared" si="8"/>
        <v>0</v>
      </c>
    </row>
    <row r="38" spans="1:11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273</v>
      </c>
      <c r="G38" s="60">
        <f>SUM(G34:G37)</f>
        <v>422720</v>
      </c>
      <c r="H38" s="60">
        <f>SUM(H34:H37)</f>
        <v>-4878914</v>
      </c>
      <c r="I38" s="60">
        <f>SUM(I34:I37)</f>
        <v>-4456194</v>
      </c>
    </row>
    <row r="39" spans="1:11" x14ac:dyDescent="0.25">
      <c r="A39" s="18" t="s">
        <v>65</v>
      </c>
      <c r="B39" s="60">
        <f>B30+B31+B33+B34+B35+B36+B37+B38</f>
        <v>25773597</v>
      </c>
      <c r="C39" s="60">
        <f>C30+C31+C33+C34+C35+C36+C37+C38</f>
        <v>2405402</v>
      </c>
      <c r="D39" s="60">
        <f t="shared" ref="D39" si="9">D30+D31+D33+D34+D35+D36+D37+D38</f>
        <v>28178999</v>
      </c>
      <c r="E39" s="18"/>
      <c r="F39" s="22" t="s">
        <v>104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266</v>
      </c>
      <c r="G40" s="53">
        <v>72000</v>
      </c>
      <c r="H40" s="23"/>
      <c r="I40" s="60">
        <f>SUM(G40:H40)</f>
        <v>72000</v>
      </c>
    </row>
    <row r="41" spans="1:11" x14ac:dyDescent="0.25">
      <c r="A41" s="22" t="s">
        <v>66</v>
      </c>
      <c r="B41" s="18"/>
      <c r="C41" s="18"/>
      <c r="D41" s="15"/>
      <c r="E41" s="18"/>
      <c r="F41" s="18" t="s">
        <v>267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165</v>
      </c>
      <c r="B42" s="53">
        <v>94883530</v>
      </c>
      <c r="C42" s="53">
        <f>91407896-B42</f>
        <v>-3475634</v>
      </c>
      <c r="D42" s="60">
        <f>SUM(B42:C42)</f>
        <v>91407896</v>
      </c>
      <c r="E42" s="18"/>
      <c r="F42" s="18" t="s">
        <v>268</v>
      </c>
      <c r="G42" s="53"/>
      <c r="H42" s="23"/>
      <c r="I42" s="60">
        <f t="shared" si="10"/>
        <v>0</v>
      </c>
    </row>
    <row r="43" spans="1:11" x14ac:dyDescent="0.25">
      <c r="A43" s="18" t="s">
        <v>68</v>
      </c>
      <c r="B43" s="53">
        <v>798914</v>
      </c>
      <c r="C43" s="53">
        <f>-B43</f>
        <v>-798914</v>
      </c>
      <c r="D43" s="60">
        <f t="shared" ref="D43:D46" si="11">SUM(B43:C43)</f>
        <v>0</v>
      </c>
      <c r="E43" s="18"/>
      <c r="F43" s="18" t="s">
        <v>269</v>
      </c>
      <c r="G43" s="53"/>
      <c r="H43" s="23"/>
      <c r="I43" s="60">
        <f t="shared" si="10"/>
        <v>0</v>
      </c>
    </row>
    <row r="44" spans="1:11" x14ac:dyDescent="0.25">
      <c r="A44" s="18" t="s">
        <v>69</v>
      </c>
      <c r="B44" s="53">
        <v>2063972</v>
      </c>
      <c r="C44" s="53"/>
      <c r="D44" s="60">
        <f t="shared" si="11"/>
        <v>2063972</v>
      </c>
      <c r="E44" s="18"/>
      <c r="F44" s="18" t="s">
        <v>270</v>
      </c>
      <c r="G44" s="53">
        <v>100029</v>
      </c>
      <c r="H44" s="23"/>
      <c r="I44" s="60">
        <f t="shared" si="10"/>
        <v>100029</v>
      </c>
      <c r="K44" s="67"/>
    </row>
    <row r="45" spans="1:11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271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-72465299</v>
      </c>
      <c r="C46" s="54">
        <f>-70596153-B46</f>
        <v>1869146</v>
      </c>
      <c r="D46" s="61">
        <f t="shared" si="11"/>
        <v>-70596153</v>
      </c>
      <c r="E46" s="18"/>
      <c r="F46" s="18" t="s">
        <v>272</v>
      </c>
      <c r="G46" s="54">
        <v>51620121</v>
      </c>
      <c r="H46" s="80">
        <f>-1*(H20+H32+H38)</f>
        <v>4882039</v>
      </c>
      <c r="I46" s="61">
        <f t="shared" si="10"/>
        <v>56502160</v>
      </c>
    </row>
    <row r="47" spans="1:11" x14ac:dyDescent="0.25">
      <c r="A47" s="18" t="s">
        <v>71</v>
      </c>
      <c r="B47" s="60">
        <f>B42+B43+B44+B45+B46</f>
        <v>25281117</v>
      </c>
      <c r="C47" s="60">
        <f t="shared" ref="C47:D47" si="12">C42+C43+C44+C45+C46</f>
        <v>-2405402</v>
      </c>
      <c r="D47" s="60">
        <f t="shared" si="12"/>
        <v>22875715</v>
      </c>
      <c r="E47" s="18"/>
      <c r="F47" s="18" t="s">
        <v>278</v>
      </c>
      <c r="G47" s="60">
        <f>SUM(G40:G46)</f>
        <v>51792150</v>
      </c>
      <c r="H47" s="63">
        <f t="shared" ref="H47:I47" si="13">SUM(H40:H46)</f>
        <v>4882039</v>
      </c>
      <c r="I47" s="60">
        <f t="shared" si="13"/>
        <v>56674189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62026841</v>
      </c>
      <c r="C49" s="62">
        <f t="shared" ref="C49:D49" si="14">C25+C39+C47</f>
        <v>0</v>
      </c>
      <c r="D49" s="62">
        <f t="shared" si="14"/>
        <v>62026841</v>
      </c>
      <c r="E49" s="20"/>
      <c r="F49" s="75" t="s">
        <v>275</v>
      </c>
      <c r="G49" s="62">
        <f>G20+G32+G38+G47</f>
        <v>62026841</v>
      </c>
      <c r="H49" s="62">
        <f>H20+H32+H38+H47</f>
        <v>0</v>
      </c>
      <c r="I49" s="62">
        <f>I20+I32+I38+I47</f>
        <v>62026841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300</v>
      </c>
      <c r="G53" s="67"/>
      <c r="H53" s="67"/>
      <c r="I53" s="67"/>
    </row>
    <row r="54" spans="1:9" x14ac:dyDescent="0.25">
      <c r="A54" s="67" t="s">
        <v>301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69" sqref="A6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166</v>
      </c>
    </row>
    <row r="3" spans="1:7" x14ac:dyDescent="0.25">
      <c r="A3" s="59" t="str">
        <f>PriorYearBalanceSheet!A3</f>
        <v>Whidbey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111</v>
      </c>
      <c r="C6" s="10" t="s">
        <v>111</v>
      </c>
      <c r="D6" s="10"/>
      <c r="E6" s="7"/>
      <c r="F6" s="10" t="s">
        <v>111</v>
      </c>
      <c r="G6" s="24" t="s">
        <v>111</v>
      </c>
    </row>
    <row r="7" spans="1:7" x14ac:dyDescent="0.25">
      <c r="A7" s="8" t="s">
        <v>76</v>
      </c>
      <c r="B7" s="11" t="s">
        <v>73</v>
      </c>
      <c r="C7" s="11" t="s">
        <v>114</v>
      </c>
      <c r="D7" s="11"/>
      <c r="E7" s="8" t="s">
        <v>75</v>
      </c>
      <c r="F7" s="11" t="s">
        <v>73</v>
      </c>
      <c r="G7" s="5" t="s">
        <v>114</v>
      </c>
    </row>
    <row r="8" spans="1:7" x14ac:dyDescent="0.25">
      <c r="A8" s="9"/>
      <c r="B8" s="12" t="s">
        <v>247</v>
      </c>
      <c r="C8" s="12" t="s">
        <v>279</v>
      </c>
      <c r="D8" s="12"/>
      <c r="E8" s="9"/>
      <c r="F8" s="12" t="s">
        <v>247</v>
      </c>
      <c r="G8" s="6" t="s">
        <v>279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1687522</v>
      </c>
      <c r="C10" s="33">
        <f>'CurrentYearBalanceSheet '!D10</f>
        <v>5466584</v>
      </c>
      <c r="D10" s="18"/>
      <c r="E10" s="18" t="s">
        <v>78</v>
      </c>
      <c r="F10" s="33">
        <f>PriorYearBalanceSheet!I10</f>
        <v>580199</v>
      </c>
      <c r="G10" s="33">
        <f>'CurrentYearBalanceSheet '!I10</f>
        <v>873012</v>
      </c>
    </row>
    <row r="11" spans="1:7" x14ac:dyDescent="0.25">
      <c r="A11" s="18" t="s">
        <v>134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3125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1500000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1627962</v>
      </c>
      <c r="C15" s="33">
        <f>'CurrentYearBalanceSheet '!D15</f>
        <v>1719789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408083</v>
      </c>
      <c r="C17" s="33">
        <f>'CurrentYearBalanceSheet '!D17</f>
        <v>400541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699486</v>
      </c>
      <c r="C18" s="33">
        <f>'CurrentYearBalanceSheet '!D18</f>
        <v>1346322</v>
      </c>
      <c r="D18" s="18"/>
      <c r="E18" s="18" t="s">
        <v>88</v>
      </c>
      <c r="F18" s="33">
        <f>PriorYearBalanceSheet!I18</f>
        <v>257138</v>
      </c>
      <c r="G18" s="33">
        <f>'CurrentYearBalanceSheet '!I18</f>
        <v>264677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482625</v>
      </c>
      <c r="G19" s="33">
        <f>'CurrentYearBalanceSheet '!I19</f>
        <v>671157</v>
      </c>
    </row>
    <row r="20" spans="1:7" x14ac:dyDescent="0.25">
      <c r="A20" s="18" t="s">
        <v>48</v>
      </c>
      <c r="B20" s="33">
        <f>PriorYearBalanceSheet!D20</f>
        <v>123746</v>
      </c>
      <c r="C20" s="33">
        <f>'CurrentYearBalanceSheet '!D20</f>
        <v>193227</v>
      </c>
      <c r="D20" s="18"/>
      <c r="E20" s="18" t="s">
        <v>90</v>
      </c>
      <c r="F20" s="37">
        <f>SUM(F10:F19)</f>
        <v>2823087</v>
      </c>
      <c r="G20" s="36">
        <f>SUM(G10:G19)</f>
        <v>1808846</v>
      </c>
    </row>
    <row r="21" spans="1:7" x14ac:dyDescent="0.25">
      <c r="A21" s="18" t="s">
        <v>49</v>
      </c>
      <c r="B21" s="33">
        <f>PriorYearBalanceSheet!D21</f>
        <v>607294</v>
      </c>
      <c r="C21" s="33">
        <f>'CurrentYearBalanceSheet '!D21</f>
        <v>874713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34531</v>
      </c>
      <c r="C22" s="33">
        <f>'CurrentYearBalanceSheet '!D22</f>
        <v>26180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405014</v>
      </c>
      <c r="C23" s="33">
        <f>'CurrentYearBalanceSheet '!D23</f>
        <v>354765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590006</v>
      </c>
      <c r="C24" s="34">
        <f>'CurrentYearBalanceSheet '!D24</f>
        <v>590006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6183644</v>
      </c>
      <c r="C25" s="33">
        <f>C10+C11+C13+C14+C15+C17+C18+C19+C20+C21+C22+C23+C24</f>
        <v>10972127</v>
      </c>
      <c r="D25" s="18"/>
      <c r="E25" s="18" t="s">
        <v>95</v>
      </c>
      <c r="F25" s="33">
        <f>PriorYearBalanceSheet!I25</f>
        <v>4122210</v>
      </c>
      <c r="G25" s="33">
        <f>'CurrentYearBalanceSheet '!I25</f>
        <v>8000000</v>
      </c>
    </row>
    <row r="26" spans="1:7" x14ac:dyDescent="0.25">
      <c r="A26" s="18"/>
      <c r="B26" s="33"/>
      <c r="C26" s="33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54</v>
      </c>
      <c r="B28" s="18"/>
      <c r="C28" s="18"/>
      <c r="D28" s="18"/>
      <c r="E28" s="18" t="s">
        <v>135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59</v>
      </c>
      <c r="B29" s="23"/>
      <c r="C29" s="23"/>
      <c r="D29" s="19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55</v>
      </c>
      <c r="B30" s="33">
        <f>PriorYearBalanceSheet!D30</f>
        <v>8610545</v>
      </c>
      <c r="C30" s="33">
        <f>'CurrentYearBalanceSheet '!D30</f>
        <v>8734033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56</v>
      </c>
      <c r="B31" s="33">
        <f>PriorYearBalanceSheet!D31</f>
        <v>4962486</v>
      </c>
      <c r="C31" s="33">
        <f>'CurrentYearBalanceSheet '!D31</f>
        <v>4962486</v>
      </c>
      <c r="D31" s="18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60</v>
      </c>
      <c r="B32" s="23"/>
      <c r="C32" s="23"/>
      <c r="D32" s="19"/>
      <c r="E32" s="14" t="s">
        <v>101</v>
      </c>
      <c r="F32" s="37">
        <f>SUM(F22:F31)</f>
        <v>4122210</v>
      </c>
      <c r="G32" s="37">
        <f>SUM(G22:G31)</f>
        <v>8000000</v>
      </c>
    </row>
    <row r="33" spans="1:7" x14ac:dyDescent="0.25">
      <c r="A33" s="18" t="s">
        <v>57</v>
      </c>
      <c r="B33" s="33">
        <f>PriorYearBalanceSheet!D33</f>
        <v>0</v>
      </c>
      <c r="C33" s="33">
        <f>'CurrentYearBalanceSheet '!D33</f>
        <v>0</v>
      </c>
      <c r="D33" s="18"/>
      <c r="E33" s="129" t="s">
        <v>102</v>
      </c>
      <c r="F33" s="18"/>
      <c r="G33" s="18"/>
    </row>
    <row r="34" spans="1:7" x14ac:dyDescent="0.25">
      <c r="A34" s="18" t="s">
        <v>58</v>
      </c>
      <c r="B34" s="33">
        <f>PriorYearBalanceSheet!D34</f>
        <v>1885260</v>
      </c>
      <c r="C34" s="33">
        <f>'CurrentYearBalanceSheet '!D34</f>
        <v>1439096</v>
      </c>
      <c r="D34" s="18"/>
      <c r="E34" s="14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61</v>
      </c>
      <c r="B35" s="33">
        <f>PriorYearBalanceSheet!D35</f>
        <v>10367442</v>
      </c>
      <c r="C35" s="33">
        <f>'CurrentYearBalanceSheet '!D35</f>
        <v>8537446</v>
      </c>
      <c r="D35" s="18"/>
      <c r="E35" t="s">
        <v>264</v>
      </c>
      <c r="F35" s="33">
        <f>PriorYearBalanceSheet!I35</f>
        <v>-4818339</v>
      </c>
      <c r="G35" s="33">
        <f>'CurrentYearBalanceSheet '!I35</f>
        <v>-4456194</v>
      </c>
    </row>
    <row r="36" spans="1:7" x14ac:dyDescent="0.25">
      <c r="A36" s="18" t="s">
        <v>62</v>
      </c>
      <c r="B36" s="33">
        <f>PriorYearBalanceSheet!D36</f>
        <v>4052489</v>
      </c>
      <c r="C36" s="33">
        <f>'CurrentYearBalanceSheet '!D36</f>
        <v>4505938</v>
      </c>
      <c r="D36" s="18"/>
      <c r="E36" s="14" t="s">
        <v>280</v>
      </c>
      <c r="F36" s="33">
        <f>PriorYearBalanceSheet!I36</f>
        <v>374196</v>
      </c>
      <c r="G36" s="33">
        <f>'CurrentYearBalanceSheet '!I36</f>
        <v>0</v>
      </c>
    </row>
    <row r="37" spans="1:7" x14ac:dyDescent="0.25">
      <c r="A37" s="18" t="s">
        <v>63</v>
      </c>
      <c r="B37" s="33">
        <f>PriorYearBalanceSheet!D37</f>
        <v>0</v>
      </c>
      <c r="C37" s="33">
        <f>'CurrentYearBalanceSheet '!D37</f>
        <v>0</v>
      </c>
      <c r="D37" s="18"/>
      <c r="E37" s="14" t="s">
        <v>265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64</v>
      </c>
      <c r="B38" s="34">
        <f>PriorYearBalanceSheet!D38</f>
        <v>0</v>
      </c>
      <c r="C38" s="34">
        <f>'CurrentYearBalanceSheet '!D38</f>
        <v>0</v>
      </c>
      <c r="D38" s="18"/>
      <c r="E38" s="18" t="s">
        <v>273</v>
      </c>
      <c r="F38" s="33">
        <f>SUM(F34:F37)</f>
        <v>-4444143</v>
      </c>
      <c r="G38" s="33">
        <f>SUM(G34:G37)</f>
        <v>-4456194</v>
      </c>
    </row>
    <row r="39" spans="1:7" x14ac:dyDescent="0.25">
      <c r="A39" s="18" t="s">
        <v>65</v>
      </c>
      <c r="B39" s="33">
        <f>B30+B31+B33+B34+B35+B36+B37+B38</f>
        <v>29878222</v>
      </c>
      <c r="C39" s="33">
        <f>C30+C31+C33+C34+C35+C36+C37+C38</f>
        <v>28178999</v>
      </c>
      <c r="D39" s="18"/>
      <c r="E39" s="22" t="s">
        <v>104</v>
      </c>
      <c r="F39" s="18"/>
      <c r="G39" s="15"/>
    </row>
    <row r="40" spans="1:7" x14ac:dyDescent="0.25">
      <c r="A40" s="18"/>
      <c r="B40" s="18"/>
      <c r="C40" s="18"/>
      <c r="D40" s="18"/>
      <c r="E40" s="18" t="s">
        <v>266</v>
      </c>
      <c r="F40" s="33">
        <f>PriorYearBalanceSheet!I40</f>
        <v>72000</v>
      </c>
      <c r="G40" s="33">
        <f>'CurrentYearBalanceSheet '!I40</f>
        <v>72000</v>
      </c>
    </row>
    <row r="41" spans="1:7" x14ac:dyDescent="0.25">
      <c r="A41" s="22" t="s">
        <v>66</v>
      </c>
      <c r="B41" s="18"/>
      <c r="C41" s="18"/>
      <c r="D41" s="18"/>
      <c r="E41" s="18" t="s">
        <v>267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67</v>
      </c>
      <c r="B42" s="33">
        <f>PriorYearBalanceSheet!D42</f>
        <v>87133380</v>
      </c>
      <c r="C42" s="33">
        <f>'CurrentYearBalanceSheet '!D42</f>
        <v>91407896</v>
      </c>
      <c r="D42" s="18"/>
      <c r="E42" s="18" t="s">
        <v>268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68</v>
      </c>
      <c r="B43" s="33">
        <f>PriorYearBalanceSheet!D43</f>
        <v>0</v>
      </c>
      <c r="C43" s="33">
        <f>'CurrentYearBalanceSheet '!D43</f>
        <v>0</v>
      </c>
      <c r="D43" s="18"/>
      <c r="E43" s="18" t="s">
        <v>269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69</v>
      </c>
      <c r="B44" s="33">
        <f>PriorYearBalanceSheet!D44</f>
        <v>190061</v>
      </c>
      <c r="C44" s="33">
        <f>'CurrentYearBalanceSheet '!D44</f>
        <v>2063972</v>
      </c>
      <c r="D44" s="18"/>
      <c r="E44" s="18" t="s">
        <v>270</v>
      </c>
      <c r="F44" s="33">
        <f>PriorYearBalanceSheet!I44</f>
        <v>47840</v>
      </c>
      <c r="G44" s="33">
        <f>'CurrentYearBalanceSheet '!I44</f>
        <v>100029</v>
      </c>
    </row>
    <row r="45" spans="1:7" x14ac:dyDescent="0.25">
      <c r="A45" s="18" t="s">
        <v>70</v>
      </c>
      <c r="B45" s="33">
        <f>PriorYearBalanceSheet!D45</f>
        <v>0</v>
      </c>
      <c r="C45" s="33">
        <f>'CurrentYearBalanceSheet '!D45</f>
        <v>0</v>
      </c>
      <c r="D45" s="18"/>
      <c r="E45" s="18" t="s">
        <v>271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113</v>
      </c>
      <c r="B46" s="34">
        <f>PriorYearBalanceSheet!D46</f>
        <v>-65592397</v>
      </c>
      <c r="C46" s="34">
        <f>'CurrentYearBalanceSheet '!D46</f>
        <v>-70596153</v>
      </c>
      <c r="D46" s="18"/>
      <c r="E46" s="18" t="s">
        <v>281</v>
      </c>
      <c r="F46" s="34">
        <f>PriorYearBalanceSheet!I46</f>
        <v>55171916</v>
      </c>
      <c r="G46" s="34">
        <f>'CurrentYearBalanceSheet '!I46</f>
        <v>56502160</v>
      </c>
    </row>
    <row r="47" spans="1:7" x14ac:dyDescent="0.25">
      <c r="A47" s="18" t="s">
        <v>71</v>
      </c>
      <c r="B47" s="33">
        <f>SUM(B42:B46)</f>
        <v>21731044</v>
      </c>
      <c r="C47" s="33">
        <f>SUM(C42:C46)</f>
        <v>22875715</v>
      </c>
      <c r="D47" s="18"/>
      <c r="E47" s="18" t="s">
        <v>282</v>
      </c>
      <c r="F47" s="33">
        <f>SUM(F40:F46)</f>
        <v>55291756</v>
      </c>
      <c r="G47" s="33">
        <f>SUM(G40:G46)</f>
        <v>56674189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197</v>
      </c>
      <c r="B49" s="35">
        <f>B25+B39+B47</f>
        <v>57792910</v>
      </c>
      <c r="C49" s="35">
        <f>C25+C39+C47</f>
        <v>62026841</v>
      </c>
      <c r="D49" s="18"/>
      <c r="E49" s="22" t="s">
        <v>275</v>
      </c>
      <c r="F49" s="35">
        <f>F20+F32+F38+F47</f>
        <v>57792910</v>
      </c>
      <c r="G49" s="35">
        <f>G20+G32+G38+G47</f>
        <v>62026841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180</v>
      </c>
    </row>
    <row r="52" spans="1:7" x14ac:dyDescent="0.25">
      <c r="A52" t="s">
        <v>112</v>
      </c>
      <c r="B52" s="67"/>
      <c r="C52" s="67"/>
      <c r="D52" s="67"/>
      <c r="E52" s="67"/>
      <c r="F52" s="67"/>
      <c r="G52" s="67"/>
    </row>
    <row r="53" spans="1:7" x14ac:dyDescent="0.25">
      <c r="A53" t="s">
        <v>187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D14" sqref="D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168</v>
      </c>
      <c r="D6" s="10" t="s">
        <v>107</v>
      </c>
      <c r="E6" s="10" t="s">
        <v>107</v>
      </c>
      <c r="F6" s="24" t="s">
        <v>121</v>
      </c>
    </row>
    <row r="7" spans="1:6" x14ac:dyDescent="0.25">
      <c r="A7" s="18" t="s">
        <v>0</v>
      </c>
      <c r="B7" s="11" t="s">
        <v>152</v>
      </c>
      <c r="C7" s="11" t="s">
        <v>123</v>
      </c>
      <c r="D7" s="11" t="s">
        <v>74</v>
      </c>
      <c r="E7" s="11" t="s">
        <v>74</v>
      </c>
      <c r="F7" s="5" t="s">
        <v>122</v>
      </c>
    </row>
    <row r="8" spans="1:6" x14ac:dyDescent="0.25">
      <c r="A8" s="12"/>
      <c r="B8" s="20"/>
      <c r="C8" s="12" t="s">
        <v>124</v>
      </c>
      <c r="D8" s="12">
        <v>2015</v>
      </c>
      <c r="E8" s="12">
        <v>2016</v>
      </c>
      <c r="F8" s="6" t="s">
        <v>72</v>
      </c>
    </row>
    <row r="9" spans="1:6" x14ac:dyDescent="0.25">
      <c r="A9" s="10"/>
      <c r="B9" s="21" t="s">
        <v>115</v>
      </c>
      <c r="C9" s="7"/>
      <c r="D9" s="7"/>
      <c r="E9" s="7"/>
      <c r="F9" s="15"/>
    </row>
    <row r="10" spans="1:6" x14ac:dyDescent="0.25">
      <c r="A10" s="11">
        <v>1</v>
      </c>
      <c r="B10" s="18" t="s">
        <v>116</v>
      </c>
      <c r="C10" s="11">
        <v>18</v>
      </c>
      <c r="D10" s="60">
        <f>'BalanceSheet(Summary)'!B42</f>
        <v>87133380</v>
      </c>
      <c r="E10" s="60">
        <f>'BalanceSheet(Summary)'!C42</f>
        <v>91407896</v>
      </c>
      <c r="F10" s="60">
        <f>(D10+E10)/2</f>
        <v>89270638</v>
      </c>
    </row>
    <row r="11" spans="1:6" x14ac:dyDescent="0.25">
      <c r="A11" s="11">
        <v>2</v>
      </c>
      <c r="B11" s="18" t="s">
        <v>167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118</v>
      </c>
      <c r="C12" s="11">
        <v>22</v>
      </c>
      <c r="D12" s="60">
        <f>'BalanceSheet(Summary)'!B46</f>
        <v>-65592397</v>
      </c>
      <c r="E12" s="60">
        <f>'BalanceSheet(Summary)'!C46</f>
        <v>-70596153</v>
      </c>
      <c r="F12" s="60">
        <f t="shared" ref="F12:F15" si="0">(D12+E12)/2</f>
        <v>-68094275</v>
      </c>
    </row>
    <row r="13" spans="1:6" x14ac:dyDescent="0.25">
      <c r="A13" s="11">
        <v>4</v>
      </c>
      <c r="B13" s="18" t="s">
        <v>117</v>
      </c>
      <c r="C13" s="11">
        <v>6</v>
      </c>
      <c r="D13" s="60">
        <f>'BalanceSheet(Summary)'!B21</f>
        <v>607294</v>
      </c>
      <c r="E13" s="60">
        <f>'BalanceSheet(Summary)'!C21</f>
        <v>874713</v>
      </c>
      <c r="F13" s="60">
        <f t="shared" si="0"/>
        <v>741003.5</v>
      </c>
    </row>
    <row r="14" spans="1:6" x14ac:dyDescent="0.25">
      <c r="A14" s="11">
        <v>5</v>
      </c>
      <c r="B14" s="18" t="s">
        <v>119</v>
      </c>
      <c r="C14" s="12">
        <v>48</v>
      </c>
      <c r="D14" s="53">
        <f>+'BalanceSheet(Summary)'!F35</f>
        <v>-4818339</v>
      </c>
      <c r="E14" s="53">
        <f>+'BalanceSheet(Summary)'!G35</f>
        <v>-4456194</v>
      </c>
      <c r="F14" s="60">
        <f t="shared" si="0"/>
        <v>-4637266.5</v>
      </c>
    </row>
    <row r="15" spans="1:6" ht="15.75" thickBot="1" x14ac:dyDescent="0.3">
      <c r="A15" s="12">
        <v>6</v>
      </c>
      <c r="B15" s="75" t="s">
        <v>161</v>
      </c>
      <c r="C15" s="77"/>
      <c r="D15" s="78">
        <f>SUM(D10:D14)</f>
        <v>17329938</v>
      </c>
      <c r="E15" s="64">
        <f>SUM(E10:E14)</f>
        <v>17230262</v>
      </c>
      <c r="F15" s="65">
        <f t="shared" si="0"/>
        <v>17280100</v>
      </c>
    </row>
    <row r="16" spans="1:6" ht="15.75" thickTop="1" x14ac:dyDescent="0.25">
      <c r="A16" s="13"/>
      <c r="B16" t="s">
        <v>175</v>
      </c>
      <c r="C16" s="68"/>
      <c r="D16" s="68"/>
      <c r="E16" s="68"/>
      <c r="F16" s="68"/>
    </row>
    <row r="17" spans="1:6" x14ac:dyDescent="0.25">
      <c r="A17" s="13"/>
      <c r="B17" t="s">
        <v>290</v>
      </c>
      <c r="C17" s="68"/>
      <c r="D17" s="68"/>
      <c r="E17" s="68"/>
      <c r="F17" s="68"/>
    </row>
    <row r="18" spans="1:6" x14ac:dyDescent="0.25">
      <c r="B18" t="s">
        <v>291</v>
      </c>
      <c r="C18" s="67"/>
      <c r="D18" s="67"/>
      <c r="E18" s="67"/>
      <c r="F18" s="67"/>
    </row>
    <row r="19" spans="1:6" x14ac:dyDescent="0.25">
      <c r="B19" t="s">
        <v>120</v>
      </c>
      <c r="C19" s="67"/>
      <c r="D19" s="67"/>
      <c r="E19" s="67"/>
      <c r="F19" s="67"/>
    </row>
    <row r="20" spans="1:6" x14ac:dyDescent="0.25">
      <c r="B20" t="s">
        <v>292</v>
      </c>
      <c r="C20" s="67"/>
      <c r="D20" s="67"/>
      <c r="E20" s="67"/>
      <c r="F20" s="67"/>
    </row>
    <row r="21" spans="1:6" x14ac:dyDescent="0.25">
      <c r="B21" t="s">
        <v>293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30"/>
  <sheetViews>
    <sheetView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114</v>
      </c>
      <c r="E7" s="7"/>
      <c r="F7" s="4"/>
    </row>
    <row r="8" spans="1:6" x14ac:dyDescent="0.25">
      <c r="A8" s="11" t="s">
        <v>0</v>
      </c>
      <c r="B8" s="11" t="s">
        <v>152</v>
      </c>
      <c r="C8" s="11" t="s">
        <v>129</v>
      </c>
      <c r="D8" s="11" t="s">
        <v>133</v>
      </c>
      <c r="E8" s="25" t="s">
        <v>130</v>
      </c>
      <c r="F8" s="5" t="s">
        <v>131</v>
      </c>
    </row>
    <row r="9" spans="1:6" x14ac:dyDescent="0.25">
      <c r="A9" s="20"/>
      <c r="B9" s="20"/>
      <c r="C9" s="12" t="s">
        <v>248</v>
      </c>
      <c r="D9" s="12" t="s">
        <v>284</v>
      </c>
      <c r="E9" s="12"/>
      <c r="F9" s="6" t="s">
        <v>132</v>
      </c>
    </row>
    <row r="10" spans="1:6" x14ac:dyDescent="0.25">
      <c r="A10" s="7"/>
      <c r="B10" s="21" t="s">
        <v>125</v>
      </c>
      <c r="C10" s="7"/>
      <c r="D10" s="33"/>
      <c r="E10" s="7"/>
      <c r="F10" s="15"/>
    </row>
    <row r="11" spans="1:6" x14ac:dyDescent="0.25">
      <c r="A11" s="11">
        <v>1</v>
      </c>
      <c r="B11" s="18" t="s">
        <v>126</v>
      </c>
      <c r="C11" s="53">
        <v>7987</v>
      </c>
      <c r="D11" s="132">
        <v>7113</v>
      </c>
      <c r="E11" s="33">
        <f>D11-C11</f>
        <v>-874</v>
      </c>
      <c r="F11" s="39">
        <f>E11/C11</f>
        <v>-0.10942782020783774</v>
      </c>
    </row>
    <row r="12" spans="1:6" x14ac:dyDescent="0.25">
      <c r="A12" s="11">
        <v>2</v>
      </c>
      <c r="B12" s="18" t="s">
        <v>127</v>
      </c>
      <c r="C12" s="53">
        <v>1695</v>
      </c>
      <c r="D12" s="132">
        <f>1433+181</f>
        <v>1614</v>
      </c>
      <c r="E12" s="33">
        <f>D12-C12</f>
        <v>-81</v>
      </c>
      <c r="F12" s="39">
        <f t="shared" ref="F12:F13" si="0">E12/C12</f>
        <v>-4.7787610619469026E-2</v>
      </c>
    </row>
    <row r="13" spans="1:6" ht="15.75" thickBot="1" x14ac:dyDescent="0.3">
      <c r="A13" s="12">
        <v>3</v>
      </c>
      <c r="B13" s="20" t="s">
        <v>128</v>
      </c>
      <c r="C13" s="35">
        <f>SUM(C11:C12)</f>
        <v>9682</v>
      </c>
      <c r="D13" s="35">
        <f t="shared" ref="D13:E13" si="1">SUM(D11:D12)</f>
        <v>8727</v>
      </c>
      <c r="E13" s="35">
        <f t="shared" si="1"/>
        <v>-955</v>
      </c>
      <c r="F13" s="40">
        <f t="shared" si="0"/>
        <v>-9.8636645321214619E-2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184</v>
      </c>
      <c r="B15" s="67" t="s">
        <v>283</v>
      </c>
      <c r="C15" s="67"/>
      <c r="D15" s="67"/>
      <c r="E15" s="67"/>
      <c r="F15" s="67"/>
    </row>
    <row r="16" spans="1:6" x14ac:dyDescent="0.25">
      <c r="A16" s="67"/>
      <c r="B16" s="67" t="s">
        <v>249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topLeftCell="A25" zoomScaleNormal="100" workbookViewId="0">
      <selection activeCell="E16" sqref="E1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105</v>
      </c>
      <c r="E6" s="27" t="s">
        <v>73</v>
      </c>
    </row>
    <row r="7" spans="1:6" x14ac:dyDescent="0.25">
      <c r="A7" s="18" t="s">
        <v>0</v>
      </c>
      <c r="B7" s="11" t="s">
        <v>152</v>
      </c>
      <c r="C7" s="11">
        <v>2015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294</v>
      </c>
    </row>
    <row r="9" spans="1:6" x14ac:dyDescent="0.25">
      <c r="A9" s="10">
        <v>1</v>
      </c>
      <c r="B9" s="4" t="s">
        <v>1</v>
      </c>
      <c r="C9" s="56">
        <v>2345222</v>
      </c>
      <c r="D9" s="53">
        <v>-108207</v>
      </c>
      <c r="E9" s="60">
        <f>SUM(C9:D9)</f>
        <v>2237015</v>
      </c>
    </row>
    <row r="10" spans="1:6" x14ac:dyDescent="0.25">
      <c r="A10" s="11">
        <v>2</v>
      </c>
      <c r="B10" s="15" t="s">
        <v>2</v>
      </c>
      <c r="C10" s="53">
        <v>9565794</v>
      </c>
      <c r="D10" s="53">
        <v>-48239</v>
      </c>
      <c r="E10" s="60">
        <f t="shared" ref="E10:E14" si="0">SUM(C10:D10)</f>
        <v>9517555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87342</v>
      </c>
      <c r="D12" s="53">
        <v>-81865</v>
      </c>
      <c r="E12" s="60">
        <f t="shared" si="0"/>
        <v>5477</v>
      </c>
    </row>
    <row r="13" spans="1:6" x14ac:dyDescent="0.25">
      <c r="A13" s="11">
        <v>5</v>
      </c>
      <c r="B13" s="15" t="s">
        <v>5</v>
      </c>
      <c r="C13" s="53">
        <v>434577</v>
      </c>
      <c r="D13" s="53">
        <v>-11339</v>
      </c>
      <c r="E13" s="60">
        <f t="shared" si="0"/>
        <v>423238</v>
      </c>
    </row>
    <row r="14" spans="1:6" x14ac:dyDescent="0.25">
      <c r="A14" s="11">
        <v>6</v>
      </c>
      <c r="B14" s="15" t="s">
        <v>138</v>
      </c>
      <c r="C14" s="53">
        <v>-8363</v>
      </c>
      <c r="D14" s="53"/>
      <c r="E14" s="60">
        <f t="shared" si="0"/>
        <v>-8363</v>
      </c>
    </row>
    <row r="15" spans="1:6" x14ac:dyDescent="0.25">
      <c r="A15" s="11">
        <v>7</v>
      </c>
      <c r="B15" s="79" t="s">
        <v>137</v>
      </c>
      <c r="C15" s="82">
        <f>SUM(C9:C14)</f>
        <v>12424572</v>
      </c>
      <c r="D15" s="82">
        <f t="shared" ref="D15:E15" si="1">SUM(D9:D14)</f>
        <v>-249650</v>
      </c>
      <c r="E15" s="82">
        <f t="shared" si="1"/>
        <v>12174922</v>
      </c>
      <c r="F15" s="1"/>
    </row>
    <row r="16" spans="1:6" x14ac:dyDescent="0.25">
      <c r="A16" s="11">
        <v>8</v>
      </c>
      <c r="B16" s="15" t="s">
        <v>6</v>
      </c>
      <c r="C16" s="53">
        <v>3345031</v>
      </c>
      <c r="D16" s="53">
        <v>-174637</v>
      </c>
      <c r="E16" s="42">
        <f>SUM(C16:D16)</f>
        <v>3170394</v>
      </c>
    </row>
    <row r="17" spans="1:6" x14ac:dyDescent="0.25">
      <c r="A17" s="11">
        <v>9</v>
      </c>
      <c r="B17" s="15" t="s">
        <v>40</v>
      </c>
      <c r="C17" s="53">
        <v>1874504</v>
      </c>
      <c r="D17" s="53">
        <v>-216657</v>
      </c>
      <c r="E17" s="42">
        <f t="shared" ref="E17:E21" si="2">SUM(C17:D17)</f>
        <v>1657847</v>
      </c>
    </row>
    <row r="18" spans="1:6" x14ac:dyDescent="0.25">
      <c r="A18" s="11">
        <v>10</v>
      </c>
      <c r="B18" s="15" t="s">
        <v>7</v>
      </c>
      <c r="C18" s="53">
        <v>3085853</v>
      </c>
      <c r="D18" s="53">
        <v>-178152</v>
      </c>
      <c r="E18" s="42">
        <f t="shared" si="2"/>
        <v>2907701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1011236</v>
      </c>
      <c r="D20" s="53">
        <v>-120489</v>
      </c>
      <c r="E20" s="42">
        <f t="shared" si="2"/>
        <v>890747</v>
      </c>
    </row>
    <row r="21" spans="1:6" x14ac:dyDescent="0.25">
      <c r="A21" s="11">
        <v>13</v>
      </c>
      <c r="B21" s="15" t="s">
        <v>10</v>
      </c>
      <c r="C21" s="53">
        <v>2677606</v>
      </c>
      <c r="D21" s="53">
        <v>-164996</v>
      </c>
      <c r="E21" s="42">
        <f t="shared" si="2"/>
        <v>2512610</v>
      </c>
    </row>
    <row r="22" spans="1:6" x14ac:dyDescent="0.25">
      <c r="A22" s="11">
        <v>14</v>
      </c>
      <c r="B22" s="76" t="s">
        <v>296</v>
      </c>
      <c r="C22" s="82">
        <f>C16+C17+C18+C19+C20+C21</f>
        <v>11994230</v>
      </c>
      <c r="D22" s="82">
        <f>D16+D17+D18+D19+D20+D21</f>
        <v>-854931</v>
      </c>
      <c r="E22" s="83">
        <f>E16+E17+E18+E19+E20+E21</f>
        <v>11139299</v>
      </c>
      <c r="F22" s="1"/>
    </row>
    <row r="23" spans="1:6" x14ac:dyDescent="0.25">
      <c r="A23" s="11">
        <v>15</v>
      </c>
      <c r="B23" s="15" t="s">
        <v>14</v>
      </c>
      <c r="C23" s="60">
        <f>C15-C22</f>
        <v>430342</v>
      </c>
      <c r="D23" s="60">
        <f>D15-D22</f>
        <v>605281</v>
      </c>
      <c r="E23" s="60">
        <f>E15-E22</f>
        <v>1035623</v>
      </c>
    </row>
    <row r="24" spans="1:6" x14ac:dyDescent="0.25">
      <c r="A24" s="11">
        <v>16</v>
      </c>
      <c r="B24" s="15" t="s">
        <v>139</v>
      </c>
      <c r="C24" s="53">
        <v>16</v>
      </c>
      <c r="D24" s="57"/>
      <c r="E24" s="60">
        <f>SUM(C24:D24)</f>
        <v>16</v>
      </c>
    </row>
    <row r="25" spans="1:6" x14ac:dyDescent="0.25">
      <c r="A25" s="11">
        <v>17</v>
      </c>
      <c r="B25" s="15" t="s">
        <v>11</v>
      </c>
      <c r="C25" s="53">
        <v>0</v>
      </c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193</v>
      </c>
      <c r="C26" s="53">
        <v>0</v>
      </c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392258</v>
      </c>
      <c r="D27" s="53">
        <v>-62020</v>
      </c>
      <c r="E27" s="60">
        <f t="shared" si="3"/>
        <v>330238</v>
      </c>
    </row>
    <row r="28" spans="1:6" x14ac:dyDescent="0.25">
      <c r="A28" s="11">
        <v>20</v>
      </c>
      <c r="B28" s="79" t="s">
        <v>12</v>
      </c>
      <c r="C28" s="74">
        <f>SUM(C25:C27)</f>
        <v>392258</v>
      </c>
      <c r="D28" s="74">
        <f t="shared" ref="D28:E28" si="4">SUM(D25:D27)</f>
        <v>-62020</v>
      </c>
      <c r="E28" s="84">
        <f t="shared" si="4"/>
        <v>330238</v>
      </c>
    </row>
    <row r="29" spans="1:6" x14ac:dyDescent="0.25">
      <c r="A29" s="11">
        <v>21</v>
      </c>
      <c r="B29" s="79" t="s">
        <v>23</v>
      </c>
      <c r="C29" s="74">
        <f>C23+C24-C28</f>
        <v>38100</v>
      </c>
      <c r="D29" s="74">
        <f>D23+D24-D28</f>
        <v>667301</v>
      </c>
      <c r="E29" s="84">
        <f>E23+E24-E28</f>
        <v>705401</v>
      </c>
    </row>
    <row r="30" spans="1:6" x14ac:dyDescent="0.25">
      <c r="A30" s="11">
        <v>22</v>
      </c>
      <c r="B30" s="15" t="s">
        <v>15</v>
      </c>
      <c r="C30" s="53">
        <v>117595</v>
      </c>
      <c r="D30" s="55">
        <v>-80271</v>
      </c>
      <c r="E30" s="60">
        <f>SUM(C30:D30)</f>
        <v>37324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60">
        <f t="shared" si="5"/>
        <v>0</v>
      </c>
    </row>
    <row r="33" spans="1:10" x14ac:dyDescent="0.25">
      <c r="A33" s="11">
        <v>25</v>
      </c>
      <c r="B33" s="15" t="s">
        <v>153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117595</v>
      </c>
      <c r="D34" s="85">
        <f t="shared" ref="D34" si="6">SUM(D30:D33)</f>
        <v>-80271</v>
      </c>
      <c r="E34" s="74">
        <f>SUM(E30:E33)</f>
        <v>37324</v>
      </c>
    </row>
    <row r="35" spans="1:10" x14ac:dyDescent="0.25">
      <c r="A35" s="11">
        <v>27</v>
      </c>
      <c r="B35" s="15" t="s">
        <v>19</v>
      </c>
      <c r="C35" s="53">
        <v>-30686807</v>
      </c>
      <c r="D35" s="55">
        <v>30681816</v>
      </c>
      <c r="E35" s="33">
        <f>SUM(C35:D35)</f>
        <v>-4991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181</v>
      </c>
      <c r="C38" s="53">
        <v>17706</v>
      </c>
      <c r="D38" s="71">
        <f>-1*(D29-D34)</f>
        <v>-747572</v>
      </c>
      <c r="E38" s="33">
        <f t="shared" si="7"/>
        <v>-729866</v>
      </c>
    </row>
    <row r="39" spans="1:10" x14ac:dyDescent="0.25">
      <c r="A39" s="11">
        <v>31</v>
      </c>
      <c r="B39" s="79" t="s">
        <v>22</v>
      </c>
      <c r="C39" s="74">
        <f>C29-C34+C35+C36+C37+C38</f>
        <v>-30748596</v>
      </c>
      <c r="D39" s="74">
        <f t="shared" ref="D39:E39" si="8">D29-D34+D35+D36+D37+D38</f>
        <v>30681816</v>
      </c>
      <c r="E39" s="74">
        <f t="shared" si="8"/>
        <v>-66780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83799773</v>
      </c>
      <c r="D41" s="55"/>
      <c r="E41" s="60">
        <f t="shared" ref="E41:E46" si="9">SUM(C41:D41)</f>
        <v>83799773</v>
      </c>
    </row>
    <row r="42" spans="1:10" x14ac:dyDescent="0.25">
      <c r="A42" s="11">
        <v>34</v>
      </c>
      <c r="B42" s="15" t="s">
        <v>26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27</v>
      </c>
      <c r="C43" s="53">
        <v>2697600</v>
      </c>
      <c r="D43" s="55"/>
      <c r="E43" s="60">
        <f t="shared" si="9"/>
        <v>2697600</v>
      </c>
    </row>
    <row r="44" spans="1:10" x14ac:dyDescent="0.25">
      <c r="A44" s="11">
        <v>36</v>
      </c>
      <c r="B44" s="15" t="s">
        <v>28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231</v>
      </c>
      <c r="C47" s="74">
        <f>(C39+C41+C42)-(C43+C44+C45+C46)</f>
        <v>50353577</v>
      </c>
      <c r="D47" s="85">
        <f t="shared" ref="D47:E47" si="10">(D39+D41+D42)-(D43+D44+D45+D46)</f>
        <v>30681816</v>
      </c>
      <c r="E47" s="84">
        <f t="shared" si="10"/>
        <v>81035393</v>
      </c>
      <c r="G47" s="131"/>
    </row>
    <row r="48" spans="1:10" x14ac:dyDescent="0.25">
      <c r="A48" s="11">
        <v>40</v>
      </c>
      <c r="B48" s="15" t="s">
        <v>32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1500000</v>
      </c>
      <c r="D52" s="87"/>
      <c r="E52" s="33">
        <f>C52</f>
        <v>1500000</v>
      </c>
    </row>
    <row r="53" spans="1:7" x14ac:dyDescent="0.25">
      <c r="A53" s="11">
        <v>45</v>
      </c>
      <c r="B53" s="15" t="s">
        <v>36</v>
      </c>
      <c r="C53" s="88">
        <f>((C22+C28-C18-C19)/C15)</f>
        <v>0.74856783799071713</v>
      </c>
      <c r="D53" s="88">
        <f>((D22+D28-D18-D19)/D15)</f>
        <v>2.9593390747045865</v>
      </c>
      <c r="E53" s="88">
        <f>((E22+E28-E18-E19)/E15)</f>
        <v>0.70323538828421239</v>
      </c>
    </row>
    <row r="54" spans="1:7" x14ac:dyDescent="0.25">
      <c r="A54" s="11">
        <v>46</v>
      </c>
      <c r="B54" s="15" t="s">
        <v>37</v>
      </c>
      <c r="C54" s="88">
        <f>((C22+C28+C34)/C15)</f>
        <v>1.0063994960953182</v>
      </c>
      <c r="D54" s="88">
        <f>((D22+D28+D34)/D15)</f>
        <v>3.9944802723813337</v>
      </c>
      <c r="E54" s="88">
        <f>((E22+E28+E34)/E15)</f>
        <v>0.94512810841827155</v>
      </c>
    </row>
    <row r="55" spans="1:7" x14ac:dyDescent="0.25">
      <c r="A55" s="11">
        <v>47</v>
      </c>
      <c r="B55" s="15" t="s">
        <v>38</v>
      </c>
      <c r="C55" s="88">
        <f>((C39+C34)/C34)</f>
        <v>-260.47877035588249</v>
      </c>
      <c r="D55" s="88">
        <f t="shared" ref="D55:E55" si="13">((D39+D34)/D34)</f>
        <v>-381.22790297865981</v>
      </c>
      <c r="E55" s="88">
        <f t="shared" si="13"/>
        <v>-0.78919729932483118</v>
      </c>
    </row>
    <row r="56" spans="1:7" x14ac:dyDescent="0.25">
      <c r="A56" s="11">
        <v>48</v>
      </c>
      <c r="B56" s="15" t="s">
        <v>39</v>
      </c>
      <c r="C56" s="88">
        <f>(C39+C34+C18+C19)/C52</f>
        <v>-18.363432</v>
      </c>
      <c r="D56" s="88" t="e">
        <f>(D39+D34+D18+D19)/D52</f>
        <v>#DIV/0!</v>
      </c>
      <c r="E56" s="88">
        <f>(E39+E34+E18+E19)/E52</f>
        <v>1.91883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256</v>
      </c>
      <c r="C60" s="67"/>
      <c r="D60" s="67"/>
      <c r="E60" s="67"/>
      <c r="F60" s="67"/>
      <c r="G60" s="67"/>
    </row>
    <row r="61" spans="1:7" x14ac:dyDescent="0.25">
      <c r="A61" s="48"/>
      <c r="B61" t="s">
        <v>230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297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257</v>
      </c>
      <c r="C64" s="67"/>
      <c r="D64" s="67"/>
      <c r="E64" s="67"/>
      <c r="F64" s="67"/>
      <c r="G64" s="67"/>
    </row>
    <row r="65" spans="1:7" x14ac:dyDescent="0.25">
      <c r="A65" s="67"/>
      <c r="B65" s="67" t="s">
        <v>258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Whidbey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114</v>
      </c>
      <c r="D6" s="28" t="s">
        <v>105</v>
      </c>
      <c r="E6" s="27" t="s">
        <v>114</v>
      </c>
    </row>
    <row r="7" spans="1:6" x14ac:dyDescent="0.25">
      <c r="A7" s="18" t="s">
        <v>0</v>
      </c>
      <c r="B7" s="11" t="s">
        <v>152</v>
      </c>
      <c r="C7" s="11">
        <v>2016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295</v>
      </c>
    </row>
    <row r="9" spans="1:6" x14ac:dyDescent="0.25">
      <c r="A9" s="10">
        <v>1</v>
      </c>
      <c r="B9" s="7" t="s">
        <v>1</v>
      </c>
      <c r="C9" s="56">
        <v>2301935</v>
      </c>
      <c r="D9" s="53"/>
      <c r="E9" s="33">
        <f>SUM(C9:D9)</f>
        <v>2301935</v>
      </c>
    </row>
    <row r="10" spans="1:6" x14ac:dyDescent="0.25">
      <c r="A10" s="11">
        <v>2</v>
      </c>
      <c r="B10" s="18" t="s">
        <v>2</v>
      </c>
      <c r="C10" s="53">
        <v>9785647</v>
      </c>
      <c r="D10" s="53"/>
      <c r="E10" s="33">
        <f t="shared" ref="E10:E14" si="0">SUM(C10:D10)</f>
        <v>9785647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91818</v>
      </c>
      <c r="D12" s="53">
        <f>-23941-61081</f>
        <v>-85022</v>
      </c>
      <c r="E12" s="33">
        <f t="shared" si="0"/>
        <v>6796</v>
      </c>
    </row>
    <row r="13" spans="1:6" x14ac:dyDescent="0.25">
      <c r="A13" s="11">
        <v>5</v>
      </c>
      <c r="B13" s="18" t="s">
        <v>5</v>
      </c>
      <c r="C13" s="53">
        <v>416946</v>
      </c>
      <c r="D13" s="53">
        <v>-8327</v>
      </c>
      <c r="E13" s="33">
        <f t="shared" si="0"/>
        <v>408619</v>
      </c>
    </row>
    <row r="14" spans="1:6" x14ac:dyDescent="0.25">
      <c r="A14" s="11">
        <v>6</v>
      </c>
      <c r="B14" s="18" t="s">
        <v>138</v>
      </c>
      <c r="C14" s="53">
        <v>-7210</v>
      </c>
      <c r="D14" s="53"/>
      <c r="E14" s="33">
        <f t="shared" si="0"/>
        <v>-7210</v>
      </c>
    </row>
    <row r="15" spans="1:6" x14ac:dyDescent="0.25">
      <c r="A15" s="11">
        <v>7</v>
      </c>
      <c r="B15" s="76" t="s">
        <v>137</v>
      </c>
      <c r="C15" s="41">
        <f>SUM(C9:C14)</f>
        <v>12589136</v>
      </c>
      <c r="D15" s="41">
        <f t="shared" ref="D15:E15" si="1">SUM(D9:D14)</f>
        <v>-93349</v>
      </c>
      <c r="E15" s="41">
        <f t="shared" si="1"/>
        <v>12495787</v>
      </c>
      <c r="F15" s="1"/>
    </row>
    <row r="16" spans="1:6" x14ac:dyDescent="0.25">
      <c r="A16" s="11">
        <v>8</v>
      </c>
      <c r="B16" s="18" t="s">
        <v>6</v>
      </c>
      <c r="C16" s="53">
        <v>3423438</v>
      </c>
      <c r="D16" s="53">
        <v>-52444</v>
      </c>
      <c r="E16" s="42">
        <f>SUM(C16:D16)</f>
        <v>3370994</v>
      </c>
    </row>
    <row r="17" spans="1:6" x14ac:dyDescent="0.25">
      <c r="A17" s="11">
        <v>9</v>
      </c>
      <c r="B17" s="18" t="s">
        <v>40</v>
      </c>
      <c r="C17" s="53">
        <v>2008423</v>
      </c>
      <c r="D17" s="53">
        <v>-362909</v>
      </c>
      <c r="E17" s="42">
        <f t="shared" ref="E17:E21" si="2">SUM(C17:D17)</f>
        <v>1645514</v>
      </c>
    </row>
    <row r="18" spans="1:6" x14ac:dyDescent="0.25">
      <c r="A18" s="11">
        <v>10</v>
      </c>
      <c r="B18" s="18" t="s">
        <v>7</v>
      </c>
      <c r="C18" s="53">
        <v>3045348</v>
      </c>
      <c r="D18" s="53">
        <v>-74926</v>
      </c>
      <c r="E18" s="42">
        <f t="shared" si="2"/>
        <v>2970422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1170870</v>
      </c>
      <c r="D20" s="53">
        <f>1099070-C20</f>
        <v>-71800</v>
      </c>
      <c r="E20" s="42">
        <f t="shared" si="2"/>
        <v>1099070</v>
      </c>
    </row>
    <row r="21" spans="1:6" x14ac:dyDescent="0.25">
      <c r="A21" s="11">
        <v>13</v>
      </c>
      <c r="B21" s="18" t="s">
        <v>10</v>
      </c>
      <c r="C21" s="53">
        <v>2752452</v>
      </c>
      <c r="D21" s="53">
        <f>2696882-C21</f>
        <v>-55570</v>
      </c>
      <c r="E21" s="42">
        <f t="shared" si="2"/>
        <v>2696882</v>
      </c>
    </row>
    <row r="22" spans="1:6" x14ac:dyDescent="0.25">
      <c r="A22" s="11">
        <v>14</v>
      </c>
      <c r="B22" s="76" t="s">
        <v>296</v>
      </c>
      <c r="C22" s="41">
        <f>C16+C17+C18+C19+C20+C21</f>
        <v>12400531</v>
      </c>
      <c r="D22" s="41">
        <f>D16+D17+D18+D19+D20+D21</f>
        <v>-617649</v>
      </c>
      <c r="E22" s="43">
        <f>E16+E17+E18+E19+E20+E21</f>
        <v>11782882</v>
      </c>
      <c r="F22" s="1"/>
    </row>
    <row r="23" spans="1:6" x14ac:dyDescent="0.25">
      <c r="A23" s="11">
        <v>15</v>
      </c>
      <c r="B23" s="18" t="s">
        <v>14</v>
      </c>
      <c r="C23" s="33">
        <f>C15-C22</f>
        <v>188605</v>
      </c>
      <c r="D23" s="33">
        <f>D15-D22</f>
        <v>524300</v>
      </c>
      <c r="E23" s="33">
        <f>E15-E22</f>
        <v>712905</v>
      </c>
    </row>
    <row r="24" spans="1:6" x14ac:dyDescent="0.25">
      <c r="A24" s="11">
        <v>16</v>
      </c>
      <c r="B24" s="18" t="s">
        <v>139</v>
      </c>
      <c r="C24" s="53">
        <v>18182</v>
      </c>
      <c r="D24" s="55">
        <f>-6243-C24</f>
        <v>-24425</v>
      </c>
      <c r="E24" s="33">
        <f>SUM(C24:D24)</f>
        <v>-6243</v>
      </c>
    </row>
    <row r="25" spans="1:6" x14ac:dyDescent="0.25">
      <c r="A25" s="11">
        <v>17</v>
      </c>
      <c r="B25" s="18" t="s">
        <v>11</v>
      </c>
      <c r="C25" s="53"/>
      <c r="D25" s="121"/>
      <c r="E25" s="33">
        <f t="shared" ref="E25:E27" si="3">SUM(C25:D25)</f>
        <v>0</v>
      </c>
    </row>
    <row r="26" spans="1:6" x14ac:dyDescent="0.25">
      <c r="A26" s="11">
        <v>18</v>
      </c>
      <c r="B26" s="18" t="s">
        <v>193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365223</v>
      </c>
      <c r="D27" s="121">
        <f>321289-C27</f>
        <v>-43934</v>
      </c>
      <c r="E27" s="33">
        <f t="shared" si="3"/>
        <v>321289</v>
      </c>
    </row>
    <row r="28" spans="1:6" x14ac:dyDescent="0.25">
      <c r="A28" s="11">
        <v>20</v>
      </c>
      <c r="B28" s="76" t="s">
        <v>12</v>
      </c>
      <c r="C28" s="38">
        <f>SUM(C25:C27)</f>
        <v>365223</v>
      </c>
      <c r="D28" s="38">
        <f t="shared" ref="D28:E28" si="4">SUM(D25:D27)</f>
        <v>-43934</v>
      </c>
      <c r="E28" s="44">
        <f t="shared" si="4"/>
        <v>321289</v>
      </c>
    </row>
    <row r="29" spans="1:6" x14ac:dyDescent="0.25">
      <c r="A29" s="11">
        <v>21</v>
      </c>
      <c r="B29" s="76" t="s">
        <v>23</v>
      </c>
      <c r="C29" s="38">
        <f>C23+C24-C28</f>
        <v>-158436</v>
      </c>
      <c r="D29" s="38">
        <f>D23+D24-D28</f>
        <v>543809</v>
      </c>
      <c r="E29" s="44">
        <f>E23+E24-E28</f>
        <v>385373</v>
      </c>
    </row>
    <row r="30" spans="1:6" x14ac:dyDescent="0.25">
      <c r="A30" s="11">
        <v>22</v>
      </c>
      <c r="B30" s="18" t="s">
        <v>15</v>
      </c>
      <c r="C30" s="53">
        <v>163413</v>
      </c>
      <c r="D30" s="55">
        <f>58641-C30</f>
        <v>-104772</v>
      </c>
      <c r="E30" s="33">
        <f>SUM(C30:D30)</f>
        <v>58641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6" x14ac:dyDescent="0.25">
      <c r="A33" s="11">
        <v>25</v>
      </c>
      <c r="B33" s="18" t="s">
        <v>153</v>
      </c>
      <c r="C33" s="53"/>
      <c r="D33" s="55"/>
      <c r="E33" s="34">
        <f t="shared" si="5"/>
        <v>0</v>
      </c>
    </row>
    <row r="34" spans="1:6" x14ac:dyDescent="0.25">
      <c r="A34" s="11">
        <v>26</v>
      </c>
      <c r="B34" s="76" t="s">
        <v>18</v>
      </c>
      <c r="C34" s="38">
        <f>SUM(C30:C33)</f>
        <v>163413</v>
      </c>
      <c r="D34" s="66">
        <f t="shared" ref="D34" si="6">SUM(D30:D33)</f>
        <v>-104772</v>
      </c>
      <c r="E34" s="38">
        <f>SUM(E30:E33)</f>
        <v>58641</v>
      </c>
    </row>
    <row r="35" spans="1:6" x14ac:dyDescent="0.25">
      <c r="A35" s="11">
        <v>27</v>
      </c>
      <c r="B35" s="18" t="s">
        <v>19</v>
      </c>
      <c r="C35" s="53">
        <v>3754671</v>
      </c>
      <c r="D35" s="55"/>
      <c r="E35" s="33">
        <f>SUM(C35:D35)</f>
        <v>3754671</v>
      </c>
    </row>
    <row r="36" spans="1:6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6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6" x14ac:dyDescent="0.25">
      <c r="A38" s="11">
        <v>30</v>
      </c>
      <c r="B38" s="18" t="s">
        <v>181</v>
      </c>
      <c r="C38" s="53">
        <v>322522</v>
      </c>
      <c r="D38" s="71">
        <f>-1*(D29-D34)</f>
        <v>-648581</v>
      </c>
      <c r="E38" s="33">
        <f t="shared" si="7"/>
        <v>-326059</v>
      </c>
    </row>
    <row r="39" spans="1:6" x14ac:dyDescent="0.25">
      <c r="A39" s="11">
        <v>31</v>
      </c>
      <c r="B39" s="76" t="s">
        <v>22</v>
      </c>
      <c r="C39" s="38">
        <f>C29-C34+C35+C36+C37+C38</f>
        <v>3755344</v>
      </c>
      <c r="D39" s="38">
        <f t="shared" ref="D39:E39" si="8">D29-D34+D35+D36+D37+D38</f>
        <v>0</v>
      </c>
      <c r="E39" s="38">
        <f t="shared" si="8"/>
        <v>3755344</v>
      </c>
    </row>
    <row r="40" spans="1:6" x14ac:dyDescent="0.25">
      <c r="A40" s="11">
        <v>32</v>
      </c>
      <c r="B40" s="18" t="s">
        <v>24</v>
      </c>
      <c r="C40" s="69"/>
      <c r="D40" s="69"/>
      <c r="E40" s="45"/>
    </row>
    <row r="41" spans="1:6" x14ac:dyDescent="0.25">
      <c r="A41" s="11">
        <v>33</v>
      </c>
      <c r="B41" s="18" t="s">
        <v>25</v>
      </c>
      <c r="C41" s="53">
        <f>+PriorYearIncomeStmt!E47</f>
        <v>81035393</v>
      </c>
      <c r="D41" s="55"/>
      <c r="E41" s="33">
        <f t="shared" ref="E41:E46" si="9">SUM(C41:D41)</f>
        <v>81035393</v>
      </c>
    </row>
    <row r="42" spans="1:6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6" x14ac:dyDescent="0.25">
      <c r="A43" s="11">
        <v>35</v>
      </c>
      <c r="B43" s="18" t="s">
        <v>27</v>
      </c>
      <c r="C43" s="53">
        <v>2488800</v>
      </c>
      <c r="D43" s="55"/>
      <c r="E43" s="33">
        <f t="shared" si="9"/>
        <v>2488800</v>
      </c>
    </row>
    <row r="44" spans="1:6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6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6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6" x14ac:dyDescent="0.25">
      <c r="A47" s="11">
        <v>39</v>
      </c>
      <c r="B47" s="76" t="s">
        <v>231</v>
      </c>
      <c r="C47" s="38">
        <f>(C39+C41+C42)-(C43+C44+C45+C46)</f>
        <v>82301937</v>
      </c>
      <c r="D47" s="66">
        <f t="shared" ref="D47" si="10">(D39+D41+D42)-(D43+D44+D45+D46)</f>
        <v>0</v>
      </c>
      <c r="E47" s="44">
        <f>(E39+E41+E42)-(E43+E44+E45+E46)</f>
        <v>82301937</v>
      </c>
      <c r="F47" s="131"/>
    </row>
    <row r="48" spans="1:6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750000</v>
      </c>
      <c r="D52" s="81"/>
      <c r="E52" s="33">
        <f>C52</f>
        <v>750000</v>
      </c>
    </row>
    <row r="53" spans="1:7" x14ac:dyDescent="0.25">
      <c r="A53" s="11">
        <v>45</v>
      </c>
      <c r="B53" s="18" t="s">
        <v>36</v>
      </c>
      <c r="C53" s="47">
        <f>((C22+C28-C18-C19)/C15)</f>
        <v>0.77212653831049249</v>
      </c>
      <c r="D53" s="47">
        <f>((D22+D28-D18-D19)/D15)</f>
        <v>6.2845558067038745</v>
      </c>
      <c r="E53" s="47">
        <f>((E22+E28-E18-E19)/E15)</f>
        <v>0.73094627813358215</v>
      </c>
    </row>
    <row r="54" spans="1:7" x14ac:dyDescent="0.25">
      <c r="A54" s="11">
        <v>46</v>
      </c>
      <c r="B54" s="18" t="s">
        <v>37</v>
      </c>
      <c r="C54" s="47">
        <f>((C22+C28+C34)/C15)</f>
        <v>1.0270098758167359</v>
      </c>
      <c r="D54" s="47">
        <f>((D22+D28+D34)/D15)</f>
        <v>8.2095683938767419</v>
      </c>
      <c r="E54" s="47">
        <f>((E22+E28+E34)/E15)</f>
        <v>0.97335301890149051</v>
      </c>
    </row>
    <row r="55" spans="1:7" x14ac:dyDescent="0.25">
      <c r="A55" s="11">
        <v>47</v>
      </c>
      <c r="B55" s="18" t="s">
        <v>38</v>
      </c>
      <c r="C55" s="47">
        <f>((C39+C34)/C34)</f>
        <v>23.980693090512993</v>
      </c>
      <c r="D55" s="47">
        <f t="shared" ref="D55:E55" si="13">((D39+D34)/D34)</f>
        <v>1</v>
      </c>
      <c r="E55" s="47">
        <f t="shared" si="13"/>
        <v>65.039562763254381</v>
      </c>
    </row>
    <row r="56" spans="1:7" x14ac:dyDescent="0.25">
      <c r="A56" s="11">
        <v>48</v>
      </c>
      <c r="B56" s="18" t="s">
        <v>39</v>
      </c>
      <c r="C56" s="47">
        <f>(C39+C34+C18+C19)/C52</f>
        <v>9.2854733333333339</v>
      </c>
      <c r="D56" s="47" t="e">
        <f>(D39+D34+D18+D19)/D52</f>
        <v>#DIV/0!</v>
      </c>
      <c r="E56" s="47">
        <f>(E39+E34+E18+E19)/E52</f>
        <v>9.0458759999999998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259</v>
      </c>
      <c r="C60" s="67"/>
      <c r="D60" s="67"/>
      <c r="E60" s="67"/>
      <c r="F60" s="67"/>
      <c r="G60" s="67"/>
    </row>
    <row r="61" spans="1:7" x14ac:dyDescent="0.25">
      <c r="A61" s="48"/>
      <c r="B61" t="s">
        <v>232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298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260</v>
      </c>
      <c r="C64" s="67"/>
      <c r="D64" s="67"/>
      <c r="E64" s="67"/>
      <c r="F64" s="67"/>
      <c r="G64" s="67"/>
    </row>
    <row r="65" spans="1:7" x14ac:dyDescent="0.25">
      <c r="A65" s="67"/>
      <c r="B65" s="67" t="s">
        <v>261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topLeftCell="A22" zoomScaleNormal="100" workbookViewId="0">
      <selection activeCell="D61" sqref="D61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255</v>
      </c>
    </row>
    <row r="3" spans="1:5" x14ac:dyDescent="0.25">
      <c r="B3" s="59" t="str">
        <f>PriorYearBalanceSheet!A3</f>
        <v>Whidbey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111</v>
      </c>
      <c r="D6" s="27" t="s">
        <v>111</v>
      </c>
    </row>
    <row r="7" spans="1:5" x14ac:dyDescent="0.25">
      <c r="A7" s="18" t="s">
        <v>0</v>
      </c>
      <c r="B7" s="11" t="s">
        <v>152</v>
      </c>
      <c r="C7" s="29" t="s">
        <v>73</v>
      </c>
      <c r="D7" s="5" t="s">
        <v>114</v>
      </c>
    </row>
    <row r="8" spans="1:5" x14ac:dyDescent="0.25">
      <c r="A8" s="12"/>
      <c r="B8" s="12"/>
      <c r="C8" s="12">
        <v>2015</v>
      </c>
      <c r="D8" s="6">
        <v>2016</v>
      </c>
    </row>
    <row r="9" spans="1:5" x14ac:dyDescent="0.25">
      <c r="A9" s="10">
        <v>1</v>
      </c>
      <c r="B9" s="7" t="s">
        <v>1</v>
      </c>
      <c r="C9" s="37">
        <f>PriorYearIncomeStmt!E9</f>
        <v>2237015</v>
      </c>
      <c r="D9" s="42">
        <f>'CurrentYearIncomeStmt '!E9</f>
        <v>2301935</v>
      </c>
    </row>
    <row r="10" spans="1:5" x14ac:dyDescent="0.25">
      <c r="A10" s="11">
        <v>2</v>
      </c>
      <c r="B10" s="18" t="s">
        <v>2</v>
      </c>
      <c r="C10" s="33">
        <f>PriorYearIncomeStmt!E10</f>
        <v>9517555</v>
      </c>
      <c r="D10" s="42">
        <f>'CurrentYearIncomeStmt '!E10</f>
        <v>9785647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5477</v>
      </c>
      <c r="D12" s="42">
        <f>'CurrentYearIncomeStmt '!E12</f>
        <v>6796</v>
      </c>
    </row>
    <row r="13" spans="1:5" x14ac:dyDescent="0.25">
      <c r="A13" s="11">
        <v>5</v>
      </c>
      <c r="B13" s="18" t="s">
        <v>5</v>
      </c>
      <c r="C13" s="33">
        <f>PriorYearIncomeStmt!E13</f>
        <v>423238</v>
      </c>
      <c r="D13" s="42">
        <f>'CurrentYearIncomeStmt '!E13</f>
        <v>408619</v>
      </c>
    </row>
    <row r="14" spans="1:5" x14ac:dyDescent="0.25">
      <c r="A14" s="11">
        <v>6</v>
      </c>
      <c r="B14" s="18" t="s">
        <v>138</v>
      </c>
      <c r="C14" s="33">
        <f>PriorYearIncomeStmt!E14</f>
        <v>-8363</v>
      </c>
      <c r="D14" s="42">
        <f>'CurrentYearIncomeStmt '!E14</f>
        <v>-7210</v>
      </c>
    </row>
    <row r="15" spans="1:5" x14ac:dyDescent="0.25">
      <c r="A15" s="11">
        <v>7</v>
      </c>
      <c r="B15" s="76" t="s">
        <v>137</v>
      </c>
      <c r="C15" s="41">
        <f>SUM(C9:C14)</f>
        <v>12174922</v>
      </c>
      <c r="D15" s="43">
        <f t="shared" ref="D15" si="0">SUM(D9:D14)</f>
        <v>12495787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3170394</v>
      </c>
      <c r="D16" s="42">
        <f>'CurrentYearIncomeStmt '!E16</f>
        <v>3370994</v>
      </c>
    </row>
    <row r="17" spans="1:5" x14ac:dyDescent="0.25">
      <c r="A17" s="11">
        <v>9</v>
      </c>
      <c r="B17" s="18" t="s">
        <v>40</v>
      </c>
      <c r="C17" s="33">
        <f>PriorYearIncomeStmt!E17</f>
        <v>1657847</v>
      </c>
      <c r="D17" s="42">
        <f>'CurrentYearIncomeStmt '!E17</f>
        <v>1645514</v>
      </c>
    </row>
    <row r="18" spans="1:5" x14ac:dyDescent="0.25">
      <c r="A18" s="11">
        <v>10</v>
      </c>
      <c r="B18" s="18" t="s">
        <v>7</v>
      </c>
      <c r="C18" s="33">
        <f>PriorYearIncomeStmt!E18</f>
        <v>2907701</v>
      </c>
      <c r="D18" s="42">
        <f>'CurrentYearIncomeStmt '!E18</f>
        <v>2970422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890747</v>
      </c>
      <c r="D20" s="42">
        <f>'CurrentYearIncomeStmt '!E20</f>
        <v>1099070</v>
      </c>
    </row>
    <row r="21" spans="1:5" x14ac:dyDescent="0.25">
      <c r="A21" s="11">
        <v>13</v>
      </c>
      <c r="B21" s="18" t="s">
        <v>10</v>
      </c>
      <c r="C21" s="33">
        <f>PriorYearIncomeStmt!E21</f>
        <v>2512610</v>
      </c>
      <c r="D21" s="42">
        <f>'CurrentYearIncomeStmt '!E21</f>
        <v>2696882</v>
      </c>
    </row>
    <row r="22" spans="1:5" x14ac:dyDescent="0.25">
      <c r="A22" s="11">
        <v>14</v>
      </c>
      <c r="B22" s="76" t="s">
        <v>296</v>
      </c>
      <c r="C22" s="41">
        <f>C16+C17+C18+C19+C20+C21</f>
        <v>11139299</v>
      </c>
      <c r="D22" s="43">
        <f>D16+D17+D18+D19+D20+D21</f>
        <v>11782882</v>
      </c>
      <c r="E22" s="1"/>
    </row>
    <row r="23" spans="1:5" x14ac:dyDescent="0.25">
      <c r="A23" s="11">
        <v>15</v>
      </c>
      <c r="B23" s="18" t="s">
        <v>14</v>
      </c>
      <c r="C23" s="33">
        <f>C15-C22</f>
        <v>1035623</v>
      </c>
      <c r="D23" s="42">
        <f>D15-D22</f>
        <v>712905</v>
      </c>
    </row>
    <row r="24" spans="1:5" x14ac:dyDescent="0.25">
      <c r="A24" s="11">
        <v>16</v>
      </c>
      <c r="B24" s="18" t="s">
        <v>139</v>
      </c>
      <c r="C24" s="33">
        <f>PriorYearIncomeStmt!E24</f>
        <v>16</v>
      </c>
      <c r="D24" s="42">
        <f>'CurrentYearIncomeStmt '!E24</f>
        <v>-6243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182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330238</v>
      </c>
      <c r="D27" s="42">
        <f>'CurrentYearIncomeStmt '!E27</f>
        <v>321289</v>
      </c>
    </row>
    <row r="28" spans="1:5" x14ac:dyDescent="0.25">
      <c r="A28" s="11">
        <v>20</v>
      </c>
      <c r="B28" s="76" t="s">
        <v>12</v>
      </c>
      <c r="C28" s="38">
        <f>SUM(C25:C27)</f>
        <v>330238</v>
      </c>
      <c r="D28" s="44">
        <f t="shared" ref="D28" si="1">SUM(D25:D27)</f>
        <v>321289</v>
      </c>
    </row>
    <row r="29" spans="1:5" x14ac:dyDescent="0.25">
      <c r="A29" s="11">
        <v>21</v>
      </c>
      <c r="B29" s="76" t="s">
        <v>23</v>
      </c>
      <c r="C29" s="38">
        <f>C23+C24-C28</f>
        <v>705401</v>
      </c>
      <c r="D29" s="44">
        <f>D23+D24-D28</f>
        <v>385373</v>
      </c>
    </row>
    <row r="30" spans="1:5" x14ac:dyDescent="0.25">
      <c r="A30" s="11">
        <v>22</v>
      </c>
      <c r="B30" s="18" t="s">
        <v>15</v>
      </c>
      <c r="C30" s="33">
        <f>PriorYearIncomeStmt!E30</f>
        <v>37324</v>
      </c>
      <c r="D30" s="42">
        <f>'CurrentYearIncomeStmt '!E30</f>
        <v>58641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37324</v>
      </c>
      <c r="D34" s="44">
        <f t="shared" ref="D34" si="2">SUM(D30:D33)</f>
        <v>58641</v>
      </c>
    </row>
    <row r="35" spans="1:4" x14ac:dyDescent="0.25">
      <c r="A35" s="11">
        <v>27</v>
      </c>
      <c r="B35" s="18" t="s">
        <v>19</v>
      </c>
      <c r="C35" s="33">
        <f>PriorYearIncomeStmt!E35</f>
        <v>-4991</v>
      </c>
      <c r="D35" s="42">
        <f>'CurrentYearIncomeStmt '!E35</f>
        <v>3754671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-729866</v>
      </c>
      <c r="D38" s="42">
        <f>'CurrentYearIncomeStmt '!E38</f>
        <v>-326059</v>
      </c>
    </row>
    <row r="39" spans="1:4" x14ac:dyDescent="0.25">
      <c r="A39" s="11">
        <v>31</v>
      </c>
      <c r="B39" s="76" t="s">
        <v>22</v>
      </c>
      <c r="C39" s="38">
        <f>C29-C34+C35+C36+C37+C38</f>
        <v>-66780</v>
      </c>
      <c r="D39" s="44">
        <f t="shared" ref="D39" si="3">D29-D34+D35+D36+D37+D38</f>
        <v>3755344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83799773</v>
      </c>
      <c r="D41" s="42">
        <f>'CurrentYearIncomeStmt '!E41</f>
        <v>81035393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2697600</v>
      </c>
      <c r="D43" s="42">
        <f>'CurrentYearIncomeStmt '!E43</f>
        <v>2488800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81035393</v>
      </c>
      <c r="D47" s="44">
        <f t="shared" ref="D47" si="4">(D39+D41+D42)-(D43+D44+D45+D46)</f>
        <v>82301937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1500000</v>
      </c>
      <c r="D52" s="42">
        <f>'CurrentYearIncomeStmt '!E52</f>
        <v>750000</v>
      </c>
    </row>
    <row r="53" spans="1:4" x14ac:dyDescent="0.25">
      <c r="A53" s="11">
        <v>45</v>
      </c>
      <c r="B53" s="18" t="s">
        <v>36</v>
      </c>
      <c r="C53" s="50">
        <f>((C22+C28-C18-C19)/C15)</f>
        <v>0.70323538828421239</v>
      </c>
      <c r="D53" s="50">
        <f>((D22+D28-D18-D19)/D15)</f>
        <v>0.73094627813358215</v>
      </c>
    </row>
    <row r="54" spans="1:4" x14ac:dyDescent="0.25">
      <c r="A54" s="11">
        <v>46</v>
      </c>
      <c r="B54" s="18" t="s">
        <v>37</v>
      </c>
      <c r="C54" s="50">
        <f>((C22+C28+C34)/C15)</f>
        <v>0.94512810841827155</v>
      </c>
      <c r="D54" s="50">
        <f>((D22+D28+D34)/D15)</f>
        <v>0.97335301890149051</v>
      </c>
    </row>
    <row r="55" spans="1:4" x14ac:dyDescent="0.25">
      <c r="A55" s="11">
        <v>47</v>
      </c>
      <c r="B55" s="18" t="s">
        <v>38</v>
      </c>
      <c r="C55" s="50">
        <f>((C39+C34)/C34)</f>
        <v>-0.78919729932483118</v>
      </c>
      <c r="D55" s="50">
        <f t="shared" ref="D55" si="6">((D39+D34)/D34)</f>
        <v>65.039562763254381</v>
      </c>
    </row>
    <row r="56" spans="1:4" x14ac:dyDescent="0.25">
      <c r="A56" s="11">
        <v>48</v>
      </c>
      <c r="B56" s="18" t="s">
        <v>39</v>
      </c>
      <c r="C56" s="46">
        <f>(C39+C34+C18+C19)/C52</f>
        <v>1.91883</v>
      </c>
      <c r="D56" s="50">
        <f>(D39+D34+D18+D19)/D52</f>
        <v>9.0458759999999998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183</v>
      </c>
      <c r="C59" s="49" t="s">
        <v>252</v>
      </c>
      <c r="D59" s="49" t="s">
        <v>285</v>
      </c>
    </row>
    <row r="60" spans="1:4" x14ac:dyDescent="0.25">
      <c r="A60" s="48" t="s">
        <v>163</v>
      </c>
      <c r="B60" t="s">
        <v>155</v>
      </c>
      <c r="C60" s="58">
        <v>0.37740000000000001</v>
      </c>
      <c r="D60" s="58">
        <v>0.37730000000000002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184</v>
      </c>
      <c r="C62" s="67"/>
      <c r="D62" s="67"/>
    </row>
    <row r="63" spans="1:4" x14ac:dyDescent="0.25">
      <c r="A63" s="67"/>
      <c r="B63" s="67" t="s">
        <v>185</v>
      </c>
      <c r="C63" s="67"/>
      <c r="D63" s="67"/>
    </row>
    <row r="64" spans="1:4" x14ac:dyDescent="0.25">
      <c r="A64" s="67"/>
      <c r="B64" s="67" t="s">
        <v>186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5108KQJmDcSQJWVYzLSwHjrkPgXykZ65tMZCij0gwemTFAifQhOc0aR5wfzDPzk4erHNCna+ELe+A+oYX/9Eg==" saltValue="w6tZfm1GatSzon3v4UDt6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170860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C4678D2689D46BCD58FF5B7CE18C9" ma:contentTypeVersion="104" ma:contentTypeDescription="" ma:contentTypeScope="" ma:versionID="825810a73cfc0e845e9fc5300d1aeb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DEA84B-E77A-455D-BCA2-D731B108830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D401C4-24DC-4AFC-91CC-F7B07FB861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547E7-C4ED-457A-A84E-1F0F02B22209}"/>
</file>

<file path=customXml/itemProps4.xml><?xml version="1.0" encoding="utf-8"?>
<ds:datastoreItem xmlns:ds="http://schemas.openxmlformats.org/officeDocument/2006/customXml" ds:itemID="{D31CF06A-8E04-4E4C-9B75-4C5BDB55C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2017-07-26T23:21:35Z</cp:lastPrinted>
  <dcterms:created xsi:type="dcterms:W3CDTF">2014-05-21T17:51:51Z</dcterms:created>
  <dcterms:modified xsi:type="dcterms:W3CDTF">2017-08-01T15:29:30Z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Whidbey</vt:lpwstr>
  </property>
  <property fmtid="{D5CDD505-2E9C-101B-9397-08002B2CF9AE}" pid="4" name="tabIndex">
    <vt:lpwstr/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0x0101006E56B4D1795A2E4DB2F0B01679ED314A009C7C4678D2689D46BCD58FF5B7CE18C9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