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his Week\3. Thursday\"/>
    </mc:Choice>
  </mc:AlternateContent>
  <bookViews>
    <workbookView xWindow="0" yWindow="0" windowWidth="24000" windowHeight="9645" tabRatio="601"/>
  </bookViews>
  <sheets>
    <sheet name="Residential" sheetId="1" r:id="rId1"/>
    <sheet name="NEw ESK quick Ref" sheetId="5" r:id="rId2"/>
    <sheet name="Commercial" sheetId="2" r:id="rId3"/>
    <sheet name="Load Profile Lookup" sheetId="4" r:id="rId4"/>
  </sheets>
  <definedNames>
    <definedName name="_xlnm.Print_Area" localSheetId="2">Commercial!$B$1:$J$65</definedName>
    <definedName name="_xlnm.Print_Titles" localSheetId="2">Commercial!$1:$1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1" l="1"/>
  <c r="P4" i="1"/>
  <c r="Q3" i="1"/>
  <c r="O3" i="1"/>
  <c r="P3" i="1"/>
  <c r="L3" i="1"/>
  <c r="Q5" i="1" l="1"/>
  <c r="Q2" i="1"/>
  <c r="Q24" i="1"/>
  <c r="Q23" i="1"/>
  <c r="Q26" i="1"/>
  <c r="Q25" i="1"/>
  <c r="O25" i="1"/>
  <c r="P25" i="1"/>
  <c r="N3" i="5"/>
  <c r="N4" i="5"/>
  <c r="N7" i="5"/>
  <c r="O7" i="5" s="1"/>
  <c r="P7" i="5" s="1"/>
  <c r="N8" i="5"/>
  <c r="N5" i="5"/>
  <c r="N6" i="5"/>
  <c r="M3" i="5"/>
  <c r="O3" i="5" s="1"/>
  <c r="P3" i="5" s="1"/>
  <c r="M4" i="5"/>
  <c r="M7" i="5"/>
  <c r="M8" i="5"/>
  <c r="M5" i="5"/>
  <c r="O5" i="5" s="1"/>
  <c r="P5" i="5" s="1"/>
  <c r="M6" i="5"/>
  <c r="L25" i="1"/>
  <c r="O8" i="5" l="1"/>
  <c r="P8" i="5" s="1"/>
  <c r="O6" i="5"/>
  <c r="P6" i="5" s="1"/>
  <c r="O4" i="5"/>
  <c r="P4" i="5" s="1"/>
  <c r="M53" i="2" l="1"/>
  <c r="N53" i="2"/>
  <c r="O30" i="2"/>
  <c r="O31" i="2"/>
  <c r="O32" i="2"/>
  <c r="O33" i="2"/>
  <c r="O34" i="2"/>
  <c r="O35" i="2"/>
  <c r="O36" i="2"/>
  <c r="O37" i="2"/>
  <c r="O38" i="2"/>
  <c r="O39" i="2"/>
  <c r="O40" i="2"/>
  <c r="O41" i="2"/>
  <c r="O42" i="2"/>
  <c r="O43" i="2"/>
  <c r="O44" i="2"/>
  <c r="O45" i="2"/>
  <c r="O46" i="2"/>
  <c r="O47" i="2"/>
  <c r="O48" i="2"/>
  <c r="O49" i="2"/>
  <c r="O50" i="2"/>
  <c r="O53" i="2"/>
  <c r="O54" i="2"/>
  <c r="O55" i="2"/>
  <c r="O56" i="2"/>
  <c r="O57" i="2"/>
  <c r="O58" i="2"/>
  <c r="O59" i="2"/>
  <c r="O60" i="2"/>
  <c r="O61" i="2"/>
  <c r="O62" i="2"/>
  <c r="O63" i="2"/>
  <c r="O64" i="2"/>
  <c r="O3" i="2"/>
  <c r="O4" i="2"/>
  <c r="O5" i="2"/>
  <c r="O6" i="2"/>
  <c r="O7" i="2"/>
  <c r="O8" i="2"/>
  <c r="O9" i="2"/>
  <c r="O10" i="2"/>
  <c r="O11" i="2"/>
  <c r="O12" i="2"/>
  <c r="O13" i="2"/>
  <c r="O14" i="2"/>
  <c r="O15" i="2"/>
  <c r="O16" i="2"/>
  <c r="O17" i="2"/>
  <c r="O18" i="2"/>
  <c r="O19" i="2"/>
  <c r="O20" i="2"/>
  <c r="O21" i="2"/>
  <c r="O22" i="2"/>
  <c r="O23" i="2"/>
  <c r="O24" i="2"/>
  <c r="O25" i="2"/>
  <c r="O26" i="2"/>
  <c r="O27" i="2"/>
  <c r="O28" i="2"/>
  <c r="O29" i="2"/>
  <c r="O2" i="2"/>
  <c r="L2" i="1"/>
  <c r="O2" i="1"/>
  <c r="P2" i="1"/>
  <c r="O5" i="1"/>
  <c r="P5" i="1"/>
  <c r="L6" i="1"/>
  <c r="O6" i="1"/>
  <c r="P6" i="1"/>
  <c r="L7" i="1"/>
  <c r="O7" i="1"/>
  <c r="P7" i="1"/>
  <c r="L8" i="1"/>
  <c r="O8" i="1"/>
  <c r="P8" i="1"/>
  <c r="L9" i="1"/>
  <c r="O9" i="1"/>
  <c r="P9" i="1"/>
  <c r="I10" i="1"/>
  <c r="L10" i="1" s="1"/>
  <c r="O10" i="1"/>
  <c r="L11" i="1"/>
  <c r="O11" i="1"/>
  <c r="P11" i="1"/>
  <c r="L12" i="1"/>
  <c r="O12" i="1"/>
  <c r="P12" i="1"/>
  <c r="L13" i="1"/>
  <c r="O13" i="1"/>
  <c r="P13" i="1"/>
  <c r="L14" i="1"/>
  <c r="O14" i="1"/>
  <c r="P14" i="1"/>
  <c r="L15" i="1"/>
  <c r="O15" i="1"/>
  <c r="P15" i="1"/>
  <c r="L16" i="1"/>
  <c r="O16" i="1"/>
  <c r="P16" i="1"/>
  <c r="L17" i="1"/>
  <c r="O17" i="1"/>
  <c r="P17" i="1"/>
  <c r="L18" i="1"/>
  <c r="O18" i="1"/>
  <c r="P18" i="1"/>
  <c r="L19" i="1"/>
  <c r="O19" i="1"/>
  <c r="P19" i="1"/>
  <c r="L20" i="1"/>
  <c r="O20" i="1"/>
  <c r="P20" i="1"/>
  <c r="L21" i="1"/>
  <c r="O21" i="1"/>
  <c r="P21" i="1"/>
  <c r="L22" i="1"/>
  <c r="O22" i="1"/>
  <c r="P22" i="1"/>
  <c r="L23" i="1"/>
  <c r="O23" i="1"/>
  <c r="P23" i="1"/>
  <c r="L24" i="1"/>
  <c r="O24" i="1"/>
  <c r="L26" i="1"/>
  <c r="P26" i="1"/>
  <c r="O26" i="1"/>
  <c r="L27" i="1"/>
  <c r="O27" i="1"/>
  <c r="P27" i="1"/>
  <c r="L28" i="1"/>
  <c r="O28" i="1"/>
  <c r="P28" i="1"/>
  <c r="L29" i="1"/>
  <c r="O29" i="1"/>
  <c r="P29" i="1"/>
  <c r="L30" i="1"/>
  <c r="O30" i="1"/>
  <c r="P30" i="1"/>
  <c r="L31" i="1"/>
  <c r="O31" i="1"/>
  <c r="P31" i="1"/>
  <c r="L32" i="1"/>
  <c r="O32" i="1"/>
  <c r="P32" i="1"/>
  <c r="L33" i="1"/>
  <c r="O33" i="1"/>
  <c r="P33" i="1"/>
  <c r="L34" i="1"/>
  <c r="O34" i="1"/>
  <c r="P34" i="1"/>
  <c r="L35" i="1"/>
  <c r="O35" i="1"/>
  <c r="P35" i="1"/>
  <c r="L36" i="1"/>
  <c r="O36" i="1"/>
  <c r="P36" i="1"/>
  <c r="L37" i="1"/>
  <c r="N37" i="1"/>
  <c r="P37" i="1" s="1"/>
  <c r="O37" i="1"/>
  <c r="L38" i="1"/>
  <c r="N38" i="1"/>
  <c r="P38" i="1" s="1"/>
  <c r="O38" i="1"/>
  <c r="L39" i="1"/>
  <c r="N39" i="1"/>
  <c r="P39" i="1" s="1"/>
  <c r="O39" i="1"/>
  <c r="L40" i="1"/>
  <c r="N40" i="1"/>
  <c r="P40" i="1" s="1"/>
  <c r="O40" i="1"/>
  <c r="L41" i="1"/>
  <c r="O41" i="1"/>
  <c r="P41" i="1"/>
  <c r="L42" i="1"/>
  <c r="O42" i="1"/>
  <c r="P42" i="1"/>
  <c r="L43" i="1"/>
  <c r="O43" i="1"/>
  <c r="P43" i="1"/>
  <c r="L44" i="1"/>
  <c r="O44" i="1"/>
  <c r="P44" i="1"/>
  <c r="L47" i="1"/>
  <c r="O47" i="1"/>
  <c r="P47" i="1"/>
  <c r="L48" i="1"/>
  <c r="O48" i="1"/>
  <c r="P48" i="1"/>
  <c r="P49" i="1"/>
  <c r="L50" i="1"/>
  <c r="O50" i="1"/>
  <c r="P50" i="1"/>
  <c r="L51" i="1"/>
  <c r="O51" i="1"/>
  <c r="P51" i="1"/>
  <c r="P24" i="1" l="1"/>
  <c r="P10" i="1"/>
  <c r="J22" i="2" l="1"/>
  <c r="J7" i="2"/>
  <c r="N3" i="2"/>
  <c r="N4" i="2"/>
  <c r="N5"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L50" i="2"/>
  <c r="N50" i="2" s="1"/>
  <c r="L6" i="2"/>
  <c r="N6" i="2" s="1"/>
  <c r="J3" i="2"/>
  <c r="J4" i="2"/>
  <c r="J5" i="2"/>
  <c r="J6" i="2"/>
  <c r="J8" i="2"/>
  <c r="J9" i="2"/>
  <c r="J10" i="2"/>
  <c r="J11" i="2"/>
  <c r="J12" i="2"/>
  <c r="J13" i="2"/>
  <c r="J14" i="2"/>
  <c r="J15" i="2"/>
  <c r="J16" i="2"/>
  <c r="J17" i="2"/>
  <c r="J18" i="2"/>
  <c r="J19" i="2"/>
  <c r="J20" i="2"/>
  <c r="J21" i="2"/>
  <c r="J23" i="2"/>
  <c r="J24" i="2"/>
  <c r="J25" i="2"/>
  <c r="J26" i="2"/>
  <c r="J27" i="2"/>
  <c r="J28" i="2"/>
  <c r="J32" i="2"/>
  <c r="J33" i="2"/>
  <c r="J34" i="2"/>
  <c r="J35" i="2"/>
  <c r="J36" i="2"/>
  <c r="J37" i="2"/>
  <c r="J38" i="2"/>
  <c r="J39" i="2"/>
  <c r="J40" i="2"/>
  <c r="J41" i="2"/>
  <c r="J42" i="2"/>
  <c r="J43" i="2"/>
  <c r="J44" i="2"/>
  <c r="J45" i="2"/>
  <c r="J46" i="2"/>
  <c r="J47" i="2"/>
  <c r="J48" i="2"/>
  <c r="J49" i="2"/>
  <c r="J2" i="2"/>
  <c r="N2" i="2"/>
  <c r="M2" i="2"/>
</calcChain>
</file>

<file path=xl/sharedStrings.xml><?xml version="1.0" encoding="utf-8"?>
<sst xmlns="http://schemas.openxmlformats.org/spreadsheetml/2006/main" count="868" uniqueCount="340">
  <si>
    <t>AERATOR</t>
  </si>
  <si>
    <t>BYOKAER10BG14</t>
  </si>
  <si>
    <t>BYOKAER15KG14</t>
  </si>
  <si>
    <t>AIRSEALING</t>
  </si>
  <si>
    <t>SFAIRSEALG13</t>
  </si>
  <si>
    <t>SF Air Sealing, $150 Gas 2013</t>
  </si>
  <si>
    <t>BOILER</t>
  </si>
  <si>
    <t>HEGBLRINST</t>
  </si>
  <si>
    <t>SF Gas Boiler</t>
  </si>
  <si>
    <t>CEILINGINSULATE</t>
  </si>
  <si>
    <t>SFINSCEILGZ114</t>
  </si>
  <si>
    <t>SF Attic Insulation/SQFT, Gas Heat, Zone 1 2014</t>
  </si>
  <si>
    <t>SMARTTSTATG</t>
  </si>
  <si>
    <t>Smart Thermostat Gas Forced Air Furnace</t>
  </si>
  <si>
    <t>DUCTINSULATE</t>
  </si>
  <si>
    <t>SFINSDUCTG</t>
  </si>
  <si>
    <t>SF Duct Insulation, Gas Heat</t>
  </si>
  <si>
    <t>FLOORINSULATE</t>
  </si>
  <si>
    <t>SFINSFLRGZ114</t>
  </si>
  <si>
    <t>SF Floor Insulation/SQFT, Gas Heat, Zone 1 2014</t>
  </si>
  <si>
    <t>GASDVENT</t>
  </si>
  <si>
    <t>HEGASFURNDV</t>
  </si>
  <si>
    <t>SF Direct Vent Gas Heater</t>
  </si>
  <si>
    <t>GASFIRE</t>
  </si>
  <si>
    <t>GASHRTH7074</t>
  </si>
  <si>
    <t>Gas Hearth 70-74 FE</t>
  </si>
  <si>
    <t>GASHRTH7074IPI</t>
  </si>
  <si>
    <t>Gas Hearth 70-74 FE w/ IPI</t>
  </si>
  <si>
    <t>GASHRTH70PLUSPL</t>
  </si>
  <si>
    <t>GASHRTH75IPI</t>
  </si>
  <si>
    <t>Gas Hearth 75+ FE w/ IPI</t>
  </si>
  <si>
    <t>GASHRTH75PLUS</t>
  </si>
  <si>
    <t>Gas Hearth 75+ FE</t>
  </si>
  <si>
    <t>GASHRTHEIWA</t>
  </si>
  <si>
    <t>Hearth Electronic Ignition</t>
  </si>
  <si>
    <t>GASFURNACE</t>
  </si>
  <si>
    <t>HEGASFURN9094</t>
  </si>
  <si>
    <t>Gas Furnace SW WA 90-94%+ AFUE</t>
  </si>
  <si>
    <t>HEGASFURN95PLUS</t>
  </si>
  <si>
    <t>Gas Furnace SW WA 95%+ AFUE</t>
  </si>
  <si>
    <t>KNEEINSULATE</t>
  </si>
  <si>
    <t>SFINSKWGZ114</t>
  </si>
  <si>
    <t>SF Knee Wall Insulation/SQFT, Gas Heat, Zone 1 2014</t>
  </si>
  <si>
    <t>LWK</t>
  </si>
  <si>
    <t>LWKFALLGWA16</t>
  </si>
  <si>
    <t>Living Wise Kits - SW WA Gas DHW</t>
  </si>
  <si>
    <t>SHOWERHEAD</t>
  </si>
  <si>
    <t>BYOKSHWR175G14</t>
  </si>
  <si>
    <t>SHOWERVALVE</t>
  </si>
  <si>
    <t>SHTRVG</t>
  </si>
  <si>
    <t>Showerhead Themostatic Restriction Valve, Gas</t>
  </si>
  <si>
    <t>TANKDHW</t>
  </si>
  <si>
    <t>HEGASDHW6716</t>
  </si>
  <si>
    <t>Water Heater, Gas .67-.69 $100 2016</t>
  </si>
  <si>
    <t>HEGASDHW7016</t>
  </si>
  <si>
    <t>Water Heater, Gas .70 $125, 2016</t>
  </si>
  <si>
    <t>WINDOWS</t>
  </si>
  <si>
    <t>WINDOWS27G</t>
  </si>
  <si>
    <t>Windows - GAS - U &lt;=.27</t>
  </si>
  <si>
    <t>WINDOWS2830G</t>
  </si>
  <si>
    <t>Windows - GAS - U .28-.30</t>
  </si>
  <si>
    <t>SWWAESTAR15</t>
  </si>
  <si>
    <t>ENHECWG</t>
  </si>
  <si>
    <t>EPS</t>
  </si>
  <si>
    <t>SWWAEPS1</t>
  </si>
  <si>
    <t>SWWAEPS2</t>
  </si>
  <si>
    <t>SWWAEPS3</t>
  </si>
  <si>
    <t>SWWAEPS4</t>
  </si>
  <si>
    <t>SWWAEPS5</t>
  </si>
  <si>
    <t>WASHW15</t>
  </si>
  <si>
    <t>NWNWA 1.5 gpm Retail Showerhead</t>
  </si>
  <si>
    <t>WASHW16</t>
  </si>
  <si>
    <t>Washington Retail Showerhead, 1.6 gpm</t>
  </si>
  <si>
    <t>WASHW175</t>
  </si>
  <si>
    <t>NWNWA 1.75 gpm Retail Showerhead</t>
  </si>
  <si>
    <t>WASHW20</t>
  </si>
  <si>
    <t>NWNWA 2.0 gpm Retail Showerhead</t>
  </si>
  <si>
    <t>PROGRAM CODE</t>
  </si>
  <si>
    <t>Measure Group</t>
  </si>
  <si>
    <t>Measure Code</t>
  </si>
  <si>
    <t>Measure Description</t>
  </si>
  <si>
    <t>Measure Life</t>
  </si>
  <si>
    <t>Incentive per Quantity</t>
  </si>
  <si>
    <t>Incremental (TRC) Cost per Quantity</t>
  </si>
  <si>
    <t>Savings (Therms) per Quantity</t>
  </si>
  <si>
    <t>TRC BCR (WA-only AC)</t>
  </si>
  <si>
    <t>Existing Homes</t>
  </si>
  <si>
    <t>New Homes &amp; Products</t>
  </si>
  <si>
    <t>AERATORGONLY0P5</t>
  </si>
  <si>
    <t>Aerator - Gas Hot Water - Bathroom 0.5 GPM or less</t>
  </si>
  <si>
    <t>AERATORGONLYK1P5</t>
  </si>
  <si>
    <t>Aerator - Gas Hot Water - Kitchen 1.5 GPM or less</t>
  </si>
  <si>
    <t>BESHWNDGWA15</t>
  </si>
  <si>
    <t>ShowerWAND - gas 1.5GPM or less</t>
  </si>
  <si>
    <t>BESTEAMTRAP</t>
  </si>
  <si>
    <t>Steam Traps - laundry and K-12 schools:
Effective January 1, 2016 Schools Only.</t>
  </si>
  <si>
    <t>BEWASHGASPART</t>
  </si>
  <si>
    <t>Commercial Clothes Washer-Gas Water Heat</t>
  </si>
  <si>
    <t>COMBOOVGASWA</t>
  </si>
  <si>
    <t>Gas Combination Ovens</t>
  </si>
  <si>
    <t>GASSTEAMCOOK</t>
  </si>
  <si>
    <t>Steam Cooker - Gas</t>
  </si>
  <si>
    <t>GFBOIL2500</t>
  </si>
  <si>
    <t>Boiler &gt; 2,500 kBtuh input</t>
  </si>
  <si>
    <t>GFBOIL300</t>
  </si>
  <si>
    <t>Boiler &lt; 300 kBtuh input</t>
  </si>
  <si>
    <t>GFBOIL3002500</t>
  </si>
  <si>
    <t>Boiler ≥ 300, ≤ 2,500 kBtuh input</t>
  </si>
  <si>
    <t>GREENIRPOLY</t>
  </si>
  <si>
    <t>Infrared (IR) polyethylene greenhouse cover</t>
  </si>
  <si>
    <t>GREENTHCUR</t>
  </si>
  <si>
    <t>Thermal Curtains Installed on Greenhouses</t>
  </si>
  <si>
    <t>GREENUNDERBENCH</t>
  </si>
  <si>
    <t>Under-bench heating Green house</t>
  </si>
  <si>
    <t>GRNCNTRL</t>
  </si>
  <si>
    <t>Greenhouse controllers</t>
  </si>
  <si>
    <t>INSATTICGWA</t>
  </si>
  <si>
    <t>Attic Insulation - Gas heating</t>
  </si>
  <si>
    <t>INSROOFGR5R20</t>
  </si>
  <si>
    <t>Roof Insulation R-5 to R-20 gas heat</t>
  </si>
  <si>
    <t>INSROOFGWA</t>
  </si>
  <si>
    <t>Roof Insulation - Gas heating</t>
  </si>
  <si>
    <t>INSWALLGWA</t>
  </si>
  <si>
    <t>Wall Insulation - Gas heating</t>
  </si>
  <si>
    <t>MFSTEAMTRAPWA</t>
  </si>
  <si>
    <t>Multifamily Steam Traps</t>
  </si>
  <si>
    <t>NCBVD</t>
  </si>
  <si>
    <t>Boiler Vent Damper</t>
  </si>
  <si>
    <t>NCCONVOVENWA</t>
  </si>
  <si>
    <t>Convection Oven - Gas - Full Size</t>
  </si>
  <si>
    <t>NCDHWCONDMF</t>
  </si>
  <si>
    <t>MF Domestic Tank Water Heaters</t>
  </si>
  <si>
    <t>NCDHWCONDWA</t>
  </si>
  <si>
    <t>Domestic Tank Water Heaters</t>
  </si>
  <si>
    <t>NCHVACUNCON</t>
  </si>
  <si>
    <t>HVAC Unit Heater</t>
  </si>
  <si>
    <t>NCIRGASFRY2014</t>
  </si>
  <si>
    <t xml:space="preserve">Gas Fryer </t>
  </si>
  <si>
    <t>NCIRGASGRI</t>
  </si>
  <si>
    <t>Gas Griddle</t>
  </si>
  <si>
    <t>NCWAFCON</t>
  </si>
  <si>
    <t>Warm-Air Furnace &lt; 225 kBtuh input</t>
  </si>
  <si>
    <t>NCWHEL</t>
  </si>
  <si>
    <t>Domestic Tankless Water Heaters - Coin Op Laundries</t>
  </si>
  <si>
    <t>Domestic Tankless Water Heaters - Food service</t>
  </si>
  <si>
    <t>Domestic Tankless Water Heaters - Lodging</t>
  </si>
  <si>
    <t>NEW</t>
  </si>
  <si>
    <t xml:space="preserve">Greenhouse condensing unit heaters </t>
  </si>
  <si>
    <t xml:space="preserve">Modulating Boiler Burner installed on Hot Water Boiler (condensing or non-condensing type) or on steam boiler. </t>
  </si>
  <si>
    <t>Showerhead or Showerwand 1.50gpm Any Commercial Building Except Fitness Center Gas Water Heating Direct Install</t>
  </si>
  <si>
    <t>Showerhead or Showerwand 1.50gpm Fitness Center  Gas Water Heating Direct Install</t>
  </si>
  <si>
    <t>PIPEINSLN</t>
  </si>
  <si>
    <t>Pipe Insulation - Hot water - Pipe Diameter &gt; 1.5"</t>
  </si>
  <si>
    <t>Pipe Insulation - Hot water - Pipe Diameter ≤ 1.5"</t>
  </si>
  <si>
    <t>Pipe Insulation - Low-Pressure Steam (&lt; 15 psig) - Pipe Diameter &gt; 1.5"</t>
  </si>
  <si>
    <t>Pipe Insulation - Low-Pressure Steam (&lt; 15 psig) - Pipe Diameter ≤ 1.5"</t>
  </si>
  <si>
    <t>Pipe Insulation - Med-Pressure Steam (15–200 psig) - Pipe Diameter &gt; 1.5"</t>
  </si>
  <si>
    <t>Pipe Insulation - Med-Pressure Steam (15–200 psig) - Pipe Diameter ≤ 1.5"</t>
  </si>
  <si>
    <t>RADHEATMODWA</t>
  </si>
  <si>
    <t>Radiant Heater, Modulating</t>
  </si>
  <si>
    <t>RADHEATNONMODWA</t>
  </si>
  <si>
    <t>Radiant Heater, Non-Modulating Infrared Natural Gas-Fired Radiant Heater</t>
  </si>
  <si>
    <t>STCONHITEMPGASWA</t>
  </si>
  <si>
    <t>Dishwasher - Single Tank Conveyor - gas high temp</t>
  </si>
  <si>
    <t>STCONLOTEMPGAS</t>
  </si>
  <si>
    <t>Dishwasher - Single Tank Conveyor - gas low temp</t>
  </si>
  <si>
    <t>STDRUPLOTEMPGAS</t>
  </si>
  <si>
    <t>Dishwasher - Single Tank Door/Upright - gas low temp</t>
  </si>
  <si>
    <t>STDUPHITEMPGASWA</t>
  </si>
  <si>
    <t>Dishwasher - Single Tank Door/Upright - gas high temp</t>
  </si>
  <si>
    <t>THERMRADVAL</t>
  </si>
  <si>
    <t>Thermostatic Radiator Valves (TRVs), central hydronic or steam systems only (MF only)</t>
  </si>
  <si>
    <t>UCHITEMPGASWA</t>
  </si>
  <si>
    <t>Dishwasher - Under counter - gas high temp</t>
  </si>
  <si>
    <t>Engineer's Notes</t>
  </si>
  <si>
    <t>The max for this measure is based on the UCT, however incentives must not exceed project cost.</t>
  </si>
  <si>
    <t>The Energy Star data indicates no incremental cost for several cooking measures (listed as $1 in the calculator to avoid errors).  However, we understand that our baseline and efficient cases are not the only options available. Restaurant owners frequently purchase used equipment.  Used equipment is much less expensive than new and our incentives may be necessary to move those customers to efficient equipment, therefore we will allow incentives that appear to be above incremental cost.  Because used equipment is highly variable, savings are  based on a baseline of new non-Energy Star equipment.</t>
  </si>
  <si>
    <t>The Energy Star data indicates no incremental cost for several cooking measures (listed as $1 in the calculator to avoid errors) and very low for others.  However, we understand that our baseline and efficient cases are not the only options available. Restaurant owners frequently purchase used equipment.  Used equipment is much less expensive than new and our incentives may be necessary to move those customers to efficient equipment, therefore we will allow incentives that appear to be above incremental cost.  Because used equipment is highly variable, savings are  based on a baseline of new non-Energy Star equipment.</t>
  </si>
  <si>
    <t>For greenhouse measures, we set the maximum incentive in the MAD based on the UCT with the stipulation that incentives cannot exceed project costs.  These simple greenhouse measures have costs which may vary considerably depending on if this equipment is installed by a contractor or self-installed.  An average cost was used in the TRC, but it is not representative of all projects.  We do not expect incentives to approach this maxium, but wanted to allow flexibilty to the programs.</t>
  </si>
  <si>
    <t>The MAD for this measure predates our process of including the maximum incentive on the document.  For all intents, this puts the maximum for the measure at the incentive that was originally approved.  In this case: $1000.  In an ideal world we would update these more frequently but new measures often take priortiy for our limited staff time. Without a need to change incentives or to reevaluate the measure assumptions, these old documents will remain.</t>
  </si>
  <si>
    <t>Water heaters save varing amounts of energy depending on the building type they are located in.  For example, a restaurant uses much more hot water and has more savings potential than a small office.  But there was a desire for the incentive to match between the new and existing buildings, multifamily and production efficincy programs. The max incentive is based on the lowest of many scenarios. The savings and avoided costs for this particular measure are based on expected savings for multifamily.</t>
  </si>
  <si>
    <t>Water heaters save varing amounts of energy depending on the building type they are located in.  For example, a restaurant uses much more hot water and has more savings potential than a small office.  But there was a desire for the incentive to match between the new and existing buildings, multifamily and production efficincy programs. The max incentive is based on the lowest of many scenarios. The savings and avoided costs for this particular measure are based on the weighted average of savings across existing commercial building types based on past program participation.</t>
  </si>
  <si>
    <t xml:space="preserve">For fryers, we found the cost information from Energy Star to be unreliable, instead in 2014 we did a cost analysis of restaurant supply vendors and information from our completed projects.  The incremental cost used in the TRC is the average incremental cost per vat for units ranging from 1 to 4 vats, while the maximum incentive is based on the incremental cost of a single vat unit.  We understand that our baseline and efficient cases are not the only options available. Restaurant owners frequently purchase used equipment.  Used equipment is much less expensive than new and our incentives may be necessary to move those customers to efficient equipment, therefore we will allow incentives that appear to be above incremental cost.  </t>
  </si>
  <si>
    <t>The Energy Star data indicates a low incremental cost for this measure.  However, we understand that our baseline and efficient cases are not the only options available. Restaurant owners frequently purchase used equipment.  Used equipment is much less expensive than new and our incentives may be necessary to move those customers to efficient equipment, therefore we will allow incentives that appear to be above incremental cost.  Because used equipment is highly variable, savings are  based on a baseline of new non-Energy Star equipment.</t>
  </si>
  <si>
    <t>The MAD for this measure predates our process of including the maximum incentive on the document.  For all intents, this puts the maximum for the measure at the incentive that was originally approved.  In this case: $3.  In an ideal world we would update these more frequently but new measures often take priortiy for our limited staff time. Without a need to change incentives or to reevaluate the measure assumptions, these old documents will remain.</t>
  </si>
  <si>
    <t xml:space="preserve">The MAD for this measure predates our process of including the maximum incentive on the document.  For all intents, this puts the maximum for the measure at the incentive that was originally approved.  In this case: $3. Water heaters save varing amounts of energy depending on the building type they are located in.  For example, a restaurant uses much more hot water and has more savings potential than a small office.  But there was a desire for the incentive to match between building types.  In this case, the incentives were set with regard to maintining cost effectivness in restaurants.  </t>
  </si>
  <si>
    <t>The MAD for this measure predates our process of including the maximum incentive on the document.  For all intents, this puts the maximum for the measure at the incentive that was originally approved.  In this case: $2.  In an ideal world we would update these more frequently but new measures often take priortiy for our limited staff time. Without a need to change incentives or to reevaluate the measure assumptions, these old documents will remain.</t>
  </si>
  <si>
    <t>The MAD for this measure predates our process of including the maximum incentive on the document.  For all intents, this puts the maximum for the measure at the incentive that was originally approved.  In this case: $10.  In an ideal world we would update these more frequently but new measures often take priortiy for our limited staff time. Without a need to change incentives or to reevaluate the measure assumptions, these old documents will remain.</t>
  </si>
  <si>
    <t>The MAD for this measure predates our process of including the maximum incentive on the document.  For all intents, this puts the maximum for the measure at the incentive that was originally approved.  In this case: $6.50.  In an ideal world we would update these more frequently but new measures often take priortiy for our limited staff time. Without a need to change incentives or to reevaluate the measure assumptions, these old documents will remain.</t>
  </si>
  <si>
    <t>Notes</t>
  </si>
  <si>
    <t xml:space="preserve">Savings reduced as does not include electronic ignition savings  , Incremental Cost is uncertain for this measure due to a variety of market factors. Incentive is set based on best information available, and is lower than the AC generated by measures. </t>
  </si>
  <si>
    <t xml:space="preserve">Savings changed, Incremental Cost is uncertain for this measure due to a variety of market factors. Incentive is set based on best information available, and is lower than the AC generated by measures. </t>
  </si>
  <si>
    <t xml:space="preserve">Savings changed , Incremental Cost is uncertain for this measure due to a variety of market factors. Incentive is set based on best information available, and is lower than the AC generated by measures. </t>
  </si>
  <si>
    <t xml:space="preserve">Savings reduced as does not include electronic ignition savings , Incremental Cost is uncertain for this measure due to a variety of market factors. Incentive is set based on best information available, and is lower than the AC generated by measures. </t>
  </si>
  <si>
    <t xml:space="preserve">Electronic ignition savings de-coupled from thermal efficiency savings </t>
  </si>
  <si>
    <t xml:space="preserve">New measure - performance based modeled savings </t>
  </si>
  <si>
    <t>total Incentive w/ bonus</t>
  </si>
  <si>
    <t>Forecasted additional units resulting from bonus</t>
  </si>
  <si>
    <t>Forecasted additional savings resulting from bonus</t>
  </si>
  <si>
    <t>Bonus</t>
  </si>
  <si>
    <t>SW WA EPS Path 1 - 2016</t>
  </si>
  <si>
    <t>SW WA EPS Path 2 - 2016</t>
  </si>
  <si>
    <t>SW WA EPS Path 3 - 2016</t>
  </si>
  <si>
    <t>SW WA EPS Path 4 - 2016</t>
  </si>
  <si>
    <t>SW WA EPS Path 5 - 2016</t>
  </si>
  <si>
    <t>SW WA EPS Path 1 - 2017</t>
  </si>
  <si>
    <t>SW WA EPS Path 2 - 2017</t>
  </si>
  <si>
    <t>SW WA EPS Path 3 - 2017</t>
  </si>
  <si>
    <t>SW WA EPS Path 4 - 2017</t>
  </si>
  <si>
    <t>Change</t>
  </si>
  <si>
    <t>New</t>
  </si>
  <si>
    <t>Multifamily Commercial Clothes Washer Common Areas</t>
  </si>
  <si>
    <t>THERMOSTAT</t>
  </si>
  <si>
    <t>Pilot measure, working with Nest to recruit customers to participate/opt-in to their Season Savings algorithm that will reduce their thermostat</t>
  </si>
  <si>
    <t>SHOWERWAND</t>
  </si>
  <si>
    <t>n/a</t>
  </si>
  <si>
    <t>HEGASDHW6714</t>
  </si>
  <si>
    <t>WAENHGASDHW6713</t>
  </si>
  <si>
    <t>Measure will sunset in February 2017</t>
  </si>
  <si>
    <t>SSFURNACE</t>
  </si>
  <si>
    <t>Seasonal Savings</t>
  </si>
  <si>
    <t>General Measure Description: Use actual description in Brochure</t>
  </si>
  <si>
    <t>Efficiency Type for Qualification</t>
  </si>
  <si>
    <t>Unit Type</t>
  </si>
  <si>
    <t>Gas Allocation of Total Utility Benefits</t>
  </si>
  <si>
    <t>Estimated Average Savings (Therms)/ Unit</t>
  </si>
  <si>
    <t>2017 Unit Incentive</t>
  </si>
  <si>
    <t>New Run Rate</t>
  </si>
  <si>
    <t>Commercial Tankless Water Heaters - Coin Op Laundries</t>
  </si>
  <si>
    <t>With electronic ignition,</t>
  </si>
  <si>
    <t>kBtu input</t>
  </si>
  <si>
    <t>Commercial Tankless Water Heaters - Food service</t>
  </si>
  <si>
    <t>Commercial Tankless Water Heaters - Lodging</t>
  </si>
  <si>
    <t>SMARTSTATGAS</t>
  </si>
  <si>
    <t>GASHRTH7074150</t>
  </si>
  <si>
    <t>GASHRTH75250</t>
  </si>
  <si>
    <t>GASHRTHPL15</t>
  </si>
  <si>
    <t>LWKSWWA</t>
  </si>
  <si>
    <t>HEGASDHW67100</t>
  </si>
  <si>
    <t>HEGASDHW70100</t>
  </si>
  <si>
    <t>Load Profile</t>
  </si>
  <si>
    <t>RESDHWG</t>
  </si>
  <si>
    <t>GEXSPHT</t>
  </si>
  <si>
    <t>1GHNACG</t>
  </si>
  <si>
    <t>GEXPRO</t>
  </si>
  <si>
    <t>BESHWDGWA2</t>
  </si>
  <si>
    <t>CTWHCOL</t>
  </si>
  <si>
    <t>CTWHFS</t>
  </si>
  <si>
    <t>CTWHLODG</t>
  </si>
  <si>
    <t>GRNHSECONDUNTHT</t>
  </si>
  <si>
    <t>MODBOILBURN</t>
  </si>
  <si>
    <t>DISHRHDGO15NFC</t>
  </si>
  <si>
    <t>DISHRHDGO15FC</t>
  </si>
  <si>
    <t>DISHRHDGO175NFC</t>
  </si>
  <si>
    <t>DISHRHDGO175FC</t>
  </si>
  <si>
    <t>DISHRWDG15NFC</t>
  </si>
  <si>
    <t>DISHRWDG15FC</t>
  </si>
  <si>
    <t>PINDHWSTEMP130</t>
  </si>
  <si>
    <t>PINDHWSTEMP180</t>
  </si>
  <si>
    <t>PINLPSLESS15PSI</t>
  </si>
  <si>
    <t>PINMPS15-200PSI</t>
  </si>
  <si>
    <t>TURBOPOT</t>
  </si>
  <si>
    <t>Program</t>
  </si>
  <si>
    <t>GNEWPRO</t>
  </si>
  <si>
    <t>Existing Buildings</t>
  </si>
  <si>
    <t>Load Profiles</t>
  </si>
  <si>
    <t>2017 WA-Only GAS AC per measure</t>
  </si>
  <si>
    <t>UCT BCR (2017 AC)</t>
  </si>
  <si>
    <t>TRC BCR (2017 AC)</t>
  </si>
  <si>
    <t>2017 Levelized Cost (5.53% Discount Rate)</t>
  </si>
  <si>
    <t>Estimated Max Incentive (2017 AC)</t>
  </si>
  <si>
    <t>Bonus Measures</t>
  </si>
  <si>
    <t>Tankless</t>
  </si>
  <si>
    <t>MAD #</t>
  </si>
  <si>
    <t>Mid-year Filing Change</t>
  </si>
  <si>
    <t>Gas hearth-Electronic Ignition $25, retailer/distributor incent</t>
  </si>
  <si>
    <t>Gas hearth-Electronic Ignition $30, retailer/distributor incent</t>
  </si>
  <si>
    <t>GASHRTHPLELE30</t>
  </si>
  <si>
    <t>Tankless Water Heater, Gas .82 $125, 2016</t>
  </si>
  <si>
    <t>new</t>
  </si>
  <si>
    <t>TANKlSSDHW</t>
  </si>
  <si>
    <t>Water Heater, Gas .67-.69 $100 - distributor</t>
  </si>
  <si>
    <t>GASHRTHPLELE25</t>
  </si>
  <si>
    <t>Cooler Doors</t>
  </si>
  <si>
    <t xml:space="preserve">New Measures to be filed mid-year 2017 </t>
  </si>
  <si>
    <t>Multifamily HVAC Hot Water Condensing Gas Boilers &lt;300 kbtu/h</t>
  </si>
  <si>
    <t xml:space="preserve">discontinued </t>
  </si>
  <si>
    <t>discontinued</t>
  </si>
  <si>
    <r>
      <t xml:space="preserve">Multifamily Condensing Tankless Water Heater </t>
    </r>
    <r>
      <rPr>
        <sz val="11"/>
        <rFont val="Calibri"/>
        <family val="2"/>
      </rPr>
      <t>≤199 kbtu/h</t>
    </r>
  </si>
  <si>
    <t>MAD 102</t>
  </si>
  <si>
    <t>all above in yellow still forthcoming</t>
  </si>
  <si>
    <t>Multifamily HVAC Hot Water Condensing Gas Boilers &gt;2,500 kbtu/h</t>
  </si>
  <si>
    <r>
      <t xml:space="preserve">Multifamily HVAC Hot Water Condensing Gas Boilers </t>
    </r>
    <r>
      <rPr>
        <sz val="11"/>
        <rFont val="Calibri"/>
        <family val="2"/>
      </rPr>
      <t>≥</t>
    </r>
    <r>
      <rPr>
        <sz val="11"/>
        <rFont val="Calibri"/>
        <family val="2"/>
        <scheme val="minor"/>
      </rPr>
      <t>300 kbtu/h, ≤2,500 kbtu/h</t>
    </r>
  </si>
  <si>
    <t>Existing Multifamily - Low flow showerheads, 1.5 GPM or less flow</t>
  </si>
  <si>
    <t>Existing Multifamily - low flow showerwand, 1.5 GPM or less flow</t>
  </si>
  <si>
    <t>Existing Multifamily - Residential Bathroom Faucet Aerator, 1.0</t>
  </si>
  <si>
    <t>New Multifamily - Residential Kitchen Faucet Aerator, 1.5</t>
  </si>
  <si>
    <t>New Multifamily - Residential Bathroom Faucet Aerator, 1.0</t>
  </si>
  <si>
    <t>Existing Multifamily - Residential Kitchen Faucet Aerator, 1.5</t>
  </si>
  <si>
    <t>≥</t>
  </si>
  <si>
    <t>Tankless condensing heater ≥ 200 kBtuh</t>
  </si>
  <si>
    <t>Thermal efficiency ≥ 94%,</t>
  </si>
  <si>
    <t>Manufacturer-Installed Rooftop Unit Controls - Demand Control Ventillation controls on new RTUs, All New and Existing Buildings on Commercial Rate, including Multifamily</t>
  </si>
  <si>
    <t>NPV of NEBs per Quantity</t>
  </si>
  <si>
    <t>New (No code yet)</t>
  </si>
  <si>
    <t>2017 Levelized Cost (5.09% Discount Rate)</t>
  </si>
  <si>
    <t>Water Heater, Gas .70 $125 - distributor</t>
  </si>
  <si>
    <t>Build Your Own Kit, 1.75 gpm Showerhead Gas 2014</t>
  </si>
  <si>
    <t>Build Your Own Kit, 1.0 gpm Bath Aerator Gas 2014</t>
  </si>
  <si>
    <t>Build Your Own Kit, 1.5 gpm Kitch Aerator Gas 2014</t>
  </si>
  <si>
    <t>1.75 GPM Showerhead - WA Gas ONLY DHW - All Housing Types</t>
  </si>
  <si>
    <t>Not applicable</t>
  </si>
  <si>
    <t>Res Water Heat</t>
  </si>
  <si>
    <t>DHW</t>
  </si>
  <si>
    <t>1.5 GPM Showerhead - WA Gas ONLY DHW - All Housing Types</t>
  </si>
  <si>
    <t>1.75 GPM Shower Wand - WA Gas ONLY DHW - All Housing Types</t>
  </si>
  <si>
    <t>1.5 GPM Shower Wand - WA Gas ONLY DHW - All Housing Types</t>
  </si>
  <si>
    <t>1.5 GPM Kitchen Aerator - WA Gas ONLY DHW - All Housing Types</t>
  </si>
  <si>
    <t>1.0 GPM Bath Aerator - WA Gas DHW - All Housing Types</t>
  </si>
  <si>
    <t>Measure</t>
  </si>
  <si>
    <t>Sub-sector</t>
  </si>
  <si>
    <t>Measure Life (yrs)</t>
  </si>
  <si>
    <t>Savings</t>
  </si>
  <si>
    <t>Incremental Costs ($)</t>
  </si>
  <si>
    <t>Non-Energy Benefits (Annual $)</t>
  </si>
  <si>
    <t>Electric</t>
  </si>
  <si>
    <t>Gas</t>
  </si>
  <si>
    <t>kWh</t>
  </si>
  <si>
    <t>therms</t>
  </si>
  <si>
    <t>Maximum Incentive ($)</t>
  </si>
  <si>
    <t>Utility BCR at Max Incentive</t>
  </si>
  <si>
    <t>TRC BCR</t>
  </si>
  <si>
    <t>Water NEBs</t>
  </si>
  <si>
    <t>kWh NEBs</t>
  </si>
  <si>
    <t>Total NEBs</t>
  </si>
  <si>
    <t>PV @ 5.09%</t>
  </si>
  <si>
    <r>
      <t>Build Your Own Kit,</t>
    </r>
    <r>
      <rPr>
        <sz val="11"/>
        <rFont val="Calibri"/>
        <family val="2"/>
        <scheme val="minor"/>
      </rPr>
      <t xml:space="preserve"> 1.75 </t>
    </r>
    <r>
      <rPr>
        <sz val="11"/>
        <color theme="1"/>
        <rFont val="Calibri"/>
        <family val="2"/>
        <scheme val="minor"/>
      </rPr>
      <t>gpm Showerhead Gas 2014</t>
    </r>
  </si>
  <si>
    <r>
      <t>Build Your Own Kit,</t>
    </r>
    <r>
      <rPr>
        <sz val="11"/>
        <rFont val="Calibri"/>
        <family val="2"/>
        <scheme val="minor"/>
      </rPr>
      <t xml:space="preserve"> 1.75 </t>
    </r>
    <r>
      <rPr>
        <sz val="11"/>
        <color theme="1"/>
        <rFont val="Calibri"/>
        <family val="2"/>
        <scheme val="minor"/>
      </rPr>
      <t>gpm Shower wand Gas 2016</t>
    </r>
  </si>
  <si>
    <t>Build Your Own Kit, 2.0 gpm Shower wand Gas 2016</t>
  </si>
  <si>
    <t>2017 EE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</si>
</sst>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quot;$&quot;#,##0.00"/>
    <numFmt numFmtId="165" formatCode="&quot;$&quot;#,##0.0"/>
    <numFmt numFmtId="166" formatCode="0.0"/>
    <numFmt numFmtId="167" formatCode="_([$$-409]* #,##0.00_);_([$$-409]* \(#,##0.00\);_([$$-409]* &quot;-&quot;??_);_(@_)"/>
    <numFmt numFmtId="168" formatCode="_(* #,##0_);_(* \(#,##0\);_(* &quot;-&quot;??_);_(@_)"/>
    <numFmt numFmtId="169" formatCode="_(* #,##0.0_);_(* \(#,##0.0\);_(* &quot;-&quot;??_);_(@_)"/>
    <numFmt numFmtId="170" formatCode="&quot;$&quot;#,##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color rgb="FF000000"/>
      <name val="Calibri"/>
      <family val="2"/>
    </font>
    <font>
      <b/>
      <sz val="11"/>
      <color rgb="FF000000"/>
      <name val="Calibri"/>
      <family val="2"/>
    </font>
    <font>
      <sz val="11"/>
      <color rgb="FF000000"/>
      <name val="Calibri"/>
      <family val="2"/>
    </font>
    <font>
      <sz val="11"/>
      <color rgb="FFFF0000"/>
      <name val="Calibri"/>
      <family val="2"/>
      <scheme val="minor"/>
    </font>
    <font>
      <sz val="11"/>
      <name val="Calibri"/>
      <family val="2"/>
    </font>
    <font>
      <sz val="11"/>
      <color theme="1"/>
      <name val="Calibri"/>
      <family val="2"/>
    </font>
    <font>
      <b/>
      <sz val="11"/>
      <color theme="1"/>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165" fontId="0" fillId="0" borderId="0" xfId="0" applyNumberFormat="1" applyFill="1"/>
    <xf numFmtId="0" fontId="0" fillId="0" borderId="0" xfId="0" applyFill="1"/>
    <xf numFmtId="0" fontId="2" fillId="0" borderId="2" xfId="0" applyFont="1" applyFill="1" applyBorder="1" applyAlignment="1">
      <alignment wrapText="1"/>
    </xf>
    <xf numFmtId="165" fontId="0" fillId="0" borderId="2" xfId="1" applyNumberFormat="1" applyFont="1" applyFill="1" applyBorder="1"/>
    <xf numFmtId="0" fontId="0" fillId="0" borderId="2" xfId="0" applyFill="1" applyBorder="1"/>
    <xf numFmtId="0" fontId="2" fillId="0" borderId="1" xfId="0" applyFont="1" applyBorder="1"/>
    <xf numFmtId="165" fontId="0" fillId="0" borderId="10" xfId="1" applyNumberFormat="1" applyFont="1" applyFill="1" applyBorder="1"/>
    <xf numFmtId="165" fontId="0" fillId="0" borderId="2" xfId="0" applyNumberFormat="1" applyFill="1" applyBorder="1"/>
    <xf numFmtId="0" fontId="0" fillId="0" borderId="0" xfId="0" applyFill="1" applyAlignment="1">
      <alignment wrapText="1"/>
    </xf>
    <xf numFmtId="164" fontId="0" fillId="0" borderId="0" xfId="0" applyNumberFormat="1" applyFill="1"/>
    <xf numFmtId="43" fontId="0" fillId="0" borderId="0" xfId="1" applyFont="1" applyFill="1"/>
    <xf numFmtId="165" fontId="0" fillId="0" borderId="0" xfId="1" applyNumberFormat="1" applyFont="1" applyFill="1" applyBorder="1"/>
    <xf numFmtId="164" fontId="0" fillId="0" borderId="2" xfId="0" applyNumberFormat="1" applyFill="1" applyBorder="1"/>
    <xf numFmtId="43" fontId="0" fillId="0" borderId="2" xfId="1" applyFont="1" applyFill="1" applyBorder="1"/>
    <xf numFmtId="0" fontId="3" fillId="0" borderId="2" xfId="0" applyFont="1" applyFill="1" applyBorder="1" applyAlignment="1">
      <alignment horizontal="right"/>
    </xf>
    <xf numFmtId="0" fontId="3" fillId="0" borderId="2" xfId="0" applyFont="1" applyFill="1" applyBorder="1"/>
    <xf numFmtId="0" fontId="0" fillId="0" borderId="10" xfId="0" applyFill="1" applyBorder="1"/>
    <xf numFmtId="164" fontId="0" fillId="0" borderId="10" xfId="0" applyNumberFormat="1" applyFill="1" applyBorder="1"/>
    <xf numFmtId="0" fontId="3" fillId="0" borderId="0" xfId="0" applyFont="1" applyFill="1"/>
    <xf numFmtId="0" fontId="0" fillId="0" borderId="0" xfId="0" applyFill="1" applyBorder="1"/>
    <xf numFmtId="164" fontId="0" fillId="0" borderId="0" xfId="0" applyNumberFormat="1" applyFill="1" applyBorder="1"/>
    <xf numFmtId="0" fontId="0" fillId="0" borderId="3" xfId="0" applyFill="1" applyBorder="1"/>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7" xfId="0" applyFont="1" applyFill="1" applyBorder="1" applyAlignment="1">
      <alignment horizontal="right" vertical="center"/>
    </xf>
    <xf numFmtId="0" fontId="5" fillId="0" borderId="7" xfId="0" applyFont="1" applyFill="1" applyBorder="1" applyAlignment="1">
      <alignment horizontal="right" vertical="center"/>
    </xf>
    <xf numFmtId="0" fontId="6" fillId="0" borderId="5" xfId="0" applyFont="1" applyFill="1" applyBorder="1" applyAlignment="1">
      <alignment vertical="center"/>
    </xf>
    <xf numFmtId="0" fontId="2" fillId="2" borderId="0" xfId="0" applyFont="1" applyFill="1" applyAlignment="1">
      <alignment wrapText="1"/>
    </xf>
    <xf numFmtId="0" fontId="0" fillId="2" borderId="0" xfId="0" applyFill="1" applyAlignment="1">
      <alignment wrapText="1"/>
    </xf>
    <xf numFmtId="0" fontId="0" fillId="2" borderId="0" xfId="0" applyFill="1"/>
    <xf numFmtId="0" fontId="0" fillId="0" borderId="2" xfId="0" applyFill="1" applyBorder="1" applyAlignment="1">
      <alignment wrapText="1"/>
    </xf>
    <xf numFmtId="0" fontId="2" fillId="2" borderId="0" xfId="0" applyFont="1" applyFill="1" applyBorder="1" applyAlignment="1">
      <alignment wrapText="1"/>
    </xf>
    <xf numFmtId="0" fontId="0" fillId="2" borderId="2" xfId="0" applyFill="1" applyBorder="1"/>
    <xf numFmtId="164" fontId="0" fillId="2" borderId="2" xfId="0" applyNumberFormat="1" applyFill="1" applyBorder="1"/>
    <xf numFmtId="44" fontId="0" fillId="2" borderId="2" xfId="2" applyFont="1" applyFill="1" applyBorder="1"/>
    <xf numFmtId="164" fontId="0" fillId="2" borderId="2" xfId="1" applyNumberFormat="1" applyFont="1" applyFill="1" applyBorder="1"/>
    <xf numFmtId="43" fontId="0" fillId="2" borderId="2" xfId="1" applyFont="1" applyFill="1" applyBorder="1"/>
    <xf numFmtId="44" fontId="0" fillId="0" borderId="2" xfId="2" applyFont="1" applyFill="1" applyBorder="1"/>
    <xf numFmtId="164" fontId="0" fillId="0" borderId="2" xfId="1" applyNumberFormat="1" applyFont="1" applyFill="1" applyBorder="1"/>
    <xf numFmtId="165" fontId="0" fillId="0" borderId="14" xfId="0" applyNumberFormat="1" applyFill="1" applyBorder="1"/>
    <xf numFmtId="164" fontId="0" fillId="0" borderId="14" xfId="0" applyNumberFormat="1" applyFill="1" applyBorder="1"/>
    <xf numFmtId="167" fontId="0" fillId="0" borderId="2" xfId="0" applyNumberFormat="1" applyFill="1" applyBorder="1"/>
    <xf numFmtId="167" fontId="3" fillId="0" borderId="2" xfId="0" applyNumberFormat="1" applyFont="1" applyFill="1" applyBorder="1"/>
    <xf numFmtId="44" fontId="0" fillId="0" borderId="10" xfId="2" applyFont="1" applyFill="1" applyBorder="1"/>
    <xf numFmtId="44" fontId="0" fillId="0" borderId="14" xfId="2" applyFont="1" applyFill="1" applyBorder="1"/>
    <xf numFmtId="0" fontId="0" fillId="2" borderId="2" xfId="0" applyFill="1" applyBorder="1" applyAlignment="1">
      <alignment wrapText="1"/>
    </xf>
    <xf numFmtId="0" fontId="0" fillId="2" borderId="2" xfId="0" applyFill="1" applyBorder="1" applyAlignment="1">
      <alignment horizontal="center" wrapText="1"/>
    </xf>
    <xf numFmtId="167" fontId="0" fillId="0" borderId="2" xfId="1" applyNumberFormat="1" applyFont="1" applyFill="1" applyBorder="1"/>
    <xf numFmtId="0" fontId="9" fillId="0" borderId="0" xfId="0" applyFont="1" applyFill="1"/>
    <xf numFmtId="0" fontId="4" fillId="0" borderId="16" xfId="0" applyFont="1" applyFill="1" applyBorder="1" applyAlignment="1">
      <alignment vertical="center" wrapText="1"/>
    </xf>
    <xf numFmtId="0" fontId="5" fillId="0" borderId="3" xfId="0" applyFont="1" applyFill="1" applyBorder="1" applyAlignment="1">
      <alignment vertical="center" wrapText="1"/>
    </xf>
    <xf numFmtId="0" fontId="0" fillId="0" borderId="2" xfId="0" applyFont="1" applyFill="1" applyBorder="1" applyAlignment="1">
      <alignment horizontal="left"/>
    </xf>
    <xf numFmtId="0" fontId="2" fillId="0" borderId="0" xfId="0" applyFont="1" applyFill="1" applyBorder="1" applyAlignment="1">
      <alignment horizontal="left"/>
    </xf>
    <xf numFmtId="0" fontId="3" fillId="0" borderId="2" xfId="0" applyFont="1" applyFill="1" applyBorder="1" applyAlignment="1">
      <alignment wrapText="1"/>
    </xf>
    <xf numFmtId="164" fontId="0" fillId="0" borderId="2" xfId="2" applyNumberFormat="1" applyFont="1" applyFill="1" applyBorder="1"/>
    <xf numFmtId="164" fontId="3" fillId="0" borderId="2" xfId="1" applyNumberFormat="1" applyFont="1" applyFill="1" applyBorder="1"/>
    <xf numFmtId="164" fontId="7" fillId="0" borderId="2" xfId="1" applyNumberFormat="1" applyFont="1" applyFill="1" applyBorder="1"/>
    <xf numFmtId="164" fontId="3" fillId="0" borderId="2" xfId="0" applyNumberFormat="1" applyFont="1" applyFill="1" applyBorder="1"/>
    <xf numFmtId="43" fontId="3" fillId="0" borderId="2" xfId="1" applyFont="1" applyFill="1" applyBorder="1"/>
    <xf numFmtId="0" fontId="2" fillId="0" borderId="2" xfId="0" applyFont="1" applyFill="1" applyBorder="1"/>
    <xf numFmtId="0" fontId="10" fillId="3" borderId="2" xfId="0" applyFont="1" applyFill="1" applyBorder="1" applyAlignment="1">
      <alignment horizontal="center"/>
    </xf>
    <xf numFmtId="0" fontId="11" fillId="2" borderId="2" xfId="0" applyFont="1" applyFill="1" applyBorder="1"/>
    <xf numFmtId="0" fontId="11" fillId="2" borderId="2" xfId="0" applyFont="1" applyFill="1" applyBorder="1" applyAlignment="1">
      <alignment horizontal="center"/>
    </xf>
    <xf numFmtId="168" fontId="11" fillId="2" borderId="2" xfId="1" applyNumberFormat="1" applyFont="1" applyFill="1" applyBorder="1" applyAlignment="1">
      <alignment horizontal="center"/>
    </xf>
    <xf numFmtId="169" fontId="11" fillId="2" borderId="2" xfId="1" applyNumberFormat="1" applyFont="1" applyFill="1" applyBorder="1" applyAlignment="1">
      <alignment horizontal="center"/>
    </xf>
    <xf numFmtId="164" fontId="11" fillId="2" borderId="2" xfId="2" applyNumberFormat="1" applyFont="1" applyFill="1" applyBorder="1" applyAlignment="1">
      <alignment horizontal="center"/>
    </xf>
    <xf numFmtId="164" fontId="11" fillId="2" borderId="2" xfId="0" applyNumberFormat="1" applyFont="1" applyFill="1" applyBorder="1" applyAlignment="1">
      <alignment horizontal="right"/>
    </xf>
    <xf numFmtId="164" fontId="11" fillId="4" borderId="2" xfId="0" applyNumberFormat="1" applyFont="1" applyFill="1" applyBorder="1"/>
    <xf numFmtId="2" fontId="11" fillId="4" borderId="2" xfId="1" applyNumberFormat="1" applyFont="1" applyFill="1" applyBorder="1" applyAlignment="1">
      <alignment horizontal="center"/>
    </xf>
    <xf numFmtId="164" fontId="11" fillId="2" borderId="2" xfId="2" applyNumberFormat="1" applyFont="1" applyFill="1" applyBorder="1" applyAlignment="1">
      <alignment horizontal="right"/>
    </xf>
    <xf numFmtId="164" fontId="0" fillId="0" borderId="0" xfId="0" applyNumberFormat="1"/>
    <xf numFmtId="8" fontId="0" fillId="0" borderId="0" xfId="0" applyNumberFormat="1"/>
    <xf numFmtId="164" fontId="0" fillId="2" borderId="0" xfId="0" applyNumberFormat="1" applyFill="1"/>
    <xf numFmtId="170" fontId="0" fillId="0" borderId="0" xfId="0" applyNumberFormat="1" applyFill="1"/>
    <xf numFmtId="164" fontId="7" fillId="0" borderId="2" xfId="0" applyNumberFormat="1" applyFont="1" applyFill="1" applyBorder="1"/>
    <xf numFmtId="44" fontId="7" fillId="0" borderId="2" xfId="2" applyFont="1" applyFill="1" applyBorder="1"/>
    <xf numFmtId="166" fontId="7" fillId="0" borderId="2" xfId="0" applyNumberFormat="1" applyFont="1" applyFill="1" applyBorder="1"/>
    <xf numFmtId="0" fontId="7" fillId="0" borderId="2" xfId="0" applyFont="1" applyFill="1" applyBorder="1"/>
    <xf numFmtId="0" fontId="7" fillId="0" borderId="0" xfId="0" applyFont="1" applyFill="1"/>
    <xf numFmtId="0" fontId="10" fillId="3" borderId="2" xfId="0" applyFont="1" applyFill="1" applyBorder="1" applyAlignment="1">
      <alignment horizontal="center" wrapText="1"/>
    </xf>
    <xf numFmtId="0" fontId="10" fillId="3" borderId="14" xfId="0" applyFont="1" applyFill="1" applyBorder="1" applyAlignment="1">
      <alignment horizontal="center"/>
    </xf>
    <xf numFmtId="0" fontId="10" fillId="3" borderId="10" xfId="0" applyFont="1" applyFill="1" applyBorder="1" applyAlignment="1">
      <alignment horizontal="center"/>
    </xf>
    <xf numFmtId="0" fontId="10" fillId="3" borderId="11" xfId="0" applyFont="1" applyFill="1" applyBorder="1" applyAlignment="1">
      <alignment horizontal="center"/>
    </xf>
    <xf numFmtId="0" fontId="10" fillId="3" borderId="12" xfId="0" applyFont="1" applyFill="1" applyBorder="1" applyAlignment="1">
      <alignment horizontal="center"/>
    </xf>
    <xf numFmtId="0" fontId="10" fillId="3" borderId="14" xfId="0" applyFont="1" applyFill="1" applyBorder="1" applyAlignment="1">
      <alignment horizontal="center" wrapText="1"/>
    </xf>
    <xf numFmtId="0" fontId="10" fillId="3" borderId="10" xfId="0" applyFont="1" applyFill="1" applyBorder="1" applyAlignment="1">
      <alignment horizontal="center" wrapText="1"/>
    </xf>
    <xf numFmtId="0" fontId="10" fillId="3" borderId="11" xfId="0" applyFont="1" applyFill="1" applyBorder="1" applyAlignment="1">
      <alignment horizontal="center" wrapText="1"/>
    </xf>
    <xf numFmtId="0" fontId="10" fillId="3" borderId="12" xfId="0" applyFont="1" applyFill="1" applyBorder="1" applyAlignment="1">
      <alignment horizontal="center" wrapText="1"/>
    </xf>
    <xf numFmtId="0" fontId="6" fillId="0" borderId="9" xfId="0" applyFont="1" applyFill="1" applyBorder="1" applyAlignment="1">
      <alignment horizontal="right" vertical="center"/>
    </xf>
    <xf numFmtId="0" fontId="6" fillId="0" borderId="6" xfId="0" applyFont="1" applyFill="1" applyBorder="1" applyAlignment="1">
      <alignment horizontal="right" vertical="center"/>
    </xf>
    <xf numFmtId="0" fontId="6" fillId="0" borderId="5" xfId="0" applyFont="1" applyFill="1" applyBorder="1" applyAlignment="1">
      <alignment horizontal="right" vertical="center"/>
    </xf>
    <xf numFmtId="0" fontId="5" fillId="0" borderId="9" xfId="0" applyFont="1" applyFill="1" applyBorder="1" applyAlignment="1">
      <alignment horizontal="right" vertical="center"/>
    </xf>
    <xf numFmtId="0" fontId="5" fillId="0" borderId="6" xfId="0" applyFont="1" applyFill="1" applyBorder="1" applyAlignment="1">
      <alignment horizontal="right" vertical="center"/>
    </xf>
    <xf numFmtId="0" fontId="5" fillId="0" borderId="5" xfId="0" applyFont="1" applyFill="1" applyBorder="1" applyAlignment="1">
      <alignment horizontal="right" vertical="center"/>
    </xf>
    <xf numFmtId="0" fontId="6" fillId="0" borderId="9" xfId="0" applyFont="1" applyFill="1" applyBorder="1" applyAlignment="1">
      <alignment vertical="center"/>
    </xf>
    <xf numFmtId="0" fontId="6" fillId="0" borderId="6" xfId="0" applyFont="1" applyFill="1" applyBorder="1" applyAlignment="1">
      <alignment vertical="center"/>
    </xf>
    <xf numFmtId="0" fontId="6" fillId="0" borderId="5" xfId="0" applyFont="1" applyFill="1" applyBorder="1" applyAlignment="1">
      <alignment vertic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5" xfId="0" applyFont="1" applyFill="1" applyBorder="1" applyAlignment="1">
      <alignment horizontal="center"/>
    </xf>
  </cellXfs>
  <cellStyles count="3">
    <cellStyle name="Comma" xfId="1" builtinId="3"/>
    <cellStyle name="Currency" xfId="2" builtinId="4"/>
    <cellStyle name="Normal" xfId="0" builtinId="0"/>
  </cellStyles>
  <dxfs count="15">
    <dxf>
      <fill>
        <patternFill>
          <bgColor theme="5" tint="0.39994506668294322"/>
        </patternFill>
      </fill>
    </dxf>
    <dxf>
      <fill>
        <patternFill>
          <bgColor rgb="FF92D050"/>
        </patternFill>
      </fill>
    </dxf>
    <dxf>
      <fill>
        <patternFill>
          <bgColor theme="0" tint="-0.14996795556505021"/>
        </patternFill>
      </fill>
    </dxf>
    <dxf>
      <fill>
        <patternFill>
          <bgColor theme="5" tint="0.39994506668294322"/>
        </patternFill>
      </fill>
    </dxf>
    <dxf>
      <fill>
        <patternFill>
          <bgColor rgb="FF92D050"/>
        </patternFill>
      </fill>
    </dxf>
    <dxf>
      <fill>
        <patternFill>
          <bgColor theme="0" tint="-0.14996795556505021"/>
        </patternFill>
      </fill>
    </dxf>
    <dxf>
      <fill>
        <patternFill>
          <bgColor theme="5" tint="0.39994506668294322"/>
        </patternFill>
      </fill>
    </dxf>
    <dxf>
      <fill>
        <patternFill>
          <bgColor rgb="FF92D050"/>
        </patternFill>
      </fill>
    </dxf>
    <dxf>
      <fill>
        <patternFill>
          <bgColor theme="0" tint="-0.14996795556505021"/>
        </patternFill>
      </fill>
    </dxf>
    <dxf>
      <fill>
        <patternFill>
          <bgColor theme="5" tint="0.39994506668294322"/>
        </patternFill>
      </fill>
    </dxf>
    <dxf>
      <fill>
        <patternFill>
          <bgColor rgb="FF92D050"/>
        </patternFill>
      </fill>
    </dxf>
    <dxf>
      <fill>
        <patternFill>
          <bgColor theme="0" tint="-0.14996795556505021"/>
        </patternFill>
      </fill>
    </dxf>
    <dxf>
      <fill>
        <patternFill>
          <bgColor theme="5" tint="0.39994506668294322"/>
        </patternFill>
      </fill>
    </dxf>
    <dxf>
      <fill>
        <patternFill>
          <bgColor rgb="FF92D050"/>
        </patternFill>
      </fill>
    </dxf>
    <dxf>
      <fill>
        <patternFill>
          <bgColor theme="0" tint="-0.1499679555650502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6"/>
  <sheetViews>
    <sheetView tabSelected="1" topLeftCell="C1" zoomScale="60" zoomScaleNormal="60" workbookViewId="0">
      <pane ySplit="1" topLeftCell="A2" activePane="bottomLeft" state="frozen"/>
      <selection pane="bottomLeft" activeCell="D33" sqref="D33"/>
    </sheetView>
  </sheetViews>
  <sheetFormatPr defaultColWidth="9.140625" defaultRowHeight="15" x14ac:dyDescent="0.25"/>
  <cols>
    <col min="1" max="1" width="17.85546875" style="32" customWidth="1"/>
    <col min="2" max="2" width="31.5703125" style="32" customWidth="1"/>
    <col min="3" max="3" width="20.5703125" style="32" customWidth="1"/>
    <col min="4" max="4" width="24.140625" style="32" bestFit="1" customWidth="1"/>
    <col min="5" max="5" width="55.42578125" style="32" customWidth="1"/>
    <col min="6" max="6" width="13" style="32" bestFit="1" customWidth="1"/>
    <col min="7" max="7" width="12.5703125" style="32" customWidth="1"/>
    <col min="8" max="8" width="14.85546875" style="32" customWidth="1"/>
    <col min="9" max="9" width="20.5703125" style="32" customWidth="1"/>
    <col min="10" max="10" width="11.42578125" style="32" customWidth="1"/>
    <col min="11" max="11" width="13.85546875" style="32" customWidth="1"/>
    <col min="12" max="12" width="13.7109375" style="32" bestFit="1" customWidth="1"/>
    <col min="13" max="13" width="26.5703125" style="32" customWidth="1"/>
    <col min="14" max="14" width="13.42578125" style="32" bestFit="1" customWidth="1"/>
    <col min="15" max="15" width="10.85546875" style="32" customWidth="1"/>
    <col min="16" max="16" width="14.85546875" style="32" customWidth="1"/>
    <col min="17" max="17" width="14.140625" style="32" customWidth="1"/>
    <col min="18" max="16384" width="9.140625" style="32"/>
  </cols>
  <sheetData>
    <row r="1" spans="1:18" s="31" customFormat="1" ht="62.25" customHeight="1" x14ac:dyDescent="0.25">
      <c r="A1" s="30" t="s">
        <v>274</v>
      </c>
      <c r="B1" s="34" t="s">
        <v>77</v>
      </c>
      <c r="C1" s="34" t="s">
        <v>78</v>
      </c>
      <c r="D1" s="34" t="s">
        <v>79</v>
      </c>
      <c r="E1" s="34" t="s">
        <v>80</v>
      </c>
      <c r="F1" s="34" t="s">
        <v>265</v>
      </c>
      <c r="G1" s="34" t="s">
        <v>81</v>
      </c>
      <c r="H1" s="34" t="s">
        <v>82</v>
      </c>
      <c r="I1" s="34" t="s">
        <v>83</v>
      </c>
      <c r="J1" s="34" t="s">
        <v>84</v>
      </c>
      <c r="K1" s="34" t="s">
        <v>266</v>
      </c>
      <c r="L1" s="34" t="s">
        <v>270</v>
      </c>
      <c r="M1" s="34" t="s">
        <v>189</v>
      </c>
      <c r="N1" s="34" t="s">
        <v>303</v>
      </c>
      <c r="O1" s="34" t="s">
        <v>267</v>
      </c>
      <c r="P1" s="34" t="s">
        <v>268</v>
      </c>
      <c r="Q1" s="34" t="s">
        <v>305</v>
      </c>
      <c r="R1" s="31" t="s">
        <v>273</v>
      </c>
    </row>
    <row r="2" spans="1:18" s="2" customFormat="1" x14ac:dyDescent="0.25">
      <c r="A2" s="62" t="s">
        <v>339</v>
      </c>
      <c r="B2" s="5" t="s">
        <v>86</v>
      </c>
      <c r="C2" s="5" t="s">
        <v>0</v>
      </c>
      <c r="D2" s="5" t="s">
        <v>1</v>
      </c>
      <c r="E2" s="5" t="s">
        <v>308</v>
      </c>
      <c r="F2" s="5" t="s">
        <v>241</v>
      </c>
      <c r="G2" s="5">
        <v>15</v>
      </c>
      <c r="H2" s="77">
        <v>1.35</v>
      </c>
      <c r="I2" s="78">
        <v>1.3500000000000008</v>
      </c>
      <c r="J2" s="79">
        <v>6.9</v>
      </c>
      <c r="K2" s="59">
        <v>31.58</v>
      </c>
      <c r="L2" s="41">
        <f t="shared" ref="L2:L44" si="0">IF(K2&gt;I2, I2, K2)</f>
        <v>1.3500000000000008</v>
      </c>
      <c r="M2" s="5"/>
      <c r="N2" s="77">
        <v>185.79</v>
      </c>
      <c r="O2" s="61">
        <f t="shared" ref="O2:O44" si="1">K2/H2</f>
        <v>23.392592592592589</v>
      </c>
      <c r="P2" s="61">
        <f t="shared" ref="P2:P44" si="2">(K2+N2)/I2</f>
        <v>161.01481481481474</v>
      </c>
      <c r="Q2" s="13">
        <f t="shared" ref="Q2:Q5" si="3">-PMT(0.0509,G2,I2)/J2</f>
        <v>1.8964421369967781E-2</v>
      </c>
      <c r="R2" s="5"/>
    </row>
    <row r="3" spans="1:18" s="2" customFormat="1" x14ac:dyDescent="0.25">
      <c r="A3" s="62" t="s">
        <v>339</v>
      </c>
      <c r="B3" s="5" t="s">
        <v>86</v>
      </c>
      <c r="C3" s="5" t="s">
        <v>0</v>
      </c>
      <c r="D3" s="5" t="s">
        <v>1</v>
      </c>
      <c r="E3" s="5" t="s">
        <v>308</v>
      </c>
      <c r="F3" s="5" t="s">
        <v>241</v>
      </c>
      <c r="G3" s="5">
        <v>15</v>
      </c>
      <c r="H3" s="77">
        <v>1.35</v>
      </c>
      <c r="I3" s="78">
        <v>1.3500000000000008</v>
      </c>
      <c r="J3" s="79">
        <v>4.8</v>
      </c>
      <c r="K3" s="59">
        <v>21.97</v>
      </c>
      <c r="L3" s="41">
        <f t="shared" ref="L3" si="4">IF(K3&gt;I3, I3, K3)</f>
        <v>1.3500000000000008</v>
      </c>
      <c r="M3" s="5"/>
      <c r="N3" s="77">
        <v>185.79</v>
      </c>
      <c r="O3" s="61">
        <f t="shared" ref="O3" si="5">K3/H3</f>
        <v>16.274074074074072</v>
      </c>
      <c r="P3" s="61">
        <f t="shared" ref="P3:P4" si="6">(K3+N3)/I3</f>
        <v>153.89629629629621</v>
      </c>
      <c r="Q3" s="13">
        <f t="shared" ref="Q3:Q4" si="7">-PMT(0.0509,G3,I3)/J3</f>
        <v>2.7261355719328684E-2</v>
      </c>
      <c r="R3" s="5"/>
    </row>
    <row r="4" spans="1:18" s="2" customFormat="1" x14ac:dyDescent="0.25">
      <c r="A4" s="62" t="s">
        <v>339</v>
      </c>
      <c r="B4" s="5" t="s">
        <v>86</v>
      </c>
      <c r="C4" s="5" t="s">
        <v>0</v>
      </c>
      <c r="D4" s="5" t="s">
        <v>2</v>
      </c>
      <c r="E4" s="5" t="s">
        <v>309</v>
      </c>
      <c r="F4" s="5" t="s">
        <v>241</v>
      </c>
      <c r="G4" s="5">
        <v>15</v>
      </c>
      <c r="H4" s="77">
        <v>1.85</v>
      </c>
      <c r="I4" s="78">
        <v>2.0499999999999998</v>
      </c>
      <c r="J4" s="80">
        <v>4.5</v>
      </c>
      <c r="K4" s="59">
        <v>20.6</v>
      </c>
      <c r="L4" s="59">
        <v>2.0499999999999998</v>
      </c>
      <c r="M4" s="5"/>
      <c r="N4" s="77">
        <v>121.89</v>
      </c>
      <c r="O4" s="61">
        <v>11.13</v>
      </c>
      <c r="P4" s="61">
        <f t="shared" si="6"/>
        <v>69.507317073170739</v>
      </c>
      <c r="Q4" s="13">
        <f t="shared" si="7"/>
        <v>4.4156665066369394E-2</v>
      </c>
      <c r="R4" s="5"/>
    </row>
    <row r="5" spans="1:18" s="2" customFormat="1" x14ac:dyDescent="0.25">
      <c r="A5" s="62" t="s">
        <v>339</v>
      </c>
      <c r="B5" s="5" t="s">
        <v>86</v>
      </c>
      <c r="C5" s="5" t="s">
        <v>0</v>
      </c>
      <c r="D5" s="5" t="s">
        <v>2</v>
      </c>
      <c r="E5" s="5" t="s">
        <v>309</v>
      </c>
      <c r="F5" s="5" t="s">
        <v>241</v>
      </c>
      <c r="G5" s="5">
        <v>15</v>
      </c>
      <c r="H5" s="77">
        <v>2.0499999999999998</v>
      </c>
      <c r="I5" s="78">
        <v>2.0499999999999998</v>
      </c>
      <c r="J5" s="80">
        <v>2.7</v>
      </c>
      <c r="K5" s="59">
        <v>12.36</v>
      </c>
      <c r="L5" s="59">
        <v>2.0499999999999998</v>
      </c>
      <c r="M5" s="5"/>
      <c r="N5" s="77">
        <v>121.89</v>
      </c>
      <c r="O5" s="61">
        <f t="shared" si="1"/>
        <v>6.0292682926829269</v>
      </c>
      <c r="P5" s="61">
        <f t="shared" si="2"/>
        <v>65.487804878048792</v>
      </c>
      <c r="Q5" s="13">
        <f t="shared" si="3"/>
        <v>7.3594441777282318E-2</v>
      </c>
      <c r="R5" s="5"/>
    </row>
    <row r="6" spans="1:18" s="2" customFormat="1" x14ac:dyDescent="0.25">
      <c r="A6" s="5"/>
      <c r="B6" s="5" t="s">
        <v>86</v>
      </c>
      <c r="C6" s="5" t="s">
        <v>3</v>
      </c>
      <c r="D6" s="5" t="s">
        <v>4</v>
      </c>
      <c r="E6" s="5" t="s">
        <v>5</v>
      </c>
      <c r="F6" s="5" t="s">
        <v>242</v>
      </c>
      <c r="G6" s="5">
        <v>20</v>
      </c>
      <c r="H6" s="13">
        <v>150</v>
      </c>
      <c r="I6" s="40">
        <v>150</v>
      </c>
      <c r="J6" s="16">
        <v>25.53</v>
      </c>
      <c r="K6" s="41">
        <v>204.46480376937441</v>
      </c>
      <c r="L6" s="41">
        <f t="shared" si="0"/>
        <v>150</v>
      </c>
      <c r="M6" s="41"/>
      <c r="N6" s="13">
        <v>0</v>
      </c>
      <c r="O6" s="61">
        <f t="shared" si="1"/>
        <v>1.3630986917958294</v>
      </c>
      <c r="P6" s="61">
        <f t="shared" si="2"/>
        <v>1.3630986917958294</v>
      </c>
      <c r="Q6" s="13">
        <v>0.47506500969539156</v>
      </c>
      <c r="R6" s="5"/>
    </row>
    <row r="7" spans="1:18" s="2" customFormat="1" x14ac:dyDescent="0.25">
      <c r="A7" s="5"/>
      <c r="B7" s="5" t="s">
        <v>86</v>
      </c>
      <c r="C7" s="5" t="s">
        <v>6</v>
      </c>
      <c r="D7" s="5" t="s">
        <v>7</v>
      </c>
      <c r="E7" s="5" t="s">
        <v>8</v>
      </c>
      <c r="F7" s="5" t="s">
        <v>242</v>
      </c>
      <c r="G7" s="5">
        <v>25</v>
      </c>
      <c r="H7" s="13">
        <v>200</v>
      </c>
      <c r="I7" s="40">
        <v>1100</v>
      </c>
      <c r="J7" s="16">
        <v>44.44</v>
      </c>
      <c r="K7" s="41">
        <v>417.05394411150723</v>
      </c>
      <c r="L7" s="41">
        <f t="shared" si="0"/>
        <v>417.05394411150723</v>
      </c>
      <c r="M7" s="41"/>
      <c r="N7" s="13">
        <v>0</v>
      </c>
      <c r="O7" s="61">
        <f t="shared" si="1"/>
        <v>2.0852697205575361</v>
      </c>
      <c r="P7" s="61">
        <f t="shared" si="2"/>
        <v>0.37913994919227928</v>
      </c>
      <c r="Q7" s="13">
        <v>0.3222044307695392</v>
      </c>
      <c r="R7" s="5"/>
    </row>
    <row r="8" spans="1:18" s="2" customFormat="1" x14ac:dyDescent="0.25">
      <c r="A8" s="5"/>
      <c r="B8" s="5" t="s">
        <v>86</v>
      </c>
      <c r="C8" s="5" t="s">
        <v>9</v>
      </c>
      <c r="D8" s="5" t="s">
        <v>10</v>
      </c>
      <c r="E8" s="5" t="s">
        <v>11</v>
      </c>
      <c r="F8" s="5" t="s">
        <v>242</v>
      </c>
      <c r="G8" s="5">
        <v>45</v>
      </c>
      <c r="H8" s="13">
        <v>0.25</v>
      </c>
      <c r="I8" s="40">
        <v>0.83</v>
      </c>
      <c r="J8" s="16">
        <v>5.1999999999999998E-2</v>
      </c>
      <c r="K8" s="41">
        <v>0.66745742743818515</v>
      </c>
      <c r="L8" s="41">
        <f t="shared" si="0"/>
        <v>0.66745742743818515</v>
      </c>
      <c r="M8" s="41"/>
      <c r="N8" s="13">
        <v>0</v>
      </c>
      <c r="O8" s="61">
        <f t="shared" si="1"/>
        <v>2.6698297097527406</v>
      </c>
      <c r="P8" s="61">
        <f t="shared" si="2"/>
        <v>0.80416557522672916</v>
      </c>
      <c r="Q8" s="13">
        <v>0.27405982377300153</v>
      </c>
      <c r="R8" s="5">
        <v>36</v>
      </c>
    </row>
    <row r="9" spans="1:18" s="2" customFormat="1" x14ac:dyDescent="0.25">
      <c r="A9" s="5"/>
      <c r="B9" s="5" t="s">
        <v>86</v>
      </c>
      <c r="C9" s="5" t="s">
        <v>212</v>
      </c>
      <c r="D9" s="5" t="s">
        <v>12</v>
      </c>
      <c r="E9" s="5" t="s">
        <v>13</v>
      </c>
      <c r="F9" s="5" t="s">
        <v>243</v>
      </c>
      <c r="G9" s="5">
        <v>13</v>
      </c>
      <c r="H9" s="13">
        <v>50</v>
      </c>
      <c r="I9" s="40">
        <v>100</v>
      </c>
      <c r="J9" s="16">
        <v>32</v>
      </c>
      <c r="K9" s="41">
        <v>167.16758723580625</v>
      </c>
      <c r="L9" s="41">
        <f t="shared" si="0"/>
        <v>100</v>
      </c>
      <c r="M9" s="41"/>
      <c r="N9" s="13">
        <v>0</v>
      </c>
      <c r="O9" s="61">
        <f t="shared" si="1"/>
        <v>3.343351744716125</v>
      </c>
      <c r="P9" s="61">
        <f t="shared" si="2"/>
        <v>1.6716758723580625</v>
      </c>
      <c r="Q9" s="13">
        <v>0.1672396351087021</v>
      </c>
      <c r="R9" s="5">
        <v>153</v>
      </c>
    </row>
    <row r="10" spans="1:18" s="2" customFormat="1" x14ac:dyDescent="0.25">
      <c r="A10" s="5"/>
      <c r="B10" s="5" t="s">
        <v>86</v>
      </c>
      <c r="C10" s="5" t="s">
        <v>212</v>
      </c>
      <c r="D10" s="5" t="s">
        <v>219</v>
      </c>
      <c r="E10" s="5" t="s">
        <v>220</v>
      </c>
      <c r="F10" s="5" t="s">
        <v>243</v>
      </c>
      <c r="G10" s="5">
        <v>1</v>
      </c>
      <c r="H10" s="13">
        <v>3</v>
      </c>
      <c r="I10" s="57">
        <f>H10</f>
        <v>3</v>
      </c>
      <c r="J10" s="16">
        <v>17.3</v>
      </c>
      <c r="K10" s="41">
        <v>6.7651051202933647</v>
      </c>
      <c r="L10" s="41">
        <f t="shared" si="0"/>
        <v>3</v>
      </c>
      <c r="M10" s="41" t="s">
        <v>213</v>
      </c>
      <c r="N10" s="13">
        <v>0</v>
      </c>
      <c r="O10" s="61">
        <f t="shared" si="1"/>
        <v>2.2550350400977881</v>
      </c>
      <c r="P10" s="61">
        <f t="shared" si="2"/>
        <v>2.2550350400977881</v>
      </c>
      <c r="Q10" s="13">
        <v>0.18223699421965317</v>
      </c>
      <c r="R10" s="5">
        <v>173</v>
      </c>
    </row>
    <row r="11" spans="1:18" s="2" customFormat="1" x14ac:dyDescent="0.25">
      <c r="A11" s="5"/>
      <c r="B11" s="5" t="s">
        <v>86</v>
      </c>
      <c r="C11" s="5" t="s">
        <v>14</v>
      </c>
      <c r="D11" s="5" t="s">
        <v>15</v>
      </c>
      <c r="E11" s="5" t="s">
        <v>16</v>
      </c>
      <c r="F11" s="5" t="s">
        <v>242</v>
      </c>
      <c r="G11" s="5">
        <v>45</v>
      </c>
      <c r="H11" s="13">
        <v>100</v>
      </c>
      <c r="I11" s="40">
        <v>100</v>
      </c>
      <c r="J11" s="16">
        <v>12.3</v>
      </c>
      <c r="K11" s="41">
        <v>157.87935302864767</v>
      </c>
      <c r="L11" s="41">
        <f t="shared" si="0"/>
        <v>100</v>
      </c>
      <c r="M11" s="41"/>
      <c r="N11" s="13">
        <v>0</v>
      </c>
      <c r="O11" s="61">
        <f t="shared" si="1"/>
        <v>1.5787935302864766</v>
      </c>
      <c r="P11" s="61">
        <f t="shared" si="2"/>
        <v>1.5787935302864766</v>
      </c>
      <c r="Q11" s="13">
        <v>0.46345075890068538</v>
      </c>
      <c r="R11" s="5"/>
    </row>
    <row r="12" spans="1:18" s="2" customFormat="1" x14ac:dyDescent="0.25">
      <c r="A12" s="5"/>
      <c r="B12" s="5" t="s">
        <v>86</v>
      </c>
      <c r="C12" s="5" t="s">
        <v>17</v>
      </c>
      <c r="D12" s="5" t="s">
        <v>18</v>
      </c>
      <c r="E12" s="5" t="s">
        <v>19</v>
      </c>
      <c r="F12" s="5" t="s">
        <v>242</v>
      </c>
      <c r="G12" s="5">
        <v>45</v>
      </c>
      <c r="H12" s="13">
        <v>0.3</v>
      </c>
      <c r="I12" s="40">
        <v>1.6</v>
      </c>
      <c r="J12" s="16">
        <v>0.04</v>
      </c>
      <c r="K12" s="41">
        <v>0.51342879033706557</v>
      </c>
      <c r="L12" s="41">
        <f t="shared" si="0"/>
        <v>0.51342879033706557</v>
      </c>
      <c r="M12" s="41"/>
      <c r="N12" s="13">
        <v>0</v>
      </c>
      <c r="O12" s="61">
        <f t="shared" si="1"/>
        <v>1.711429301123552</v>
      </c>
      <c r="P12" s="61">
        <f t="shared" si="2"/>
        <v>0.32089299396066595</v>
      </c>
      <c r="Q12" s="13">
        <v>0.42753332508588232</v>
      </c>
      <c r="R12" s="5">
        <v>36</v>
      </c>
    </row>
    <row r="13" spans="1:18" s="2" customFormat="1" x14ac:dyDescent="0.25">
      <c r="A13" s="5"/>
      <c r="B13" s="5" t="s">
        <v>86</v>
      </c>
      <c r="C13" s="5" t="s">
        <v>20</v>
      </c>
      <c r="D13" s="5" t="s">
        <v>21</v>
      </c>
      <c r="E13" s="5" t="s">
        <v>22</v>
      </c>
      <c r="F13" s="5" t="s">
        <v>242</v>
      </c>
      <c r="G13" s="5">
        <v>18</v>
      </c>
      <c r="H13" s="13">
        <v>100</v>
      </c>
      <c r="I13" s="40">
        <v>100</v>
      </c>
      <c r="J13" s="16">
        <v>47.54</v>
      </c>
      <c r="K13" s="41">
        <v>340.95120125468043</v>
      </c>
      <c r="L13" s="41">
        <f t="shared" si="0"/>
        <v>100</v>
      </c>
      <c r="M13" s="41"/>
      <c r="N13" s="13">
        <v>0</v>
      </c>
      <c r="O13" s="61">
        <f t="shared" si="1"/>
        <v>3.4095120125468044</v>
      </c>
      <c r="P13" s="61">
        <f t="shared" si="2"/>
        <v>3.4095120125468044</v>
      </c>
      <c r="Q13" s="13">
        <v>0.18121324757942397</v>
      </c>
      <c r="R13" s="5"/>
    </row>
    <row r="14" spans="1:18" s="2" customFormat="1" x14ac:dyDescent="0.25">
      <c r="A14" s="5"/>
      <c r="B14" s="5" t="s">
        <v>86</v>
      </c>
      <c r="C14" s="5" t="s">
        <v>23</v>
      </c>
      <c r="D14" s="5" t="s">
        <v>24</v>
      </c>
      <c r="E14" s="5" t="s">
        <v>25</v>
      </c>
      <c r="F14" s="5" t="s">
        <v>242</v>
      </c>
      <c r="G14" s="5">
        <v>20</v>
      </c>
      <c r="H14" s="13">
        <v>150</v>
      </c>
      <c r="I14" s="40">
        <v>38</v>
      </c>
      <c r="J14" s="16">
        <v>57</v>
      </c>
      <c r="K14" s="41">
        <v>456.50191205853275</v>
      </c>
      <c r="L14" s="41">
        <f t="shared" si="0"/>
        <v>38</v>
      </c>
      <c r="M14" s="41" t="s">
        <v>190</v>
      </c>
      <c r="N14" s="13">
        <v>0</v>
      </c>
      <c r="O14" s="61">
        <f t="shared" si="1"/>
        <v>3.0433460803902181</v>
      </c>
      <c r="P14" s="61">
        <f t="shared" si="2"/>
        <v>12.013208212066651</v>
      </c>
      <c r="Q14" s="13">
        <v>0.21277911750040959</v>
      </c>
      <c r="R14" s="5">
        <v>29</v>
      </c>
    </row>
    <row r="15" spans="1:18" s="2" customFormat="1" x14ac:dyDescent="0.25">
      <c r="A15" s="62" t="s">
        <v>287</v>
      </c>
      <c r="B15" s="5" t="s">
        <v>86</v>
      </c>
      <c r="C15" s="5" t="s">
        <v>23</v>
      </c>
      <c r="D15" s="5" t="s">
        <v>26</v>
      </c>
      <c r="E15" s="5" t="s">
        <v>27</v>
      </c>
      <c r="F15" s="5" t="s">
        <v>243</v>
      </c>
      <c r="G15" s="5">
        <v>20</v>
      </c>
      <c r="H15" s="13">
        <v>250</v>
      </c>
      <c r="I15" s="40">
        <v>1</v>
      </c>
      <c r="J15" s="16">
        <v>79.400000000000006</v>
      </c>
      <c r="K15" s="41">
        <v>658.13634837247912</v>
      </c>
      <c r="L15" s="41">
        <f t="shared" si="0"/>
        <v>1</v>
      </c>
      <c r="M15" s="41" t="s">
        <v>191</v>
      </c>
      <c r="N15" s="13">
        <v>0</v>
      </c>
      <c r="O15" s="61">
        <f t="shared" si="1"/>
        <v>2.6325453934899166</v>
      </c>
      <c r="P15" s="61">
        <f t="shared" si="2"/>
        <v>658.13634837247912</v>
      </c>
      <c r="Q15" s="13">
        <v>0.25458458642996107</v>
      </c>
      <c r="R15" s="5"/>
    </row>
    <row r="16" spans="1:18" s="2" customFormat="1" x14ac:dyDescent="0.25">
      <c r="A16" s="62" t="s">
        <v>287</v>
      </c>
      <c r="B16" s="5" t="s">
        <v>86</v>
      </c>
      <c r="C16" s="5" t="s">
        <v>23</v>
      </c>
      <c r="D16" s="5" t="s">
        <v>29</v>
      </c>
      <c r="E16" s="5" t="s">
        <v>30</v>
      </c>
      <c r="F16" s="5" t="s">
        <v>243</v>
      </c>
      <c r="G16" s="5">
        <v>20</v>
      </c>
      <c r="H16" s="13">
        <v>350</v>
      </c>
      <c r="I16" s="40">
        <v>173</v>
      </c>
      <c r="J16" s="16">
        <v>90.9</v>
      </c>
      <c r="K16" s="41">
        <v>753.4583635649667</v>
      </c>
      <c r="L16" s="41">
        <f t="shared" si="0"/>
        <v>173</v>
      </c>
      <c r="M16" s="41" t="s">
        <v>192</v>
      </c>
      <c r="N16" s="13">
        <v>0</v>
      </c>
      <c r="O16" s="61">
        <f t="shared" si="1"/>
        <v>2.1527381816141906</v>
      </c>
      <c r="P16" s="61">
        <f t="shared" si="2"/>
        <v>4.3552506564448938</v>
      </c>
      <c r="Q16" s="13">
        <v>0.31132698160125938</v>
      </c>
      <c r="R16" s="5"/>
    </row>
    <row r="17" spans="1:20" s="2" customFormat="1" x14ac:dyDescent="0.25">
      <c r="A17" s="5"/>
      <c r="B17" s="5" t="s">
        <v>86</v>
      </c>
      <c r="C17" s="5" t="s">
        <v>23</v>
      </c>
      <c r="D17" s="5" t="s">
        <v>31</v>
      </c>
      <c r="E17" s="5" t="s">
        <v>32</v>
      </c>
      <c r="F17" s="5" t="s">
        <v>243</v>
      </c>
      <c r="G17" s="5">
        <v>20</v>
      </c>
      <c r="H17" s="13">
        <v>250</v>
      </c>
      <c r="I17" s="40">
        <v>38</v>
      </c>
      <c r="J17" s="16">
        <v>74</v>
      </c>
      <c r="K17" s="41">
        <v>613.37644558644149</v>
      </c>
      <c r="L17" s="41">
        <f t="shared" si="0"/>
        <v>38</v>
      </c>
      <c r="M17" s="41" t="s">
        <v>193</v>
      </c>
      <c r="N17" s="13">
        <v>0</v>
      </c>
      <c r="O17" s="61">
        <f t="shared" si="1"/>
        <v>2.4535057823457658</v>
      </c>
      <c r="P17" s="61">
        <f t="shared" si="2"/>
        <v>16.141485410169512</v>
      </c>
      <c r="Q17" s="13">
        <v>0.27316238057485015</v>
      </c>
      <c r="R17" s="5">
        <v>29</v>
      </c>
    </row>
    <row r="18" spans="1:20" s="2" customFormat="1" x14ac:dyDescent="0.25">
      <c r="A18" s="62" t="s">
        <v>286</v>
      </c>
      <c r="B18" s="5" t="s">
        <v>86</v>
      </c>
      <c r="C18" s="5" t="s">
        <v>23</v>
      </c>
      <c r="D18" s="5" t="s">
        <v>33</v>
      </c>
      <c r="E18" s="5" t="s">
        <v>34</v>
      </c>
      <c r="F18" s="5" t="s">
        <v>243</v>
      </c>
      <c r="G18" s="5">
        <v>20</v>
      </c>
      <c r="H18" s="13">
        <v>100</v>
      </c>
      <c r="I18" s="40">
        <v>105</v>
      </c>
      <c r="J18" s="16">
        <v>64</v>
      </c>
      <c r="K18" s="41">
        <v>530.48773672340883</v>
      </c>
      <c r="L18" s="41">
        <f t="shared" si="0"/>
        <v>105</v>
      </c>
      <c r="M18" s="41" t="s">
        <v>194</v>
      </c>
      <c r="N18" s="13">
        <v>0</v>
      </c>
      <c r="O18" s="61">
        <f t="shared" si="1"/>
        <v>5.3048773672340879</v>
      </c>
      <c r="P18" s="61">
        <f t="shared" si="2"/>
        <v>5.0522641592705604</v>
      </c>
      <c r="Q18" s="13">
        <v>0.12633760101586819</v>
      </c>
      <c r="R18" s="5">
        <v>29</v>
      </c>
    </row>
    <row r="19" spans="1:20" s="2" customFormat="1" x14ac:dyDescent="0.25">
      <c r="A19" s="5"/>
      <c r="B19" s="5" t="s">
        <v>86</v>
      </c>
      <c r="C19" s="5" t="s">
        <v>35</v>
      </c>
      <c r="D19" s="5" t="s">
        <v>36</v>
      </c>
      <c r="E19" s="5" t="s">
        <v>37</v>
      </c>
      <c r="F19" s="5" t="s">
        <v>243</v>
      </c>
      <c r="G19" s="5">
        <v>25</v>
      </c>
      <c r="H19" s="13">
        <v>100</v>
      </c>
      <c r="I19" s="40">
        <v>500</v>
      </c>
      <c r="J19" s="16">
        <v>60.7</v>
      </c>
      <c r="K19" s="41">
        <v>590.39216458434089</v>
      </c>
      <c r="L19" s="41">
        <f t="shared" si="0"/>
        <v>500</v>
      </c>
      <c r="M19" s="41"/>
      <c r="N19" s="13">
        <v>0</v>
      </c>
      <c r="O19" s="61">
        <f t="shared" si="1"/>
        <v>5.9039216458434085</v>
      </c>
      <c r="P19" s="61">
        <f t="shared" si="2"/>
        <v>1.1807843291686817</v>
      </c>
      <c r="Q19" s="13">
        <v>0.1179469926144837</v>
      </c>
      <c r="R19" s="5">
        <v>23</v>
      </c>
    </row>
    <row r="20" spans="1:20" s="2" customFormat="1" x14ac:dyDescent="0.25">
      <c r="A20" s="5"/>
      <c r="B20" s="5" t="s">
        <v>86</v>
      </c>
      <c r="C20" s="5" t="s">
        <v>35</v>
      </c>
      <c r="D20" s="5" t="s">
        <v>38</v>
      </c>
      <c r="E20" s="5" t="s">
        <v>39</v>
      </c>
      <c r="F20" s="5" t="s">
        <v>243</v>
      </c>
      <c r="G20" s="5">
        <v>25</v>
      </c>
      <c r="H20" s="13">
        <v>200</v>
      </c>
      <c r="I20" s="40">
        <v>950</v>
      </c>
      <c r="J20" s="16">
        <v>80.7</v>
      </c>
      <c r="K20" s="41">
        <v>784.92006065825888</v>
      </c>
      <c r="L20" s="41">
        <f t="shared" si="0"/>
        <v>784.92006065825888</v>
      </c>
      <c r="M20" s="41"/>
      <c r="N20" s="13">
        <v>0</v>
      </c>
      <c r="O20" s="61">
        <f t="shared" si="1"/>
        <v>3.9246003032912942</v>
      </c>
      <c r="P20" s="61">
        <f t="shared" si="2"/>
        <v>0.82623164279816719</v>
      </c>
      <c r="Q20" s="13">
        <v>0.17743203102104488</v>
      </c>
      <c r="R20" s="5">
        <v>23</v>
      </c>
    </row>
    <row r="21" spans="1:20" s="2" customFormat="1" x14ac:dyDescent="0.25">
      <c r="A21" s="5"/>
      <c r="B21" s="5" t="s">
        <v>86</v>
      </c>
      <c r="C21" s="5" t="s">
        <v>40</v>
      </c>
      <c r="D21" s="5" t="s">
        <v>41</v>
      </c>
      <c r="E21" s="5" t="s">
        <v>42</v>
      </c>
      <c r="F21" s="5" t="s">
        <v>242</v>
      </c>
      <c r="G21" s="5">
        <v>45</v>
      </c>
      <c r="H21" s="13">
        <v>0.3</v>
      </c>
      <c r="I21" s="40">
        <v>1.39</v>
      </c>
      <c r="J21" s="16">
        <v>0.05</v>
      </c>
      <c r="K21" s="41">
        <v>0.6417859879213319</v>
      </c>
      <c r="L21" s="41">
        <f t="shared" si="0"/>
        <v>0.6417859879213319</v>
      </c>
      <c r="M21" s="41"/>
      <c r="N21" s="13">
        <v>0</v>
      </c>
      <c r="O21" s="61">
        <f t="shared" si="1"/>
        <v>2.1392866264044397</v>
      </c>
      <c r="P21" s="61">
        <f t="shared" si="2"/>
        <v>0.4617165380729007</v>
      </c>
      <c r="Q21" s="13">
        <v>0.34202666006870586</v>
      </c>
      <c r="R21" s="5"/>
    </row>
    <row r="22" spans="1:20" s="2" customFormat="1" x14ac:dyDescent="0.25">
      <c r="A22" s="5"/>
      <c r="B22" s="5" t="s">
        <v>86</v>
      </c>
      <c r="C22" s="5" t="s">
        <v>43</v>
      </c>
      <c r="D22" s="5" t="s">
        <v>44</v>
      </c>
      <c r="E22" s="5" t="s">
        <v>45</v>
      </c>
      <c r="F22" s="5" t="s">
        <v>241</v>
      </c>
      <c r="G22" s="5">
        <v>15</v>
      </c>
      <c r="H22" s="13">
        <v>18.989999999999998</v>
      </c>
      <c r="I22" s="40">
        <v>18.989999999999998</v>
      </c>
      <c r="J22" s="16">
        <v>11.5</v>
      </c>
      <c r="K22" s="41">
        <v>52.632982886781598</v>
      </c>
      <c r="L22" s="41">
        <f t="shared" si="0"/>
        <v>18.989999999999998</v>
      </c>
      <c r="M22" s="41"/>
      <c r="N22" s="13">
        <v>312.41000000000003</v>
      </c>
      <c r="O22" s="61">
        <f t="shared" si="1"/>
        <v>2.7716157391670144</v>
      </c>
      <c r="P22" s="61">
        <f t="shared" si="2"/>
        <v>19.22290589187897</v>
      </c>
      <c r="Q22" s="13">
        <v>0.16005971636252794</v>
      </c>
      <c r="R22" s="5">
        <v>30</v>
      </c>
      <c r="S22" s="81"/>
    </row>
    <row r="23" spans="1:20" s="2" customFormat="1" x14ac:dyDescent="0.25">
      <c r="A23" s="62" t="s">
        <v>339</v>
      </c>
      <c r="B23" s="5" t="s">
        <v>86</v>
      </c>
      <c r="C23" s="5" t="s">
        <v>46</v>
      </c>
      <c r="D23" s="5" t="s">
        <v>47</v>
      </c>
      <c r="E23" s="5" t="s">
        <v>336</v>
      </c>
      <c r="F23" s="5" t="s">
        <v>241</v>
      </c>
      <c r="G23" s="5">
        <v>15</v>
      </c>
      <c r="H23" s="77">
        <v>3.38</v>
      </c>
      <c r="I23" s="78">
        <v>4.5</v>
      </c>
      <c r="J23" s="16">
        <v>11</v>
      </c>
      <c r="K23" s="59">
        <v>50.34</v>
      </c>
      <c r="L23" s="59">
        <f t="shared" si="0"/>
        <v>4.5</v>
      </c>
      <c r="M23" s="41"/>
      <c r="N23" s="77">
        <v>263.76</v>
      </c>
      <c r="O23" s="61">
        <f t="shared" si="1"/>
        <v>14.893491124260356</v>
      </c>
      <c r="P23" s="61">
        <f t="shared" si="2"/>
        <v>69.800000000000011</v>
      </c>
      <c r="Q23" s="13">
        <f t="shared" ref="Q23:Q24" si="8">-PMT(0.0509,G23,I23)/J23</f>
        <v>3.9652881046296239E-2</v>
      </c>
      <c r="R23" s="5"/>
    </row>
    <row r="24" spans="1:20" s="2" customFormat="1" x14ac:dyDescent="0.25">
      <c r="A24" s="62" t="s">
        <v>339</v>
      </c>
      <c r="B24" s="5" t="s">
        <v>86</v>
      </c>
      <c r="C24" s="5" t="s">
        <v>46</v>
      </c>
      <c r="D24" s="5" t="s">
        <v>47</v>
      </c>
      <c r="E24" s="5" t="s">
        <v>307</v>
      </c>
      <c r="F24" s="5" t="s">
        <v>241</v>
      </c>
      <c r="G24" s="5">
        <v>15</v>
      </c>
      <c r="H24" s="77">
        <v>4.5</v>
      </c>
      <c r="I24" s="78">
        <v>4.5</v>
      </c>
      <c r="J24" s="16">
        <v>8.1</v>
      </c>
      <c r="K24" s="59">
        <v>37.07</v>
      </c>
      <c r="L24" s="59">
        <f t="shared" si="0"/>
        <v>4.5</v>
      </c>
      <c r="M24" s="5"/>
      <c r="N24" s="77">
        <v>193.64</v>
      </c>
      <c r="O24" s="61">
        <f t="shared" si="1"/>
        <v>8.2377777777777776</v>
      </c>
      <c r="P24" s="61">
        <f t="shared" si="2"/>
        <v>51.268888888888881</v>
      </c>
      <c r="Q24" s="13">
        <f t="shared" si="8"/>
        <v>5.3849591544352919E-2</v>
      </c>
      <c r="R24" s="5">
        <v>27</v>
      </c>
      <c r="S24" s="76"/>
      <c r="T24" s="76"/>
    </row>
    <row r="25" spans="1:20" s="2" customFormat="1" x14ac:dyDescent="0.25">
      <c r="A25" s="62" t="s">
        <v>339</v>
      </c>
      <c r="B25" s="5" t="s">
        <v>86</v>
      </c>
      <c r="C25" s="5" t="s">
        <v>214</v>
      </c>
      <c r="D25" s="5" t="s">
        <v>215</v>
      </c>
      <c r="E25" s="5" t="s">
        <v>337</v>
      </c>
      <c r="F25" s="5" t="s">
        <v>241</v>
      </c>
      <c r="G25" s="5">
        <v>15</v>
      </c>
      <c r="H25" s="77">
        <v>28</v>
      </c>
      <c r="I25" s="78">
        <v>28</v>
      </c>
      <c r="J25" s="16">
        <v>7</v>
      </c>
      <c r="K25" s="59">
        <v>32.04</v>
      </c>
      <c r="L25" s="59">
        <f t="shared" si="0"/>
        <v>28</v>
      </c>
      <c r="M25" s="5"/>
      <c r="N25" s="77">
        <v>193.64</v>
      </c>
      <c r="O25" s="61">
        <f t="shared" si="1"/>
        <v>1.1442857142857144</v>
      </c>
      <c r="P25" s="61">
        <f t="shared" si="2"/>
        <v>8.0599999999999987</v>
      </c>
      <c r="Q25" s="13">
        <f>-PMT(0.0509,G25,I25)/J25</f>
        <v>0.38771705911934101</v>
      </c>
      <c r="R25" s="5"/>
    </row>
    <row r="26" spans="1:20" s="2" customFormat="1" x14ac:dyDescent="0.25">
      <c r="A26" s="62" t="s">
        <v>339</v>
      </c>
      <c r="B26" s="5" t="s">
        <v>86</v>
      </c>
      <c r="C26" s="5" t="s">
        <v>214</v>
      </c>
      <c r="D26" s="5" t="s">
        <v>215</v>
      </c>
      <c r="E26" s="5" t="s">
        <v>338</v>
      </c>
      <c r="F26" s="5" t="s">
        <v>241</v>
      </c>
      <c r="G26" s="5">
        <v>15</v>
      </c>
      <c r="H26" s="77">
        <v>28</v>
      </c>
      <c r="I26" s="78">
        <v>28</v>
      </c>
      <c r="J26" s="16">
        <v>7</v>
      </c>
      <c r="K26" s="59">
        <v>32.04</v>
      </c>
      <c r="L26" s="59">
        <f t="shared" si="0"/>
        <v>28</v>
      </c>
      <c r="M26" s="5"/>
      <c r="N26" s="77">
        <v>193.64</v>
      </c>
      <c r="O26" s="61">
        <f t="shared" si="1"/>
        <v>1.1442857142857144</v>
      </c>
      <c r="P26" s="61">
        <f t="shared" si="2"/>
        <v>8.0599999999999987</v>
      </c>
      <c r="Q26" s="13">
        <f>-PMT(0.0509,G26,I26)/J26</f>
        <v>0.38771705911934101</v>
      </c>
      <c r="R26" s="5"/>
    </row>
    <row r="27" spans="1:20" x14ac:dyDescent="0.25">
      <c r="A27" s="35"/>
      <c r="B27" s="35" t="s">
        <v>86</v>
      </c>
      <c r="C27" s="35" t="s">
        <v>48</v>
      </c>
      <c r="D27" s="35" t="s">
        <v>49</v>
      </c>
      <c r="E27" s="35" t="s">
        <v>50</v>
      </c>
      <c r="F27" s="35" t="s">
        <v>241</v>
      </c>
      <c r="G27" s="5">
        <v>12</v>
      </c>
      <c r="H27" s="36">
        <v>20</v>
      </c>
      <c r="I27" s="37">
        <v>20</v>
      </c>
      <c r="J27" s="35">
        <v>6.5</v>
      </c>
      <c r="K27" s="38">
        <v>24.259362849988001</v>
      </c>
      <c r="L27" s="38">
        <f t="shared" si="0"/>
        <v>20</v>
      </c>
      <c r="M27" s="41"/>
      <c r="N27" s="36">
        <v>107</v>
      </c>
      <c r="O27" s="39">
        <f t="shared" si="1"/>
        <v>1.2129681424994001</v>
      </c>
      <c r="P27" s="39">
        <f t="shared" si="2"/>
        <v>6.5629681424994004</v>
      </c>
      <c r="Q27" s="36">
        <v>0.34891945916039702</v>
      </c>
      <c r="R27" s="35"/>
    </row>
    <row r="28" spans="1:20" s="2" customFormat="1" x14ac:dyDescent="0.25">
      <c r="A28" s="5"/>
      <c r="B28" s="5" t="s">
        <v>86</v>
      </c>
      <c r="C28" s="5" t="s">
        <v>51</v>
      </c>
      <c r="D28" s="5" t="s">
        <v>52</v>
      </c>
      <c r="E28" s="5" t="s">
        <v>53</v>
      </c>
      <c r="F28" s="5" t="s">
        <v>241</v>
      </c>
      <c r="G28" s="5">
        <v>13</v>
      </c>
      <c r="H28" s="13">
        <v>100</v>
      </c>
      <c r="I28" s="40">
        <v>200</v>
      </c>
      <c r="J28" s="5">
        <v>23</v>
      </c>
      <c r="K28" s="41">
        <v>92.315870186031219</v>
      </c>
      <c r="L28" s="41">
        <f t="shared" si="0"/>
        <v>92.315870186031219</v>
      </c>
      <c r="M28" s="41" t="s">
        <v>289</v>
      </c>
      <c r="N28" s="13">
        <v>0</v>
      </c>
      <c r="O28" s="14">
        <f t="shared" si="1"/>
        <v>0.92315870186031224</v>
      </c>
      <c r="P28" s="14">
        <f t="shared" si="2"/>
        <v>0.46157935093015612</v>
      </c>
      <c r="Q28" s="13">
        <v>0.46536246291117106</v>
      </c>
      <c r="R28" s="5"/>
    </row>
    <row r="29" spans="1:20" s="2" customFormat="1" ht="14.25" customHeight="1" x14ac:dyDescent="0.25">
      <c r="A29" s="5"/>
      <c r="B29" s="5" t="s">
        <v>86</v>
      </c>
      <c r="C29" s="5" t="s">
        <v>51</v>
      </c>
      <c r="D29" s="5" t="s">
        <v>54</v>
      </c>
      <c r="E29" s="5" t="s">
        <v>55</v>
      </c>
      <c r="F29" s="5" t="s">
        <v>241</v>
      </c>
      <c r="G29" s="5">
        <v>13</v>
      </c>
      <c r="H29" s="13">
        <v>125</v>
      </c>
      <c r="I29" s="40">
        <v>430</v>
      </c>
      <c r="J29" s="5">
        <v>31</v>
      </c>
      <c r="K29" s="41">
        <v>124.42573807682469</v>
      </c>
      <c r="L29" s="41">
        <f t="shared" si="0"/>
        <v>124.42573807682469</v>
      </c>
      <c r="M29" s="41" t="s">
        <v>289</v>
      </c>
      <c r="N29" s="13">
        <v>0</v>
      </c>
      <c r="O29" s="14">
        <f t="shared" si="1"/>
        <v>0.99540590461459744</v>
      </c>
      <c r="P29" s="14">
        <f t="shared" si="2"/>
        <v>0.28936218157401089</v>
      </c>
      <c r="Q29" s="13">
        <v>0.43158615511923121</v>
      </c>
      <c r="R29" s="5"/>
    </row>
    <row r="30" spans="1:20" x14ac:dyDescent="0.25">
      <c r="A30" s="35"/>
      <c r="B30" s="35" t="s">
        <v>86</v>
      </c>
      <c r="C30" s="35" t="s">
        <v>56</v>
      </c>
      <c r="D30" s="35" t="s">
        <v>57</v>
      </c>
      <c r="E30" s="35" t="s">
        <v>58</v>
      </c>
      <c r="F30" s="35" t="s">
        <v>242</v>
      </c>
      <c r="G30" s="5">
        <v>45</v>
      </c>
      <c r="H30" s="36">
        <v>4</v>
      </c>
      <c r="I30" s="37">
        <v>4.3600000000000003</v>
      </c>
      <c r="J30" s="35">
        <v>0.48</v>
      </c>
      <c r="K30" s="38">
        <v>6.1611454840447859</v>
      </c>
      <c r="L30" s="38">
        <f t="shared" si="0"/>
        <v>4.3600000000000003</v>
      </c>
      <c r="M30" s="41"/>
      <c r="N30" s="36">
        <v>0</v>
      </c>
      <c r="O30" s="39">
        <f t="shared" si="1"/>
        <v>1.5402863710111965</v>
      </c>
      <c r="P30" s="39">
        <f t="shared" si="2"/>
        <v>1.4131067623955931</v>
      </c>
      <c r="Q30" s="36">
        <v>0.47503702787320262</v>
      </c>
      <c r="R30" s="35">
        <v>28</v>
      </c>
    </row>
    <row r="31" spans="1:20" x14ac:dyDescent="0.25">
      <c r="A31" s="35"/>
      <c r="B31" s="35" t="s">
        <v>86</v>
      </c>
      <c r="C31" s="35" t="s">
        <v>56</v>
      </c>
      <c r="D31" s="35" t="s">
        <v>59</v>
      </c>
      <c r="E31" s="35" t="s">
        <v>60</v>
      </c>
      <c r="F31" s="35" t="s">
        <v>242</v>
      </c>
      <c r="G31" s="5">
        <v>45</v>
      </c>
      <c r="H31" s="36">
        <v>1.75</v>
      </c>
      <c r="I31" s="37">
        <v>1.1100000000000001</v>
      </c>
      <c r="J31" s="35">
        <v>0.2</v>
      </c>
      <c r="K31" s="38">
        <v>2.5671439516853276</v>
      </c>
      <c r="L31" s="38">
        <f t="shared" si="0"/>
        <v>1.1100000000000001</v>
      </c>
      <c r="M31" s="41"/>
      <c r="N31" s="36">
        <v>0</v>
      </c>
      <c r="O31" s="39">
        <f t="shared" si="1"/>
        <v>1.4669394009630443</v>
      </c>
      <c r="P31" s="39">
        <f t="shared" si="2"/>
        <v>2.3127422988156101</v>
      </c>
      <c r="Q31" s="36">
        <v>0.49878887926686272</v>
      </c>
      <c r="R31" s="35">
        <v>28</v>
      </c>
    </row>
    <row r="32" spans="1:20" x14ac:dyDescent="0.25">
      <c r="A32" s="35"/>
      <c r="B32" s="35" t="s">
        <v>87</v>
      </c>
      <c r="C32" s="35" t="s">
        <v>63</v>
      </c>
      <c r="D32" s="35" t="s">
        <v>64</v>
      </c>
      <c r="E32" s="35" t="s">
        <v>200</v>
      </c>
      <c r="F32" s="35" t="s">
        <v>243</v>
      </c>
      <c r="G32" s="35">
        <v>25</v>
      </c>
      <c r="H32" s="36">
        <v>300</v>
      </c>
      <c r="I32" s="37">
        <v>671</v>
      </c>
      <c r="J32" s="35">
        <v>79</v>
      </c>
      <c r="K32" s="38">
        <v>768.38518949197578</v>
      </c>
      <c r="L32" s="38">
        <f t="shared" si="0"/>
        <v>671</v>
      </c>
      <c r="M32" s="38" t="s">
        <v>218</v>
      </c>
      <c r="N32" s="36">
        <v>119</v>
      </c>
      <c r="O32" s="39">
        <f t="shared" si="1"/>
        <v>2.5612839649732524</v>
      </c>
      <c r="P32" s="39">
        <f t="shared" si="2"/>
        <v>1.3224816534902768</v>
      </c>
      <c r="Q32" s="36">
        <v>0.27187528297591751</v>
      </c>
      <c r="R32" s="35">
        <v>145</v>
      </c>
    </row>
    <row r="33" spans="1:19" x14ac:dyDescent="0.25">
      <c r="A33" s="35"/>
      <c r="B33" s="35" t="s">
        <v>87</v>
      </c>
      <c r="C33" s="35" t="s">
        <v>63</v>
      </c>
      <c r="D33" s="35" t="s">
        <v>65</v>
      </c>
      <c r="E33" s="35" t="s">
        <v>201</v>
      </c>
      <c r="F33" s="35" t="s">
        <v>243</v>
      </c>
      <c r="G33" s="35">
        <v>31</v>
      </c>
      <c r="H33" s="36">
        <v>400</v>
      </c>
      <c r="I33" s="37">
        <v>1292</v>
      </c>
      <c r="J33" s="35">
        <v>120</v>
      </c>
      <c r="K33" s="38">
        <v>1359.8105701236695</v>
      </c>
      <c r="L33" s="38">
        <f t="shared" si="0"/>
        <v>1292</v>
      </c>
      <c r="M33" s="38" t="s">
        <v>218</v>
      </c>
      <c r="N33" s="36">
        <v>124</v>
      </c>
      <c r="O33" s="39">
        <f t="shared" si="1"/>
        <v>3.3995264253091739</v>
      </c>
      <c r="P33" s="39">
        <f t="shared" si="2"/>
        <v>1.1484601935941714</v>
      </c>
      <c r="Q33" s="36">
        <v>0.21602133696397985</v>
      </c>
      <c r="R33" s="35">
        <v>145</v>
      </c>
    </row>
    <row r="34" spans="1:19" x14ac:dyDescent="0.25">
      <c r="A34" s="35"/>
      <c r="B34" s="35" t="s">
        <v>87</v>
      </c>
      <c r="C34" s="35" t="s">
        <v>63</v>
      </c>
      <c r="D34" s="35" t="s">
        <v>66</v>
      </c>
      <c r="E34" s="35" t="s">
        <v>202</v>
      </c>
      <c r="F34" s="35" t="s">
        <v>243</v>
      </c>
      <c r="G34" s="35">
        <v>35</v>
      </c>
      <c r="H34" s="36">
        <v>500</v>
      </c>
      <c r="I34" s="37">
        <v>2932</v>
      </c>
      <c r="J34" s="35">
        <v>200</v>
      </c>
      <c r="K34" s="38">
        <v>2400.6199548880013</v>
      </c>
      <c r="L34" s="38">
        <f t="shared" si="0"/>
        <v>2400.6199548880013</v>
      </c>
      <c r="M34" s="38" t="s">
        <v>218</v>
      </c>
      <c r="N34" s="36">
        <v>412</v>
      </c>
      <c r="O34" s="39">
        <f t="shared" si="1"/>
        <v>4.8012399097760028</v>
      </c>
      <c r="P34" s="39">
        <f t="shared" si="2"/>
        <v>0.95928374996180121</v>
      </c>
      <c r="Q34" s="36">
        <v>0.15441735728508044</v>
      </c>
      <c r="R34" s="35">
        <v>145</v>
      </c>
    </row>
    <row r="35" spans="1:19" x14ac:dyDescent="0.25">
      <c r="A35" s="35"/>
      <c r="B35" s="35" t="s">
        <v>87</v>
      </c>
      <c r="C35" s="35" t="s">
        <v>63</v>
      </c>
      <c r="D35" s="35" t="s">
        <v>67</v>
      </c>
      <c r="E35" s="35" t="s">
        <v>203</v>
      </c>
      <c r="F35" s="35" t="s">
        <v>243</v>
      </c>
      <c r="G35" s="35">
        <v>38</v>
      </c>
      <c r="H35" s="36">
        <v>700</v>
      </c>
      <c r="I35" s="37">
        <v>8078</v>
      </c>
      <c r="J35" s="35">
        <v>243</v>
      </c>
      <c r="K35" s="38">
        <v>3039.1058757052897</v>
      </c>
      <c r="L35" s="38">
        <f t="shared" si="0"/>
        <v>3039.1058757052897</v>
      </c>
      <c r="M35" s="38" t="s">
        <v>218</v>
      </c>
      <c r="N35" s="36">
        <v>537</v>
      </c>
      <c r="O35" s="39">
        <f t="shared" si="1"/>
        <v>4.3415798224361284</v>
      </c>
      <c r="P35" s="39">
        <f t="shared" si="2"/>
        <v>0.44269693930493809</v>
      </c>
      <c r="Q35" s="36">
        <v>0.17282364218232568</v>
      </c>
      <c r="R35" s="35">
        <v>145</v>
      </c>
    </row>
    <row r="36" spans="1:19" x14ac:dyDescent="0.25">
      <c r="A36" s="35"/>
      <c r="B36" s="35" t="s">
        <v>87</v>
      </c>
      <c r="C36" s="35" t="s">
        <v>63</v>
      </c>
      <c r="D36" s="35" t="s">
        <v>68</v>
      </c>
      <c r="E36" s="35" t="s">
        <v>204</v>
      </c>
      <c r="F36" s="35" t="s">
        <v>243</v>
      </c>
      <c r="G36" s="35">
        <v>39</v>
      </c>
      <c r="H36" s="36">
        <v>900</v>
      </c>
      <c r="I36" s="37">
        <v>9136</v>
      </c>
      <c r="J36" s="35">
        <v>271</v>
      </c>
      <c r="K36" s="38">
        <v>3434.7745402171963</v>
      </c>
      <c r="L36" s="38">
        <f t="shared" si="0"/>
        <v>3434.7745402171963</v>
      </c>
      <c r="M36" s="38" t="s">
        <v>218</v>
      </c>
      <c r="N36" s="13">
        <v>544</v>
      </c>
      <c r="O36" s="39">
        <f t="shared" si="1"/>
        <v>3.816416155796885</v>
      </c>
      <c r="P36" s="39">
        <f t="shared" si="2"/>
        <v>0.4355050941568735</v>
      </c>
      <c r="Q36" s="36">
        <v>0.19753424131620809</v>
      </c>
      <c r="R36" s="35">
        <v>145</v>
      </c>
    </row>
    <row r="37" spans="1:19" x14ac:dyDescent="0.25">
      <c r="A37" s="35"/>
      <c r="B37" s="35" t="s">
        <v>87</v>
      </c>
      <c r="C37" s="35" t="s">
        <v>63</v>
      </c>
      <c r="D37" s="35" t="s">
        <v>64</v>
      </c>
      <c r="E37" s="35" t="s">
        <v>205</v>
      </c>
      <c r="F37" s="35" t="s">
        <v>243</v>
      </c>
      <c r="G37" s="35">
        <v>34</v>
      </c>
      <c r="H37" s="36">
        <v>250</v>
      </c>
      <c r="I37" s="37">
        <v>869</v>
      </c>
      <c r="J37" s="35">
        <v>53</v>
      </c>
      <c r="K37" s="38">
        <v>627.26896648514537</v>
      </c>
      <c r="L37" s="38">
        <f t="shared" si="0"/>
        <v>627.26896648514537</v>
      </c>
      <c r="M37" s="38" t="s">
        <v>195</v>
      </c>
      <c r="N37" s="13">
        <f>-PV(5.53%, G37, 33)</f>
        <v>501.02409660188454</v>
      </c>
      <c r="O37" s="39">
        <f t="shared" si="1"/>
        <v>2.5090758659405816</v>
      </c>
      <c r="P37" s="39">
        <f t="shared" si="2"/>
        <v>1.2983809701807019</v>
      </c>
      <c r="Q37" s="36">
        <v>0.2945544102729854</v>
      </c>
      <c r="R37" s="35">
        <v>145</v>
      </c>
    </row>
    <row r="38" spans="1:19" x14ac:dyDescent="0.25">
      <c r="A38" s="35"/>
      <c r="B38" s="35" t="s">
        <v>87</v>
      </c>
      <c r="C38" s="35" t="s">
        <v>63</v>
      </c>
      <c r="D38" s="35" t="s">
        <v>65</v>
      </c>
      <c r="E38" s="35" t="s">
        <v>206</v>
      </c>
      <c r="F38" s="35" t="s">
        <v>243</v>
      </c>
      <c r="G38" s="35">
        <v>39</v>
      </c>
      <c r="H38" s="36">
        <v>450</v>
      </c>
      <c r="I38" s="37">
        <v>2701</v>
      </c>
      <c r="J38" s="35">
        <v>111</v>
      </c>
      <c r="K38" s="38">
        <v>1406.863372561287</v>
      </c>
      <c r="L38" s="38">
        <f t="shared" si="0"/>
        <v>1406.863372561287</v>
      </c>
      <c r="M38" s="38" t="s">
        <v>195</v>
      </c>
      <c r="N38" s="13">
        <f>-PV(5.53%, G38, 34)</f>
        <v>539.47665837562545</v>
      </c>
      <c r="O38" s="39">
        <f t="shared" si="1"/>
        <v>3.1263630501361934</v>
      </c>
      <c r="P38" s="39">
        <f t="shared" si="2"/>
        <v>0.72059978931392532</v>
      </c>
      <c r="Q38" s="36">
        <v>0.2411341414265423</v>
      </c>
      <c r="R38" s="35">
        <v>145</v>
      </c>
    </row>
    <row r="39" spans="1:19" x14ac:dyDescent="0.25">
      <c r="A39" s="35"/>
      <c r="B39" s="35" t="s">
        <v>87</v>
      </c>
      <c r="C39" s="35" t="s">
        <v>63</v>
      </c>
      <c r="D39" s="35" t="s">
        <v>66</v>
      </c>
      <c r="E39" s="35" t="s">
        <v>207</v>
      </c>
      <c r="F39" s="35" t="s">
        <v>243</v>
      </c>
      <c r="G39" s="35">
        <v>41</v>
      </c>
      <c r="H39" s="36">
        <v>650</v>
      </c>
      <c r="I39" s="37">
        <v>7557</v>
      </c>
      <c r="J39" s="35">
        <v>161</v>
      </c>
      <c r="K39" s="38">
        <v>2083.3816677505097</v>
      </c>
      <c r="L39" s="38">
        <f t="shared" si="0"/>
        <v>2083.3816677505097</v>
      </c>
      <c r="M39" s="38" t="s">
        <v>195</v>
      </c>
      <c r="N39" s="13">
        <f>-PV(5.53%, G39, 50)</f>
        <v>804.65722385492518</v>
      </c>
      <c r="O39" s="39">
        <f t="shared" si="1"/>
        <v>3.2052025657700147</v>
      </c>
      <c r="P39" s="39">
        <f t="shared" si="2"/>
        <v>0.38216738012510715</v>
      </c>
      <c r="Q39" s="36">
        <v>0.2363695881706947</v>
      </c>
      <c r="R39" s="35">
        <v>145</v>
      </c>
    </row>
    <row r="40" spans="1:19" x14ac:dyDescent="0.25">
      <c r="A40" s="35"/>
      <c r="B40" s="35" t="s">
        <v>87</v>
      </c>
      <c r="C40" s="35" t="s">
        <v>63</v>
      </c>
      <c r="D40" s="35" t="s">
        <v>67</v>
      </c>
      <c r="E40" s="35" t="s">
        <v>208</v>
      </c>
      <c r="F40" s="35" t="s">
        <v>243</v>
      </c>
      <c r="G40" s="35">
        <v>42</v>
      </c>
      <c r="H40" s="36">
        <v>850</v>
      </c>
      <c r="I40" s="37">
        <v>8970</v>
      </c>
      <c r="J40" s="35">
        <v>199</v>
      </c>
      <c r="K40" s="38">
        <v>2594.6090177807132</v>
      </c>
      <c r="L40" s="38">
        <f t="shared" si="0"/>
        <v>2594.6090177807132</v>
      </c>
      <c r="M40" s="38" t="s">
        <v>195</v>
      </c>
      <c r="N40" s="13">
        <f>-PV(5.53%, G40, 51)</f>
        <v>826.06876559464013</v>
      </c>
      <c r="O40" s="39">
        <f t="shared" si="1"/>
        <v>3.0524811973890742</v>
      </c>
      <c r="P40" s="39">
        <f t="shared" si="2"/>
        <v>0.38134646414440948</v>
      </c>
      <c r="Q40" s="36">
        <v>0.24826828420374392</v>
      </c>
      <c r="R40" s="35">
        <v>145</v>
      </c>
      <c r="S40" s="75"/>
    </row>
    <row r="41" spans="1:19" x14ac:dyDescent="0.25">
      <c r="A41" s="35"/>
      <c r="B41" s="35" t="s">
        <v>87</v>
      </c>
      <c r="C41" s="35" t="s">
        <v>46</v>
      </c>
      <c r="D41" s="35" t="s">
        <v>69</v>
      </c>
      <c r="E41" s="35" t="s">
        <v>70</v>
      </c>
      <c r="F41" s="35" t="s">
        <v>241</v>
      </c>
      <c r="G41" s="35">
        <v>15</v>
      </c>
      <c r="H41" s="36">
        <v>7</v>
      </c>
      <c r="I41" s="37">
        <v>8.5</v>
      </c>
      <c r="J41" s="35">
        <v>12.28</v>
      </c>
      <c r="K41" s="38">
        <v>56.202872160841565</v>
      </c>
      <c r="L41" s="38">
        <f t="shared" si="0"/>
        <v>8.5</v>
      </c>
      <c r="M41" s="38"/>
      <c r="N41" s="13">
        <v>235.73</v>
      </c>
      <c r="O41" s="39">
        <f t="shared" si="1"/>
        <v>8.0289817372630807</v>
      </c>
      <c r="P41" s="39">
        <f t="shared" si="2"/>
        <v>34.345043783628419</v>
      </c>
      <c r="Q41" s="36">
        <v>5.5252838229547789E-2</v>
      </c>
      <c r="R41" s="35">
        <v>156</v>
      </c>
      <c r="S41" s="75"/>
    </row>
    <row r="42" spans="1:19" x14ac:dyDescent="0.25">
      <c r="A42" s="35"/>
      <c r="B42" s="35" t="s">
        <v>87</v>
      </c>
      <c r="C42" s="35" t="s">
        <v>46</v>
      </c>
      <c r="D42" s="35" t="s">
        <v>71</v>
      </c>
      <c r="E42" s="35" t="s">
        <v>72</v>
      </c>
      <c r="F42" s="35" t="s">
        <v>241</v>
      </c>
      <c r="G42" s="35">
        <v>15</v>
      </c>
      <c r="H42" s="36">
        <v>7</v>
      </c>
      <c r="I42" s="37">
        <v>8.5</v>
      </c>
      <c r="J42" s="35">
        <v>11.77</v>
      </c>
      <c r="K42" s="38">
        <v>53.868713789340816</v>
      </c>
      <c r="L42" s="38">
        <f t="shared" si="0"/>
        <v>8.5</v>
      </c>
      <c r="M42" s="38"/>
      <c r="N42" s="36">
        <v>230.06</v>
      </c>
      <c r="O42" s="39">
        <f t="shared" si="1"/>
        <v>7.695530541334402</v>
      </c>
      <c r="P42" s="39">
        <f t="shared" si="2"/>
        <v>33.403378092863626</v>
      </c>
      <c r="Q42" s="36">
        <v>5.7646971406868891E-2</v>
      </c>
      <c r="R42" s="35">
        <v>156</v>
      </c>
      <c r="S42" s="75"/>
    </row>
    <row r="43" spans="1:19" x14ac:dyDescent="0.25">
      <c r="A43" s="35"/>
      <c r="B43" s="35" t="s">
        <v>87</v>
      </c>
      <c r="C43" s="35" t="s">
        <v>46</v>
      </c>
      <c r="D43" s="35" t="s">
        <v>73</v>
      </c>
      <c r="E43" s="35" t="s">
        <v>74</v>
      </c>
      <c r="F43" s="35" t="s">
        <v>241</v>
      </c>
      <c r="G43" s="35">
        <v>15</v>
      </c>
      <c r="H43" s="36">
        <v>7</v>
      </c>
      <c r="I43" s="37">
        <v>8.5</v>
      </c>
      <c r="J43" s="35">
        <v>10.050000000000001</v>
      </c>
      <c r="K43" s="38">
        <v>45.996650261926526</v>
      </c>
      <c r="L43" s="38">
        <f t="shared" si="0"/>
        <v>8.5</v>
      </c>
      <c r="M43" s="38"/>
      <c r="N43" s="36">
        <v>196.3</v>
      </c>
      <c r="O43" s="39">
        <f t="shared" si="1"/>
        <v>6.5709500374180747</v>
      </c>
      <c r="P43" s="39">
        <f t="shared" si="2"/>
        <v>28.505488266109005</v>
      </c>
      <c r="Q43" s="36">
        <v>6.7512920742173813E-2</v>
      </c>
      <c r="R43" s="35">
        <v>156</v>
      </c>
      <c r="S43" s="75"/>
    </row>
    <row r="44" spans="1:19" x14ac:dyDescent="0.25">
      <c r="A44" s="35"/>
      <c r="B44" s="35" t="s">
        <v>87</v>
      </c>
      <c r="C44" s="35" t="s">
        <v>46</v>
      </c>
      <c r="D44" s="35" t="s">
        <v>75</v>
      </c>
      <c r="E44" s="35" t="s">
        <v>76</v>
      </c>
      <c r="F44" s="35" t="s">
        <v>241</v>
      </c>
      <c r="G44" s="35">
        <v>15</v>
      </c>
      <c r="H44" s="36">
        <v>7</v>
      </c>
      <c r="I44" s="37">
        <v>8.5</v>
      </c>
      <c r="J44" s="35">
        <v>7.64</v>
      </c>
      <c r="K44" s="38">
        <v>34.96660776130534</v>
      </c>
      <c r="L44" s="38">
        <f t="shared" si="0"/>
        <v>8.5</v>
      </c>
      <c r="M44" s="38"/>
      <c r="N44" s="36">
        <v>149.37</v>
      </c>
      <c r="O44" s="39">
        <f t="shared" si="1"/>
        <v>4.9952296801864771</v>
      </c>
      <c r="P44" s="39">
        <f t="shared" si="2"/>
        <v>21.686659736624158</v>
      </c>
      <c r="Q44" s="36">
        <v>8.8809535793042779E-2</v>
      </c>
      <c r="R44" s="35">
        <v>156</v>
      </c>
    </row>
    <row r="45" spans="1:19" x14ac:dyDescent="0.25">
      <c r="A45" s="35"/>
      <c r="B45" s="35" t="s">
        <v>86</v>
      </c>
      <c r="C45" s="35" t="s">
        <v>272</v>
      </c>
      <c r="D45" s="35"/>
      <c r="E45" s="35"/>
      <c r="F45" s="35"/>
      <c r="G45" s="35"/>
      <c r="H45" s="35"/>
      <c r="I45" s="35"/>
      <c r="J45" s="35"/>
      <c r="K45" s="35"/>
      <c r="L45" s="35"/>
      <c r="M45" s="35"/>
      <c r="N45" s="35"/>
      <c r="O45" s="35"/>
      <c r="P45" s="35"/>
      <c r="Q45" s="35"/>
      <c r="R45" s="35"/>
    </row>
    <row r="46" spans="1:19" x14ac:dyDescent="0.25">
      <c r="A46" s="35"/>
      <c r="B46" s="35"/>
      <c r="C46" s="35"/>
      <c r="D46" s="35"/>
      <c r="E46" s="35"/>
      <c r="F46" s="35"/>
      <c r="G46" s="35"/>
      <c r="H46" s="35"/>
      <c r="I46" s="35"/>
      <c r="J46" s="35"/>
      <c r="K46" s="35"/>
      <c r="L46" s="35"/>
      <c r="M46" s="35"/>
      <c r="N46" s="35"/>
      <c r="O46" s="35"/>
      <c r="P46" s="35"/>
      <c r="Q46" s="35"/>
      <c r="R46" s="35"/>
    </row>
    <row r="47" spans="1:19" s="2" customFormat="1" ht="30" x14ac:dyDescent="0.25">
      <c r="A47" s="62" t="s">
        <v>279</v>
      </c>
      <c r="B47" s="5" t="s">
        <v>86</v>
      </c>
      <c r="C47" s="5" t="s">
        <v>23</v>
      </c>
      <c r="D47" s="5" t="s">
        <v>282</v>
      </c>
      <c r="E47" s="33" t="s">
        <v>275</v>
      </c>
      <c r="F47" s="5" t="s">
        <v>243</v>
      </c>
      <c r="G47" s="5">
        <v>20</v>
      </c>
      <c r="H47" s="13">
        <v>25</v>
      </c>
      <c r="I47" s="40">
        <v>100</v>
      </c>
      <c r="J47" s="5">
        <v>20.5</v>
      </c>
      <c r="K47" s="41">
        <v>169.92185316921689</v>
      </c>
      <c r="L47" s="41">
        <f>IF(K47&gt;I47, I47, K47)</f>
        <v>100</v>
      </c>
      <c r="M47" s="41" t="s">
        <v>194</v>
      </c>
      <c r="N47" s="13">
        <v>0</v>
      </c>
      <c r="O47" s="14">
        <f>K47/H47</f>
        <v>6.7968741267686754</v>
      </c>
      <c r="P47" s="14">
        <f>(K47+N47)/I47</f>
        <v>1.6992185316921689</v>
      </c>
      <c r="Q47" s="13">
        <v>9.8604956890433706E-2</v>
      </c>
      <c r="R47" s="5">
        <v>29</v>
      </c>
    </row>
    <row r="48" spans="1:19" s="2" customFormat="1" ht="30" x14ac:dyDescent="0.25">
      <c r="A48" s="62" t="s">
        <v>279</v>
      </c>
      <c r="B48" s="5" t="s">
        <v>86</v>
      </c>
      <c r="C48" s="5" t="s">
        <v>23</v>
      </c>
      <c r="D48" s="5" t="s">
        <v>277</v>
      </c>
      <c r="E48" s="33" t="s">
        <v>276</v>
      </c>
      <c r="F48" s="5" t="s">
        <v>243</v>
      </c>
      <c r="G48" s="5">
        <v>20</v>
      </c>
      <c r="H48" s="13">
        <v>30</v>
      </c>
      <c r="I48" s="40">
        <v>100</v>
      </c>
      <c r="J48" s="5">
        <v>20.5</v>
      </c>
      <c r="K48" s="41">
        <v>169.92185316921689</v>
      </c>
      <c r="L48" s="41">
        <f>IF(K48&gt;I48, I48, K48)</f>
        <v>100</v>
      </c>
      <c r="M48" s="41" t="s">
        <v>194</v>
      </c>
      <c r="N48" s="13">
        <v>0</v>
      </c>
      <c r="O48" s="14">
        <f>K48/H48</f>
        <v>5.66406177230723</v>
      </c>
      <c r="P48" s="14">
        <f>(K48+N48)/I48</f>
        <v>1.6992185316921689</v>
      </c>
      <c r="Q48" s="13">
        <v>0.11832594826852044</v>
      </c>
      <c r="R48" s="5">
        <v>29</v>
      </c>
    </row>
    <row r="49" spans="1:18" s="2" customFormat="1" ht="14.25" customHeight="1" x14ac:dyDescent="0.25">
      <c r="A49" s="62" t="s">
        <v>279</v>
      </c>
      <c r="B49" s="5" t="s">
        <v>86</v>
      </c>
      <c r="C49" s="5" t="s">
        <v>280</v>
      </c>
      <c r="D49" s="5" t="s">
        <v>54</v>
      </c>
      <c r="E49" s="5" t="s">
        <v>278</v>
      </c>
      <c r="F49" s="5" t="s">
        <v>241</v>
      </c>
      <c r="G49" s="5">
        <v>20</v>
      </c>
      <c r="H49" s="13">
        <v>200</v>
      </c>
      <c r="I49" s="40">
        <v>1834</v>
      </c>
      <c r="J49" s="5">
        <v>74.2</v>
      </c>
      <c r="K49" s="58">
        <v>444.04249529937249</v>
      </c>
      <c r="L49" s="58">
        <v>444</v>
      </c>
      <c r="M49" s="59"/>
      <c r="N49" s="60">
        <v>0</v>
      </c>
      <c r="O49" s="61">
        <v>2.2000000000000002</v>
      </c>
      <c r="P49" s="61">
        <f>(K49+N49)/I49</f>
        <v>0.24211695490696428</v>
      </c>
      <c r="Q49" s="60">
        <v>0.21794087506780496</v>
      </c>
      <c r="R49" s="16">
        <v>197.1</v>
      </c>
    </row>
    <row r="50" spans="1:18" s="2" customFormat="1" x14ac:dyDescent="0.25">
      <c r="A50" s="62" t="s">
        <v>279</v>
      </c>
      <c r="B50" s="5" t="s">
        <v>86</v>
      </c>
      <c r="C50" s="5" t="s">
        <v>51</v>
      </c>
      <c r="D50" s="5" t="s">
        <v>238</v>
      </c>
      <c r="E50" s="5" t="s">
        <v>281</v>
      </c>
      <c r="F50" s="5" t="s">
        <v>241</v>
      </c>
      <c r="G50" s="5">
        <v>13</v>
      </c>
      <c r="H50" s="13">
        <v>100</v>
      </c>
      <c r="I50" s="40">
        <v>200</v>
      </c>
      <c r="J50" s="5">
        <v>25.3</v>
      </c>
      <c r="K50" s="41">
        <v>101.54745720463434</v>
      </c>
      <c r="L50" s="41">
        <f>IF(K50&gt;I50, I50, K50)</f>
        <v>101.54745720463434</v>
      </c>
      <c r="M50" s="41"/>
      <c r="N50" s="13">
        <v>5.56</v>
      </c>
      <c r="O50" s="14">
        <f>K50/H50</f>
        <v>1.0154745720463434</v>
      </c>
      <c r="P50" s="14">
        <f>(K50+N50)/I50</f>
        <v>0.53553728602317174</v>
      </c>
      <c r="Q50" s="13">
        <v>0.42305678446470096</v>
      </c>
      <c r="R50" s="5">
        <v>102</v>
      </c>
    </row>
    <row r="51" spans="1:18" s="2" customFormat="1" ht="14.25" customHeight="1" x14ac:dyDescent="0.25">
      <c r="A51" s="62" t="s">
        <v>279</v>
      </c>
      <c r="B51" s="5" t="s">
        <v>86</v>
      </c>
      <c r="C51" s="5" t="s">
        <v>51</v>
      </c>
      <c r="D51" s="5" t="s">
        <v>239</v>
      </c>
      <c r="E51" s="5" t="s">
        <v>306</v>
      </c>
      <c r="F51" s="5" t="s">
        <v>241</v>
      </c>
      <c r="G51" s="5">
        <v>13</v>
      </c>
      <c r="H51" s="13">
        <v>125</v>
      </c>
      <c r="I51" s="40">
        <v>430</v>
      </c>
      <c r="J51" s="5">
        <v>31.5</v>
      </c>
      <c r="K51" s="41">
        <v>126.43260481999927</v>
      </c>
      <c r="L51" s="41">
        <f>IF(K51&gt;I51, I51, K51)</f>
        <v>126.43260481999927</v>
      </c>
      <c r="M51" s="41"/>
      <c r="N51" s="13">
        <v>5.56</v>
      </c>
      <c r="O51" s="14">
        <f>K51/H51</f>
        <v>1.0114608385599941</v>
      </c>
      <c r="P51" s="14">
        <f>(K51+N51)/I51</f>
        <v>0.30695954609302151</v>
      </c>
      <c r="Q51" s="13">
        <v>0.33978846498275983</v>
      </c>
      <c r="R51" s="5">
        <v>102</v>
      </c>
    </row>
    <row r="52" spans="1:18" x14ac:dyDescent="0.25">
      <c r="A52" s="35"/>
      <c r="B52" s="35"/>
      <c r="C52" s="35"/>
      <c r="D52" s="35"/>
      <c r="E52" s="35"/>
      <c r="F52" s="35"/>
      <c r="G52" s="35"/>
      <c r="H52" s="35"/>
      <c r="I52" s="35"/>
      <c r="J52" s="35"/>
      <c r="K52" s="35"/>
      <c r="L52" s="35"/>
      <c r="M52" s="35"/>
      <c r="N52" s="35"/>
      <c r="O52" s="35"/>
      <c r="P52" s="35"/>
      <c r="Q52" s="35"/>
      <c r="R52" s="35"/>
    </row>
    <row r="54" spans="1:18" ht="75" x14ac:dyDescent="0.25">
      <c r="B54" s="35"/>
      <c r="C54" s="35"/>
      <c r="D54" s="35"/>
      <c r="E54" s="48" t="s">
        <v>196</v>
      </c>
      <c r="F54" s="48"/>
      <c r="G54" s="49" t="s">
        <v>197</v>
      </c>
      <c r="H54" s="49" t="s">
        <v>84</v>
      </c>
      <c r="I54" s="49" t="s">
        <v>198</v>
      </c>
    </row>
    <row r="55" spans="1:18" x14ac:dyDescent="0.25">
      <c r="B55" s="35" t="s">
        <v>199</v>
      </c>
      <c r="C55" s="35" t="s">
        <v>23</v>
      </c>
      <c r="D55" s="35" t="s">
        <v>24</v>
      </c>
      <c r="E55" s="36">
        <v>250</v>
      </c>
      <c r="F55" s="36"/>
      <c r="G55" s="35">
        <v>35</v>
      </c>
      <c r="H55" s="35">
        <v>57</v>
      </c>
      <c r="I55" s="35">
        <v>1995</v>
      </c>
    </row>
    <row r="56" spans="1:18" x14ac:dyDescent="0.25">
      <c r="B56" s="35" t="s">
        <v>199</v>
      </c>
      <c r="C56" s="35" t="s">
        <v>23</v>
      </c>
      <c r="D56" s="35" t="s">
        <v>31</v>
      </c>
      <c r="E56" s="36">
        <v>350</v>
      </c>
      <c r="F56" s="36"/>
      <c r="G56" s="35">
        <v>35</v>
      </c>
      <c r="H56" s="35">
        <v>74</v>
      </c>
      <c r="I56" s="35">
        <v>2590</v>
      </c>
    </row>
  </sheetData>
  <pageMargins left="0.7" right="0.7" top="0.75" bottom="0.75" header="0.3" footer="0.3"/>
  <pageSetup paperSize="17"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A14" sqref="A14"/>
    </sheetView>
  </sheetViews>
  <sheetFormatPr defaultRowHeight="15" x14ac:dyDescent="0.25"/>
  <cols>
    <col min="1" max="1" width="41.140625" customWidth="1"/>
    <col min="9" max="9" width="21.5703125" customWidth="1"/>
    <col min="15" max="15" width="11.7109375" customWidth="1"/>
  </cols>
  <sheetData>
    <row r="1" spans="1:16" ht="15" customHeight="1" x14ac:dyDescent="0.25">
      <c r="A1" s="83" t="s">
        <v>319</v>
      </c>
      <c r="B1" s="83" t="s">
        <v>320</v>
      </c>
      <c r="C1" s="85" t="s">
        <v>240</v>
      </c>
      <c r="D1" s="86"/>
      <c r="E1" s="87" t="s">
        <v>321</v>
      </c>
      <c r="F1" s="89" t="s">
        <v>322</v>
      </c>
      <c r="G1" s="90"/>
      <c r="H1" s="82" t="s">
        <v>323</v>
      </c>
      <c r="I1" s="82" t="s">
        <v>324</v>
      </c>
      <c r="J1" s="82" t="s">
        <v>329</v>
      </c>
      <c r="K1" s="82" t="s">
        <v>330</v>
      </c>
      <c r="L1" s="82" t="s">
        <v>331</v>
      </c>
    </row>
    <row r="2" spans="1:16" x14ac:dyDescent="0.25">
      <c r="A2" s="84"/>
      <c r="B2" s="84"/>
      <c r="C2" s="63" t="s">
        <v>325</v>
      </c>
      <c r="D2" s="63" t="s">
        <v>326</v>
      </c>
      <c r="E2" s="88"/>
      <c r="F2" s="63" t="s">
        <v>327</v>
      </c>
      <c r="G2" s="63" t="s">
        <v>328</v>
      </c>
      <c r="H2" s="82"/>
      <c r="I2" s="82"/>
      <c r="J2" s="82"/>
      <c r="K2" s="82"/>
      <c r="L2" s="82"/>
      <c r="M2" t="s">
        <v>332</v>
      </c>
      <c r="N2" t="s">
        <v>333</v>
      </c>
      <c r="O2" t="s">
        <v>334</v>
      </c>
      <c r="P2" t="s">
        <v>335</v>
      </c>
    </row>
    <row r="3" spans="1:16" x14ac:dyDescent="0.25">
      <c r="A3" s="64" t="s">
        <v>318</v>
      </c>
      <c r="B3" s="64" t="s">
        <v>311</v>
      </c>
      <c r="C3" s="64" t="s">
        <v>312</v>
      </c>
      <c r="D3" s="64" t="s">
        <v>313</v>
      </c>
      <c r="E3" s="65">
        <v>15</v>
      </c>
      <c r="F3" s="66">
        <v>2.2304321579520958</v>
      </c>
      <c r="G3" s="67">
        <v>3.4249255538466592</v>
      </c>
      <c r="H3" s="68">
        <v>1.35</v>
      </c>
      <c r="I3" s="72">
        <v>6.3579438415536655</v>
      </c>
      <c r="J3" s="70">
        <v>1.35</v>
      </c>
      <c r="K3" s="71">
        <v>11.611210825385648</v>
      </c>
      <c r="L3" s="71">
        <v>60.140520381056177</v>
      </c>
      <c r="M3" s="73">
        <f>I3</f>
        <v>6.3579438415536655</v>
      </c>
      <c r="N3" s="73">
        <f>F3*0.0816</f>
        <v>0.18200326408889103</v>
      </c>
      <c r="O3" s="73">
        <f>N3+M3</f>
        <v>6.5399471056425567</v>
      </c>
      <c r="P3" s="74">
        <f>-PV(0.0509,E3,O3)</f>
        <v>67.471337170434168</v>
      </c>
    </row>
    <row r="4" spans="1:16" x14ac:dyDescent="0.25">
      <c r="A4" s="64" t="s">
        <v>317</v>
      </c>
      <c r="B4" s="64" t="s">
        <v>311</v>
      </c>
      <c r="C4" s="64" t="s">
        <v>312</v>
      </c>
      <c r="D4" s="64" t="s">
        <v>313</v>
      </c>
      <c r="E4" s="65">
        <v>15</v>
      </c>
      <c r="F4" s="66">
        <v>4.3274000215786836</v>
      </c>
      <c r="G4" s="67">
        <v>6.6449108809610937</v>
      </c>
      <c r="H4" s="68">
        <v>1.85</v>
      </c>
      <c r="I4" s="72">
        <v>12.335441909337064</v>
      </c>
      <c r="J4" s="70">
        <v>1.85</v>
      </c>
      <c r="K4" s="71">
        <v>16.439082523234504</v>
      </c>
      <c r="L4" s="71">
        <v>85.146587414720599</v>
      </c>
      <c r="M4" s="73">
        <f>I4</f>
        <v>12.335441909337064</v>
      </c>
      <c r="N4" s="73">
        <f>F4*0.0816</f>
        <v>0.35311584176082061</v>
      </c>
      <c r="O4" s="73">
        <f>N4+M4</f>
        <v>12.688557751097884</v>
      </c>
      <c r="P4" s="74">
        <f>-PV(0.0509,E4,O4)</f>
        <v>130.90533369791484</v>
      </c>
    </row>
    <row r="5" spans="1:16" x14ac:dyDescent="0.25">
      <c r="A5" s="64" t="s">
        <v>314</v>
      </c>
      <c r="B5" s="64" t="s">
        <v>311</v>
      </c>
      <c r="C5" s="64" t="s">
        <v>312</v>
      </c>
      <c r="D5" s="64" t="s">
        <v>313</v>
      </c>
      <c r="E5" s="65">
        <v>15</v>
      </c>
      <c r="F5" s="66">
        <v>9.3264780307140711</v>
      </c>
      <c r="G5" s="67">
        <v>16.185076202847085</v>
      </c>
      <c r="H5" s="68">
        <v>5</v>
      </c>
      <c r="I5" s="69">
        <v>26.585531125595278</v>
      </c>
      <c r="J5" s="70">
        <v>5</v>
      </c>
      <c r="K5" s="71">
        <v>14.815110240099248</v>
      </c>
      <c r="L5" s="71">
        <v>69.604508432200305</v>
      </c>
      <c r="M5" s="73">
        <f>I5</f>
        <v>26.585531125595278</v>
      </c>
      <c r="N5" s="73">
        <f>F5*0.0816</f>
        <v>0.76104060730626821</v>
      </c>
      <c r="O5" s="73">
        <f>N5+M5</f>
        <v>27.346571732901545</v>
      </c>
      <c r="P5" s="74">
        <f>-PV(0.0509,E5,O5)</f>
        <v>282.12915671047773</v>
      </c>
    </row>
    <row r="6" spans="1:16" x14ac:dyDescent="0.25">
      <c r="A6" s="64" t="s">
        <v>310</v>
      </c>
      <c r="B6" s="64" t="s">
        <v>311</v>
      </c>
      <c r="C6" s="64" t="s">
        <v>312</v>
      </c>
      <c r="D6" s="64" t="s">
        <v>313</v>
      </c>
      <c r="E6" s="65">
        <v>15</v>
      </c>
      <c r="F6" s="66">
        <v>7.2042197400847936</v>
      </c>
      <c r="G6" s="67">
        <v>12.502130503212069</v>
      </c>
      <c r="H6" s="68">
        <v>5</v>
      </c>
      <c r="I6" s="69">
        <v>20.535941596056926</v>
      </c>
      <c r="J6" s="70">
        <v>5</v>
      </c>
      <c r="K6" s="71">
        <v>11.44390297084993</v>
      </c>
      <c r="L6" s="71">
        <v>53.765866599887673</v>
      </c>
      <c r="M6" s="73">
        <f>I6</f>
        <v>20.535941596056926</v>
      </c>
      <c r="N6" s="73">
        <f>F6*0.0816</f>
        <v>0.58786433079091915</v>
      </c>
      <c r="O6" s="73">
        <f>N6+M6</f>
        <v>21.123805926847844</v>
      </c>
      <c r="P6" s="74">
        <f>-PV(0.0509,E6,O6)</f>
        <v>217.93011609887233</v>
      </c>
    </row>
    <row r="7" spans="1:16" x14ac:dyDescent="0.25">
      <c r="A7" s="64" t="s">
        <v>316</v>
      </c>
      <c r="B7" s="64" t="s">
        <v>311</v>
      </c>
      <c r="C7" s="64" t="s">
        <v>312</v>
      </c>
      <c r="D7" s="64" t="s">
        <v>313</v>
      </c>
      <c r="E7" s="65">
        <v>15</v>
      </c>
      <c r="F7" s="66">
        <v>10.599833005091639</v>
      </c>
      <c r="G7" s="67">
        <v>18.394843622628098</v>
      </c>
      <c r="H7" s="68">
        <v>5</v>
      </c>
      <c r="I7" s="69">
        <v>30.215284843318287</v>
      </c>
      <c r="J7" s="70">
        <v>5</v>
      </c>
      <c r="K7" s="71">
        <v>16.83783460164884</v>
      </c>
      <c r="L7" s="71">
        <v>79.10769353158787</v>
      </c>
      <c r="M7" s="73">
        <f>I7</f>
        <v>30.215284843318287</v>
      </c>
      <c r="N7" s="73">
        <f>F7*0.0816</f>
        <v>0.86494637321547785</v>
      </c>
      <c r="O7" s="73">
        <f>N7+M7</f>
        <v>31.080231216533765</v>
      </c>
      <c r="P7" s="74">
        <f>-PV(0.0509,E7,O7)</f>
        <v>320.64858107744101</v>
      </c>
    </row>
    <row r="8" spans="1:16" x14ac:dyDescent="0.25">
      <c r="A8" s="64" t="s">
        <v>315</v>
      </c>
      <c r="B8" s="64" t="s">
        <v>311</v>
      </c>
      <c r="C8" s="64" t="s">
        <v>312</v>
      </c>
      <c r="D8" s="64" t="s">
        <v>313</v>
      </c>
      <c r="E8" s="65">
        <v>15</v>
      </c>
      <c r="F8" s="66">
        <v>7.2042197400847936</v>
      </c>
      <c r="G8" s="67">
        <v>12.502130503212069</v>
      </c>
      <c r="H8" s="68">
        <v>10</v>
      </c>
      <c r="I8" s="69">
        <v>20.535941596056926</v>
      </c>
      <c r="J8" s="70">
        <v>10</v>
      </c>
      <c r="K8" s="71">
        <v>5.7219514854249649</v>
      </c>
      <c r="L8" s="71">
        <v>26.882933299943836</v>
      </c>
      <c r="M8" s="73">
        <f t="shared" ref="M8" si="0">I8</f>
        <v>20.535941596056926</v>
      </c>
      <c r="N8" s="73">
        <f t="shared" ref="N8" si="1">F8*0.0816</f>
        <v>0.58786433079091915</v>
      </c>
      <c r="O8" s="73">
        <f t="shared" ref="O8" si="2">N8+M8</f>
        <v>21.123805926847844</v>
      </c>
      <c r="P8" s="74">
        <f t="shared" ref="P8" si="3">-PV(0.0509,E8,O8)</f>
        <v>217.93011609887233</v>
      </c>
    </row>
  </sheetData>
  <mergeCells count="10">
    <mergeCell ref="I1:I2"/>
    <mergeCell ref="J1:J2"/>
    <mergeCell ref="K1:K2"/>
    <mergeCell ref="L1:L2"/>
    <mergeCell ref="A1:A2"/>
    <mergeCell ref="B1:B2"/>
    <mergeCell ref="C1:D1"/>
    <mergeCell ref="E1:E2"/>
    <mergeCell ref="F1:G1"/>
    <mergeCell ref="H1:H2"/>
  </mergeCells>
  <conditionalFormatting sqref="K4:L5 K7:L8">
    <cfRule type="cellIs" dxfId="14" priority="1" operator="equal">
      <formula>""</formula>
    </cfRule>
    <cfRule type="cellIs" dxfId="13" priority="2" operator="greaterThanOrEqual">
      <formula>0.95</formula>
    </cfRule>
    <cfRule type="cellIs" dxfId="12" priority="3" operator="lessThan">
      <formula>0.95</formula>
    </cfRule>
  </conditionalFormatting>
  <conditionalFormatting sqref="K3">
    <cfRule type="cellIs" dxfId="11" priority="14" operator="equal">
      <formula>""</formula>
    </cfRule>
    <cfRule type="cellIs" dxfId="10" priority="16" operator="greaterThanOrEqual">
      <formula>0.95</formula>
    </cfRule>
    <cfRule type="cellIs" dxfId="9" priority="18" operator="lessThan">
      <formula>0.95</formula>
    </cfRule>
  </conditionalFormatting>
  <conditionalFormatting sqref="L3">
    <cfRule type="cellIs" dxfId="8" priority="13" operator="equal">
      <formula>""</formula>
    </cfRule>
    <cfRule type="cellIs" dxfId="7" priority="15" operator="greaterThanOrEqual">
      <formula>0.95</formula>
    </cfRule>
    <cfRule type="cellIs" dxfId="6" priority="17" operator="lessThan">
      <formula>0.95</formula>
    </cfRule>
  </conditionalFormatting>
  <conditionalFormatting sqref="K6">
    <cfRule type="cellIs" dxfId="5" priority="8" operator="equal">
      <formula>""</formula>
    </cfRule>
    <cfRule type="cellIs" dxfId="4" priority="10" operator="greaterThanOrEqual">
      <formula>0.95</formula>
    </cfRule>
    <cfRule type="cellIs" dxfId="3" priority="12" operator="lessThan">
      <formula>0.95</formula>
    </cfRule>
  </conditionalFormatting>
  <conditionalFormatting sqref="L6">
    <cfRule type="cellIs" dxfId="2" priority="7" operator="equal">
      <formula>""</formula>
    </cfRule>
    <cfRule type="cellIs" dxfId="1" priority="9" operator="greaterThanOrEqual">
      <formula>0.95</formula>
    </cfRule>
    <cfRule type="cellIs" dxfId="0" priority="11" operator="lessThan">
      <formula>0.95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5"/>
  <sheetViews>
    <sheetView zoomScale="80" zoomScaleNormal="80" workbookViewId="0">
      <pane xSplit="4" ySplit="1" topLeftCell="E2" activePane="bottomRight" state="frozen"/>
      <selection pane="topRight" activeCell="E1" sqref="E1"/>
      <selection pane="bottomLeft" activeCell="A2" sqref="A2"/>
      <selection pane="bottomRight" activeCell="H47" sqref="H47"/>
    </sheetView>
  </sheetViews>
  <sheetFormatPr defaultColWidth="9.140625" defaultRowHeight="15" x14ac:dyDescent="0.25"/>
  <cols>
    <col min="1" max="1" width="28.42578125" style="2" customWidth="1"/>
    <col min="2" max="2" width="21.5703125" style="2" customWidth="1"/>
    <col min="3" max="3" width="87.7109375" style="2" bestFit="1" customWidth="1"/>
    <col min="4" max="4" width="11.5703125" style="2" bestFit="1" customWidth="1"/>
    <col min="5" max="5" width="11.28515625" style="2" bestFit="1" customWidth="1"/>
    <col min="6" max="6" width="13.42578125" style="2" bestFit="1" customWidth="1"/>
    <col min="7" max="7" width="15.85546875" style="2" bestFit="1" customWidth="1"/>
    <col min="8" max="8" width="13.85546875" style="2" bestFit="1" customWidth="1"/>
    <col min="9" max="9" width="14.28515625" style="2" bestFit="1" customWidth="1"/>
    <col min="10" max="10" width="13.85546875" style="2" bestFit="1" customWidth="1"/>
    <col min="11" max="11" width="8.5703125" style="2" customWidth="1"/>
    <col min="12" max="12" width="10.85546875" style="2" bestFit="1" customWidth="1"/>
    <col min="13" max="13" width="9.85546875" style="2" bestFit="1" customWidth="1"/>
    <col min="14" max="14" width="13.85546875" style="2" bestFit="1" customWidth="1"/>
    <col min="15" max="15" width="9.42578125" style="2" bestFit="1" customWidth="1"/>
    <col min="16" max="16" width="7.28515625" style="2" bestFit="1" customWidth="1"/>
    <col min="17" max="17" width="31.85546875" style="2" customWidth="1"/>
    <col min="18" max="16384" width="9.140625" style="2"/>
  </cols>
  <sheetData>
    <row r="1" spans="1:16" s="9" customFormat="1" ht="90" x14ac:dyDescent="0.25">
      <c r="A1" s="3" t="s">
        <v>209</v>
      </c>
      <c r="B1" s="3" t="s">
        <v>79</v>
      </c>
      <c r="C1" s="3" t="s">
        <v>80</v>
      </c>
      <c r="D1" s="3" t="s">
        <v>240</v>
      </c>
      <c r="E1" s="3" t="s">
        <v>81</v>
      </c>
      <c r="F1" s="3" t="s">
        <v>82</v>
      </c>
      <c r="G1" s="3" t="s">
        <v>83</v>
      </c>
      <c r="H1" s="3" t="s">
        <v>84</v>
      </c>
      <c r="I1" s="3" t="s">
        <v>266</v>
      </c>
      <c r="J1" s="3" t="s">
        <v>270</v>
      </c>
      <c r="K1" s="3" t="s">
        <v>174</v>
      </c>
      <c r="L1" s="3" t="s">
        <v>303</v>
      </c>
      <c r="M1" s="3" t="s">
        <v>267</v>
      </c>
      <c r="N1" s="3" t="s">
        <v>85</v>
      </c>
      <c r="O1" s="3" t="s">
        <v>269</v>
      </c>
      <c r="P1" s="3" t="s">
        <v>273</v>
      </c>
    </row>
    <row r="2" spans="1:16" x14ac:dyDescent="0.25">
      <c r="A2" s="5"/>
      <c r="B2" s="5" t="s">
        <v>88</v>
      </c>
      <c r="C2" s="5" t="s">
        <v>89</v>
      </c>
      <c r="D2" s="5" t="s">
        <v>241</v>
      </c>
      <c r="E2" s="5">
        <v>10</v>
      </c>
      <c r="F2" s="44">
        <v>3</v>
      </c>
      <c r="G2" s="44">
        <v>8.66</v>
      </c>
      <c r="H2" s="5">
        <v>19.100000000000001</v>
      </c>
      <c r="I2" s="13">
        <v>60.530995619686259</v>
      </c>
      <c r="J2" s="13">
        <f>IF(I2&gt;G2, G2, I2)</f>
        <v>8.66</v>
      </c>
      <c r="K2" s="8"/>
      <c r="L2" s="13">
        <v>538.06483604349023</v>
      </c>
      <c r="M2" s="40">
        <f t="shared" ref="M2:M33" si="0">I2/F2</f>
        <v>20.176998539895418</v>
      </c>
      <c r="N2" s="40">
        <f t="shared" ref="N2:N33" si="1">(I2+L2)/G2</f>
        <v>69.121920515378349</v>
      </c>
      <c r="O2" s="13">
        <f>-PMT(5.09%,E2,F2)/H2</f>
        <v>2.0430031337837325E-2</v>
      </c>
      <c r="P2" s="2">
        <v>1</v>
      </c>
    </row>
    <row r="3" spans="1:16" x14ac:dyDescent="0.25">
      <c r="A3" s="5"/>
      <c r="B3" s="5" t="s">
        <v>90</v>
      </c>
      <c r="C3" s="5" t="s">
        <v>91</v>
      </c>
      <c r="D3" s="5" t="s">
        <v>241</v>
      </c>
      <c r="E3" s="5">
        <v>10</v>
      </c>
      <c r="F3" s="44">
        <v>3</v>
      </c>
      <c r="G3" s="44">
        <v>8.66</v>
      </c>
      <c r="H3" s="5">
        <v>7.9</v>
      </c>
      <c r="I3" s="13">
        <v>25.036380387200076</v>
      </c>
      <c r="J3" s="13">
        <f>IF(I3&gt;G3, G3, I3)</f>
        <v>8.66</v>
      </c>
      <c r="K3" s="8"/>
      <c r="L3" s="13">
        <v>221.55610895908418</v>
      </c>
      <c r="M3" s="40">
        <f t="shared" si="0"/>
        <v>8.3454601290666925</v>
      </c>
      <c r="N3" s="40">
        <f t="shared" si="1"/>
        <v>28.474883296337673</v>
      </c>
      <c r="O3" s="13">
        <f t="shared" ref="O3:O64" si="2">-PMT(5.09%,E3,F3)/H3</f>
        <v>4.9394126399075054E-2</v>
      </c>
      <c r="P3" s="2">
        <v>1</v>
      </c>
    </row>
    <row r="4" spans="1:16" x14ac:dyDescent="0.25">
      <c r="A4" s="5"/>
      <c r="B4" s="5" t="s">
        <v>92</v>
      </c>
      <c r="C4" s="5" t="s">
        <v>93</v>
      </c>
      <c r="D4" s="5" t="s">
        <v>241</v>
      </c>
      <c r="E4" s="5">
        <v>10</v>
      </c>
      <c r="F4" s="44">
        <v>10</v>
      </c>
      <c r="G4" s="44">
        <v>35</v>
      </c>
      <c r="H4" s="5">
        <v>7.7</v>
      </c>
      <c r="I4" s="13">
        <v>24.402547972334251</v>
      </c>
      <c r="J4" s="13">
        <f>IF(I4&gt;G4, G4, I4)</f>
        <v>24.402547972334251</v>
      </c>
      <c r="K4" s="8"/>
      <c r="L4" s="13">
        <v>284.85785437596536</v>
      </c>
      <c r="M4" s="40">
        <f t="shared" si="0"/>
        <v>2.440254797233425</v>
      </c>
      <c r="N4" s="40">
        <f t="shared" si="1"/>
        <v>8.8360114956657032</v>
      </c>
      <c r="O4" s="13">
        <f t="shared" si="2"/>
        <v>0.16892363573709654</v>
      </c>
      <c r="P4" s="2">
        <v>77</v>
      </c>
    </row>
    <row r="5" spans="1:16" x14ac:dyDescent="0.25">
      <c r="A5" s="5"/>
      <c r="B5" s="5" t="s">
        <v>94</v>
      </c>
      <c r="C5" s="5" t="s">
        <v>95</v>
      </c>
      <c r="D5" s="5" t="s">
        <v>244</v>
      </c>
      <c r="E5" s="5">
        <v>6</v>
      </c>
      <c r="F5" s="44">
        <v>250</v>
      </c>
      <c r="G5" s="44">
        <v>157.35</v>
      </c>
      <c r="H5" s="5">
        <v>111.7</v>
      </c>
      <c r="I5" s="13">
        <v>210.30870542181307</v>
      </c>
      <c r="J5" s="13">
        <f>IF(I5&gt;G5, G5, I5)</f>
        <v>157.35</v>
      </c>
      <c r="K5" s="8" t="s">
        <v>175</v>
      </c>
      <c r="L5" s="13">
        <v>0</v>
      </c>
      <c r="M5" s="40">
        <f t="shared" si="0"/>
        <v>0.84123482168725228</v>
      </c>
      <c r="N5" s="40">
        <f t="shared" si="1"/>
        <v>1.3365662880318594</v>
      </c>
      <c r="O5" s="13">
        <f t="shared" si="2"/>
        <v>0.44222221823039864</v>
      </c>
      <c r="P5" s="20">
        <v>42</v>
      </c>
    </row>
    <row r="6" spans="1:16" x14ac:dyDescent="0.25">
      <c r="A6" s="5"/>
      <c r="B6" s="5" t="s">
        <v>96</v>
      </c>
      <c r="C6" s="5" t="s">
        <v>97</v>
      </c>
      <c r="D6" s="5" t="s">
        <v>244</v>
      </c>
      <c r="E6" s="5">
        <v>7</v>
      </c>
      <c r="F6" s="44">
        <v>80</v>
      </c>
      <c r="G6" s="44">
        <v>355</v>
      </c>
      <c r="H6" s="15">
        <v>32</v>
      </c>
      <c r="I6" s="13">
        <v>70.291181758409621</v>
      </c>
      <c r="J6" s="13">
        <f>IF(I6&gt;G6, G6, I6)</f>
        <v>70.291181758409621</v>
      </c>
      <c r="K6" s="8"/>
      <c r="L6" s="13">
        <f>-PV(5.53%,E6,128)</f>
        <v>726.63723741131196</v>
      </c>
      <c r="M6" s="40">
        <f t="shared" si="0"/>
        <v>0.87863977198012022</v>
      </c>
      <c r="N6" s="40">
        <f t="shared" si="1"/>
        <v>2.2448687863935817</v>
      </c>
      <c r="O6" s="13">
        <f t="shared" si="2"/>
        <v>0.43345979081468528</v>
      </c>
      <c r="P6" s="20">
        <v>89</v>
      </c>
    </row>
    <row r="7" spans="1:16" x14ac:dyDescent="0.25">
      <c r="A7" s="5"/>
      <c r="B7" s="5" t="s">
        <v>98</v>
      </c>
      <c r="C7" s="5" t="s">
        <v>99</v>
      </c>
      <c r="D7" s="5" t="s">
        <v>263</v>
      </c>
      <c r="E7" s="5">
        <v>12</v>
      </c>
      <c r="F7" s="44">
        <v>750</v>
      </c>
      <c r="G7" s="44">
        <v>1</v>
      </c>
      <c r="H7" s="5">
        <v>290</v>
      </c>
      <c r="I7" s="13">
        <v>1069.9874523744506</v>
      </c>
      <c r="J7" s="13">
        <f>I7</f>
        <v>1069.9874523744506</v>
      </c>
      <c r="K7" s="8" t="s">
        <v>176</v>
      </c>
      <c r="L7" s="13">
        <v>0</v>
      </c>
      <c r="M7" s="40">
        <f t="shared" si="0"/>
        <v>1.4266499364992675</v>
      </c>
      <c r="N7" s="40">
        <f t="shared" si="1"/>
        <v>1069.9874523744506</v>
      </c>
      <c r="O7" s="13">
        <f t="shared" si="2"/>
        <v>0.29327282127705789</v>
      </c>
      <c r="P7" s="20">
        <v>101</v>
      </c>
    </row>
    <row r="8" spans="1:16" x14ac:dyDescent="0.25">
      <c r="A8" s="5"/>
      <c r="B8" s="5" t="s">
        <v>100</v>
      </c>
      <c r="C8" s="5" t="s">
        <v>101</v>
      </c>
      <c r="D8" s="5" t="s">
        <v>263</v>
      </c>
      <c r="E8" s="5">
        <v>12</v>
      </c>
      <c r="F8" s="45">
        <v>2600</v>
      </c>
      <c r="G8" s="44">
        <v>870</v>
      </c>
      <c r="H8" s="5">
        <v>1308</v>
      </c>
      <c r="I8" s="13">
        <v>4826.0123713992471</v>
      </c>
      <c r="J8" s="13">
        <f t="shared" ref="J8:J21" si="3">IF(I8&gt;G8, G8, I8)</f>
        <v>870</v>
      </c>
      <c r="K8" s="8" t="s">
        <v>177</v>
      </c>
      <c r="L8" s="13">
        <v>10769.043902078325</v>
      </c>
      <c r="M8" s="40">
        <f t="shared" si="0"/>
        <v>1.8561586043843259</v>
      </c>
      <c r="N8" s="40">
        <f t="shared" si="1"/>
        <v>17.925352038479968</v>
      </c>
      <c r="O8" s="13">
        <f t="shared" si="2"/>
        <v>0.22541050687349812</v>
      </c>
      <c r="P8" s="20">
        <v>101</v>
      </c>
    </row>
    <row r="9" spans="1:16" x14ac:dyDescent="0.25">
      <c r="A9" s="5"/>
      <c r="B9" s="5" t="s">
        <v>102</v>
      </c>
      <c r="C9" s="5" t="s">
        <v>103</v>
      </c>
      <c r="D9" s="5" t="s">
        <v>242</v>
      </c>
      <c r="E9" s="5">
        <v>35</v>
      </c>
      <c r="F9" s="45">
        <v>8</v>
      </c>
      <c r="G9" s="44">
        <v>10</v>
      </c>
      <c r="H9" s="5">
        <v>2.85</v>
      </c>
      <c r="I9" s="13">
        <v>32.956473868653703</v>
      </c>
      <c r="J9" s="13">
        <f t="shared" si="3"/>
        <v>10</v>
      </c>
      <c r="K9" s="8"/>
      <c r="L9" s="13">
        <v>0</v>
      </c>
      <c r="M9" s="40">
        <f t="shared" si="0"/>
        <v>4.1195592335817128</v>
      </c>
      <c r="N9" s="40">
        <f t="shared" si="1"/>
        <v>3.2956473868653702</v>
      </c>
      <c r="O9" s="13">
        <f t="shared" si="2"/>
        <v>0.17338089239026575</v>
      </c>
      <c r="P9" s="2">
        <v>88</v>
      </c>
    </row>
    <row r="10" spans="1:16" x14ac:dyDescent="0.25">
      <c r="A10" s="5"/>
      <c r="B10" s="5" t="s">
        <v>104</v>
      </c>
      <c r="C10" s="5" t="s">
        <v>105</v>
      </c>
      <c r="D10" s="5" t="s">
        <v>242</v>
      </c>
      <c r="E10" s="5">
        <v>35</v>
      </c>
      <c r="F10" s="45">
        <v>10</v>
      </c>
      <c r="G10" s="44">
        <v>16</v>
      </c>
      <c r="H10" s="5">
        <v>2.85</v>
      </c>
      <c r="I10" s="13">
        <v>32.956473868653703</v>
      </c>
      <c r="J10" s="13">
        <f t="shared" si="3"/>
        <v>16</v>
      </c>
      <c r="K10" s="8"/>
      <c r="L10" s="13">
        <v>0</v>
      </c>
      <c r="M10" s="40">
        <f t="shared" si="0"/>
        <v>3.2956473868653702</v>
      </c>
      <c r="N10" s="40">
        <f t="shared" si="1"/>
        <v>2.0597796167908564</v>
      </c>
      <c r="O10" s="13">
        <f t="shared" si="2"/>
        <v>0.21672611548783213</v>
      </c>
      <c r="P10" s="2">
        <v>88</v>
      </c>
    </row>
    <row r="11" spans="1:16" x14ac:dyDescent="0.25">
      <c r="A11" s="5"/>
      <c r="B11" s="5" t="s">
        <v>106</v>
      </c>
      <c r="C11" s="5" t="s">
        <v>107</v>
      </c>
      <c r="D11" s="5" t="s">
        <v>242</v>
      </c>
      <c r="E11" s="5">
        <v>35</v>
      </c>
      <c r="F11" s="45">
        <v>9</v>
      </c>
      <c r="G11" s="44">
        <v>13</v>
      </c>
      <c r="H11" s="5">
        <v>2.85</v>
      </c>
      <c r="I11" s="13">
        <v>32.956473868653703</v>
      </c>
      <c r="J11" s="13">
        <f t="shared" si="3"/>
        <v>13</v>
      </c>
      <c r="K11" s="8"/>
      <c r="L11" s="13">
        <v>0</v>
      </c>
      <c r="M11" s="40">
        <f t="shared" si="0"/>
        <v>3.6618304298504114</v>
      </c>
      <c r="N11" s="40">
        <f t="shared" si="1"/>
        <v>2.5351133745118233</v>
      </c>
      <c r="O11" s="13">
        <f t="shared" si="2"/>
        <v>0.19505350393904894</v>
      </c>
      <c r="P11" s="2">
        <v>88</v>
      </c>
    </row>
    <row r="12" spans="1:16" x14ac:dyDescent="0.25">
      <c r="A12" s="5"/>
      <c r="B12" s="5" t="s">
        <v>108</v>
      </c>
      <c r="C12" s="5" t="s">
        <v>109</v>
      </c>
      <c r="D12" s="5" t="s">
        <v>242</v>
      </c>
      <c r="E12" s="5">
        <v>4</v>
      </c>
      <c r="F12" s="45">
        <v>0.32</v>
      </c>
      <c r="G12" s="44">
        <v>0.1</v>
      </c>
      <c r="H12" s="5">
        <v>0.23</v>
      </c>
      <c r="I12" s="13">
        <v>0.35182463765279282</v>
      </c>
      <c r="J12" s="13">
        <f t="shared" si="3"/>
        <v>0.1</v>
      </c>
      <c r="K12" s="8" t="s">
        <v>178</v>
      </c>
      <c r="L12" s="13">
        <v>0</v>
      </c>
      <c r="M12" s="40">
        <f t="shared" si="0"/>
        <v>1.0994519926649775</v>
      </c>
      <c r="N12" s="40">
        <f t="shared" si="1"/>
        <v>3.5182463765279279</v>
      </c>
      <c r="O12" s="13">
        <f t="shared" si="2"/>
        <v>0.39318489830975545</v>
      </c>
      <c r="P12" s="2">
        <v>104</v>
      </c>
    </row>
    <row r="13" spans="1:16" x14ac:dyDescent="0.25">
      <c r="A13" s="5"/>
      <c r="B13" s="5" t="s">
        <v>110</v>
      </c>
      <c r="C13" s="5" t="s">
        <v>111</v>
      </c>
      <c r="D13" s="5" t="s">
        <v>244</v>
      </c>
      <c r="E13" s="5">
        <v>10</v>
      </c>
      <c r="F13" s="44">
        <v>0.3</v>
      </c>
      <c r="G13" s="44">
        <v>1.17</v>
      </c>
      <c r="H13" s="5">
        <v>0.41</v>
      </c>
      <c r="I13" s="13">
        <v>1.2865796661137472</v>
      </c>
      <c r="J13" s="13">
        <f t="shared" si="3"/>
        <v>1.17</v>
      </c>
      <c r="K13" s="8" t="s">
        <v>178</v>
      </c>
      <c r="L13" s="13">
        <v>0</v>
      </c>
      <c r="M13" s="40">
        <f t="shared" si="0"/>
        <v>4.2885988870458238</v>
      </c>
      <c r="N13" s="40">
        <f t="shared" si="1"/>
        <v>1.0996407402681601</v>
      </c>
      <c r="O13" s="13">
        <f t="shared" si="2"/>
        <v>9.5174048427486085E-2</v>
      </c>
      <c r="P13" s="2">
        <v>104</v>
      </c>
    </row>
    <row r="14" spans="1:16" x14ac:dyDescent="0.25">
      <c r="A14" s="5"/>
      <c r="B14" s="5" t="s">
        <v>112</v>
      </c>
      <c r="C14" s="5" t="s">
        <v>113</v>
      </c>
      <c r="D14" s="5" t="s">
        <v>242</v>
      </c>
      <c r="E14" s="5">
        <v>12</v>
      </c>
      <c r="F14" s="44">
        <v>1.05</v>
      </c>
      <c r="G14" s="44">
        <v>2.19</v>
      </c>
      <c r="H14" s="5">
        <v>1.25</v>
      </c>
      <c r="I14" s="13">
        <v>5.8263822101236986</v>
      </c>
      <c r="J14" s="13">
        <f t="shared" si="3"/>
        <v>2.19</v>
      </c>
      <c r="K14" s="8" t="s">
        <v>178</v>
      </c>
      <c r="L14" s="13">
        <v>0</v>
      </c>
      <c r="M14" s="40">
        <f t="shared" si="0"/>
        <v>5.5489354382130465</v>
      </c>
      <c r="N14" s="40">
        <f t="shared" si="1"/>
        <v>2.6604484977733782</v>
      </c>
      <c r="O14" s="13">
        <f t="shared" si="2"/>
        <v>9.5255012350788398E-2</v>
      </c>
      <c r="P14" s="2">
        <v>104</v>
      </c>
    </row>
    <row r="15" spans="1:16" x14ac:dyDescent="0.25">
      <c r="A15" s="5"/>
      <c r="B15" s="5" t="s">
        <v>114</v>
      </c>
      <c r="C15" s="5" t="s">
        <v>115</v>
      </c>
      <c r="D15" s="5" t="s">
        <v>242</v>
      </c>
      <c r="E15" s="5">
        <v>15</v>
      </c>
      <c r="F15" s="44">
        <v>0.1</v>
      </c>
      <c r="G15" s="44">
        <v>0.57999999999999996</v>
      </c>
      <c r="H15" s="5">
        <v>0.28000000000000003</v>
      </c>
      <c r="I15" s="13">
        <v>1.6566180842619835</v>
      </c>
      <c r="J15" s="13">
        <f t="shared" si="3"/>
        <v>0.57999999999999996</v>
      </c>
      <c r="K15" s="8" t="s">
        <v>178</v>
      </c>
      <c r="L15" s="13">
        <v>0</v>
      </c>
      <c r="M15" s="40">
        <f t="shared" si="0"/>
        <v>16.566180842619833</v>
      </c>
      <c r="N15" s="40">
        <f t="shared" si="1"/>
        <v>2.8562380763137649</v>
      </c>
      <c r="O15" s="13">
        <f t="shared" si="2"/>
        <v>3.4617594564226875E-2</v>
      </c>
      <c r="P15" s="2">
        <v>103</v>
      </c>
    </row>
    <row r="16" spans="1:16" x14ac:dyDescent="0.25">
      <c r="A16" s="5"/>
      <c r="B16" s="5" t="s">
        <v>116</v>
      </c>
      <c r="C16" s="5" t="s">
        <v>117</v>
      </c>
      <c r="D16" s="5" t="s">
        <v>242</v>
      </c>
      <c r="E16" s="5">
        <v>30</v>
      </c>
      <c r="F16" s="44">
        <v>0.6</v>
      </c>
      <c r="G16" s="44">
        <v>0.9</v>
      </c>
      <c r="H16" s="5">
        <v>0.25</v>
      </c>
      <c r="I16" s="13">
        <v>2.6901247851239987</v>
      </c>
      <c r="J16" s="13">
        <f t="shared" si="3"/>
        <v>0.9</v>
      </c>
      <c r="K16" s="8"/>
      <c r="L16" s="13">
        <v>0</v>
      </c>
      <c r="M16" s="40">
        <f t="shared" si="0"/>
        <v>4.4835413085399978</v>
      </c>
      <c r="N16" s="40">
        <f t="shared" si="1"/>
        <v>2.9890275390266652</v>
      </c>
      <c r="O16" s="13">
        <f t="shared" si="2"/>
        <v>0.15772880260642877</v>
      </c>
      <c r="P16" s="2">
        <v>68</v>
      </c>
    </row>
    <row r="17" spans="1:16" x14ac:dyDescent="0.25">
      <c r="A17" s="5"/>
      <c r="B17" s="5" t="s">
        <v>118</v>
      </c>
      <c r="C17" s="5" t="s">
        <v>119</v>
      </c>
      <c r="D17" s="5" t="s">
        <v>242</v>
      </c>
      <c r="E17" s="5">
        <v>30</v>
      </c>
      <c r="F17" s="44">
        <v>0.3</v>
      </c>
      <c r="G17" s="44">
        <v>0.64</v>
      </c>
      <c r="H17" s="5">
        <v>0.09</v>
      </c>
      <c r="I17" s="13">
        <v>0.96844492264463944</v>
      </c>
      <c r="J17" s="13">
        <f t="shared" si="3"/>
        <v>0.64</v>
      </c>
      <c r="K17" s="8"/>
      <c r="L17" s="13">
        <v>0</v>
      </c>
      <c r="M17" s="40">
        <f t="shared" si="0"/>
        <v>3.2281497421487981</v>
      </c>
      <c r="N17" s="40">
        <f t="shared" si="1"/>
        <v>1.513195191632249</v>
      </c>
      <c r="O17" s="13">
        <f t="shared" si="2"/>
        <v>0.21906778139781774</v>
      </c>
      <c r="P17" s="2">
        <v>68</v>
      </c>
    </row>
    <row r="18" spans="1:16" x14ac:dyDescent="0.25">
      <c r="A18" s="5"/>
      <c r="B18" s="5" t="s">
        <v>120</v>
      </c>
      <c r="C18" s="5" t="s">
        <v>121</v>
      </c>
      <c r="D18" s="5" t="s">
        <v>242</v>
      </c>
      <c r="E18" s="5">
        <v>30</v>
      </c>
      <c r="F18" s="44">
        <v>0.6</v>
      </c>
      <c r="G18" s="44">
        <v>0.64</v>
      </c>
      <c r="H18" s="5">
        <v>0.25</v>
      </c>
      <c r="I18" s="13">
        <v>2.6901247851239987</v>
      </c>
      <c r="J18" s="13">
        <f t="shared" si="3"/>
        <v>0.64</v>
      </c>
      <c r="K18" s="8"/>
      <c r="L18" s="13">
        <v>0</v>
      </c>
      <c r="M18" s="40">
        <f t="shared" si="0"/>
        <v>4.4835413085399978</v>
      </c>
      <c r="N18" s="40">
        <f t="shared" si="1"/>
        <v>4.2033199767562479</v>
      </c>
      <c r="O18" s="13">
        <f t="shared" si="2"/>
        <v>0.15772880260642877</v>
      </c>
      <c r="P18" s="2">
        <v>68</v>
      </c>
    </row>
    <row r="19" spans="1:16" x14ac:dyDescent="0.25">
      <c r="A19" s="5"/>
      <c r="B19" s="5" t="s">
        <v>122</v>
      </c>
      <c r="C19" s="5" t="s">
        <v>123</v>
      </c>
      <c r="D19" s="5" t="s">
        <v>242</v>
      </c>
      <c r="E19" s="5">
        <v>30</v>
      </c>
      <c r="F19" s="44">
        <v>0.6</v>
      </c>
      <c r="G19" s="44">
        <v>1.41</v>
      </c>
      <c r="H19" s="5">
        <v>0.16</v>
      </c>
      <c r="I19" s="13">
        <v>1.7216798624793592</v>
      </c>
      <c r="J19" s="13">
        <f t="shared" si="3"/>
        <v>1.41</v>
      </c>
      <c r="K19" s="8"/>
      <c r="L19" s="13">
        <v>0</v>
      </c>
      <c r="M19" s="40">
        <f t="shared" si="0"/>
        <v>2.8694664374655989</v>
      </c>
      <c r="N19" s="40">
        <f t="shared" si="1"/>
        <v>1.2210495478577017</v>
      </c>
      <c r="O19" s="13">
        <f t="shared" si="2"/>
        <v>0.24645125407254495</v>
      </c>
      <c r="P19" s="2">
        <v>68</v>
      </c>
    </row>
    <row r="20" spans="1:16" x14ac:dyDescent="0.25">
      <c r="A20" s="5"/>
      <c r="B20" s="5" t="s">
        <v>124</v>
      </c>
      <c r="C20" s="5" t="s">
        <v>125</v>
      </c>
      <c r="D20" s="5" t="s">
        <v>244</v>
      </c>
      <c r="E20" s="5">
        <v>6</v>
      </c>
      <c r="F20" s="44">
        <v>100</v>
      </c>
      <c r="G20" s="44">
        <v>100</v>
      </c>
      <c r="H20" s="5">
        <v>99</v>
      </c>
      <c r="I20" s="13">
        <v>186.39715162721123</v>
      </c>
      <c r="J20" s="13">
        <f t="shared" si="3"/>
        <v>100</v>
      </c>
      <c r="K20" s="8"/>
      <c r="L20" s="13">
        <v>0</v>
      </c>
      <c r="M20" s="40">
        <f t="shared" si="0"/>
        <v>1.8639715162721122</v>
      </c>
      <c r="N20" s="40">
        <f t="shared" si="1"/>
        <v>1.8639715162721122</v>
      </c>
      <c r="O20" s="13">
        <f t="shared" si="2"/>
        <v>0.19958069404580012</v>
      </c>
      <c r="P20" s="2">
        <v>40</v>
      </c>
    </row>
    <row r="21" spans="1:16" x14ac:dyDescent="0.25">
      <c r="A21" s="5"/>
      <c r="B21" s="5" t="s">
        <v>126</v>
      </c>
      <c r="C21" s="5" t="s">
        <v>127</v>
      </c>
      <c r="D21" s="5" t="s">
        <v>242</v>
      </c>
      <c r="E21" s="5">
        <v>12</v>
      </c>
      <c r="F21" s="44">
        <v>1000</v>
      </c>
      <c r="G21" s="44">
        <v>1500</v>
      </c>
      <c r="H21" s="5">
        <v>270</v>
      </c>
      <c r="I21" s="13">
        <v>1258.4985573867189</v>
      </c>
      <c r="J21" s="13">
        <f t="shared" si="3"/>
        <v>1258.4985573867189</v>
      </c>
      <c r="K21" s="8" t="s">
        <v>179</v>
      </c>
      <c r="L21" s="13">
        <v>0</v>
      </c>
      <c r="M21" s="40">
        <f t="shared" si="0"/>
        <v>1.2584985573867189</v>
      </c>
      <c r="N21" s="40">
        <f t="shared" si="1"/>
        <v>0.83899903825781252</v>
      </c>
      <c r="O21" s="13">
        <f t="shared" si="2"/>
        <v>0.41999564528566308</v>
      </c>
    </row>
    <row r="22" spans="1:16" x14ac:dyDescent="0.25">
      <c r="A22" s="5"/>
      <c r="B22" s="5" t="s">
        <v>128</v>
      </c>
      <c r="C22" s="5" t="s">
        <v>129</v>
      </c>
      <c r="D22" s="5" t="s">
        <v>244</v>
      </c>
      <c r="E22" s="5">
        <v>12</v>
      </c>
      <c r="F22" s="44">
        <v>600</v>
      </c>
      <c r="G22" s="44">
        <v>1</v>
      </c>
      <c r="H22" s="5">
        <v>302</v>
      </c>
      <c r="I22" s="13">
        <v>1114.2627952313246</v>
      </c>
      <c r="J22" s="13">
        <f>I22</f>
        <v>1114.2627952313246</v>
      </c>
      <c r="K22" s="8" t="s">
        <v>176</v>
      </c>
      <c r="L22" s="13">
        <v>0</v>
      </c>
      <c r="M22" s="40">
        <f t="shared" si="0"/>
        <v>1.8571046587188744</v>
      </c>
      <c r="N22" s="40">
        <f t="shared" si="1"/>
        <v>1114.2627952313246</v>
      </c>
      <c r="O22" s="13">
        <f t="shared" si="2"/>
        <v>0.22529567727244176</v>
      </c>
      <c r="P22" s="2">
        <v>100</v>
      </c>
    </row>
    <row r="23" spans="1:16" x14ac:dyDescent="0.25">
      <c r="A23" s="5"/>
      <c r="B23" s="5" t="s">
        <v>130</v>
      </c>
      <c r="C23" s="5" t="s">
        <v>131</v>
      </c>
      <c r="D23" s="5" t="s">
        <v>244</v>
      </c>
      <c r="E23" s="5">
        <v>18</v>
      </c>
      <c r="F23" s="44">
        <v>2.5</v>
      </c>
      <c r="G23" s="44">
        <v>4.91</v>
      </c>
      <c r="H23" s="5">
        <v>2.21</v>
      </c>
      <c r="I23" s="13">
        <v>11.811233904168262</v>
      </c>
      <c r="J23" s="13">
        <f t="shared" ref="J23:J28" si="4">IF(I23&gt;G23, G23, I23)</f>
        <v>4.91</v>
      </c>
      <c r="K23" s="8" t="s">
        <v>180</v>
      </c>
      <c r="L23" s="13">
        <v>0</v>
      </c>
      <c r="M23" s="40">
        <f t="shared" si="0"/>
        <v>4.7244935616673045</v>
      </c>
      <c r="N23" s="40">
        <f t="shared" si="1"/>
        <v>2.4055466199935358</v>
      </c>
      <c r="O23" s="13">
        <f t="shared" si="2"/>
        <v>9.7453368664319182E-2</v>
      </c>
      <c r="P23" s="2">
        <v>21</v>
      </c>
    </row>
    <row r="24" spans="1:16" x14ac:dyDescent="0.25">
      <c r="A24" s="5"/>
      <c r="B24" s="5" t="s">
        <v>132</v>
      </c>
      <c r="C24" s="5" t="s">
        <v>133</v>
      </c>
      <c r="D24" s="5" t="s">
        <v>244</v>
      </c>
      <c r="E24" s="5">
        <v>18</v>
      </c>
      <c r="F24" s="44">
        <v>4</v>
      </c>
      <c r="G24" s="44">
        <v>5.04</v>
      </c>
      <c r="H24" s="5">
        <v>1.37</v>
      </c>
      <c r="I24" s="13">
        <v>7.321896130638244</v>
      </c>
      <c r="J24" s="13">
        <f t="shared" si="4"/>
        <v>5.04</v>
      </c>
      <c r="K24" s="8" t="s">
        <v>181</v>
      </c>
      <c r="L24" s="13">
        <v>0</v>
      </c>
      <c r="M24" s="40">
        <f t="shared" si="0"/>
        <v>1.830474032659561</v>
      </c>
      <c r="N24" s="40">
        <f t="shared" si="1"/>
        <v>1.4527571687774294</v>
      </c>
      <c r="O24" s="13">
        <f t="shared" si="2"/>
        <v>0.25152927853798002</v>
      </c>
      <c r="P24" s="2">
        <v>21</v>
      </c>
    </row>
    <row r="25" spans="1:16" x14ac:dyDescent="0.25">
      <c r="A25" s="5"/>
      <c r="B25" s="5" t="s">
        <v>134</v>
      </c>
      <c r="C25" s="5" t="s">
        <v>135</v>
      </c>
      <c r="D25" s="5" t="s">
        <v>242</v>
      </c>
      <c r="E25" s="5">
        <v>18</v>
      </c>
      <c r="F25" s="44">
        <v>3</v>
      </c>
      <c r="G25" s="44">
        <v>5.23</v>
      </c>
      <c r="H25" s="5">
        <v>1.05</v>
      </c>
      <c r="I25" s="13">
        <v>7.5304745754609694</v>
      </c>
      <c r="J25" s="13">
        <f t="shared" si="4"/>
        <v>5.23</v>
      </c>
      <c r="K25" s="8"/>
      <c r="L25" s="13">
        <v>0</v>
      </c>
      <c r="M25" s="40">
        <f t="shared" si="0"/>
        <v>2.5101581918203233</v>
      </c>
      <c r="N25" s="40">
        <f t="shared" si="1"/>
        <v>1.4398612954992291</v>
      </c>
      <c r="O25" s="13">
        <f t="shared" si="2"/>
        <v>0.24613936542645187</v>
      </c>
      <c r="P25" s="2">
        <v>11</v>
      </c>
    </row>
    <row r="26" spans="1:16" x14ac:dyDescent="0.25">
      <c r="A26" s="5"/>
      <c r="B26" s="5" t="s">
        <v>136</v>
      </c>
      <c r="C26" s="5" t="s">
        <v>137</v>
      </c>
      <c r="D26" s="5" t="s">
        <v>244</v>
      </c>
      <c r="E26" s="5">
        <v>12</v>
      </c>
      <c r="F26" s="44">
        <v>800</v>
      </c>
      <c r="G26" s="44">
        <v>1120</v>
      </c>
      <c r="H26" s="5">
        <v>569</v>
      </c>
      <c r="I26" s="13">
        <v>2099.389173796767</v>
      </c>
      <c r="J26" s="13">
        <f t="shared" si="4"/>
        <v>1120</v>
      </c>
      <c r="K26" s="8" t="s">
        <v>182</v>
      </c>
      <c r="L26" s="13">
        <v>0</v>
      </c>
      <c r="M26" s="40">
        <f t="shared" si="0"/>
        <v>2.6242364672459586</v>
      </c>
      <c r="N26" s="40">
        <f t="shared" si="1"/>
        <v>1.8744546194613991</v>
      </c>
      <c r="O26" s="13">
        <f t="shared" si="2"/>
        <v>0.15943595673410058</v>
      </c>
      <c r="P26" s="2">
        <v>101</v>
      </c>
    </row>
    <row r="27" spans="1:16" x14ac:dyDescent="0.25">
      <c r="A27" s="5"/>
      <c r="B27" s="5" t="s">
        <v>138</v>
      </c>
      <c r="C27" s="5" t="s">
        <v>139</v>
      </c>
      <c r="D27" s="5" t="s">
        <v>244</v>
      </c>
      <c r="E27" s="5">
        <v>12</v>
      </c>
      <c r="F27" s="44">
        <v>500</v>
      </c>
      <c r="G27" s="44">
        <v>1492</v>
      </c>
      <c r="H27" s="5">
        <v>147</v>
      </c>
      <c r="I27" s="13">
        <v>542.37294999670439</v>
      </c>
      <c r="J27" s="13">
        <f t="shared" si="4"/>
        <v>542.37294999670439</v>
      </c>
      <c r="K27" s="8" t="s">
        <v>183</v>
      </c>
      <c r="L27" s="13">
        <v>0</v>
      </c>
      <c r="M27" s="40">
        <f t="shared" si="0"/>
        <v>1.0847458999934088</v>
      </c>
      <c r="N27" s="40">
        <f t="shared" si="1"/>
        <v>0.36352074396561956</v>
      </c>
      <c r="O27" s="13">
        <f t="shared" si="2"/>
        <v>0.38571028648683342</v>
      </c>
      <c r="P27" s="2">
        <v>101</v>
      </c>
    </row>
    <row r="28" spans="1:16" x14ac:dyDescent="0.25">
      <c r="A28" s="5"/>
      <c r="B28" s="5" t="s">
        <v>140</v>
      </c>
      <c r="C28" s="5" t="s">
        <v>141</v>
      </c>
      <c r="D28" s="5" t="s">
        <v>242</v>
      </c>
      <c r="E28" s="5">
        <v>18</v>
      </c>
      <c r="F28" s="44">
        <v>3</v>
      </c>
      <c r="G28" s="44">
        <v>6.5</v>
      </c>
      <c r="H28" s="5">
        <v>0.96699999999999997</v>
      </c>
      <c r="I28" s="13">
        <v>6.9352084899721493</v>
      </c>
      <c r="J28" s="13">
        <f t="shared" si="4"/>
        <v>6.5</v>
      </c>
      <c r="K28" s="8" t="s">
        <v>184</v>
      </c>
      <c r="L28" s="13">
        <v>0</v>
      </c>
      <c r="M28" s="40">
        <f t="shared" si="0"/>
        <v>2.3117361633240496</v>
      </c>
      <c r="N28" s="40">
        <f t="shared" si="1"/>
        <v>1.0669551523034075</v>
      </c>
      <c r="O28" s="13">
        <f t="shared" si="2"/>
        <v>0.26726611550959101</v>
      </c>
    </row>
    <row r="29" spans="1:16" x14ac:dyDescent="0.25">
      <c r="A29" s="5"/>
      <c r="B29" s="5" t="s">
        <v>142</v>
      </c>
      <c r="C29" s="5" t="s">
        <v>143</v>
      </c>
      <c r="D29" s="5" t="s">
        <v>244</v>
      </c>
      <c r="E29" s="5">
        <v>15</v>
      </c>
      <c r="F29" s="44">
        <v>2</v>
      </c>
      <c r="G29" s="44">
        <v>5</v>
      </c>
      <c r="H29" s="5">
        <v>2.58</v>
      </c>
      <c r="I29" s="13">
        <v>11.65393950932075</v>
      </c>
      <c r="J29" s="13">
        <v>3</v>
      </c>
      <c r="K29" s="8" t="s">
        <v>185</v>
      </c>
      <c r="L29" s="13">
        <v>0</v>
      </c>
      <c r="M29" s="40">
        <f t="shared" si="0"/>
        <v>5.8269697546603751</v>
      </c>
      <c r="N29" s="40">
        <f t="shared" si="1"/>
        <v>2.33078790186415</v>
      </c>
      <c r="O29" s="13">
        <f t="shared" si="2"/>
        <v>7.5138964945608719E-2</v>
      </c>
      <c r="P29" s="2">
        <v>72</v>
      </c>
    </row>
    <row r="30" spans="1:16" x14ac:dyDescent="0.25">
      <c r="A30" s="5"/>
      <c r="B30" s="5" t="s">
        <v>142</v>
      </c>
      <c r="C30" s="5" t="s">
        <v>144</v>
      </c>
      <c r="D30" s="5" t="s">
        <v>244</v>
      </c>
      <c r="E30" s="5">
        <v>15</v>
      </c>
      <c r="F30" s="44">
        <v>2</v>
      </c>
      <c r="G30" s="44">
        <v>3.95</v>
      </c>
      <c r="H30" s="5">
        <v>0.56999999999999995</v>
      </c>
      <c r="I30" s="13">
        <v>2.5747075660127234</v>
      </c>
      <c r="J30" s="13">
        <v>3</v>
      </c>
      <c r="K30" s="8" t="s">
        <v>185</v>
      </c>
      <c r="L30" s="13">
        <v>0</v>
      </c>
      <c r="M30" s="40">
        <f t="shared" si="0"/>
        <v>1.2873537830063617</v>
      </c>
      <c r="N30" s="40">
        <f t="shared" si="1"/>
        <v>0.65182470025638561</v>
      </c>
      <c r="O30" s="13">
        <f t="shared" si="2"/>
        <v>0.34010268343801847</v>
      </c>
      <c r="P30" s="2">
        <v>72</v>
      </c>
    </row>
    <row r="31" spans="1:16" x14ac:dyDescent="0.25">
      <c r="A31" s="5"/>
      <c r="B31" s="5" t="s">
        <v>142</v>
      </c>
      <c r="C31" s="5" t="s">
        <v>145</v>
      </c>
      <c r="D31" s="5" t="s">
        <v>244</v>
      </c>
      <c r="E31" s="5">
        <v>15</v>
      </c>
      <c r="F31" s="44">
        <v>2</v>
      </c>
      <c r="G31" s="44">
        <v>5</v>
      </c>
      <c r="H31" s="5">
        <v>1.1100000000000001</v>
      </c>
      <c r="I31" s="13">
        <v>5.0139042074984621</v>
      </c>
      <c r="J31" s="13">
        <v>3</v>
      </c>
      <c r="K31" s="8" t="s">
        <v>185</v>
      </c>
      <c r="L31" s="13">
        <v>0</v>
      </c>
      <c r="M31" s="40">
        <f t="shared" si="0"/>
        <v>2.5069521037492311</v>
      </c>
      <c r="N31" s="40">
        <f t="shared" si="1"/>
        <v>1.0027808414996924</v>
      </c>
      <c r="O31" s="13">
        <f t="shared" si="2"/>
        <v>0.17464732392763108</v>
      </c>
      <c r="P31" s="2">
        <v>72</v>
      </c>
    </row>
    <row r="32" spans="1:16" x14ac:dyDescent="0.25">
      <c r="A32" s="5"/>
      <c r="B32" s="5" t="s">
        <v>146</v>
      </c>
      <c r="C32" s="5" t="s">
        <v>147</v>
      </c>
      <c r="D32" s="5" t="s">
        <v>242</v>
      </c>
      <c r="E32" s="5">
        <v>12</v>
      </c>
      <c r="F32" s="44">
        <v>5</v>
      </c>
      <c r="G32" s="44">
        <v>11.18</v>
      </c>
      <c r="H32" s="5">
        <v>6.29</v>
      </c>
      <c r="I32" s="13">
        <v>29.318355281342452</v>
      </c>
      <c r="J32" s="13">
        <f t="shared" ref="J32:J49" si="5">IF(I32&gt;G32, G32, I32)</f>
        <v>11.18</v>
      </c>
      <c r="K32" s="8"/>
      <c r="L32" s="13">
        <v>0</v>
      </c>
      <c r="M32" s="40">
        <f t="shared" si="0"/>
        <v>5.8636710562684904</v>
      </c>
      <c r="N32" s="40">
        <f t="shared" si="1"/>
        <v>2.6223931378660512</v>
      </c>
      <c r="O32" s="13">
        <f t="shared" si="2"/>
        <v>9.0142149624108936E-2</v>
      </c>
      <c r="P32" s="2">
        <v>134</v>
      </c>
    </row>
    <row r="33" spans="1:16" ht="30" x14ac:dyDescent="0.25">
      <c r="A33" s="5"/>
      <c r="B33" s="5" t="s">
        <v>146</v>
      </c>
      <c r="C33" s="33" t="s">
        <v>148</v>
      </c>
      <c r="D33" s="5" t="s">
        <v>242</v>
      </c>
      <c r="E33" s="5">
        <v>20</v>
      </c>
      <c r="F33" s="44">
        <v>2</v>
      </c>
      <c r="G33" s="44">
        <v>4.0199999999999996</v>
      </c>
      <c r="H33" s="5">
        <v>0.8</v>
      </c>
      <c r="I33" s="13">
        <v>6.4070443797688812</v>
      </c>
      <c r="J33" s="13">
        <f t="shared" si="5"/>
        <v>4.0199999999999996</v>
      </c>
      <c r="K33" s="8"/>
      <c r="L33" s="13">
        <v>0</v>
      </c>
      <c r="M33" s="40">
        <f t="shared" si="0"/>
        <v>3.2035221898844406</v>
      </c>
      <c r="N33" s="40">
        <f t="shared" si="1"/>
        <v>1.5937921342708661</v>
      </c>
      <c r="O33" s="13">
        <f t="shared" si="2"/>
        <v>0.20214016162538909</v>
      </c>
      <c r="P33" s="2">
        <v>142</v>
      </c>
    </row>
    <row r="34" spans="1:16" ht="30" x14ac:dyDescent="0.25">
      <c r="A34" s="5"/>
      <c r="B34" s="5" t="s">
        <v>146</v>
      </c>
      <c r="C34" s="33" t="s">
        <v>149</v>
      </c>
      <c r="D34" s="5" t="s">
        <v>244</v>
      </c>
      <c r="E34" s="5">
        <v>10</v>
      </c>
      <c r="F34" s="44">
        <v>12</v>
      </c>
      <c r="G34" s="44">
        <v>35</v>
      </c>
      <c r="H34" s="5">
        <v>9.9</v>
      </c>
      <c r="I34" s="13">
        <v>31.066191937868535</v>
      </c>
      <c r="J34" s="13">
        <f t="shared" si="5"/>
        <v>31.066191937868535</v>
      </c>
      <c r="K34" s="8"/>
      <c r="L34" s="13">
        <v>284.85785437596536</v>
      </c>
      <c r="M34" s="40">
        <f t="shared" ref="M34:M50" si="6">I34/F34</f>
        <v>2.5888493281557112</v>
      </c>
      <c r="N34" s="40">
        <f t="shared" ref="N34:N50" si="7">(I34+L34)/G34</f>
        <v>9.0264013232523972</v>
      </c>
      <c r="O34" s="13">
        <f t="shared" si="2"/>
        <v>0.15766206002129007</v>
      </c>
      <c r="P34" s="2">
        <v>77</v>
      </c>
    </row>
    <row r="35" spans="1:16" x14ac:dyDescent="0.25">
      <c r="A35" s="5"/>
      <c r="B35" s="5" t="s">
        <v>146</v>
      </c>
      <c r="C35" s="33" t="s">
        <v>150</v>
      </c>
      <c r="D35" s="5" t="s">
        <v>244</v>
      </c>
      <c r="E35" s="5">
        <v>10</v>
      </c>
      <c r="F35" s="44">
        <v>12</v>
      </c>
      <c r="G35" s="44">
        <v>35</v>
      </c>
      <c r="H35" s="5">
        <v>92.8</v>
      </c>
      <c r="I35" s="13">
        <v>291.20632442769698</v>
      </c>
      <c r="J35" s="13">
        <f t="shared" si="5"/>
        <v>35</v>
      </c>
      <c r="K35" s="8"/>
      <c r="L35" s="13">
        <v>5404.3865149662315</v>
      </c>
      <c r="M35" s="40">
        <f t="shared" si="6"/>
        <v>24.267193702308081</v>
      </c>
      <c r="N35" s="40">
        <f t="shared" si="7"/>
        <v>162.73122398268367</v>
      </c>
      <c r="O35" s="13">
        <f t="shared" si="2"/>
        <v>1.6819551661754008E-2</v>
      </c>
      <c r="P35" s="2">
        <v>77</v>
      </c>
    </row>
    <row r="36" spans="1:16" x14ac:dyDescent="0.25">
      <c r="A36" s="5"/>
      <c r="B36" s="5" t="s">
        <v>151</v>
      </c>
      <c r="C36" s="5" t="s">
        <v>152</v>
      </c>
      <c r="D36" s="5" t="s">
        <v>244</v>
      </c>
      <c r="E36" s="5">
        <v>15</v>
      </c>
      <c r="F36" s="44">
        <v>2</v>
      </c>
      <c r="G36" s="44">
        <v>18.399999999999999</v>
      </c>
      <c r="H36" s="5">
        <v>4</v>
      </c>
      <c r="I36" s="13">
        <v>18.068123270264728</v>
      </c>
      <c r="J36" s="13">
        <f t="shared" si="5"/>
        <v>18.068123270264728</v>
      </c>
      <c r="K36" s="8" t="s">
        <v>186</v>
      </c>
      <c r="L36" s="13">
        <v>0</v>
      </c>
      <c r="M36" s="40">
        <f t="shared" si="6"/>
        <v>9.0340616351323639</v>
      </c>
      <c r="N36" s="40">
        <f t="shared" si="7"/>
        <v>0.98196322121003965</v>
      </c>
      <c r="O36" s="13">
        <f t="shared" si="2"/>
        <v>4.8464632389917627E-2</v>
      </c>
      <c r="P36" s="2">
        <v>91</v>
      </c>
    </row>
    <row r="37" spans="1:16" x14ac:dyDescent="0.25">
      <c r="A37" s="5"/>
      <c r="B37" s="5" t="s">
        <v>151</v>
      </c>
      <c r="C37" s="5" t="s">
        <v>153</v>
      </c>
      <c r="D37" s="5" t="s">
        <v>244</v>
      </c>
      <c r="E37" s="5">
        <v>15</v>
      </c>
      <c r="F37" s="44">
        <v>2</v>
      </c>
      <c r="G37" s="44">
        <v>18.399999999999999</v>
      </c>
      <c r="H37" s="5">
        <v>4</v>
      </c>
      <c r="I37" s="13">
        <v>18.068123270264728</v>
      </c>
      <c r="J37" s="13">
        <f t="shared" si="5"/>
        <v>18.068123270264728</v>
      </c>
      <c r="K37" s="8" t="s">
        <v>186</v>
      </c>
      <c r="L37" s="13">
        <v>0</v>
      </c>
      <c r="M37" s="40">
        <f t="shared" si="6"/>
        <v>9.0340616351323639</v>
      </c>
      <c r="N37" s="40">
        <f t="shared" si="7"/>
        <v>0.98196322121003965</v>
      </c>
      <c r="O37" s="13">
        <f t="shared" si="2"/>
        <v>4.8464632389917627E-2</v>
      </c>
      <c r="P37" s="2">
        <v>91</v>
      </c>
    </row>
    <row r="38" spans="1:16" x14ac:dyDescent="0.25">
      <c r="A38" s="5"/>
      <c r="B38" s="5" t="s">
        <v>151</v>
      </c>
      <c r="C38" s="5" t="s">
        <v>154</v>
      </c>
      <c r="D38" s="5" t="s">
        <v>244</v>
      </c>
      <c r="E38" s="5">
        <v>15</v>
      </c>
      <c r="F38" s="44">
        <v>4</v>
      </c>
      <c r="G38" s="44">
        <v>18.399999999999999</v>
      </c>
      <c r="H38" s="5">
        <v>9.3000000000000007</v>
      </c>
      <c r="I38" s="13">
        <v>42.008386603365494</v>
      </c>
      <c r="J38" s="13">
        <f t="shared" si="5"/>
        <v>18.399999999999999</v>
      </c>
      <c r="K38" s="8" t="s">
        <v>186</v>
      </c>
      <c r="L38" s="13">
        <v>0</v>
      </c>
      <c r="M38" s="40">
        <f t="shared" si="6"/>
        <v>10.502096650841374</v>
      </c>
      <c r="N38" s="40">
        <f t="shared" si="7"/>
        <v>2.2830644893133423</v>
      </c>
      <c r="O38" s="13">
        <f t="shared" si="2"/>
        <v>4.1690006356918385E-2</v>
      </c>
      <c r="P38" s="2">
        <v>91</v>
      </c>
    </row>
    <row r="39" spans="1:16" x14ac:dyDescent="0.25">
      <c r="A39" s="5"/>
      <c r="B39" s="5" t="s">
        <v>151</v>
      </c>
      <c r="C39" s="5" t="s">
        <v>155</v>
      </c>
      <c r="D39" s="5" t="s">
        <v>244</v>
      </c>
      <c r="E39" s="5">
        <v>15</v>
      </c>
      <c r="F39" s="44">
        <v>4</v>
      </c>
      <c r="G39" s="44">
        <v>18.399999999999999</v>
      </c>
      <c r="H39" s="5">
        <v>9.3000000000000007</v>
      </c>
      <c r="I39" s="13">
        <v>42.008386603365494</v>
      </c>
      <c r="J39" s="13">
        <f t="shared" si="5"/>
        <v>18.399999999999999</v>
      </c>
      <c r="K39" s="8" t="s">
        <v>186</v>
      </c>
      <c r="L39" s="13">
        <v>0</v>
      </c>
      <c r="M39" s="40">
        <f t="shared" si="6"/>
        <v>10.502096650841374</v>
      </c>
      <c r="N39" s="40">
        <f t="shared" si="7"/>
        <v>2.2830644893133423</v>
      </c>
      <c r="O39" s="13">
        <f t="shared" si="2"/>
        <v>4.1690006356918385E-2</v>
      </c>
      <c r="P39" s="2">
        <v>91</v>
      </c>
    </row>
    <row r="40" spans="1:16" x14ac:dyDescent="0.25">
      <c r="A40" s="5"/>
      <c r="B40" s="5" t="s">
        <v>151</v>
      </c>
      <c r="C40" s="5" t="s">
        <v>156</v>
      </c>
      <c r="D40" s="5" t="s">
        <v>244</v>
      </c>
      <c r="E40" s="5">
        <v>15</v>
      </c>
      <c r="F40" s="44">
        <v>6</v>
      </c>
      <c r="G40" s="44">
        <v>14.57</v>
      </c>
      <c r="H40" s="5">
        <v>5</v>
      </c>
      <c r="I40" s="13">
        <v>22.585154087830908</v>
      </c>
      <c r="J40" s="13">
        <f t="shared" si="5"/>
        <v>14.57</v>
      </c>
      <c r="K40" s="8" t="s">
        <v>186</v>
      </c>
      <c r="L40" s="13">
        <v>0</v>
      </c>
      <c r="M40" s="40">
        <f t="shared" si="6"/>
        <v>3.764192347971818</v>
      </c>
      <c r="N40" s="40">
        <f t="shared" si="7"/>
        <v>1.5501135269616271</v>
      </c>
      <c r="O40" s="13">
        <f t="shared" si="2"/>
        <v>0.11631511773580232</v>
      </c>
      <c r="P40" s="2">
        <v>91</v>
      </c>
    </row>
    <row r="41" spans="1:16" x14ac:dyDescent="0.25">
      <c r="A41" s="5"/>
      <c r="B41" s="5" t="s">
        <v>151</v>
      </c>
      <c r="C41" s="5" t="s">
        <v>157</v>
      </c>
      <c r="D41" s="5" t="s">
        <v>244</v>
      </c>
      <c r="E41" s="5">
        <v>15</v>
      </c>
      <c r="F41" s="44">
        <v>6</v>
      </c>
      <c r="G41" s="44">
        <v>14.57</v>
      </c>
      <c r="H41" s="5">
        <v>5</v>
      </c>
      <c r="I41" s="13">
        <v>22.585154087830908</v>
      </c>
      <c r="J41" s="13">
        <f t="shared" si="5"/>
        <v>14.57</v>
      </c>
      <c r="K41" s="8" t="s">
        <v>186</v>
      </c>
      <c r="L41" s="13">
        <v>0</v>
      </c>
      <c r="M41" s="40">
        <f t="shared" si="6"/>
        <v>3.764192347971818</v>
      </c>
      <c r="N41" s="40">
        <f t="shared" si="7"/>
        <v>1.5501135269616271</v>
      </c>
      <c r="O41" s="13">
        <f t="shared" si="2"/>
        <v>0.11631511773580232</v>
      </c>
      <c r="P41" s="2">
        <v>91</v>
      </c>
    </row>
    <row r="42" spans="1:16" x14ac:dyDescent="0.25">
      <c r="A42" s="5"/>
      <c r="B42" s="5" t="s">
        <v>158</v>
      </c>
      <c r="C42" s="5" t="s">
        <v>159</v>
      </c>
      <c r="D42" s="5" t="s">
        <v>242</v>
      </c>
      <c r="E42" s="5">
        <v>20</v>
      </c>
      <c r="F42" s="44">
        <v>10</v>
      </c>
      <c r="G42" s="44">
        <v>48.5</v>
      </c>
      <c r="H42" s="5">
        <v>11.2</v>
      </c>
      <c r="I42" s="13">
        <v>89.698621316764331</v>
      </c>
      <c r="J42" s="13">
        <f t="shared" si="5"/>
        <v>48.5</v>
      </c>
      <c r="K42" s="8" t="s">
        <v>187</v>
      </c>
      <c r="L42" s="13">
        <v>0</v>
      </c>
      <c r="M42" s="40">
        <f t="shared" si="6"/>
        <v>8.9698621316764324</v>
      </c>
      <c r="N42" s="40">
        <f t="shared" si="7"/>
        <v>1.8494561096240067</v>
      </c>
      <c r="O42" s="13">
        <f t="shared" si="2"/>
        <v>7.2192914866210406E-2</v>
      </c>
      <c r="P42" s="2">
        <v>117</v>
      </c>
    </row>
    <row r="43" spans="1:16" x14ac:dyDescent="0.25">
      <c r="A43" s="5"/>
      <c r="B43" s="5" t="s">
        <v>160</v>
      </c>
      <c r="C43" s="5" t="s">
        <v>161</v>
      </c>
      <c r="D43" s="5" t="s">
        <v>242</v>
      </c>
      <c r="E43" s="5">
        <v>20</v>
      </c>
      <c r="F43" s="44">
        <v>6.5</v>
      </c>
      <c r="G43" s="44">
        <v>21.61</v>
      </c>
      <c r="H43" s="5">
        <v>4.3</v>
      </c>
      <c r="I43" s="13">
        <v>34.437863541257734</v>
      </c>
      <c r="J43" s="13">
        <f t="shared" si="5"/>
        <v>21.61</v>
      </c>
      <c r="K43" s="8" t="s">
        <v>188</v>
      </c>
      <c r="L43" s="13">
        <v>0</v>
      </c>
      <c r="M43" s="40">
        <f t="shared" si="6"/>
        <v>5.2981328525011895</v>
      </c>
      <c r="N43" s="40">
        <f t="shared" si="7"/>
        <v>1.5936077529503812</v>
      </c>
      <c r="O43" s="13">
        <f t="shared" si="2"/>
        <v>0.12222428377349109</v>
      </c>
      <c r="P43" s="2">
        <v>117</v>
      </c>
    </row>
    <row r="44" spans="1:16" x14ac:dyDescent="0.25">
      <c r="A44" s="5"/>
      <c r="B44" s="5" t="s">
        <v>162</v>
      </c>
      <c r="C44" s="5" t="s">
        <v>163</v>
      </c>
      <c r="D44" s="5" t="s">
        <v>241</v>
      </c>
      <c r="E44" s="5">
        <v>20</v>
      </c>
      <c r="F44" s="44">
        <v>900</v>
      </c>
      <c r="G44" s="44">
        <v>3000</v>
      </c>
      <c r="H44" s="5">
        <v>508</v>
      </c>
      <c r="I44" s="13">
        <v>3040.0753047450298</v>
      </c>
      <c r="J44" s="13">
        <f t="shared" si="5"/>
        <v>3000</v>
      </c>
      <c r="K44" s="8"/>
      <c r="L44" s="13">
        <v>2003.2222135238662</v>
      </c>
      <c r="M44" s="40">
        <f t="shared" si="6"/>
        <v>3.3778614497166997</v>
      </c>
      <c r="N44" s="40">
        <f t="shared" si="7"/>
        <v>1.6810991727562987</v>
      </c>
      <c r="O44" s="13">
        <f t="shared" si="2"/>
        <v>0.14324893343531514</v>
      </c>
      <c r="P44" s="2">
        <v>35</v>
      </c>
    </row>
    <row r="45" spans="1:16" x14ac:dyDescent="0.25">
      <c r="A45" s="5"/>
      <c r="B45" s="5" t="s">
        <v>164</v>
      </c>
      <c r="C45" s="5" t="s">
        <v>165</v>
      </c>
      <c r="D45" s="5" t="s">
        <v>241</v>
      </c>
      <c r="E45" s="5">
        <v>20</v>
      </c>
      <c r="F45" s="44">
        <v>900</v>
      </c>
      <c r="G45" s="44">
        <v>3000</v>
      </c>
      <c r="H45" s="5">
        <v>520</v>
      </c>
      <c r="I45" s="13">
        <v>3111.8881072193221</v>
      </c>
      <c r="J45" s="13">
        <f t="shared" si="5"/>
        <v>3000</v>
      </c>
      <c r="K45" s="8"/>
      <c r="L45" s="13">
        <v>2055.253959329681</v>
      </c>
      <c r="M45" s="40">
        <f t="shared" si="6"/>
        <v>3.4576534524659133</v>
      </c>
      <c r="N45" s="40">
        <f t="shared" si="7"/>
        <v>1.7223806888496678</v>
      </c>
      <c r="O45" s="13">
        <f t="shared" si="2"/>
        <v>0.13994318881757709</v>
      </c>
      <c r="P45" s="2">
        <v>35</v>
      </c>
    </row>
    <row r="46" spans="1:16" x14ac:dyDescent="0.25">
      <c r="A46" s="5"/>
      <c r="B46" s="5" t="s">
        <v>166</v>
      </c>
      <c r="C46" s="5" t="s">
        <v>167</v>
      </c>
      <c r="D46" s="5" t="s">
        <v>241</v>
      </c>
      <c r="E46" s="5">
        <v>15</v>
      </c>
      <c r="F46" s="44">
        <v>900</v>
      </c>
      <c r="G46" s="44">
        <v>2000</v>
      </c>
      <c r="H46" s="5">
        <v>554</v>
      </c>
      <c r="I46" s="13">
        <v>2535.5367408066959</v>
      </c>
      <c r="J46" s="13">
        <f t="shared" si="5"/>
        <v>2000</v>
      </c>
      <c r="K46" s="8"/>
      <c r="L46" s="13">
        <v>1804.2436820211331</v>
      </c>
      <c r="M46" s="40">
        <f t="shared" si="6"/>
        <v>2.8172630453407734</v>
      </c>
      <c r="N46" s="40">
        <f t="shared" si="7"/>
        <v>2.1698902114139145</v>
      </c>
      <c r="O46" s="13">
        <f t="shared" si="2"/>
        <v>0.1574663146242811</v>
      </c>
      <c r="P46" s="2">
        <v>35</v>
      </c>
    </row>
    <row r="47" spans="1:16" x14ac:dyDescent="0.25">
      <c r="A47" s="5"/>
      <c r="B47" s="5" t="s">
        <v>168</v>
      </c>
      <c r="C47" s="5" t="s">
        <v>169</v>
      </c>
      <c r="D47" s="5" t="s">
        <v>241</v>
      </c>
      <c r="E47" s="5">
        <v>15</v>
      </c>
      <c r="F47" s="44">
        <v>900</v>
      </c>
      <c r="G47" s="44">
        <v>2100</v>
      </c>
      <c r="H47" s="5">
        <v>405</v>
      </c>
      <c r="I47" s="13">
        <v>1853.5963538388301</v>
      </c>
      <c r="J47" s="13">
        <f t="shared" si="5"/>
        <v>1853.5963538388301</v>
      </c>
      <c r="K47" s="8"/>
      <c r="L47" s="13">
        <v>1320.964124336901</v>
      </c>
      <c r="M47" s="40">
        <f t="shared" si="6"/>
        <v>2.0595515042653667</v>
      </c>
      <c r="N47" s="40">
        <f t="shared" si="7"/>
        <v>1.5116954657979671</v>
      </c>
      <c r="O47" s="13">
        <f t="shared" si="2"/>
        <v>0.21539836617741168</v>
      </c>
      <c r="P47" s="2">
        <v>35</v>
      </c>
    </row>
    <row r="48" spans="1:16" x14ac:dyDescent="0.25">
      <c r="A48" s="5"/>
      <c r="B48" s="5" t="s">
        <v>170</v>
      </c>
      <c r="C48" s="33" t="s">
        <v>171</v>
      </c>
      <c r="D48" s="5" t="s">
        <v>242</v>
      </c>
      <c r="E48" s="5">
        <v>15</v>
      </c>
      <c r="F48" s="44">
        <v>100</v>
      </c>
      <c r="G48" s="44">
        <v>215</v>
      </c>
      <c r="H48" s="5">
        <v>55</v>
      </c>
      <c r="I48" s="13">
        <v>325.40712369431816</v>
      </c>
      <c r="J48" s="13">
        <f t="shared" si="5"/>
        <v>215</v>
      </c>
      <c r="K48" s="8"/>
      <c r="L48" s="13">
        <v>0</v>
      </c>
      <c r="M48" s="40">
        <f t="shared" si="6"/>
        <v>3.2540712369431817</v>
      </c>
      <c r="N48" s="40">
        <f t="shared" si="7"/>
        <v>1.5135215055549682</v>
      </c>
      <c r="O48" s="13">
        <f t="shared" si="2"/>
        <v>0.17623502687242773</v>
      </c>
      <c r="P48" s="2">
        <v>45</v>
      </c>
    </row>
    <row r="49" spans="1:16" x14ac:dyDescent="0.25">
      <c r="A49" s="5"/>
      <c r="B49" s="5" t="s">
        <v>172</v>
      </c>
      <c r="C49" s="5" t="s">
        <v>173</v>
      </c>
      <c r="D49" s="5" t="s">
        <v>241</v>
      </c>
      <c r="E49" s="5">
        <v>10</v>
      </c>
      <c r="F49" s="44">
        <v>600</v>
      </c>
      <c r="G49" s="44">
        <v>1000</v>
      </c>
      <c r="H49" s="5">
        <v>217</v>
      </c>
      <c r="I49" s="13">
        <v>687.70817012941973</v>
      </c>
      <c r="J49" s="13">
        <f t="shared" si="5"/>
        <v>687.70817012941973</v>
      </c>
      <c r="K49" s="8"/>
      <c r="L49" s="13">
        <v>522.23939968926982</v>
      </c>
      <c r="M49" s="40">
        <f t="shared" si="6"/>
        <v>1.1461802835490329</v>
      </c>
      <c r="N49" s="40">
        <f t="shared" si="7"/>
        <v>1.2099475698186895</v>
      </c>
      <c r="O49" s="13">
        <f t="shared" si="2"/>
        <v>0.35964386963381839</v>
      </c>
      <c r="P49" s="2">
        <v>35</v>
      </c>
    </row>
    <row r="50" spans="1:16" x14ac:dyDescent="0.25">
      <c r="A50" s="5"/>
      <c r="B50" s="5"/>
      <c r="C50" s="5" t="s">
        <v>211</v>
      </c>
      <c r="D50" s="5" t="s">
        <v>241</v>
      </c>
      <c r="E50" s="5">
        <v>11</v>
      </c>
      <c r="F50" s="44">
        <v>80</v>
      </c>
      <c r="G50" s="44">
        <v>355</v>
      </c>
      <c r="H50" s="5">
        <v>24</v>
      </c>
      <c r="I50" s="13">
        <v>82.81646045060792</v>
      </c>
      <c r="J50" s="13">
        <v>93</v>
      </c>
      <c r="K50" s="42"/>
      <c r="L50" s="43">
        <f>-PV(5.53%,E50,96)</f>
        <v>775.67701302587307</v>
      </c>
      <c r="M50" s="47">
        <f t="shared" si="6"/>
        <v>1.0352057556325991</v>
      </c>
      <c r="N50" s="47">
        <f t="shared" si="7"/>
        <v>2.4182914745816366</v>
      </c>
      <c r="O50" s="13">
        <f t="shared" si="2"/>
        <v>0.40319531380371748</v>
      </c>
      <c r="P50" s="5">
        <v>89</v>
      </c>
    </row>
    <row r="51" spans="1:16" x14ac:dyDescent="0.25">
      <c r="A51" s="5"/>
      <c r="B51" s="17"/>
      <c r="C51" s="17"/>
      <c r="D51" s="17"/>
      <c r="E51" s="17"/>
      <c r="F51" s="46"/>
      <c r="G51" s="46"/>
      <c r="H51" s="17"/>
      <c r="I51" s="18"/>
      <c r="J51" s="7"/>
      <c r="K51" s="8"/>
      <c r="L51" s="13"/>
      <c r="M51" s="14"/>
      <c r="N51" s="14"/>
      <c r="O51" s="13"/>
      <c r="P51" s="5"/>
    </row>
    <row r="52" spans="1:16" x14ac:dyDescent="0.25">
      <c r="A52" s="100" t="s">
        <v>284</v>
      </c>
      <c r="B52" s="101"/>
      <c r="C52" s="101"/>
      <c r="D52" s="102"/>
      <c r="E52" s="5"/>
      <c r="F52" s="40"/>
      <c r="G52" s="40"/>
      <c r="H52" s="5"/>
      <c r="I52" s="13"/>
      <c r="J52" s="4"/>
      <c r="K52" s="8"/>
      <c r="L52" s="13"/>
      <c r="M52" s="14"/>
      <c r="N52" s="14"/>
      <c r="O52" s="13"/>
      <c r="P52" s="5"/>
    </row>
    <row r="53" spans="1:16" x14ac:dyDescent="0.25">
      <c r="A53" s="5" t="s">
        <v>210</v>
      </c>
      <c r="B53" s="5" t="s">
        <v>304</v>
      </c>
      <c r="C53" s="54" t="s">
        <v>283</v>
      </c>
      <c r="D53" s="55"/>
      <c r="E53" s="5">
        <v>15</v>
      </c>
      <c r="F53" s="40">
        <v>100</v>
      </c>
      <c r="G53" s="40">
        <v>375</v>
      </c>
      <c r="H53" s="5">
        <v>45</v>
      </c>
      <c r="I53" s="13">
        <v>203.26638679047818</v>
      </c>
      <c r="J53" s="50">
        <v>375</v>
      </c>
      <c r="K53" s="8"/>
      <c r="L53" s="13">
        <v>0</v>
      </c>
      <c r="M53" s="47">
        <f t="shared" ref="M53" si="8">I53/F53</f>
        <v>2.0326638679047817</v>
      </c>
      <c r="N53" s="47">
        <f t="shared" ref="N53" si="9">(I53+L53)/G53</f>
        <v>0.54204369810794184</v>
      </c>
      <c r="O53" s="13">
        <f t="shared" si="2"/>
        <v>0.21539836617741165</v>
      </c>
      <c r="P53" s="5"/>
    </row>
    <row r="54" spans="1:16" ht="30" x14ac:dyDescent="0.25">
      <c r="A54" s="5" t="s">
        <v>210</v>
      </c>
      <c r="B54" s="5" t="s">
        <v>304</v>
      </c>
      <c r="C54" s="56" t="s">
        <v>302</v>
      </c>
      <c r="D54" s="19"/>
      <c r="E54" s="5">
        <v>15</v>
      </c>
      <c r="F54" s="40">
        <v>30</v>
      </c>
      <c r="G54" s="40">
        <v>38</v>
      </c>
      <c r="H54" s="5">
        <v>21</v>
      </c>
      <c r="I54" s="13">
        <v>124.24635631964875</v>
      </c>
      <c r="J54" s="50">
        <v>38</v>
      </c>
      <c r="K54" s="8"/>
      <c r="L54" s="13">
        <v>0</v>
      </c>
      <c r="M54" s="14">
        <v>3.32</v>
      </c>
      <c r="N54" s="14">
        <v>3.69</v>
      </c>
      <c r="O54" s="13">
        <f t="shared" si="2"/>
        <v>0.1384703782569075</v>
      </c>
      <c r="P54" s="5">
        <v>195</v>
      </c>
    </row>
    <row r="55" spans="1:16" x14ac:dyDescent="0.25">
      <c r="A55" s="5" t="s">
        <v>210</v>
      </c>
      <c r="B55" s="5" t="s">
        <v>304</v>
      </c>
      <c r="C55" s="16" t="s">
        <v>285</v>
      </c>
      <c r="D55" s="19"/>
      <c r="E55" s="5">
        <v>35</v>
      </c>
      <c r="F55" s="40">
        <v>10</v>
      </c>
      <c r="G55" s="40">
        <v>16</v>
      </c>
      <c r="H55" s="5">
        <v>4.0999999999999996</v>
      </c>
      <c r="I55" s="13">
        <v>47.411067670694791</v>
      </c>
      <c r="J55" s="50">
        <v>16</v>
      </c>
      <c r="K55" s="8"/>
      <c r="L55" s="13">
        <v>0</v>
      </c>
      <c r="M55" s="14">
        <v>3.08</v>
      </c>
      <c r="N55" s="14">
        <v>2.91</v>
      </c>
      <c r="O55" s="13">
        <f t="shared" si="2"/>
        <v>0.15065108027812724</v>
      </c>
      <c r="P55" s="5">
        <v>147</v>
      </c>
    </row>
    <row r="56" spans="1:16" x14ac:dyDescent="0.25">
      <c r="A56" s="5" t="s">
        <v>210</v>
      </c>
      <c r="B56" s="5" t="s">
        <v>304</v>
      </c>
      <c r="C56" s="16" t="s">
        <v>292</v>
      </c>
      <c r="D56" s="19"/>
      <c r="E56" s="5">
        <v>35</v>
      </c>
      <c r="F56" s="40">
        <v>9</v>
      </c>
      <c r="G56" s="40">
        <v>13</v>
      </c>
      <c r="H56" s="5">
        <v>4.0999999999999996</v>
      </c>
      <c r="I56" s="13">
        <v>47.411067670694791</v>
      </c>
      <c r="J56" s="50">
        <v>13</v>
      </c>
      <c r="K56" s="8"/>
      <c r="L56" s="13">
        <v>0</v>
      </c>
      <c r="M56" s="14">
        <v>3.79</v>
      </c>
      <c r="N56" s="14">
        <v>3.58</v>
      </c>
      <c r="O56" s="13">
        <f t="shared" si="2"/>
        <v>0.13558597225031452</v>
      </c>
      <c r="P56" s="5">
        <v>147</v>
      </c>
    </row>
    <row r="57" spans="1:16" x14ac:dyDescent="0.25">
      <c r="A57" s="5" t="s">
        <v>210</v>
      </c>
      <c r="B57" s="5" t="s">
        <v>304</v>
      </c>
      <c r="C57" s="16" t="s">
        <v>291</v>
      </c>
      <c r="D57" s="19"/>
      <c r="E57" s="5">
        <v>35</v>
      </c>
      <c r="F57" s="40">
        <v>8</v>
      </c>
      <c r="G57" s="40">
        <v>10</v>
      </c>
      <c r="H57" s="5">
        <v>4.0999999999999996</v>
      </c>
      <c r="I57" s="13">
        <v>47.411067670694791</v>
      </c>
      <c r="J57" s="50">
        <v>10</v>
      </c>
      <c r="K57" s="8"/>
      <c r="L57" s="13">
        <v>0</v>
      </c>
      <c r="M57" s="14">
        <v>4.92</v>
      </c>
      <c r="N57" s="14">
        <v>4.66</v>
      </c>
      <c r="O57" s="13">
        <f t="shared" si="2"/>
        <v>0.12052086422250181</v>
      </c>
      <c r="P57" s="5">
        <v>147</v>
      </c>
    </row>
    <row r="58" spans="1:16" x14ac:dyDescent="0.25">
      <c r="A58" s="5" t="s">
        <v>210</v>
      </c>
      <c r="B58" s="5" t="s">
        <v>304</v>
      </c>
      <c r="C58" s="16" t="s">
        <v>295</v>
      </c>
      <c r="D58" s="19"/>
      <c r="E58" s="5">
        <v>15</v>
      </c>
      <c r="F58" s="40">
        <v>3</v>
      </c>
      <c r="G58" s="40">
        <v>8.66</v>
      </c>
      <c r="H58" s="5">
        <v>8.08</v>
      </c>
      <c r="I58" s="13">
        <v>36.980391454364806</v>
      </c>
      <c r="J58" s="50">
        <v>8.66</v>
      </c>
      <c r="K58" s="8"/>
      <c r="L58" s="13">
        <v>219</v>
      </c>
      <c r="M58" s="14">
        <v>4.2699999999999996</v>
      </c>
      <c r="N58" s="14">
        <v>258.36</v>
      </c>
      <c r="O58" s="13">
        <f t="shared" si="2"/>
        <v>3.5988588408354678E-2</v>
      </c>
      <c r="P58" s="5">
        <v>51</v>
      </c>
    </row>
    <row r="59" spans="1:16" x14ac:dyDescent="0.25">
      <c r="A59" s="5" t="s">
        <v>210</v>
      </c>
      <c r="B59" s="5" t="s">
        <v>304</v>
      </c>
      <c r="C59" s="16" t="s">
        <v>297</v>
      </c>
      <c r="D59" s="19"/>
      <c r="E59" s="5">
        <v>15</v>
      </c>
      <c r="F59" s="40">
        <v>3</v>
      </c>
      <c r="G59" s="40">
        <v>8.66</v>
      </c>
      <c r="H59" s="5">
        <v>5.57</v>
      </c>
      <c r="I59" s="13">
        <v>25.492670841684653</v>
      </c>
      <c r="J59" s="50">
        <v>8.66</v>
      </c>
      <c r="K59" s="8"/>
      <c r="L59" s="13">
        <v>151</v>
      </c>
      <c r="M59" s="14">
        <v>2.94</v>
      </c>
      <c r="N59" s="14">
        <v>178.09</v>
      </c>
      <c r="O59" s="13">
        <f t="shared" si="2"/>
        <v>5.2206067206374468E-2</v>
      </c>
      <c r="P59" s="5">
        <v>51</v>
      </c>
    </row>
    <row r="60" spans="1:16" x14ac:dyDescent="0.25">
      <c r="A60" s="5" t="s">
        <v>210</v>
      </c>
      <c r="B60" s="5" t="s">
        <v>304</v>
      </c>
      <c r="C60" s="16" t="s">
        <v>298</v>
      </c>
      <c r="D60" s="19"/>
      <c r="E60" s="5">
        <v>15</v>
      </c>
      <c r="F60" s="40">
        <v>5</v>
      </c>
      <c r="G60" s="40">
        <v>8.66</v>
      </c>
      <c r="H60" s="5">
        <v>6.76</v>
      </c>
      <c r="I60" s="13">
        <v>30.939040375186398</v>
      </c>
      <c r="J60" s="50">
        <v>8.66</v>
      </c>
      <c r="K60" s="8"/>
      <c r="L60" s="13">
        <v>183</v>
      </c>
      <c r="M60" s="14">
        <v>3.57</v>
      </c>
      <c r="N60" s="14">
        <v>215.83</v>
      </c>
      <c r="O60" s="13">
        <f t="shared" si="2"/>
        <v>7.1693243180351529E-2</v>
      </c>
      <c r="P60" s="5">
        <v>51</v>
      </c>
    </row>
    <row r="61" spans="1:16" x14ac:dyDescent="0.25">
      <c r="A61" s="5" t="s">
        <v>210</v>
      </c>
      <c r="B61" s="5" t="s">
        <v>304</v>
      </c>
      <c r="C61" s="16" t="s">
        <v>296</v>
      </c>
      <c r="D61" s="19"/>
      <c r="E61" s="5">
        <v>15</v>
      </c>
      <c r="F61" s="40">
        <v>5</v>
      </c>
      <c r="G61" s="40">
        <v>8.66</v>
      </c>
      <c r="H61" s="5">
        <v>3.25</v>
      </c>
      <c r="I61" s="13">
        <v>14.874538641916537</v>
      </c>
      <c r="J61" s="50">
        <v>8.66</v>
      </c>
      <c r="K61" s="8"/>
      <c r="L61" s="13">
        <v>88</v>
      </c>
      <c r="M61" s="14">
        <v>1.72</v>
      </c>
      <c r="N61" s="14">
        <v>103.8</v>
      </c>
      <c r="O61" s="13">
        <f t="shared" si="2"/>
        <v>0.14912194581513119</v>
      </c>
      <c r="P61" s="5">
        <v>51</v>
      </c>
    </row>
    <row r="62" spans="1:16" x14ac:dyDescent="0.25">
      <c r="A62" s="5" t="s">
        <v>210</v>
      </c>
      <c r="B62" s="5" t="s">
        <v>304</v>
      </c>
      <c r="C62" s="16" t="s">
        <v>293</v>
      </c>
      <c r="D62" s="19"/>
      <c r="E62" s="5">
        <v>15</v>
      </c>
      <c r="F62" s="40">
        <v>10</v>
      </c>
      <c r="G62" s="40">
        <v>28</v>
      </c>
      <c r="H62" s="5">
        <v>13.1</v>
      </c>
      <c r="I62" s="13">
        <v>59.95583267972512</v>
      </c>
      <c r="J62" s="50">
        <v>28</v>
      </c>
      <c r="K62" s="8"/>
      <c r="L62" s="13">
        <v>30</v>
      </c>
      <c r="M62" s="14">
        <v>2.14</v>
      </c>
      <c r="N62" s="14">
        <v>14.41</v>
      </c>
      <c r="O62" s="13">
        <f t="shared" si="2"/>
        <v>7.3991805175446776E-2</v>
      </c>
      <c r="P62" s="5">
        <v>157</v>
      </c>
    </row>
    <row r="63" spans="1:16" x14ac:dyDescent="0.25">
      <c r="A63" s="5" t="s">
        <v>210</v>
      </c>
      <c r="B63" s="5" t="s">
        <v>304</v>
      </c>
      <c r="C63" s="16" t="s">
        <v>294</v>
      </c>
      <c r="D63" s="19"/>
      <c r="E63" s="5">
        <v>15</v>
      </c>
      <c r="F63" s="40">
        <v>10</v>
      </c>
      <c r="G63" s="40">
        <v>28</v>
      </c>
      <c r="H63" s="5">
        <v>5.5</v>
      </c>
      <c r="I63" s="13">
        <v>25.172296163243374</v>
      </c>
      <c r="J63" s="50">
        <v>25.17</v>
      </c>
      <c r="K63" s="8"/>
      <c r="L63" s="13">
        <v>13</v>
      </c>
      <c r="M63" s="14">
        <v>1</v>
      </c>
      <c r="N63" s="14">
        <v>6.09</v>
      </c>
      <c r="O63" s="13">
        <f t="shared" si="2"/>
        <v>0.17623502687242776</v>
      </c>
      <c r="P63" s="5">
        <v>157</v>
      </c>
    </row>
    <row r="64" spans="1:16" x14ac:dyDescent="0.25">
      <c r="A64" s="5" t="s">
        <v>210</v>
      </c>
      <c r="B64" s="5" t="s">
        <v>304</v>
      </c>
      <c r="C64" s="16" t="s">
        <v>288</v>
      </c>
      <c r="D64" s="19"/>
      <c r="E64" s="5">
        <v>15</v>
      </c>
      <c r="F64" s="40">
        <v>300</v>
      </c>
      <c r="G64" s="40">
        <v>320</v>
      </c>
      <c r="H64" s="5">
        <v>82</v>
      </c>
      <c r="I64" s="13">
        <v>375.29605188835575</v>
      </c>
      <c r="J64" s="50">
        <v>320</v>
      </c>
      <c r="K64" s="8"/>
      <c r="L64" s="13">
        <v>0</v>
      </c>
      <c r="M64" s="14">
        <v>1.18</v>
      </c>
      <c r="N64" s="14">
        <v>1.18</v>
      </c>
      <c r="O64" s="13">
        <f t="shared" si="2"/>
        <v>0.35461926138964117</v>
      </c>
      <c r="P64" s="5">
        <v>196</v>
      </c>
    </row>
    <row r="65" spans="1:16" x14ac:dyDescent="0.25">
      <c r="A65" s="5"/>
      <c r="B65" s="5"/>
      <c r="C65" s="16"/>
      <c r="D65" s="19"/>
      <c r="E65" s="5"/>
      <c r="F65" s="5"/>
      <c r="G65" s="5"/>
      <c r="H65" s="5"/>
      <c r="I65" s="13"/>
      <c r="J65" s="50"/>
      <c r="K65" s="8"/>
      <c r="L65" s="13"/>
      <c r="M65" s="14"/>
      <c r="N65" s="14"/>
      <c r="O65" s="13"/>
      <c r="P65" s="5"/>
    </row>
    <row r="66" spans="1:16" ht="15.75" thickBot="1" x14ac:dyDescent="0.3">
      <c r="B66" s="20"/>
      <c r="C66" s="19"/>
      <c r="D66" s="19"/>
      <c r="E66" s="20"/>
      <c r="F66" s="103" t="s">
        <v>290</v>
      </c>
      <c r="G66" s="103"/>
      <c r="H66" s="103"/>
      <c r="I66" s="21"/>
      <c r="J66" s="12"/>
      <c r="K66" s="1"/>
      <c r="L66" s="10"/>
      <c r="M66" s="11"/>
      <c r="N66" s="11"/>
      <c r="O66" s="10"/>
    </row>
    <row r="67" spans="1:16" ht="15.75" thickBot="1" x14ac:dyDescent="0.3">
      <c r="B67" s="22" t="s">
        <v>271</v>
      </c>
    </row>
    <row r="68" spans="1:16" ht="79.5" thickBot="1" x14ac:dyDescent="0.3">
      <c r="B68" s="23" t="s">
        <v>221</v>
      </c>
      <c r="C68" s="24" t="s">
        <v>222</v>
      </c>
      <c r="D68" s="24"/>
      <c r="E68" s="24" t="s">
        <v>223</v>
      </c>
      <c r="F68" s="24" t="s">
        <v>224</v>
      </c>
      <c r="G68" s="24" t="s">
        <v>225</v>
      </c>
      <c r="H68" s="24" t="s">
        <v>81</v>
      </c>
      <c r="I68" s="52" t="s">
        <v>226</v>
      </c>
      <c r="J68" s="53" t="s">
        <v>227</v>
      </c>
    </row>
    <row r="69" spans="1:16" x14ac:dyDescent="0.25">
      <c r="B69" s="97" t="s">
        <v>228</v>
      </c>
      <c r="C69" s="25" t="s">
        <v>300</v>
      </c>
      <c r="D69" s="25"/>
      <c r="E69" s="97" t="s">
        <v>230</v>
      </c>
      <c r="F69" s="91">
        <v>1</v>
      </c>
      <c r="G69" s="91">
        <v>2.58</v>
      </c>
      <c r="H69" s="91">
        <v>15</v>
      </c>
      <c r="I69" s="91">
        <v>2</v>
      </c>
      <c r="J69" s="95">
        <v>0.97</v>
      </c>
    </row>
    <row r="70" spans="1:16" x14ac:dyDescent="0.25">
      <c r="B70" s="98"/>
      <c r="C70" s="25" t="s">
        <v>301</v>
      </c>
      <c r="D70" s="25"/>
      <c r="E70" s="98"/>
      <c r="F70" s="92"/>
      <c r="G70" s="92"/>
      <c r="H70" s="92"/>
      <c r="I70" s="92"/>
      <c r="J70" s="95"/>
    </row>
    <row r="71" spans="1:16" ht="15.75" thickBot="1" x14ac:dyDescent="0.3">
      <c r="B71" s="99"/>
      <c r="C71" s="26" t="s">
        <v>229</v>
      </c>
      <c r="D71" s="26"/>
      <c r="E71" s="99"/>
      <c r="F71" s="93"/>
      <c r="G71" s="93"/>
      <c r="H71" s="93"/>
      <c r="I71" s="93"/>
      <c r="J71" s="96"/>
      <c r="O71" s="51" t="s">
        <v>299</v>
      </c>
    </row>
    <row r="72" spans="1:16" x14ac:dyDescent="0.25">
      <c r="B72" s="97" t="s">
        <v>231</v>
      </c>
      <c r="C72" s="25" t="s">
        <v>300</v>
      </c>
      <c r="D72" s="25"/>
      <c r="E72" s="97" t="s">
        <v>230</v>
      </c>
      <c r="F72" s="91">
        <v>1</v>
      </c>
      <c r="G72" s="91">
        <v>0.56999999999999995</v>
      </c>
      <c r="H72" s="91">
        <v>15</v>
      </c>
      <c r="I72" s="91">
        <v>2</v>
      </c>
      <c r="J72" s="94">
        <v>4.3899999999999997</v>
      </c>
    </row>
    <row r="73" spans="1:16" x14ac:dyDescent="0.25">
      <c r="B73" s="98"/>
      <c r="C73" s="25" t="s">
        <v>301</v>
      </c>
      <c r="D73" s="25"/>
      <c r="E73" s="98"/>
      <c r="F73" s="92"/>
      <c r="G73" s="92"/>
      <c r="H73" s="92"/>
      <c r="I73" s="92"/>
      <c r="J73" s="95"/>
    </row>
    <row r="74" spans="1:16" ht="15.75" thickBot="1" x14ac:dyDescent="0.3">
      <c r="B74" s="99"/>
      <c r="C74" s="26" t="s">
        <v>229</v>
      </c>
      <c r="D74" s="26"/>
      <c r="E74" s="99"/>
      <c r="F74" s="93"/>
      <c r="G74" s="93"/>
      <c r="H74" s="93"/>
      <c r="I74" s="93"/>
      <c r="J74" s="96"/>
    </row>
    <row r="75" spans="1:16" ht="15.75" thickBot="1" x14ac:dyDescent="0.3">
      <c r="B75" s="29" t="s">
        <v>232</v>
      </c>
      <c r="C75" s="26" t="s">
        <v>300</v>
      </c>
      <c r="D75" s="26"/>
      <c r="E75" s="26" t="s">
        <v>230</v>
      </c>
      <c r="F75" s="27">
        <v>1</v>
      </c>
      <c r="G75" s="27">
        <v>1.1100000000000001</v>
      </c>
      <c r="H75" s="27">
        <v>15</v>
      </c>
      <c r="I75" s="27">
        <v>2</v>
      </c>
      <c r="J75" s="28">
        <v>2.25</v>
      </c>
    </row>
  </sheetData>
  <mergeCells count="16">
    <mergeCell ref="A52:D52"/>
    <mergeCell ref="B69:B71"/>
    <mergeCell ref="E69:E71"/>
    <mergeCell ref="F69:F71"/>
    <mergeCell ref="G69:G71"/>
    <mergeCell ref="F66:H66"/>
    <mergeCell ref="B72:B74"/>
    <mergeCell ref="E72:E74"/>
    <mergeCell ref="F72:F74"/>
    <mergeCell ref="G72:G74"/>
    <mergeCell ref="H72:H74"/>
    <mergeCell ref="I72:I74"/>
    <mergeCell ref="J72:J74"/>
    <mergeCell ref="I69:I71"/>
    <mergeCell ref="J69:J71"/>
    <mergeCell ref="H69:H71"/>
  </mergeCells>
  <pageMargins left="0.7" right="0.7" top="0.75" bottom="0.75" header="0.3" footer="0.3"/>
  <pageSetup paperSize="17" scale="95"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92"/>
  <sheetViews>
    <sheetView topLeftCell="A52" workbookViewId="0">
      <selection activeCell="C13" sqref="C13"/>
    </sheetView>
  </sheetViews>
  <sheetFormatPr defaultRowHeight="15" x14ac:dyDescent="0.25"/>
  <cols>
    <col min="1" max="1" width="22.140625" bestFit="1" customWidth="1"/>
    <col min="2" max="2" width="20.140625" bestFit="1" customWidth="1"/>
    <col min="3" max="3" width="11.5703125" bestFit="1" customWidth="1"/>
  </cols>
  <sheetData>
    <row r="2" spans="1:3" x14ac:dyDescent="0.25">
      <c r="A2" s="6" t="s">
        <v>262</v>
      </c>
      <c r="B2" s="6" t="s">
        <v>79</v>
      </c>
      <c r="C2" s="6" t="s">
        <v>240</v>
      </c>
    </row>
    <row r="3" spans="1:3" x14ac:dyDescent="0.25">
      <c r="A3" t="s">
        <v>86</v>
      </c>
      <c r="B3" t="s">
        <v>1</v>
      </c>
      <c r="C3" t="s">
        <v>241</v>
      </c>
    </row>
    <row r="4" spans="1:3" x14ac:dyDescent="0.25">
      <c r="A4" t="s">
        <v>86</v>
      </c>
      <c r="B4" t="s">
        <v>2</v>
      </c>
      <c r="C4" t="s">
        <v>241</v>
      </c>
    </row>
    <row r="5" spans="1:3" x14ac:dyDescent="0.25">
      <c r="A5" t="s">
        <v>86</v>
      </c>
      <c r="B5" t="s">
        <v>4</v>
      </c>
      <c r="C5" t="s">
        <v>242</v>
      </c>
    </row>
    <row r="6" spans="1:3" x14ac:dyDescent="0.25">
      <c r="A6" t="s">
        <v>86</v>
      </c>
      <c r="B6" t="s">
        <v>7</v>
      </c>
      <c r="C6" t="s">
        <v>242</v>
      </c>
    </row>
    <row r="7" spans="1:3" x14ac:dyDescent="0.25">
      <c r="A7" t="s">
        <v>86</v>
      </c>
      <c r="B7" t="s">
        <v>10</v>
      </c>
      <c r="C7" t="s">
        <v>242</v>
      </c>
    </row>
    <row r="8" spans="1:3" x14ac:dyDescent="0.25">
      <c r="A8" t="s">
        <v>86</v>
      </c>
      <c r="B8" t="s">
        <v>233</v>
      </c>
      <c r="C8" t="s">
        <v>242</v>
      </c>
    </row>
    <row r="9" spans="1:3" x14ac:dyDescent="0.25">
      <c r="A9" t="s">
        <v>86</v>
      </c>
      <c r="B9" t="s">
        <v>15</v>
      </c>
      <c r="C9" t="s">
        <v>242</v>
      </c>
    </row>
    <row r="10" spans="1:3" x14ac:dyDescent="0.25">
      <c r="A10" t="s">
        <v>86</v>
      </c>
      <c r="B10" t="s">
        <v>18</v>
      </c>
      <c r="C10" t="s">
        <v>242</v>
      </c>
    </row>
    <row r="11" spans="1:3" x14ac:dyDescent="0.25">
      <c r="A11" t="s">
        <v>86</v>
      </c>
      <c r="B11" t="s">
        <v>21</v>
      </c>
      <c r="C11" t="s">
        <v>242</v>
      </c>
    </row>
    <row r="12" spans="1:3" x14ac:dyDescent="0.25">
      <c r="A12" t="s">
        <v>86</v>
      </c>
      <c r="B12" t="s">
        <v>234</v>
      </c>
      <c r="C12" t="s">
        <v>243</v>
      </c>
    </row>
    <row r="13" spans="1:3" x14ac:dyDescent="0.25">
      <c r="A13" t="s">
        <v>86</v>
      </c>
      <c r="B13" t="s">
        <v>26</v>
      </c>
      <c r="C13" t="s">
        <v>243</v>
      </c>
    </row>
    <row r="14" spans="1:3" x14ac:dyDescent="0.25">
      <c r="A14" t="s">
        <v>86</v>
      </c>
      <c r="B14" t="s">
        <v>28</v>
      </c>
      <c r="C14" t="s">
        <v>243</v>
      </c>
    </row>
    <row r="15" spans="1:3" x14ac:dyDescent="0.25">
      <c r="A15" t="s">
        <v>86</v>
      </c>
      <c r="B15" t="s">
        <v>29</v>
      </c>
      <c r="C15" t="s">
        <v>243</v>
      </c>
    </row>
    <row r="16" spans="1:3" x14ac:dyDescent="0.25">
      <c r="A16" t="s">
        <v>86</v>
      </c>
      <c r="B16" t="s">
        <v>235</v>
      </c>
      <c r="C16" t="s">
        <v>243</v>
      </c>
    </row>
    <row r="17" spans="1:3" x14ac:dyDescent="0.25">
      <c r="A17" t="s">
        <v>86</v>
      </c>
      <c r="B17" t="s">
        <v>236</v>
      </c>
      <c r="C17" t="s">
        <v>243</v>
      </c>
    </row>
    <row r="18" spans="1:3" x14ac:dyDescent="0.25">
      <c r="A18" t="s">
        <v>86</v>
      </c>
      <c r="B18" t="s">
        <v>36</v>
      </c>
      <c r="C18" t="s">
        <v>243</v>
      </c>
    </row>
    <row r="19" spans="1:3" x14ac:dyDescent="0.25">
      <c r="A19" t="s">
        <v>86</v>
      </c>
      <c r="B19" t="s">
        <v>38</v>
      </c>
      <c r="C19" t="s">
        <v>243</v>
      </c>
    </row>
    <row r="20" spans="1:3" x14ac:dyDescent="0.25">
      <c r="A20" t="s">
        <v>86</v>
      </c>
      <c r="B20" t="s">
        <v>41</v>
      </c>
      <c r="C20" t="s">
        <v>242</v>
      </c>
    </row>
    <row r="21" spans="1:3" x14ac:dyDescent="0.25">
      <c r="A21" t="s">
        <v>86</v>
      </c>
      <c r="B21" t="s">
        <v>237</v>
      </c>
      <c r="C21" t="s">
        <v>241</v>
      </c>
    </row>
    <row r="22" spans="1:3" x14ac:dyDescent="0.25">
      <c r="A22" t="s">
        <v>86</v>
      </c>
      <c r="B22" t="s">
        <v>47</v>
      </c>
      <c r="C22" t="s">
        <v>241</v>
      </c>
    </row>
    <row r="23" spans="1:3" x14ac:dyDescent="0.25">
      <c r="A23" t="s">
        <v>86</v>
      </c>
      <c r="B23" t="s">
        <v>49</v>
      </c>
      <c r="C23" t="s">
        <v>241</v>
      </c>
    </row>
    <row r="24" spans="1:3" x14ac:dyDescent="0.25">
      <c r="A24" t="s">
        <v>86</v>
      </c>
      <c r="B24" t="s">
        <v>216</v>
      </c>
      <c r="C24" t="s">
        <v>241</v>
      </c>
    </row>
    <row r="25" spans="1:3" x14ac:dyDescent="0.25">
      <c r="A25" t="s">
        <v>86</v>
      </c>
      <c r="B25" t="s">
        <v>238</v>
      </c>
      <c r="C25" t="s">
        <v>241</v>
      </c>
    </row>
    <row r="26" spans="1:3" x14ac:dyDescent="0.25">
      <c r="A26" t="s">
        <v>86</v>
      </c>
      <c r="B26" t="s">
        <v>239</v>
      </c>
      <c r="C26" t="s">
        <v>241</v>
      </c>
    </row>
    <row r="27" spans="1:3" x14ac:dyDescent="0.25">
      <c r="A27" t="s">
        <v>86</v>
      </c>
      <c r="B27" t="s">
        <v>57</v>
      </c>
      <c r="C27" t="s">
        <v>242</v>
      </c>
    </row>
    <row r="28" spans="1:3" x14ac:dyDescent="0.25">
      <c r="A28" t="s">
        <v>86</v>
      </c>
      <c r="B28" t="s">
        <v>59</v>
      </c>
      <c r="C28" t="s">
        <v>242</v>
      </c>
    </row>
    <row r="29" spans="1:3" x14ac:dyDescent="0.25">
      <c r="A29" t="s">
        <v>87</v>
      </c>
      <c r="B29" t="s">
        <v>61</v>
      </c>
      <c r="C29" t="s">
        <v>243</v>
      </c>
    </row>
    <row r="30" spans="1:3" x14ac:dyDescent="0.25">
      <c r="A30" t="s">
        <v>87</v>
      </c>
      <c r="B30" t="s">
        <v>62</v>
      </c>
      <c r="C30" t="s">
        <v>244</v>
      </c>
    </row>
    <row r="31" spans="1:3" x14ac:dyDescent="0.25">
      <c r="A31" t="s">
        <v>87</v>
      </c>
      <c r="B31" t="s">
        <v>64</v>
      </c>
      <c r="C31" t="s">
        <v>243</v>
      </c>
    </row>
    <row r="32" spans="1:3" x14ac:dyDescent="0.25">
      <c r="A32" t="s">
        <v>87</v>
      </c>
      <c r="B32" t="s">
        <v>65</v>
      </c>
      <c r="C32" t="s">
        <v>243</v>
      </c>
    </row>
    <row r="33" spans="1:3" x14ac:dyDescent="0.25">
      <c r="A33" t="s">
        <v>87</v>
      </c>
      <c r="B33" t="s">
        <v>66</v>
      </c>
      <c r="C33" t="s">
        <v>243</v>
      </c>
    </row>
    <row r="34" spans="1:3" x14ac:dyDescent="0.25">
      <c r="A34" t="s">
        <v>87</v>
      </c>
      <c r="B34" t="s">
        <v>67</v>
      </c>
      <c r="C34" t="s">
        <v>243</v>
      </c>
    </row>
    <row r="35" spans="1:3" x14ac:dyDescent="0.25">
      <c r="A35" t="s">
        <v>87</v>
      </c>
      <c r="B35" t="s">
        <v>68</v>
      </c>
      <c r="C35" t="s">
        <v>243</v>
      </c>
    </row>
    <row r="36" spans="1:3" x14ac:dyDescent="0.25">
      <c r="A36" t="s">
        <v>87</v>
      </c>
      <c r="B36" t="s">
        <v>69</v>
      </c>
      <c r="C36" t="s">
        <v>241</v>
      </c>
    </row>
    <row r="37" spans="1:3" x14ac:dyDescent="0.25">
      <c r="A37" t="s">
        <v>87</v>
      </c>
      <c r="B37" t="s">
        <v>71</v>
      </c>
      <c r="C37" t="s">
        <v>241</v>
      </c>
    </row>
    <row r="38" spans="1:3" x14ac:dyDescent="0.25">
      <c r="A38" t="s">
        <v>87</v>
      </c>
      <c r="B38" t="s">
        <v>73</v>
      </c>
      <c r="C38" t="s">
        <v>241</v>
      </c>
    </row>
    <row r="39" spans="1:3" x14ac:dyDescent="0.25">
      <c r="A39" t="s">
        <v>87</v>
      </c>
      <c r="B39" t="s">
        <v>75</v>
      </c>
      <c r="C39" t="s">
        <v>241</v>
      </c>
    </row>
    <row r="40" spans="1:3" x14ac:dyDescent="0.25">
      <c r="A40" t="s">
        <v>87</v>
      </c>
      <c r="B40" t="s">
        <v>217</v>
      </c>
      <c r="C40" t="s">
        <v>241</v>
      </c>
    </row>
    <row r="41" spans="1:3" x14ac:dyDescent="0.25">
      <c r="A41" t="s">
        <v>264</v>
      </c>
      <c r="B41" t="s">
        <v>88</v>
      </c>
      <c r="C41" t="s">
        <v>241</v>
      </c>
    </row>
    <row r="42" spans="1:3" x14ac:dyDescent="0.25">
      <c r="A42" t="s">
        <v>264</v>
      </c>
      <c r="B42" t="s">
        <v>90</v>
      </c>
      <c r="C42" t="s">
        <v>241</v>
      </c>
    </row>
    <row r="43" spans="1:3" x14ac:dyDescent="0.25">
      <c r="A43" t="s">
        <v>264</v>
      </c>
      <c r="B43" t="s">
        <v>245</v>
      </c>
      <c r="C43" t="s">
        <v>241</v>
      </c>
    </row>
    <row r="44" spans="1:3" x14ac:dyDescent="0.25">
      <c r="A44" t="s">
        <v>264</v>
      </c>
      <c r="B44" t="s">
        <v>92</v>
      </c>
      <c r="C44" t="s">
        <v>241</v>
      </c>
    </row>
    <row r="45" spans="1:3" x14ac:dyDescent="0.25">
      <c r="A45" t="s">
        <v>264</v>
      </c>
      <c r="B45" t="s">
        <v>94</v>
      </c>
      <c r="C45" t="s">
        <v>244</v>
      </c>
    </row>
    <row r="46" spans="1:3" x14ac:dyDescent="0.25">
      <c r="A46" t="s">
        <v>264</v>
      </c>
      <c r="B46" t="s">
        <v>96</v>
      </c>
      <c r="C46" t="s">
        <v>244</v>
      </c>
    </row>
    <row r="47" spans="1:3" x14ac:dyDescent="0.25">
      <c r="A47" t="s">
        <v>264</v>
      </c>
      <c r="B47" t="s">
        <v>98</v>
      </c>
      <c r="C47" t="s">
        <v>263</v>
      </c>
    </row>
    <row r="48" spans="1:3" x14ac:dyDescent="0.25">
      <c r="A48" t="s">
        <v>264</v>
      </c>
      <c r="B48" t="s">
        <v>100</v>
      </c>
      <c r="C48" t="s">
        <v>263</v>
      </c>
    </row>
    <row r="49" spans="1:3" x14ac:dyDescent="0.25">
      <c r="A49" t="s">
        <v>264</v>
      </c>
      <c r="B49" t="s">
        <v>102</v>
      </c>
      <c r="C49" t="s">
        <v>242</v>
      </c>
    </row>
    <row r="50" spans="1:3" x14ac:dyDescent="0.25">
      <c r="A50" t="s">
        <v>264</v>
      </c>
      <c r="B50" t="s">
        <v>104</v>
      </c>
      <c r="C50" t="s">
        <v>242</v>
      </c>
    </row>
    <row r="51" spans="1:3" x14ac:dyDescent="0.25">
      <c r="A51" t="s">
        <v>264</v>
      </c>
      <c r="B51" t="s">
        <v>106</v>
      </c>
      <c r="C51" t="s">
        <v>242</v>
      </c>
    </row>
    <row r="52" spans="1:3" x14ac:dyDescent="0.25">
      <c r="A52" t="s">
        <v>264</v>
      </c>
      <c r="B52" t="s">
        <v>108</v>
      </c>
      <c r="C52" t="s">
        <v>242</v>
      </c>
    </row>
    <row r="53" spans="1:3" x14ac:dyDescent="0.25">
      <c r="A53" t="s">
        <v>264</v>
      </c>
      <c r="B53" t="s">
        <v>110</v>
      </c>
      <c r="C53" t="s">
        <v>244</v>
      </c>
    </row>
    <row r="54" spans="1:3" x14ac:dyDescent="0.25">
      <c r="A54" t="s">
        <v>264</v>
      </c>
      <c r="B54" t="s">
        <v>112</v>
      </c>
      <c r="C54" t="s">
        <v>242</v>
      </c>
    </row>
    <row r="55" spans="1:3" x14ac:dyDescent="0.25">
      <c r="A55" t="s">
        <v>264</v>
      </c>
      <c r="B55" t="s">
        <v>114</v>
      </c>
      <c r="C55" t="s">
        <v>242</v>
      </c>
    </row>
    <row r="56" spans="1:3" x14ac:dyDescent="0.25">
      <c r="A56" t="s">
        <v>264</v>
      </c>
      <c r="B56" t="s">
        <v>116</v>
      </c>
      <c r="C56" t="s">
        <v>242</v>
      </c>
    </row>
    <row r="57" spans="1:3" x14ac:dyDescent="0.25">
      <c r="A57" t="s">
        <v>264</v>
      </c>
      <c r="B57" t="s">
        <v>118</v>
      </c>
      <c r="C57" t="s">
        <v>242</v>
      </c>
    </row>
    <row r="58" spans="1:3" x14ac:dyDescent="0.25">
      <c r="A58" t="s">
        <v>264</v>
      </c>
      <c r="B58" t="s">
        <v>120</v>
      </c>
      <c r="C58" t="s">
        <v>242</v>
      </c>
    </row>
    <row r="59" spans="1:3" x14ac:dyDescent="0.25">
      <c r="A59" t="s">
        <v>264</v>
      </c>
      <c r="B59" t="s">
        <v>122</v>
      </c>
      <c r="C59" t="s">
        <v>242</v>
      </c>
    </row>
    <row r="60" spans="1:3" x14ac:dyDescent="0.25">
      <c r="A60" t="s">
        <v>264</v>
      </c>
      <c r="B60" t="s">
        <v>124</v>
      </c>
      <c r="C60" t="s">
        <v>244</v>
      </c>
    </row>
    <row r="61" spans="1:3" x14ac:dyDescent="0.25">
      <c r="A61" t="s">
        <v>264</v>
      </c>
      <c r="B61" t="s">
        <v>126</v>
      </c>
      <c r="C61" t="s">
        <v>242</v>
      </c>
    </row>
    <row r="62" spans="1:3" x14ac:dyDescent="0.25">
      <c r="A62" t="s">
        <v>264</v>
      </c>
      <c r="B62" t="s">
        <v>128</v>
      </c>
      <c r="C62" t="s">
        <v>244</v>
      </c>
    </row>
    <row r="63" spans="1:3" x14ac:dyDescent="0.25">
      <c r="A63" t="s">
        <v>264</v>
      </c>
      <c r="B63" t="s">
        <v>130</v>
      </c>
      <c r="C63" t="s">
        <v>244</v>
      </c>
    </row>
    <row r="64" spans="1:3" x14ac:dyDescent="0.25">
      <c r="A64" t="s">
        <v>264</v>
      </c>
      <c r="B64" t="s">
        <v>132</v>
      </c>
      <c r="C64" t="s">
        <v>244</v>
      </c>
    </row>
    <row r="65" spans="1:3" x14ac:dyDescent="0.25">
      <c r="A65" t="s">
        <v>264</v>
      </c>
      <c r="B65" t="s">
        <v>134</v>
      </c>
      <c r="C65" t="s">
        <v>242</v>
      </c>
    </row>
    <row r="66" spans="1:3" x14ac:dyDescent="0.25">
      <c r="A66" t="s">
        <v>264</v>
      </c>
      <c r="B66" t="s">
        <v>136</v>
      </c>
      <c r="C66" t="s">
        <v>244</v>
      </c>
    </row>
    <row r="67" spans="1:3" x14ac:dyDescent="0.25">
      <c r="A67" t="s">
        <v>264</v>
      </c>
      <c r="B67" t="s">
        <v>138</v>
      </c>
      <c r="C67" t="s">
        <v>244</v>
      </c>
    </row>
    <row r="68" spans="1:3" x14ac:dyDescent="0.25">
      <c r="A68" t="s">
        <v>264</v>
      </c>
      <c r="B68" t="s">
        <v>140</v>
      </c>
      <c r="C68" t="s">
        <v>242</v>
      </c>
    </row>
    <row r="69" spans="1:3" x14ac:dyDescent="0.25">
      <c r="A69" t="s">
        <v>264</v>
      </c>
      <c r="B69" t="s">
        <v>246</v>
      </c>
      <c r="C69" t="s">
        <v>244</v>
      </c>
    </row>
    <row r="70" spans="1:3" x14ac:dyDescent="0.25">
      <c r="A70" t="s">
        <v>264</v>
      </c>
      <c r="B70" t="s">
        <v>247</v>
      </c>
      <c r="C70" t="s">
        <v>244</v>
      </c>
    </row>
    <row r="71" spans="1:3" x14ac:dyDescent="0.25">
      <c r="A71" t="s">
        <v>264</v>
      </c>
      <c r="B71" t="s">
        <v>248</v>
      </c>
      <c r="C71" t="s">
        <v>244</v>
      </c>
    </row>
    <row r="72" spans="1:3" x14ac:dyDescent="0.25">
      <c r="A72" t="s">
        <v>264</v>
      </c>
      <c r="B72" t="s">
        <v>249</v>
      </c>
      <c r="C72" t="s">
        <v>242</v>
      </c>
    </row>
    <row r="73" spans="1:3" x14ac:dyDescent="0.25">
      <c r="A73" t="s">
        <v>264</v>
      </c>
      <c r="B73" t="s">
        <v>250</v>
      </c>
      <c r="C73" t="s">
        <v>242</v>
      </c>
    </row>
    <row r="74" spans="1:3" x14ac:dyDescent="0.25">
      <c r="A74" t="s">
        <v>264</v>
      </c>
      <c r="B74" t="s">
        <v>251</v>
      </c>
      <c r="C74" t="s">
        <v>244</v>
      </c>
    </row>
    <row r="75" spans="1:3" x14ac:dyDescent="0.25">
      <c r="A75" t="s">
        <v>264</v>
      </c>
      <c r="B75" t="s">
        <v>252</v>
      </c>
      <c r="C75" t="s">
        <v>244</v>
      </c>
    </row>
    <row r="76" spans="1:3" x14ac:dyDescent="0.25">
      <c r="A76" t="s">
        <v>264</v>
      </c>
      <c r="B76" t="s">
        <v>253</v>
      </c>
      <c r="C76" t="s">
        <v>244</v>
      </c>
    </row>
    <row r="77" spans="1:3" x14ac:dyDescent="0.25">
      <c r="A77" t="s">
        <v>264</v>
      </c>
      <c r="B77" t="s">
        <v>254</v>
      </c>
      <c r="C77" t="s">
        <v>244</v>
      </c>
    </row>
    <row r="78" spans="1:3" x14ac:dyDescent="0.25">
      <c r="A78" t="s">
        <v>264</v>
      </c>
      <c r="B78" t="s">
        <v>255</v>
      </c>
      <c r="C78" t="s">
        <v>244</v>
      </c>
    </row>
    <row r="79" spans="1:3" x14ac:dyDescent="0.25">
      <c r="A79" t="s">
        <v>264</v>
      </c>
      <c r="B79" t="s">
        <v>256</v>
      </c>
      <c r="C79" t="s">
        <v>244</v>
      </c>
    </row>
    <row r="80" spans="1:3" x14ac:dyDescent="0.25">
      <c r="A80" t="s">
        <v>264</v>
      </c>
      <c r="B80" t="s">
        <v>257</v>
      </c>
      <c r="C80" t="s">
        <v>244</v>
      </c>
    </row>
    <row r="81" spans="1:3" x14ac:dyDescent="0.25">
      <c r="A81" t="s">
        <v>264</v>
      </c>
      <c r="B81" t="s">
        <v>258</v>
      </c>
      <c r="C81" t="s">
        <v>244</v>
      </c>
    </row>
    <row r="82" spans="1:3" x14ac:dyDescent="0.25">
      <c r="A82" t="s">
        <v>264</v>
      </c>
      <c r="B82" t="s">
        <v>259</v>
      </c>
      <c r="C82" t="s">
        <v>244</v>
      </c>
    </row>
    <row r="83" spans="1:3" x14ac:dyDescent="0.25">
      <c r="A83" t="s">
        <v>264</v>
      </c>
      <c r="B83" t="s">
        <v>260</v>
      </c>
      <c r="C83" t="s">
        <v>244</v>
      </c>
    </row>
    <row r="84" spans="1:3" x14ac:dyDescent="0.25">
      <c r="A84" t="s">
        <v>264</v>
      </c>
      <c r="B84" t="s">
        <v>158</v>
      </c>
      <c r="C84" t="s">
        <v>242</v>
      </c>
    </row>
    <row r="85" spans="1:3" x14ac:dyDescent="0.25">
      <c r="A85" t="s">
        <v>264</v>
      </c>
      <c r="B85" t="s">
        <v>160</v>
      </c>
      <c r="C85" t="s">
        <v>242</v>
      </c>
    </row>
    <row r="86" spans="1:3" x14ac:dyDescent="0.25">
      <c r="A86" t="s">
        <v>264</v>
      </c>
      <c r="B86" t="s">
        <v>162</v>
      </c>
      <c r="C86" t="s">
        <v>241</v>
      </c>
    </row>
    <row r="87" spans="1:3" x14ac:dyDescent="0.25">
      <c r="A87" t="s">
        <v>264</v>
      </c>
      <c r="B87" t="s">
        <v>164</v>
      </c>
      <c r="C87" t="s">
        <v>241</v>
      </c>
    </row>
    <row r="88" spans="1:3" x14ac:dyDescent="0.25">
      <c r="A88" t="s">
        <v>264</v>
      </c>
      <c r="B88" t="s">
        <v>166</v>
      </c>
      <c r="C88" t="s">
        <v>241</v>
      </c>
    </row>
    <row r="89" spans="1:3" x14ac:dyDescent="0.25">
      <c r="A89" t="s">
        <v>264</v>
      </c>
      <c r="B89" t="s">
        <v>168</v>
      </c>
      <c r="C89" t="s">
        <v>241</v>
      </c>
    </row>
    <row r="90" spans="1:3" x14ac:dyDescent="0.25">
      <c r="A90" t="s">
        <v>264</v>
      </c>
      <c r="B90" t="s">
        <v>170</v>
      </c>
      <c r="C90" t="s">
        <v>242</v>
      </c>
    </row>
    <row r="91" spans="1:3" x14ac:dyDescent="0.25">
      <c r="A91" t="s">
        <v>264</v>
      </c>
      <c r="B91" t="s">
        <v>261</v>
      </c>
      <c r="C91" t="s">
        <v>244</v>
      </c>
    </row>
    <row r="92" spans="1:3" x14ac:dyDescent="0.25">
      <c r="A92" t="s">
        <v>264</v>
      </c>
      <c r="B92" t="s">
        <v>172</v>
      </c>
      <c r="C92" t="s">
        <v>241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2017-05-31T07:00:00+00:00</OpenedDate>
    <Date1 xmlns="dc463f71-b30c-4ab2-9473-d307f9d35888">2017-05-31T07:00:00+00:00</Date1>
    <IsDocumentOrder xmlns="dc463f71-b30c-4ab2-9473-d307f9d35888" xsi:nil="true"/>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170669</DocketNumber>
    <DelegatedOrder xmlns="dc463f71-b30c-4ab2-9473-d307f9d35888">false</DelegatedOrder>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F0B5F4D2F24084F8452C8D54936FB67" ma:contentTypeVersion="92" ma:contentTypeDescription="" ma:contentTypeScope="" ma:versionID="e8ecbfd68805ec922fda73263aa9c0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6E539D-E2FF-4D9B-92CF-5ED834930532}">
  <ds:schemaRefs>
    <ds:schemaRef ds:uri="6a7bd91e-004b-490a-8704-e368d63d59a0"/>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F3C1E78-3378-459C-829C-9DD2C72039DF}"/>
</file>

<file path=customXml/itemProps3.xml><?xml version="1.0" encoding="utf-8"?>
<ds:datastoreItem xmlns:ds="http://schemas.openxmlformats.org/officeDocument/2006/customXml" ds:itemID="{D2780E48-5753-473B-90B8-9A33E3D8F894}">
  <ds:schemaRefs>
    <ds:schemaRef ds:uri="http://schemas.microsoft.com/sharepoint/v3/contenttype/forms"/>
  </ds:schemaRefs>
</ds:datastoreItem>
</file>

<file path=customXml/itemProps4.xml><?xml version="1.0" encoding="utf-8"?>
<ds:datastoreItem xmlns:ds="http://schemas.openxmlformats.org/officeDocument/2006/customXml" ds:itemID="{D38B0DFB-138C-45DA-9288-59F34E3AF1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Residential</vt:lpstr>
      <vt:lpstr>NEw ESK quick Ref</vt:lpstr>
      <vt:lpstr>Commercial</vt:lpstr>
      <vt:lpstr>Load Profile Lookup</vt:lpstr>
      <vt:lpstr>Commercial!Print_Area</vt:lpstr>
      <vt:lpstr>Commercial!Print_Titles</vt:lpstr>
    </vt:vector>
  </TitlesOfParts>
  <Company>The Energy Trust of Oregon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Hudson</dc:creator>
  <cp:lastModifiedBy>Huff, Ashley (UTC)</cp:lastModifiedBy>
  <cp:lastPrinted>2017-04-03T21:15:54Z</cp:lastPrinted>
  <dcterms:created xsi:type="dcterms:W3CDTF">2015-11-19T01:15:39Z</dcterms:created>
  <dcterms:modified xsi:type="dcterms:W3CDTF">2017-06-01T23:47:32Z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0x0101006E56B4D1795A2E4DB2F0B01679ED314A007F0B5F4D2F24084F8452C8D54936FB67</vt:lpwstr>
  </property>
  <property fmtid="{D5CDD505-2E9C-101B-9397-08002B2CF9AE}" pid="3" name="_dlc_DocIdItemGuid">
    <vt:lpwstr>d6dd3390-f293-4f5b-ae36-f2454d1ce97f</vt:lpwstr>
  </property>
  <property fmtid="{D5CDD505-2E9C-101B-9397-08002B2CF9AE}" pid="4" name="_docset_NoMedatataSyncRequired">
    <vt:lpwstr>False</vt:lpwstr>
  </property>
  <property fmtid="{D5CDD505-2E9C-101B-9397-08002B2CF9AE}" pid="5" name="IsEFSEC">
    <vt:bool>false</vt:bool>
  </property>
</Properties>
</file>