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80" windowWidth="13380" windowHeight="7350" tabRatio="815"/>
  </bookViews>
  <sheets>
    <sheet name="References" sheetId="4" r:id="rId1"/>
    <sheet name="DF Calculation" sheetId="7" r:id="rId2"/>
    <sheet name="Proposed Rates" sheetId="12" r:id="rId3"/>
    <sheet name="Consolidated Cust Cnt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alRecyTons">'[4]Recycl Tons, Commodity Value'!$L$23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[5]ControlPanel!$Z$2:$Z$5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'[6]Vashon BS'!#REF!</definedName>
    <definedName name="DistrictNum">#REF!</definedName>
    <definedName name="drlFilter">[1]Settings!$D$27</definedName>
    <definedName name="End">#REF!</definedName>
    <definedName name="ExcludeIC">'[6]Vashon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3">'Consolidated Cust Cnt'!$A$1:$E$274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3">'Consolidated Cust Cnt'!$1:$6</definedName>
    <definedName name="_xlnm.Print_Titles" localSheetId="1">'DF Calculation'!$A:$C,'DF Calculation'!$1:$6</definedName>
    <definedName name="_xlnm.Print_Titles" localSheetId="2">'Proposed Rates'!$4:$6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[8]ControlPanel!$S$2:$S$16</definedName>
    <definedName name="ReportVersion">[1]Settings!$D$5</definedName>
    <definedName name="RetainedEarnings">#REF!</definedName>
    <definedName name="RevCust">[9]RevenuesCust!#REF!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'[6]Vashon BS'!#REF!</definedName>
    <definedName name="YWMedWasteDisp">#N/A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D60" i="7" l="1"/>
  <c r="E60" i="7"/>
  <c r="F60" i="7"/>
  <c r="H60" i="7" s="1"/>
  <c r="G60" i="7"/>
  <c r="M60" i="7"/>
  <c r="P60" i="7" s="1"/>
  <c r="T60" i="7"/>
  <c r="W60" i="7"/>
  <c r="AC60" i="7" s="1"/>
  <c r="AA60" i="7" l="1"/>
  <c r="AE60" i="7" s="1"/>
  <c r="G22" i="7"/>
  <c r="C61" i="4" l="1"/>
  <c r="C66" i="4" l="1"/>
  <c r="C121" i="12"/>
  <c r="C120" i="12"/>
  <c r="C80" i="12"/>
  <c r="C79" i="12"/>
  <c r="C78" i="12"/>
  <c r="C77" i="12"/>
  <c r="C76" i="12"/>
  <c r="M21" i="7"/>
  <c r="C18" i="12"/>
  <c r="C16" i="12"/>
  <c r="C14" i="12"/>
  <c r="C12" i="12"/>
  <c r="M124" i="7" l="1"/>
  <c r="G124" i="7"/>
  <c r="C139" i="7" l="1"/>
  <c r="M25" i="7" l="1"/>
  <c r="M100" i="7" l="1"/>
  <c r="W106" i="7"/>
  <c r="W105" i="7"/>
  <c r="M85" i="7" l="1"/>
  <c r="M82" i="7"/>
  <c r="E32" i="11"/>
  <c r="E31" i="11"/>
  <c r="D274" i="11" l="1"/>
  <c r="E274" i="11" s="1"/>
  <c r="T82" i="7" l="1"/>
  <c r="D272" i="11"/>
  <c r="E272" i="11" s="1"/>
  <c r="T85" i="7" l="1"/>
  <c r="D273" i="11"/>
  <c r="E273" i="11" s="1"/>
  <c r="T87" i="7"/>
  <c r="W35" i="7" l="1"/>
  <c r="W104" i="7"/>
  <c r="W101" i="7"/>
  <c r="W98" i="7"/>
  <c r="W91" i="7"/>
  <c r="W90" i="7"/>
  <c r="W83" i="7"/>
  <c r="W88" i="7"/>
  <c r="W84" i="7"/>
  <c r="W77" i="7"/>
  <c r="W76" i="7"/>
  <c r="W69" i="7"/>
  <c r="W68" i="7"/>
  <c r="W65" i="7"/>
  <c r="W62" i="7"/>
  <c r="W58" i="7"/>
  <c r="W54" i="7"/>
  <c r="W53" i="7"/>
  <c r="W50" i="7"/>
  <c r="W49" i="7"/>
  <c r="W46" i="7"/>
  <c r="W45" i="7"/>
  <c r="W43" i="7"/>
  <c r="W42" i="7"/>
  <c r="W39" i="7"/>
  <c r="W34" i="7"/>
  <c r="W33" i="7"/>
  <c r="W32" i="7"/>
  <c r="W30" i="7"/>
  <c r="W29" i="7"/>
  <c r="W28" i="7"/>
  <c r="W27" i="7"/>
  <c r="W25" i="7"/>
  <c r="AC25" i="7" s="1"/>
  <c r="W24" i="7"/>
  <c r="W22" i="7"/>
  <c r="AC22" i="7" s="1"/>
  <c r="W21" i="7"/>
  <c r="AC21" i="7" s="1"/>
  <c r="W20" i="7"/>
  <c r="W19" i="7"/>
  <c r="W18" i="7"/>
  <c r="W16" i="7"/>
  <c r="W13" i="7"/>
  <c r="W11" i="7"/>
  <c r="W102" i="7" l="1"/>
  <c r="W97" i="7"/>
  <c r="W15" i="7"/>
  <c r="W38" i="7"/>
  <c r="W44" i="7"/>
  <c r="W52" i="7"/>
  <c r="W63" i="7"/>
  <c r="W66" i="7"/>
  <c r="W78" i="7"/>
  <c r="W92" i="7"/>
  <c r="W103" i="7"/>
  <c r="W10" i="7"/>
  <c r="W55" i="7"/>
  <c r="W61" i="7"/>
  <c r="W71" i="7"/>
  <c r="W74" i="7"/>
  <c r="W99" i="7"/>
  <c r="W17" i="7"/>
  <c r="W80" i="7"/>
  <c r="W95" i="7"/>
  <c r="W87" i="7"/>
  <c r="W37" i="7"/>
  <c r="W47" i="7"/>
  <c r="W72" i="7"/>
  <c r="W85" i="7"/>
  <c r="W14" i="7"/>
  <c r="W26" i="7"/>
  <c r="W67" i="7"/>
  <c r="W81" i="7"/>
  <c r="W96" i="7"/>
  <c r="W36" i="7"/>
  <c r="W59" i="7"/>
  <c r="W41" i="7"/>
  <c r="W100" i="7"/>
  <c r="W48" i="7"/>
  <c r="W56" i="7"/>
  <c r="W73" i="7"/>
  <c r="W75" i="7"/>
  <c r="W79" i="7"/>
  <c r="W82" i="7"/>
  <c r="W89" i="7"/>
  <c r="W94" i="7"/>
  <c r="W40" i="7"/>
  <c r="W8" i="7"/>
  <c r="W51" i="7"/>
  <c r="W93" i="7"/>
  <c r="W9" i="7"/>
  <c r="W12" i="7"/>
  <c r="W31" i="7"/>
  <c r="W64" i="7"/>
  <c r="W70" i="7"/>
  <c r="W86" i="7"/>
  <c r="W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6" i="7"/>
  <c r="T84" i="7"/>
  <c r="M83" i="7"/>
  <c r="T83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59" i="7"/>
  <c r="T58" i="7"/>
  <c r="G55" i="7"/>
  <c r="T55" i="7"/>
  <c r="M55" i="7"/>
  <c r="E55" i="7"/>
  <c r="T56" i="7"/>
  <c r="T54" i="7"/>
  <c r="T53" i="7"/>
  <c r="T52" i="7"/>
  <c r="T51" i="7"/>
  <c r="G50" i="7"/>
  <c r="T50" i="7"/>
  <c r="M50" i="7"/>
  <c r="E50" i="7"/>
  <c r="T49" i="7"/>
  <c r="T48" i="7"/>
  <c r="T47" i="7"/>
  <c r="T46" i="7"/>
  <c r="T45" i="7"/>
  <c r="T44" i="7"/>
  <c r="T40" i="7"/>
  <c r="T39" i="7"/>
  <c r="T43" i="7"/>
  <c r="T42" i="7"/>
  <c r="T41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AA25" i="7" s="1"/>
  <c r="AE25" i="7" s="1"/>
  <c r="T24" i="7"/>
  <c r="T22" i="7"/>
  <c r="AA22" i="7" s="1"/>
  <c r="AE22" i="7" s="1"/>
  <c r="T21" i="7"/>
  <c r="AA21" i="7" s="1"/>
  <c r="AE21" i="7" s="1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AC50" i="7" l="1"/>
  <c r="AA50" i="7"/>
  <c r="AE50" i="7" s="1"/>
  <c r="AA55" i="7"/>
  <c r="AC55" i="7"/>
  <c r="M80" i="7"/>
  <c r="M79" i="7"/>
  <c r="M72" i="7"/>
  <c r="G62" i="7"/>
  <c r="G61" i="7"/>
  <c r="AE55" i="7" l="1"/>
  <c r="G21" i="7"/>
  <c r="M20" i="7"/>
  <c r="G72" i="7"/>
  <c r="E106" i="7"/>
  <c r="E105" i="7"/>
  <c r="E104" i="7"/>
  <c r="E103" i="7"/>
  <c r="E102" i="7"/>
  <c r="E101" i="7"/>
  <c r="E100" i="7"/>
  <c r="E99" i="7"/>
  <c r="D191" i="11"/>
  <c r="D190" i="11"/>
  <c r="G100" i="7"/>
  <c r="E88" i="7"/>
  <c r="E83" i="7"/>
  <c r="E59" i="7"/>
  <c r="E58" i="7"/>
  <c r="E56" i="7"/>
  <c r="E54" i="7"/>
  <c r="E53" i="7"/>
  <c r="E52" i="7"/>
  <c r="E51" i="7"/>
  <c r="E49" i="7"/>
  <c r="D189" i="11"/>
  <c r="E189" i="11" s="1"/>
  <c r="D188" i="11"/>
  <c r="D187" i="11"/>
  <c r="D186" i="11"/>
  <c r="D185" i="11"/>
  <c r="E185" i="11" s="1"/>
  <c r="D183" i="11"/>
  <c r="D182" i="11"/>
  <c r="D181" i="11"/>
  <c r="D179" i="11"/>
  <c r="D178" i="11"/>
  <c r="D177" i="11"/>
  <c r="D176" i="11"/>
  <c r="D175" i="11"/>
  <c r="D174" i="11"/>
  <c r="D173" i="11"/>
  <c r="D172" i="11"/>
  <c r="D171" i="11"/>
  <c r="D170" i="11"/>
  <c r="D168" i="11"/>
  <c r="D167" i="11"/>
  <c r="D166" i="11"/>
  <c r="D165" i="11"/>
  <c r="D164" i="11"/>
  <c r="D163" i="11"/>
  <c r="E163" i="11" s="1"/>
  <c r="D162" i="11"/>
  <c r="E162" i="11" s="1"/>
  <c r="D161" i="11"/>
  <c r="E161" i="11" s="1"/>
  <c r="D160" i="11"/>
  <c r="D159" i="11"/>
  <c r="E159" i="11" s="1"/>
  <c r="D158" i="11"/>
  <c r="D157" i="11"/>
  <c r="E157" i="11" s="1"/>
  <c r="D156" i="11"/>
  <c r="E156" i="11" s="1"/>
  <c r="D155" i="11"/>
  <c r="D154" i="11"/>
  <c r="D153" i="11"/>
  <c r="D152" i="11"/>
  <c r="E152" i="11" s="1"/>
  <c r="D151" i="11"/>
  <c r="D150" i="11"/>
  <c r="D77" i="7" s="1"/>
  <c r="D149" i="11"/>
  <c r="D76" i="7" s="1"/>
  <c r="D148" i="11"/>
  <c r="D75" i="7" s="1"/>
  <c r="D147" i="11"/>
  <c r="D74" i="7" s="1"/>
  <c r="D146" i="11"/>
  <c r="D73" i="7" s="1"/>
  <c r="D145" i="11"/>
  <c r="D72" i="7" s="1"/>
  <c r="D144" i="11"/>
  <c r="D71" i="7" s="1"/>
  <c r="D143" i="11"/>
  <c r="D70" i="7" s="1"/>
  <c r="D142" i="11"/>
  <c r="D69" i="7" s="1"/>
  <c r="D141" i="11"/>
  <c r="D68" i="7" s="1"/>
  <c r="D140" i="11"/>
  <c r="D67" i="7" s="1"/>
  <c r="D139" i="11"/>
  <c r="D66" i="7" s="1"/>
  <c r="D138" i="11"/>
  <c r="E138" i="11" s="1"/>
  <c r="D137" i="11"/>
  <c r="D65" i="7" s="1"/>
  <c r="D136" i="11"/>
  <c r="D64" i="7" s="1"/>
  <c r="D134" i="11"/>
  <c r="E134" i="11" s="1"/>
  <c r="D133" i="11"/>
  <c r="E133" i="11" s="1"/>
  <c r="D132" i="11"/>
  <c r="D63" i="7" s="1"/>
  <c r="D131" i="11"/>
  <c r="D62" i="7" s="1"/>
  <c r="D130" i="11"/>
  <c r="D61" i="7" s="1"/>
  <c r="D129" i="11"/>
  <c r="D125" i="11"/>
  <c r="E125" i="11" s="1"/>
  <c r="D124" i="11"/>
  <c r="E124" i="11" s="1"/>
  <c r="D123" i="11"/>
  <c r="E123" i="11" s="1"/>
  <c r="D122" i="11"/>
  <c r="E122" i="11" s="1"/>
  <c r="D121" i="11"/>
  <c r="E121" i="11" s="1"/>
  <c r="D120" i="11"/>
  <c r="E120" i="11" s="1"/>
  <c r="D118" i="11"/>
  <c r="E118" i="11" s="1"/>
  <c r="D117" i="11"/>
  <c r="E117" i="11" s="1"/>
  <c r="D116" i="11"/>
  <c r="D59" i="7" s="1"/>
  <c r="D268" i="11"/>
  <c r="E268" i="11" s="1"/>
  <c r="D266" i="11"/>
  <c r="E266" i="11" s="1"/>
  <c r="D265" i="11"/>
  <c r="E265" i="11" s="1"/>
  <c r="D264" i="11"/>
  <c r="E264" i="11" s="1"/>
  <c r="D263" i="11"/>
  <c r="E263" i="11" s="1"/>
  <c r="D262" i="11"/>
  <c r="E262" i="11" s="1"/>
  <c r="D261" i="11"/>
  <c r="E261" i="11" s="1"/>
  <c r="D260" i="11"/>
  <c r="E260" i="11" s="1"/>
  <c r="D259" i="11"/>
  <c r="E259" i="11" s="1"/>
  <c r="D256" i="11"/>
  <c r="E256" i="11" s="1"/>
  <c r="D255" i="11"/>
  <c r="E255" i="11" s="1"/>
  <c r="D253" i="11"/>
  <c r="E253" i="11" s="1"/>
  <c r="D252" i="11"/>
  <c r="D251" i="11"/>
  <c r="D246" i="11"/>
  <c r="E246" i="11" s="1"/>
  <c r="D248" i="11"/>
  <c r="E248" i="11" s="1"/>
  <c r="D247" i="11"/>
  <c r="E247" i="11" s="1"/>
  <c r="D245" i="11"/>
  <c r="E245" i="11" s="1"/>
  <c r="D244" i="11"/>
  <c r="E244" i="11" s="1"/>
  <c r="D243" i="11"/>
  <c r="E243" i="11" s="1"/>
  <c r="D242" i="11"/>
  <c r="E242" i="11" s="1"/>
  <c r="D241" i="11"/>
  <c r="E241" i="11" s="1"/>
  <c r="D240" i="11"/>
  <c r="E240" i="11" s="1"/>
  <c r="D239" i="11"/>
  <c r="E239" i="11" s="1"/>
  <c r="D238" i="11"/>
  <c r="E238" i="11" s="1"/>
  <c r="D237" i="11"/>
  <c r="E237" i="11" s="1"/>
  <c r="D234" i="11"/>
  <c r="E234" i="11" s="1"/>
  <c r="D233" i="11"/>
  <c r="E233" i="11" s="1"/>
  <c r="D232" i="11"/>
  <c r="E232" i="11" s="1"/>
  <c r="D231" i="11"/>
  <c r="E231" i="11" s="1"/>
  <c r="D230" i="11"/>
  <c r="E230" i="11" s="1"/>
  <c r="D229" i="11"/>
  <c r="E229" i="11" s="1"/>
  <c r="D228" i="11"/>
  <c r="E228" i="11" s="1"/>
  <c r="D225" i="11"/>
  <c r="E225" i="11" s="1"/>
  <c r="D224" i="11"/>
  <c r="E224" i="11" s="1"/>
  <c r="D223" i="11"/>
  <c r="E223" i="11" s="1"/>
  <c r="D222" i="11"/>
  <c r="E222" i="11" s="1"/>
  <c r="D221" i="11"/>
  <c r="E221" i="11" s="1"/>
  <c r="D218" i="11"/>
  <c r="E218" i="11" s="1"/>
  <c r="D217" i="11"/>
  <c r="E217" i="11" s="1"/>
  <c r="D216" i="11"/>
  <c r="E216" i="11" s="1"/>
  <c r="D215" i="11"/>
  <c r="E215" i="11" s="1"/>
  <c r="D212" i="11"/>
  <c r="E212" i="11" s="1"/>
  <c r="D211" i="11"/>
  <c r="E211" i="11" s="1"/>
  <c r="D210" i="11"/>
  <c r="E210" i="11" s="1"/>
  <c r="D209" i="11"/>
  <c r="E209" i="11" s="1"/>
  <c r="D206" i="11"/>
  <c r="E206" i="11" s="1"/>
  <c r="D205" i="11"/>
  <c r="E205" i="11" s="1"/>
  <c r="D204" i="11"/>
  <c r="E204" i="11" s="1"/>
  <c r="D203" i="11"/>
  <c r="E203" i="11" s="1"/>
  <c r="D202" i="11"/>
  <c r="E202" i="11" s="1"/>
  <c r="D199" i="11"/>
  <c r="E199" i="11" s="1"/>
  <c r="D198" i="11"/>
  <c r="E198" i="11" s="1"/>
  <c r="D197" i="11"/>
  <c r="E197" i="11" s="1"/>
  <c r="D196" i="11"/>
  <c r="E196" i="11" s="1"/>
  <c r="D195" i="11"/>
  <c r="E195" i="11" s="1"/>
  <c r="E36" i="7"/>
  <c r="E35" i="7"/>
  <c r="D114" i="11"/>
  <c r="D58" i="7" s="1"/>
  <c r="D111" i="11"/>
  <c r="D56" i="7" s="1"/>
  <c r="D110" i="11"/>
  <c r="D55" i="7" s="1"/>
  <c r="F55" i="7" s="1"/>
  <c r="D109" i="11"/>
  <c r="D108" i="11"/>
  <c r="D107" i="11"/>
  <c r="D105" i="11"/>
  <c r="D104" i="11"/>
  <c r="D103" i="11"/>
  <c r="D102" i="11"/>
  <c r="E102" i="11" s="1"/>
  <c r="D101" i="11"/>
  <c r="D100" i="11"/>
  <c r="D99" i="11"/>
  <c r="D98" i="11"/>
  <c r="E98" i="11" s="1"/>
  <c r="D97" i="11"/>
  <c r="D96" i="11"/>
  <c r="D95" i="11"/>
  <c r="D94" i="11"/>
  <c r="D93" i="11"/>
  <c r="D92" i="11"/>
  <c r="D91" i="11"/>
  <c r="D90" i="11"/>
  <c r="D89" i="11"/>
  <c r="E89" i="11" s="1"/>
  <c r="D88" i="11"/>
  <c r="D37" i="7" s="1"/>
  <c r="D85" i="11"/>
  <c r="D84" i="11"/>
  <c r="E84" i="11" s="1"/>
  <c r="D83" i="11"/>
  <c r="D82" i="11"/>
  <c r="D81" i="11"/>
  <c r="D80" i="11"/>
  <c r="D79" i="11"/>
  <c r="D78" i="11"/>
  <c r="D77" i="11"/>
  <c r="D76" i="11"/>
  <c r="D74" i="11"/>
  <c r="E74" i="11" s="1"/>
  <c r="D73" i="11"/>
  <c r="E73" i="11" s="1"/>
  <c r="D72" i="11"/>
  <c r="E72" i="11" s="1"/>
  <c r="D70" i="11"/>
  <c r="E70" i="11" s="1"/>
  <c r="D69" i="11"/>
  <c r="E69" i="11" s="1"/>
  <c r="D68" i="11"/>
  <c r="E68" i="11" s="1"/>
  <c r="D67" i="11"/>
  <c r="E67" i="11" s="1"/>
  <c r="D66" i="11"/>
  <c r="E66" i="11" s="1"/>
  <c r="D64" i="11"/>
  <c r="E64" i="11" s="1"/>
  <c r="D63" i="11"/>
  <c r="E63" i="11" s="1"/>
  <c r="D61" i="11"/>
  <c r="E61" i="11" s="1"/>
  <c r="D60" i="11"/>
  <c r="D58" i="11"/>
  <c r="D56" i="11"/>
  <c r="E56" i="11" s="1"/>
  <c r="D55" i="11"/>
  <c r="E55" i="11" s="1"/>
  <c r="D54" i="11"/>
  <c r="E54" i="11" s="1"/>
  <c r="D50" i="11"/>
  <c r="D22" i="7" s="1"/>
  <c r="P22" i="7" s="1"/>
  <c r="D49" i="11"/>
  <c r="D21" i="7" s="1"/>
  <c r="P21" i="7" s="1"/>
  <c r="D48" i="11"/>
  <c r="E48" i="11" s="1"/>
  <c r="E25" i="7"/>
  <c r="E7" i="7"/>
  <c r="E24" i="7"/>
  <c r="AC20" i="7" l="1"/>
  <c r="AA20" i="7"/>
  <c r="AC83" i="7"/>
  <c r="AA83" i="7"/>
  <c r="AC100" i="7"/>
  <c r="AA100" i="7"/>
  <c r="F59" i="7"/>
  <c r="F56" i="7"/>
  <c r="D35" i="7"/>
  <c r="F35" i="7" s="1"/>
  <c r="E251" i="11"/>
  <c r="D81" i="7"/>
  <c r="E155" i="11"/>
  <c r="E83" i="11"/>
  <c r="D33" i="7"/>
  <c r="E93" i="11"/>
  <c r="D41" i="7"/>
  <c r="E101" i="11"/>
  <c r="D48" i="7"/>
  <c r="P55" i="7"/>
  <c r="D36" i="7"/>
  <c r="F36" i="7" s="1"/>
  <c r="E252" i="11"/>
  <c r="D87" i="7"/>
  <c r="E164" i="11"/>
  <c r="D92" i="7"/>
  <c r="E173" i="11"/>
  <c r="D100" i="7"/>
  <c r="F100" i="7" s="1"/>
  <c r="E182" i="11"/>
  <c r="E76" i="11"/>
  <c r="D26" i="7"/>
  <c r="E94" i="11"/>
  <c r="D42" i="7"/>
  <c r="D88" i="7"/>
  <c r="F88" i="7" s="1"/>
  <c r="E165" i="11"/>
  <c r="D93" i="7"/>
  <c r="E174" i="11"/>
  <c r="D101" i="7"/>
  <c r="F101" i="7" s="1"/>
  <c r="E183" i="11"/>
  <c r="E82" i="11"/>
  <c r="D32" i="7"/>
  <c r="D99" i="7"/>
  <c r="F99" i="7" s="1"/>
  <c r="E181" i="11"/>
  <c r="E77" i="11"/>
  <c r="D27" i="7"/>
  <c r="E95" i="11"/>
  <c r="D43" i="7"/>
  <c r="F58" i="7"/>
  <c r="E78" i="11"/>
  <c r="D28" i="7"/>
  <c r="E104" i="11"/>
  <c r="D50" i="7"/>
  <c r="F50" i="7" s="1"/>
  <c r="D78" i="7"/>
  <c r="E151" i="11"/>
  <c r="D82" i="7"/>
  <c r="E167" i="11"/>
  <c r="D95" i="7"/>
  <c r="E176" i="11"/>
  <c r="D102" i="7"/>
  <c r="F102" i="7" s="1"/>
  <c r="E186" i="11"/>
  <c r="D106" i="7"/>
  <c r="F106" i="7" s="1"/>
  <c r="E191" i="11"/>
  <c r="E58" i="11"/>
  <c r="D24" i="7"/>
  <c r="E79" i="11"/>
  <c r="D29" i="7"/>
  <c r="E97" i="11"/>
  <c r="D45" i="7"/>
  <c r="E105" i="11"/>
  <c r="D51" i="7"/>
  <c r="F51" i="7" s="1"/>
  <c r="D86" i="7"/>
  <c r="E160" i="11"/>
  <c r="D85" i="7"/>
  <c r="E168" i="11"/>
  <c r="D96" i="7"/>
  <c r="E177" i="11"/>
  <c r="D103" i="7"/>
  <c r="F103" i="7" s="1"/>
  <c r="E187" i="11"/>
  <c r="E92" i="11"/>
  <c r="D40" i="7"/>
  <c r="E109" i="11"/>
  <c r="D54" i="7"/>
  <c r="F54" i="7" s="1"/>
  <c r="E85" i="11"/>
  <c r="D34" i="7"/>
  <c r="D83" i="7"/>
  <c r="F83" i="7" s="1"/>
  <c r="E166" i="11"/>
  <c r="D105" i="7"/>
  <c r="F105" i="7" s="1"/>
  <c r="E190" i="11"/>
  <c r="E60" i="11"/>
  <c r="D25" i="7"/>
  <c r="E80" i="11"/>
  <c r="D30" i="7"/>
  <c r="E90" i="11"/>
  <c r="D38" i="7"/>
  <c r="E107" i="11"/>
  <c r="D52" i="7"/>
  <c r="F52" i="7" s="1"/>
  <c r="D79" i="7"/>
  <c r="E153" i="11"/>
  <c r="D89" i="7"/>
  <c r="E170" i="11"/>
  <c r="D97" i="7"/>
  <c r="E178" i="11"/>
  <c r="D104" i="7"/>
  <c r="F104" i="7" s="1"/>
  <c r="E188" i="11"/>
  <c r="E100" i="11"/>
  <c r="D47" i="7"/>
  <c r="D91" i="7"/>
  <c r="E172" i="11"/>
  <c r="E103" i="11"/>
  <c r="D49" i="7"/>
  <c r="F49" i="7" s="1"/>
  <c r="D84" i="7"/>
  <c r="E158" i="11"/>
  <c r="D94" i="7"/>
  <c r="E175" i="11"/>
  <c r="E96" i="11"/>
  <c r="D44" i="7"/>
  <c r="E81" i="11"/>
  <c r="D31" i="7"/>
  <c r="E91" i="11"/>
  <c r="D39" i="7"/>
  <c r="E99" i="11"/>
  <c r="D46" i="7"/>
  <c r="E108" i="11"/>
  <c r="D53" i="7"/>
  <c r="F53" i="7" s="1"/>
  <c r="D80" i="7"/>
  <c r="E154" i="11"/>
  <c r="D90" i="7"/>
  <c r="E171" i="11"/>
  <c r="D98" i="7"/>
  <c r="E179" i="11"/>
  <c r="E129" i="11"/>
  <c r="E146" i="11"/>
  <c r="E50" i="11"/>
  <c r="E110" i="11"/>
  <c r="E130" i="11"/>
  <c r="E139" i="11"/>
  <c r="E147" i="11"/>
  <c r="E111" i="11"/>
  <c r="E131" i="11"/>
  <c r="E140" i="11"/>
  <c r="E148" i="11"/>
  <c r="E132" i="11"/>
  <c r="E149" i="11"/>
  <c r="E150" i="11"/>
  <c r="E143" i="11"/>
  <c r="E49" i="11"/>
  <c r="E114" i="11"/>
  <c r="E141" i="11"/>
  <c r="E142" i="11"/>
  <c r="E136" i="11"/>
  <c r="E144" i="11"/>
  <c r="E88" i="11"/>
  <c r="E116" i="11"/>
  <c r="E137" i="11"/>
  <c r="E145" i="11"/>
  <c r="AE100" i="7" l="1"/>
  <c r="AE83" i="7"/>
  <c r="AE20" i="7"/>
  <c r="F24" i="7"/>
  <c r="F25" i="7"/>
  <c r="P25" i="7"/>
  <c r="D108" i="7"/>
  <c r="P50" i="7"/>
  <c r="H50" i="7"/>
  <c r="P83" i="7"/>
  <c r="P100" i="7"/>
  <c r="H100" i="7"/>
  <c r="H55" i="7"/>
  <c r="G25" i="7"/>
  <c r="G59" i="7"/>
  <c r="C54" i="4"/>
  <c r="C53" i="4"/>
  <c r="C51" i="4"/>
  <c r="C50" i="4"/>
  <c r="G80" i="7" s="1"/>
  <c r="C49" i="4"/>
  <c r="C47" i="4"/>
  <c r="G84" i="7" s="1"/>
  <c r="C46" i="4"/>
  <c r="C45" i="4"/>
  <c r="G88" i="7" s="1"/>
  <c r="C44" i="4"/>
  <c r="C42" i="4"/>
  <c r="C41" i="4"/>
  <c r="G79" i="7" s="1"/>
  <c r="C40" i="4"/>
  <c r="G78" i="7" s="1"/>
  <c r="G87" i="7" l="1"/>
  <c r="G85" i="7"/>
  <c r="G86" i="7"/>
  <c r="G82" i="7"/>
  <c r="G81" i="7"/>
  <c r="G83" i="7"/>
  <c r="H83" i="7" s="1"/>
  <c r="M132" i="7"/>
  <c r="M131" i="7"/>
  <c r="M130" i="7"/>
  <c r="M128" i="7"/>
  <c r="M127" i="7"/>
  <c r="M126" i="7"/>
  <c r="M125" i="7"/>
  <c r="M123" i="7"/>
  <c r="M122" i="7"/>
  <c r="M121" i="7"/>
  <c r="M120" i="7"/>
  <c r="M119" i="7"/>
  <c r="M106" i="7"/>
  <c r="M105" i="7"/>
  <c r="M104" i="7"/>
  <c r="M103" i="7"/>
  <c r="M102" i="7"/>
  <c r="M101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4" i="7"/>
  <c r="M81" i="7"/>
  <c r="M78" i="7"/>
  <c r="M77" i="7"/>
  <c r="M76" i="7"/>
  <c r="M75" i="7"/>
  <c r="M74" i="7"/>
  <c r="M73" i="7"/>
  <c r="M71" i="7"/>
  <c r="M70" i="7"/>
  <c r="M69" i="7"/>
  <c r="M66" i="7"/>
  <c r="M67" i="7" s="1"/>
  <c r="M65" i="7"/>
  <c r="M64" i="7"/>
  <c r="M63" i="7"/>
  <c r="M62" i="7"/>
  <c r="M61" i="7"/>
  <c r="M59" i="7"/>
  <c r="M58" i="7"/>
  <c r="M56" i="7"/>
  <c r="M54" i="7"/>
  <c r="M53" i="7"/>
  <c r="M52" i="7"/>
  <c r="M51" i="7"/>
  <c r="M49" i="7"/>
  <c r="M46" i="7"/>
  <c r="M47" i="7" s="1"/>
  <c r="M44" i="7"/>
  <c r="M45" i="7" s="1"/>
  <c r="M41" i="7"/>
  <c r="M43" i="7" s="1"/>
  <c r="M38" i="7"/>
  <c r="M40" i="7" s="1"/>
  <c r="M37" i="7"/>
  <c r="M118" i="7"/>
  <c r="M117" i="7"/>
  <c r="M116" i="7"/>
  <c r="M115" i="7"/>
  <c r="G118" i="7"/>
  <c r="G117" i="7"/>
  <c r="G115" i="7"/>
  <c r="G116" i="7" s="1"/>
  <c r="M36" i="7"/>
  <c r="M35" i="7"/>
  <c r="M34" i="7"/>
  <c r="M33" i="7"/>
  <c r="M32" i="7"/>
  <c r="M31" i="7"/>
  <c r="M30" i="7"/>
  <c r="M29" i="7"/>
  <c r="M28" i="7"/>
  <c r="M27" i="7"/>
  <c r="M26" i="7"/>
  <c r="M24" i="7"/>
  <c r="M114" i="7"/>
  <c r="M113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AC18" i="7" l="1"/>
  <c r="AA18" i="7"/>
  <c r="AC29" i="7"/>
  <c r="AA29" i="7"/>
  <c r="P54" i="7"/>
  <c r="AC54" i="7"/>
  <c r="AA54" i="7"/>
  <c r="AC102" i="7"/>
  <c r="AA102" i="7"/>
  <c r="AC11" i="7"/>
  <c r="AA11" i="7"/>
  <c r="P26" i="7"/>
  <c r="AC26" i="7"/>
  <c r="AA26" i="7"/>
  <c r="P30" i="7"/>
  <c r="AA30" i="7"/>
  <c r="AC30" i="7"/>
  <c r="P56" i="7"/>
  <c r="AC56" i="7"/>
  <c r="AA56" i="7"/>
  <c r="AA9" i="7"/>
  <c r="AC9" i="7"/>
  <c r="AC13" i="7"/>
  <c r="AA13" i="7"/>
  <c r="AC17" i="7"/>
  <c r="AA17" i="7"/>
  <c r="P28" i="7"/>
  <c r="AC28" i="7"/>
  <c r="AA28" i="7"/>
  <c r="P32" i="7"/>
  <c r="AA32" i="7"/>
  <c r="AC32" i="7"/>
  <c r="P36" i="7"/>
  <c r="AC36" i="7"/>
  <c r="AA36" i="7"/>
  <c r="P53" i="7"/>
  <c r="AC53" i="7"/>
  <c r="AA53" i="7"/>
  <c r="AA59" i="7"/>
  <c r="AC59" i="7"/>
  <c r="AA88" i="7"/>
  <c r="AC88" i="7"/>
  <c r="AA101" i="7"/>
  <c r="AC101" i="7"/>
  <c r="AC105" i="7"/>
  <c r="AA105" i="7"/>
  <c r="AA14" i="7"/>
  <c r="AC14" i="7"/>
  <c r="P33" i="7"/>
  <c r="AC33" i="7"/>
  <c r="AA33" i="7"/>
  <c r="P49" i="7"/>
  <c r="AC49" i="7"/>
  <c r="AA49" i="7"/>
  <c r="AC15" i="7"/>
  <c r="AA15" i="7"/>
  <c r="AC103" i="7"/>
  <c r="AA103" i="7"/>
  <c r="AC10" i="7"/>
  <c r="AA10" i="7"/>
  <c r="P24" i="7"/>
  <c r="AC24" i="7"/>
  <c r="AA24" i="7"/>
  <c r="AC40" i="7"/>
  <c r="AA40" i="7"/>
  <c r="AC106" i="7"/>
  <c r="AA106" i="7"/>
  <c r="AC7" i="7"/>
  <c r="AA7" i="7"/>
  <c r="AC19" i="7"/>
  <c r="AA19" i="7"/>
  <c r="P51" i="7"/>
  <c r="AA51" i="7"/>
  <c r="AC51" i="7"/>
  <c r="AC8" i="7"/>
  <c r="AA8" i="7"/>
  <c r="AC12" i="7"/>
  <c r="AA12" i="7"/>
  <c r="AA16" i="7"/>
  <c r="AC16" i="7"/>
  <c r="P27" i="7"/>
  <c r="AC27" i="7"/>
  <c r="AA27" i="7"/>
  <c r="P31" i="7"/>
  <c r="AC31" i="7"/>
  <c r="AA31" i="7"/>
  <c r="P35" i="7"/>
  <c r="AC35" i="7"/>
  <c r="AA35" i="7"/>
  <c r="P52" i="7"/>
  <c r="AC52" i="7"/>
  <c r="AA52" i="7"/>
  <c r="AC58" i="7"/>
  <c r="AA58" i="7"/>
  <c r="AC99" i="7"/>
  <c r="AA99" i="7"/>
  <c r="AC104" i="7"/>
  <c r="AA104" i="7"/>
  <c r="M48" i="7"/>
  <c r="M68" i="7"/>
  <c r="M39" i="7"/>
  <c r="M42" i="7"/>
  <c r="AE104" i="7" l="1"/>
  <c r="AE58" i="7"/>
  <c r="AE103" i="7"/>
  <c r="AE49" i="7"/>
  <c r="AE105" i="7"/>
  <c r="AE53" i="7"/>
  <c r="AE17" i="7"/>
  <c r="AE26" i="7"/>
  <c r="AE19" i="7"/>
  <c r="AE106" i="7"/>
  <c r="AE36" i="7"/>
  <c r="AE30" i="7"/>
  <c r="AE35" i="7"/>
  <c r="AE8" i="7"/>
  <c r="AE24" i="7"/>
  <c r="AE33" i="7"/>
  <c r="AE14" i="7"/>
  <c r="AE32" i="7"/>
  <c r="AE11" i="7"/>
  <c r="AE54" i="7"/>
  <c r="AE18" i="7"/>
  <c r="AE101" i="7"/>
  <c r="AE59" i="7"/>
  <c r="AE99" i="7"/>
  <c r="AE52" i="7"/>
  <c r="AE16" i="7"/>
  <c r="AC23" i="7"/>
  <c r="AE10" i="7"/>
  <c r="AE15" i="7"/>
  <c r="AE13" i="7"/>
  <c r="AE56" i="7"/>
  <c r="AE29" i="7"/>
  <c r="AE27" i="7"/>
  <c r="AE31" i="7"/>
  <c r="AE12" i="7"/>
  <c r="AE51" i="7"/>
  <c r="AA23" i="7"/>
  <c r="AE7" i="7"/>
  <c r="AE40" i="7"/>
  <c r="AE88" i="7"/>
  <c r="AE28" i="7"/>
  <c r="AE9" i="7"/>
  <c r="AE102" i="7"/>
  <c r="D47" i="11"/>
  <c r="D46" i="11"/>
  <c r="E46" i="11" s="1"/>
  <c r="D45" i="11"/>
  <c r="D19" i="7" s="1"/>
  <c r="D44" i="11"/>
  <c r="D18" i="7" s="1"/>
  <c r="D43" i="11"/>
  <c r="D17" i="7" s="1"/>
  <c r="D42" i="11"/>
  <c r="D16" i="7" s="1"/>
  <c r="D41" i="11"/>
  <c r="D15" i="7" s="1"/>
  <c r="D40" i="11"/>
  <c r="D14" i="7" s="1"/>
  <c r="D39" i="11"/>
  <c r="D13" i="7" s="1"/>
  <c r="D38" i="11"/>
  <c r="D12" i="7" s="1"/>
  <c r="D37" i="11"/>
  <c r="D11" i="7" s="1"/>
  <c r="D36" i="11"/>
  <c r="D10" i="7" s="1"/>
  <c r="D35" i="11"/>
  <c r="D9" i="7" s="1"/>
  <c r="D34" i="11"/>
  <c r="D30" i="11"/>
  <c r="E30" i="11" s="1"/>
  <c r="D29" i="11"/>
  <c r="E29" i="11" s="1"/>
  <c r="D28" i="11"/>
  <c r="E28" i="11" s="1"/>
  <c r="D26" i="11"/>
  <c r="E26" i="11" s="1"/>
  <c r="D25" i="11"/>
  <c r="E25" i="11" s="1"/>
  <c r="D24" i="11"/>
  <c r="E24" i="11" s="1"/>
  <c r="D23" i="11"/>
  <c r="E23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D7" i="7" s="1"/>
  <c r="F7" i="7" s="1"/>
  <c r="D12" i="11"/>
  <c r="E12" i="11" s="1"/>
  <c r="D10" i="11"/>
  <c r="E10" i="11" s="1"/>
  <c r="D9" i="11"/>
  <c r="E9" i="11" s="1"/>
  <c r="D8" i="11"/>
  <c r="E8" i="11" s="1"/>
  <c r="AE23" i="7" l="1"/>
  <c r="P15" i="7"/>
  <c r="E34" i="11"/>
  <c r="D8" i="7"/>
  <c r="P16" i="7"/>
  <c r="P9" i="7"/>
  <c r="P17" i="7"/>
  <c r="P10" i="7"/>
  <c r="P18" i="7"/>
  <c r="P11" i="7"/>
  <c r="P19" i="7"/>
  <c r="P12" i="7"/>
  <c r="P13" i="7"/>
  <c r="E47" i="11"/>
  <c r="D20" i="7"/>
  <c r="P7" i="7"/>
  <c r="P14" i="7"/>
  <c r="E35" i="11"/>
  <c r="E43" i="11"/>
  <c r="E14" i="11"/>
  <c r="E36" i="11"/>
  <c r="E44" i="11"/>
  <c r="E41" i="11"/>
  <c r="E42" i="11"/>
  <c r="E45" i="11"/>
  <c r="E38" i="11"/>
  <c r="E39" i="11"/>
  <c r="E37" i="11"/>
  <c r="E40" i="11"/>
  <c r="D51" i="11"/>
  <c r="P8" i="7" l="1"/>
  <c r="P20" i="7"/>
  <c r="E51" i="11"/>
  <c r="T23" i="7" l="1"/>
  <c r="W23" i="7"/>
  <c r="G128" i="7" l="1"/>
  <c r="H128" i="7" s="1"/>
  <c r="G127" i="7"/>
  <c r="H127" i="7" s="1"/>
  <c r="G126" i="7"/>
  <c r="H126" i="7" s="1"/>
  <c r="G125" i="7"/>
  <c r="H125" i="7" s="1"/>
  <c r="G132" i="7" l="1"/>
  <c r="G131" i="7"/>
  <c r="G130" i="7"/>
  <c r="G129" i="7"/>
  <c r="G123" i="7"/>
  <c r="F123" i="7"/>
  <c r="G8" i="7"/>
  <c r="G7" i="7"/>
  <c r="H7" i="7" s="1"/>
  <c r="D23" i="7"/>
  <c r="G106" i="7"/>
  <c r="H106" i="7" s="1"/>
  <c r="G105" i="7"/>
  <c r="G104" i="7"/>
  <c r="G103" i="7"/>
  <c r="G102" i="7"/>
  <c r="G101" i="7"/>
  <c r="G99" i="7"/>
  <c r="G95" i="7"/>
  <c r="G96" i="7"/>
  <c r="G97" i="7"/>
  <c r="G98" i="7"/>
  <c r="G94" i="7"/>
  <c r="G93" i="7"/>
  <c r="G92" i="7"/>
  <c r="G90" i="7"/>
  <c r="G91" i="7"/>
  <c r="G89" i="7"/>
  <c r="G74" i="7"/>
  <c r="G75" i="7"/>
  <c r="G76" i="7"/>
  <c r="G77" i="7"/>
  <c r="G73" i="7"/>
  <c r="G70" i="7"/>
  <c r="G71" i="7"/>
  <c r="G69" i="7"/>
  <c r="G68" i="7"/>
  <c r="G67" i="7"/>
  <c r="G66" i="7"/>
  <c r="G65" i="7"/>
  <c r="G64" i="7"/>
  <c r="G58" i="7"/>
  <c r="G56" i="7"/>
  <c r="H56" i="7" s="1"/>
  <c r="G122" i="7"/>
  <c r="G54" i="7"/>
  <c r="H54" i="7" s="1"/>
  <c r="G53" i="7"/>
  <c r="H53" i="7" s="1"/>
  <c r="G51" i="7"/>
  <c r="H51" i="7" s="1"/>
  <c r="G121" i="7"/>
  <c r="G47" i="7"/>
  <c r="G48" i="7"/>
  <c r="G120" i="7"/>
  <c r="G46" i="7"/>
  <c r="G45" i="7"/>
  <c r="G119" i="7"/>
  <c r="G44" i="7"/>
  <c r="G42" i="7"/>
  <c r="G43" i="7"/>
  <c r="G41" i="7"/>
  <c r="G39" i="7"/>
  <c r="G40" i="7"/>
  <c r="G38" i="7"/>
  <c r="G49" i="7"/>
  <c r="H49" i="7" s="1"/>
  <c r="G52" i="7"/>
  <c r="H52" i="7" s="1"/>
  <c r="G37" i="7"/>
  <c r="G36" i="7"/>
  <c r="G35" i="7"/>
  <c r="G33" i="7"/>
  <c r="G32" i="7"/>
  <c r="G31" i="7"/>
  <c r="G30" i="7"/>
  <c r="G29" i="7"/>
  <c r="G28" i="7"/>
  <c r="G27" i="7"/>
  <c r="G26" i="7"/>
  <c r="G24" i="7"/>
  <c r="G114" i="7"/>
  <c r="G20" i="7"/>
  <c r="G113" i="7"/>
  <c r="G19" i="7"/>
  <c r="G18" i="7"/>
  <c r="G17" i="7"/>
  <c r="G16" i="7"/>
  <c r="G15" i="7"/>
  <c r="G14" i="7"/>
  <c r="G13" i="7"/>
  <c r="G11" i="7"/>
  <c r="G12" i="7"/>
  <c r="G10" i="7"/>
  <c r="G9" i="7"/>
  <c r="P103" i="7" l="1"/>
  <c r="P102" i="7"/>
  <c r="P104" i="7"/>
  <c r="P106" i="7" l="1"/>
  <c r="P105" i="7"/>
  <c r="P59" i="7"/>
  <c r="P88" i="7"/>
  <c r="P99" i="7"/>
  <c r="P101" i="7"/>
  <c r="P58" i="7"/>
  <c r="H101" i="7"/>
  <c r="H99" i="7"/>
  <c r="H88" i="7"/>
  <c r="H103" i="7"/>
  <c r="H104" i="7"/>
  <c r="H105" i="7" l="1"/>
  <c r="H102" i="7"/>
  <c r="H123" i="7" l="1"/>
  <c r="C7" i="4" l="1"/>
  <c r="C8" i="4"/>
  <c r="C9" i="4"/>
  <c r="C10" i="4"/>
  <c r="E98" i="7" l="1"/>
  <c r="E77" i="7"/>
  <c r="E87" i="7"/>
  <c r="E86" i="7"/>
  <c r="E61" i="7"/>
  <c r="E93" i="7"/>
  <c r="E84" i="7"/>
  <c r="E42" i="7"/>
  <c r="E90" i="7"/>
  <c r="E70" i="7"/>
  <c r="E95" i="7"/>
  <c r="E45" i="7"/>
  <c r="E74" i="7"/>
  <c r="E67" i="7"/>
  <c r="E47" i="7"/>
  <c r="E39" i="7"/>
  <c r="E62" i="7"/>
  <c r="E43" i="7"/>
  <c r="E91" i="7"/>
  <c r="E71" i="7"/>
  <c r="E48" i="7"/>
  <c r="E40" i="7"/>
  <c r="F40" i="7" s="1"/>
  <c r="P40" i="7" s="1"/>
  <c r="E96" i="7"/>
  <c r="E75" i="7"/>
  <c r="E68" i="7"/>
  <c r="E63" i="7"/>
  <c r="E72" i="7"/>
  <c r="E97" i="7"/>
  <c r="E76" i="7"/>
  <c r="H59" i="7"/>
  <c r="E9" i="4"/>
  <c r="D8" i="4"/>
  <c r="F8" i="4"/>
  <c r="H8" i="4"/>
  <c r="G9" i="4"/>
  <c r="D9" i="4"/>
  <c r="E8" i="4"/>
  <c r="G8" i="4"/>
  <c r="I8" i="4"/>
  <c r="D10" i="4"/>
  <c r="I10" i="4"/>
  <c r="F9" i="4"/>
  <c r="H9" i="4"/>
  <c r="I9" i="4"/>
  <c r="D7" i="4"/>
  <c r="E7" i="4"/>
  <c r="F7" i="4"/>
  <c r="G7" i="4"/>
  <c r="H7" i="4"/>
  <c r="I7" i="4"/>
  <c r="F72" i="7" l="1"/>
  <c r="AA72" i="7"/>
  <c r="AC72" i="7"/>
  <c r="F96" i="7"/>
  <c r="P96" i="7" s="1"/>
  <c r="AC96" i="7"/>
  <c r="AA96" i="7"/>
  <c r="F91" i="7"/>
  <c r="H91" i="7" s="1"/>
  <c r="AC91" i="7"/>
  <c r="AA91" i="7"/>
  <c r="F47" i="7"/>
  <c r="P47" i="7" s="1"/>
  <c r="AA47" i="7"/>
  <c r="AC47" i="7"/>
  <c r="F95" i="7"/>
  <c r="H95" i="7" s="1"/>
  <c r="AC95" i="7"/>
  <c r="AA95" i="7"/>
  <c r="F84" i="7"/>
  <c r="H84" i="7" s="1"/>
  <c r="AA84" i="7"/>
  <c r="AC84" i="7"/>
  <c r="F86" i="7"/>
  <c r="H86" i="7" s="1"/>
  <c r="AC86" i="7"/>
  <c r="AA86" i="7"/>
  <c r="AC63" i="7"/>
  <c r="AA63" i="7"/>
  <c r="F43" i="7"/>
  <c r="P43" i="7" s="1"/>
  <c r="AC43" i="7"/>
  <c r="AA43" i="7"/>
  <c r="F93" i="7"/>
  <c r="P93" i="7" s="1"/>
  <c r="AC93" i="7"/>
  <c r="AA93" i="7"/>
  <c r="F76" i="7"/>
  <c r="P76" i="7" s="1"/>
  <c r="AA76" i="7"/>
  <c r="AC76" i="7"/>
  <c r="F48" i="7"/>
  <c r="P48" i="7" s="1"/>
  <c r="AC48" i="7"/>
  <c r="AA48" i="7"/>
  <c r="AC62" i="7"/>
  <c r="AA62" i="7"/>
  <c r="F74" i="7"/>
  <c r="P74" i="7" s="1"/>
  <c r="AC74" i="7"/>
  <c r="AA74" i="7"/>
  <c r="F90" i="7"/>
  <c r="AC90" i="7"/>
  <c r="AA90" i="7"/>
  <c r="F77" i="7"/>
  <c r="P77" i="7" s="1"/>
  <c r="AC77" i="7"/>
  <c r="AA77" i="7"/>
  <c r="AC67" i="7"/>
  <c r="AA67" i="7"/>
  <c r="F70" i="7"/>
  <c r="P70" i="7" s="1"/>
  <c r="AC70" i="7"/>
  <c r="AA70" i="7"/>
  <c r="F87" i="7"/>
  <c r="AC87" i="7"/>
  <c r="AA87" i="7"/>
  <c r="AA68" i="7"/>
  <c r="AC68" i="7"/>
  <c r="F97" i="7"/>
  <c r="H97" i="7" s="1"/>
  <c r="AC97" i="7"/>
  <c r="AA97" i="7"/>
  <c r="F75" i="7"/>
  <c r="P75" i="7" s="1"/>
  <c r="AC75" i="7"/>
  <c r="AA75" i="7"/>
  <c r="F71" i="7"/>
  <c r="H71" i="7" s="1"/>
  <c r="AC71" i="7"/>
  <c r="AA71" i="7"/>
  <c r="F39" i="7"/>
  <c r="P39" i="7" s="1"/>
  <c r="AC39" i="7"/>
  <c r="AA39" i="7"/>
  <c r="F45" i="7"/>
  <c r="P45" i="7" s="1"/>
  <c r="AC45" i="7"/>
  <c r="AA45" i="7"/>
  <c r="F42" i="7"/>
  <c r="P42" i="7" s="1"/>
  <c r="AC42" i="7"/>
  <c r="AA42" i="7"/>
  <c r="AA61" i="7"/>
  <c r="AC61" i="7"/>
  <c r="F98" i="7"/>
  <c r="P98" i="7" s="1"/>
  <c r="AC98" i="7"/>
  <c r="AA98" i="7"/>
  <c r="F61" i="7"/>
  <c r="P61" i="7" s="1"/>
  <c r="F68" i="7"/>
  <c r="P68" i="7" s="1"/>
  <c r="F62" i="7"/>
  <c r="P62" i="7" s="1"/>
  <c r="F63" i="7"/>
  <c r="P63" i="7" s="1"/>
  <c r="F67" i="7"/>
  <c r="P67" i="7" s="1"/>
  <c r="P72" i="7"/>
  <c r="H72" i="7"/>
  <c r="P95" i="7"/>
  <c r="H76" i="7"/>
  <c r="H90" i="7"/>
  <c r="P90" i="7"/>
  <c r="P97" i="7"/>
  <c r="H10" i="4"/>
  <c r="G10" i="4"/>
  <c r="F10" i="4"/>
  <c r="E10" i="4"/>
  <c r="H98" i="7" l="1"/>
  <c r="AE42" i="7"/>
  <c r="AE75" i="7"/>
  <c r="AE87" i="7"/>
  <c r="AE77" i="7"/>
  <c r="AE43" i="7"/>
  <c r="AE96" i="7"/>
  <c r="H96" i="7"/>
  <c r="P84" i="7"/>
  <c r="P91" i="7"/>
  <c r="H74" i="7"/>
  <c r="H75" i="7"/>
  <c r="AE76" i="7"/>
  <c r="AE47" i="7"/>
  <c r="H77" i="7"/>
  <c r="AE98" i="7"/>
  <c r="AE45" i="7"/>
  <c r="AE97" i="7"/>
  <c r="AE70" i="7"/>
  <c r="AE90" i="7"/>
  <c r="AE48" i="7"/>
  <c r="AE63" i="7"/>
  <c r="AE95" i="7"/>
  <c r="P86" i="7"/>
  <c r="P71" i="7"/>
  <c r="H93" i="7"/>
  <c r="AE39" i="7"/>
  <c r="AE68" i="7"/>
  <c r="AE67" i="7"/>
  <c r="AE74" i="7"/>
  <c r="AE72" i="7"/>
  <c r="AE61" i="7"/>
  <c r="AE71" i="7"/>
  <c r="AE62" i="7"/>
  <c r="AE93" i="7"/>
  <c r="AE86" i="7"/>
  <c r="AE84" i="7"/>
  <c r="AE91" i="7"/>
  <c r="H59" i="4"/>
  <c r="H60" i="4"/>
  <c r="D60" i="4"/>
  <c r="D59" i="4"/>
  <c r="C13" i="4"/>
  <c r="C12" i="4"/>
  <c r="E82" i="7" s="1"/>
  <c r="C11" i="4"/>
  <c r="AA37" i="7" l="1"/>
  <c r="AC34" i="7"/>
  <c r="AC37" i="7"/>
  <c r="AA34" i="7"/>
  <c r="F82" i="7"/>
  <c r="H82" i="7" s="1"/>
  <c r="AC82" i="7"/>
  <c r="AA82" i="7"/>
  <c r="X121" i="7"/>
  <c r="U121" i="7"/>
  <c r="E61" i="4"/>
  <c r="E81" i="7"/>
  <c r="E80" i="7"/>
  <c r="E85" i="7"/>
  <c r="E73" i="7"/>
  <c r="E65" i="7"/>
  <c r="E20" i="7"/>
  <c r="F20" i="7" s="1"/>
  <c r="E92" i="7"/>
  <c r="E64" i="7"/>
  <c r="E41" i="7"/>
  <c r="E79" i="7"/>
  <c r="E34" i="7"/>
  <c r="F34" i="7" s="1"/>
  <c r="P34" i="7" s="1"/>
  <c r="E38" i="7"/>
  <c r="E69" i="7"/>
  <c r="E66" i="7"/>
  <c r="E44" i="7"/>
  <c r="E89" i="7"/>
  <c r="E78" i="7"/>
  <c r="E21" i="7"/>
  <c r="F21" i="7" s="1"/>
  <c r="E46" i="7"/>
  <c r="E37" i="7"/>
  <c r="E94" i="7"/>
  <c r="P82" i="7"/>
  <c r="E115" i="7"/>
  <c r="F115" i="7" s="1"/>
  <c r="H115" i="7" s="1"/>
  <c r="E118" i="7"/>
  <c r="F118" i="7" s="1"/>
  <c r="H118" i="7" s="1"/>
  <c r="E117" i="7"/>
  <c r="F117" i="7" s="1"/>
  <c r="H117" i="7" s="1"/>
  <c r="E116" i="7"/>
  <c r="F116" i="7" s="1"/>
  <c r="H116" i="7" s="1"/>
  <c r="C64" i="4"/>
  <c r="D95" i="12"/>
  <c r="E95" i="12" s="1"/>
  <c r="E8" i="7"/>
  <c r="F8" i="7" s="1"/>
  <c r="E119" i="7"/>
  <c r="F119" i="7" s="1"/>
  <c r="H119" i="7" s="1"/>
  <c r="E120" i="7"/>
  <c r="F120" i="7" s="1"/>
  <c r="H120" i="7" s="1"/>
  <c r="E121" i="7"/>
  <c r="F121" i="7" s="1"/>
  <c r="H121" i="7" s="1"/>
  <c r="E130" i="7"/>
  <c r="F130" i="7" s="1"/>
  <c r="H130" i="7" s="1"/>
  <c r="E129" i="7"/>
  <c r="F129" i="7" s="1"/>
  <c r="H129" i="7" s="1"/>
  <c r="E124" i="7"/>
  <c r="F124" i="7" s="1"/>
  <c r="H124" i="7" s="1"/>
  <c r="E122" i="7"/>
  <c r="F122" i="7" s="1"/>
  <c r="H122" i="7" s="1"/>
  <c r="E131" i="7"/>
  <c r="F131" i="7" s="1"/>
  <c r="H131" i="7" s="1"/>
  <c r="E132" i="7"/>
  <c r="F132" i="7" s="1"/>
  <c r="H132" i="7" s="1"/>
  <c r="E28" i="7"/>
  <c r="F28" i="7" s="1"/>
  <c r="E30" i="7"/>
  <c r="F30" i="7" s="1"/>
  <c r="E32" i="7"/>
  <c r="F32" i="7" s="1"/>
  <c r="E26" i="7"/>
  <c r="F26" i="7" s="1"/>
  <c r="E14" i="7"/>
  <c r="F14" i="7" s="1"/>
  <c r="E16" i="7"/>
  <c r="F16" i="7" s="1"/>
  <c r="E18" i="7"/>
  <c r="F18" i="7" s="1"/>
  <c r="E113" i="7"/>
  <c r="F113" i="7" s="1"/>
  <c r="E114" i="7"/>
  <c r="F114" i="7" s="1"/>
  <c r="E27" i="7"/>
  <c r="F27" i="7" s="1"/>
  <c r="E29" i="7"/>
  <c r="F29" i="7" s="1"/>
  <c r="E31" i="7"/>
  <c r="F31" i="7" s="1"/>
  <c r="E33" i="7"/>
  <c r="F33" i="7" s="1"/>
  <c r="E15" i="7"/>
  <c r="F15" i="7" s="1"/>
  <c r="E17" i="7"/>
  <c r="F17" i="7" s="1"/>
  <c r="E19" i="7"/>
  <c r="F19" i="7" s="1"/>
  <c r="E13" i="7"/>
  <c r="F13" i="7" s="1"/>
  <c r="E10" i="7"/>
  <c r="F10" i="7" s="1"/>
  <c r="E12" i="7"/>
  <c r="F12" i="7" s="1"/>
  <c r="E11" i="7"/>
  <c r="F11" i="7" s="1"/>
  <c r="E9" i="7"/>
  <c r="F9" i="7" s="1"/>
  <c r="I12" i="4"/>
  <c r="H12" i="4"/>
  <c r="G12" i="4"/>
  <c r="F12" i="4"/>
  <c r="E12" i="4"/>
  <c r="D12" i="4"/>
  <c r="I11" i="4"/>
  <c r="D11" i="4"/>
  <c r="E22" i="7" s="1"/>
  <c r="F22" i="7" s="1"/>
  <c r="H11" i="4"/>
  <c r="G11" i="4"/>
  <c r="F11" i="4"/>
  <c r="E11" i="4"/>
  <c r="I13" i="4"/>
  <c r="H13" i="4"/>
  <c r="G13" i="4"/>
  <c r="F13" i="4"/>
  <c r="H63" i="7" s="1"/>
  <c r="E13" i="4"/>
  <c r="H62" i="7" s="1"/>
  <c r="D13" i="4"/>
  <c r="H61" i="7" s="1"/>
  <c r="H62" i="4"/>
  <c r="H64" i="4" s="1"/>
  <c r="D61" i="4"/>
  <c r="AE82" i="7" l="1"/>
  <c r="AE37" i="7"/>
  <c r="AE34" i="7"/>
  <c r="F46" i="7"/>
  <c r="P46" i="7" s="1"/>
  <c r="AC46" i="7"/>
  <c r="AA46" i="7"/>
  <c r="F89" i="7"/>
  <c r="P89" i="7" s="1"/>
  <c r="AC89" i="7"/>
  <c r="AA89" i="7"/>
  <c r="F38" i="7"/>
  <c r="P38" i="7" s="1"/>
  <c r="AA38" i="7"/>
  <c r="AC38" i="7"/>
  <c r="AA65" i="7"/>
  <c r="AC65" i="7"/>
  <c r="F81" i="7"/>
  <c r="H81" i="7" s="1"/>
  <c r="AC81" i="7"/>
  <c r="AA81" i="7"/>
  <c r="F44" i="7"/>
  <c r="P44" i="7" s="1"/>
  <c r="AC44" i="7"/>
  <c r="AA44" i="7"/>
  <c r="F64" i="7"/>
  <c r="AC64" i="7"/>
  <c r="AA64" i="7"/>
  <c r="F73" i="7"/>
  <c r="P73" i="7" s="1"/>
  <c r="AC73" i="7"/>
  <c r="AA73" i="7"/>
  <c r="AA66" i="7"/>
  <c r="AC66" i="7"/>
  <c r="F79" i="7"/>
  <c r="AC79" i="7"/>
  <c r="AA79" i="7"/>
  <c r="F92" i="7"/>
  <c r="H92" i="7" s="1"/>
  <c r="AC92" i="7"/>
  <c r="AA92" i="7"/>
  <c r="F85" i="7"/>
  <c r="H85" i="7" s="1"/>
  <c r="AC85" i="7"/>
  <c r="AA85" i="7"/>
  <c r="F94" i="7"/>
  <c r="P94" i="7" s="1"/>
  <c r="AC94" i="7"/>
  <c r="AA94" i="7"/>
  <c r="F78" i="7"/>
  <c r="H78" i="7" s="1"/>
  <c r="AC78" i="7"/>
  <c r="AA78" i="7"/>
  <c r="AC69" i="7"/>
  <c r="AA69" i="7"/>
  <c r="F41" i="7"/>
  <c r="P41" i="7" s="1"/>
  <c r="AC41" i="7"/>
  <c r="AA41" i="7"/>
  <c r="F80" i="7"/>
  <c r="P80" i="7" s="1"/>
  <c r="AA80" i="7"/>
  <c r="AC80" i="7"/>
  <c r="F37" i="7"/>
  <c r="P37" i="7" s="1"/>
  <c r="F65" i="7"/>
  <c r="P65" i="7" s="1"/>
  <c r="F66" i="7"/>
  <c r="H66" i="7" s="1"/>
  <c r="P85" i="7"/>
  <c r="F69" i="7"/>
  <c r="P69" i="7" s="1"/>
  <c r="P23" i="7"/>
  <c r="H21" i="7"/>
  <c r="H80" i="7"/>
  <c r="H79" i="7"/>
  <c r="P79" i="7"/>
  <c r="P64" i="7"/>
  <c r="P78" i="7"/>
  <c r="P87" i="7"/>
  <c r="H87" i="7"/>
  <c r="P29" i="7"/>
  <c r="H26" i="7"/>
  <c r="H19" i="7"/>
  <c r="H17" i="7"/>
  <c r="H15" i="7"/>
  <c r="H14" i="7"/>
  <c r="H16" i="7"/>
  <c r="H10" i="7"/>
  <c r="H18" i="7"/>
  <c r="H8" i="7"/>
  <c r="H13" i="7"/>
  <c r="H20" i="7"/>
  <c r="H38" i="7"/>
  <c r="H113" i="7"/>
  <c r="H114" i="7"/>
  <c r="H11" i="7"/>
  <c r="H12" i="7"/>
  <c r="H36" i="7"/>
  <c r="H24" i="7"/>
  <c r="H34" i="7"/>
  <c r="H9" i="7"/>
  <c r="H25" i="7"/>
  <c r="H35" i="7"/>
  <c r="H22" i="7"/>
  <c r="H64" i="7"/>
  <c r="H58" i="7"/>
  <c r="H68" i="7"/>
  <c r="C65" i="4"/>
  <c r="C67" i="4" s="1"/>
  <c r="AE92" i="7" l="1"/>
  <c r="AE73" i="7"/>
  <c r="AE46" i="7"/>
  <c r="H89" i="7"/>
  <c r="H37" i="7"/>
  <c r="P92" i="7"/>
  <c r="P81" i="7"/>
  <c r="H73" i="7"/>
  <c r="H46" i="7"/>
  <c r="AE69" i="7"/>
  <c r="AE85" i="7"/>
  <c r="AE81" i="7"/>
  <c r="AE89" i="7"/>
  <c r="AE80" i="7"/>
  <c r="AE66" i="7"/>
  <c r="H41" i="7"/>
  <c r="H94" i="7"/>
  <c r="AE78" i="7"/>
  <c r="AE79" i="7"/>
  <c r="AA108" i="7"/>
  <c r="AA57" i="7"/>
  <c r="AE64" i="7"/>
  <c r="AC108" i="7"/>
  <c r="AE65" i="7"/>
  <c r="H44" i="7"/>
  <c r="AE41" i="7"/>
  <c r="AE94" i="7"/>
  <c r="AE44" i="7"/>
  <c r="AE38" i="7"/>
  <c r="AC57" i="7"/>
  <c r="P66" i="7"/>
  <c r="F108" i="7"/>
  <c r="H30" i="7"/>
  <c r="H32" i="7"/>
  <c r="H27" i="7"/>
  <c r="H28" i="7"/>
  <c r="D57" i="7"/>
  <c r="D109" i="7" s="1"/>
  <c r="H33" i="7"/>
  <c r="H29" i="7"/>
  <c r="H31" i="7"/>
  <c r="H45" i="7"/>
  <c r="H47" i="7"/>
  <c r="H42" i="7"/>
  <c r="H39" i="7"/>
  <c r="H40" i="7"/>
  <c r="H48" i="7"/>
  <c r="H43" i="7"/>
  <c r="F23" i="7"/>
  <c r="H23" i="7"/>
  <c r="H65" i="7"/>
  <c r="H67" i="7"/>
  <c r="H70" i="7"/>
  <c r="H69" i="7"/>
  <c r="P108" i="7" l="1"/>
  <c r="AA109" i="7"/>
  <c r="AC109" i="7"/>
  <c r="AE108" i="7"/>
  <c r="AE57" i="7"/>
  <c r="H108" i="7"/>
  <c r="F57" i="7"/>
  <c r="F109" i="7" s="1"/>
  <c r="H57" i="7"/>
  <c r="P57" i="7"/>
  <c r="P109" i="7" l="1"/>
  <c r="AE109" i="7"/>
  <c r="C140" i="7"/>
  <c r="H109" i="7"/>
  <c r="C141" i="7" s="1"/>
  <c r="I100" i="7" l="1"/>
  <c r="J100" i="7" s="1"/>
  <c r="K100" i="7" s="1"/>
  <c r="I60" i="7"/>
  <c r="J60" i="7" s="1"/>
  <c r="K60" i="7" s="1"/>
  <c r="L60" i="7" s="1"/>
  <c r="L100" i="7"/>
  <c r="N100" i="7" s="1"/>
  <c r="Q100" i="7" s="1"/>
  <c r="I83" i="7"/>
  <c r="J83" i="7" s="1"/>
  <c r="K83" i="7" s="1"/>
  <c r="L83" i="7" s="1"/>
  <c r="I82" i="7"/>
  <c r="J82" i="7" s="1"/>
  <c r="K82" i="7" s="1"/>
  <c r="I50" i="7"/>
  <c r="J50" i="7" s="1"/>
  <c r="K50" i="7" s="1"/>
  <c r="I55" i="7"/>
  <c r="J55" i="7" s="1"/>
  <c r="K55" i="7" s="1"/>
  <c r="L55" i="7" s="1"/>
  <c r="I72" i="7"/>
  <c r="J72" i="7" s="1"/>
  <c r="K72" i="7" s="1"/>
  <c r="I80" i="7"/>
  <c r="J80" i="7" s="1"/>
  <c r="K80" i="7" s="1"/>
  <c r="L80" i="7" s="1"/>
  <c r="D147" i="12" s="1"/>
  <c r="I115" i="7"/>
  <c r="J115" i="7" s="1"/>
  <c r="K115" i="7" s="1"/>
  <c r="L115" i="7" s="1"/>
  <c r="N115" i="7" s="1"/>
  <c r="I116" i="7"/>
  <c r="J116" i="7" s="1"/>
  <c r="K116" i="7" s="1"/>
  <c r="L116" i="7" s="1"/>
  <c r="N116" i="7" s="1"/>
  <c r="I117" i="7"/>
  <c r="J117" i="7" s="1"/>
  <c r="K117" i="7" s="1"/>
  <c r="L117" i="7" s="1"/>
  <c r="N117" i="7" s="1"/>
  <c r="I118" i="7"/>
  <c r="J118" i="7" s="1"/>
  <c r="K118" i="7" s="1"/>
  <c r="L118" i="7" s="1"/>
  <c r="N118" i="7" s="1"/>
  <c r="I128" i="7"/>
  <c r="J128" i="7" s="1"/>
  <c r="K128" i="7" s="1"/>
  <c r="L128" i="7" s="1"/>
  <c r="D146" i="12" s="1"/>
  <c r="I126" i="7"/>
  <c r="J126" i="7" s="1"/>
  <c r="K126" i="7" s="1"/>
  <c r="L126" i="7" s="1"/>
  <c r="D135" i="12" s="1"/>
  <c r="I127" i="7"/>
  <c r="J127" i="7" s="1"/>
  <c r="K127" i="7" s="1"/>
  <c r="L127" i="7" s="1"/>
  <c r="D137" i="12" s="1"/>
  <c r="I7" i="7"/>
  <c r="I125" i="7"/>
  <c r="J125" i="7" s="1"/>
  <c r="K125" i="7" s="1"/>
  <c r="L125" i="7" s="1"/>
  <c r="D128" i="12" s="1"/>
  <c r="I8" i="7"/>
  <c r="J8" i="7" s="1"/>
  <c r="K8" i="7" s="1"/>
  <c r="I62" i="7"/>
  <c r="J62" i="7" s="1"/>
  <c r="K62" i="7" s="1"/>
  <c r="I63" i="7"/>
  <c r="J63" i="7" s="1"/>
  <c r="K63" i="7" s="1"/>
  <c r="L63" i="7" s="1"/>
  <c r="I37" i="7"/>
  <c r="J37" i="7" s="1"/>
  <c r="K37" i="7" s="1"/>
  <c r="L37" i="7" s="1"/>
  <c r="D62" i="12" s="1"/>
  <c r="I40" i="7"/>
  <c r="J40" i="7" s="1"/>
  <c r="K40" i="7" s="1"/>
  <c r="I44" i="7"/>
  <c r="J44" i="7" s="1"/>
  <c r="K44" i="7" s="1"/>
  <c r="L44" i="7" s="1"/>
  <c r="D65" i="12" s="1"/>
  <c r="I47" i="7"/>
  <c r="J47" i="7" s="1"/>
  <c r="K47" i="7" s="1"/>
  <c r="L47" i="7" s="1"/>
  <c r="I41" i="7"/>
  <c r="J41" i="7" s="1"/>
  <c r="K41" i="7" s="1"/>
  <c r="L41" i="7" s="1"/>
  <c r="D64" i="12" s="1"/>
  <c r="I45" i="7"/>
  <c r="J45" i="7" s="1"/>
  <c r="K45" i="7" s="1"/>
  <c r="L45" i="7" s="1"/>
  <c r="I48" i="7"/>
  <c r="J48" i="7" s="1"/>
  <c r="K48" i="7" s="1"/>
  <c r="L48" i="7" s="1"/>
  <c r="I51" i="7"/>
  <c r="J51" i="7" s="1"/>
  <c r="K51" i="7" s="1"/>
  <c r="L51" i="7" s="1"/>
  <c r="I122" i="7"/>
  <c r="J122" i="7" s="1"/>
  <c r="K122" i="7" s="1"/>
  <c r="L122" i="7" s="1"/>
  <c r="N122" i="7" s="1"/>
  <c r="I52" i="7"/>
  <c r="J52" i="7" s="1"/>
  <c r="K52" i="7" s="1"/>
  <c r="L52" i="7" s="1"/>
  <c r="I56" i="7"/>
  <c r="J56" i="7" s="1"/>
  <c r="K56" i="7" s="1"/>
  <c r="L56" i="7" s="1"/>
  <c r="I27" i="7"/>
  <c r="J27" i="7" s="1"/>
  <c r="K27" i="7" s="1"/>
  <c r="I31" i="7"/>
  <c r="J31" i="7" s="1"/>
  <c r="K31" i="7" s="1"/>
  <c r="I34" i="7"/>
  <c r="J34" i="7" s="1"/>
  <c r="K34" i="7" s="1"/>
  <c r="L34" i="7" s="1"/>
  <c r="I24" i="7"/>
  <c r="J24" i="7" s="1"/>
  <c r="K24" i="7" s="1"/>
  <c r="L24" i="7" s="1"/>
  <c r="D52" i="12" s="1"/>
  <c r="I28" i="7"/>
  <c r="J28" i="7" s="1"/>
  <c r="K28" i="7" s="1"/>
  <c r="L28" i="7" s="1"/>
  <c r="I32" i="7"/>
  <c r="J32" i="7" s="1"/>
  <c r="K32" i="7" s="1"/>
  <c r="I35" i="7"/>
  <c r="J35" i="7" s="1"/>
  <c r="K35" i="7" s="1"/>
  <c r="I91" i="7"/>
  <c r="J91" i="7" s="1"/>
  <c r="K91" i="7" s="1"/>
  <c r="I93" i="7"/>
  <c r="J93" i="7" s="1"/>
  <c r="K93" i="7" s="1"/>
  <c r="I95" i="7"/>
  <c r="J95" i="7" s="1"/>
  <c r="K95" i="7" s="1"/>
  <c r="I97" i="7"/>
  <c r="J97" i="7" s="1"/>
  <c r="K97" i="7" s="1"/>
  <c r="I99" i="7"/>
  <c r="J99" i="7" s="1"/>
  <c r="K99" i="7" s="1"/>
  <c r="I101" i="7"/>
  <c r="J101" i="7" s="1"/>
  <c r="K101" i="7" s="1"/>
  <c r="I102" i="7"/>
  <c r="J102" i="7" s="1"/>
  <c r="K102" i="7" s="1"/>
  <c r="I132" i="7"/>
  <c r="J132" i="7" s="1"/>
  <c r="K132" i="7" s="1"/>
  <c r="L132" i="7" s="1"/>
  <c r="N132" i="7" s="1"/>
  <c r="I105" i="7"/>
  <c r="J105" i="7" s="1"/>
  <c r="K105" i="7" s="1"/>
  <c r="I88" i="7"/>
  <c r="J88" i="7" s="1"/>
  <c r="K88" i="7" s="1"/>
  <c r="I129" i="7"/>
  <c r="J129" i="7" s="1"/>
  <c r="K129" i="7" s="1"/>
  <c r="L129" i="7" s="1"/>
  <c r="D156" i="12" s="1"/>
  <c r="I79" i="7"/>
  <c r="J79" i="7" s="1"/>
  <c r="K79" i="7" s="1"/>
  <c r="L79" i="7" s="1"/>
  <c r="D127" i="12" s="1"/>
  <c r="I76" i="7"/>
  <c r="J76" i="7" s="1"/>
  <c r="K76" i="7" s="1"/>
  <c r="L76" i="7" s="1"/>
  <c r="I87" i="7"/>
  <c r="J87" i="7" s="1"/>
  <c r="K87" i="7" s="1"/>
  <c r="L87" i="7" s="1"/>
  <c r="I84" i="7"/>
  <c r="J84" i="7" s="1"/>
  <c r="K84" i="7" s="1"/>
  <c r="L84" i="7" s="1"/>
  <c r="D138" i="12" s="1"/>
  <c r="I10" i="7"/>
  <c r="J10" i="7" s="1"/>
  <c r="K10" i="7" s="1"/>
  <c r="I14" i="7"/>
  <c r="J14" i="7" s="1"/>
  <c r="K14" i="7" s="1"/>
  <c r="I18" i="7"/>
  <c r="J18" i="7" s="1"/>
  <c r="K18" i="7" s="1"/>
  <c r="I114" i="7"/>
  <c r="J114" i="7" s="1"/>
  <c r="K114" i="7" s="1"/>
  <c r="L114" i="7" s="1"/>
  <c r="D46" i="12" s="1"/>
  <c r="I9" i="7"/>
  <c r="J9" i="7" s="1"/>
  <c r="K9" i="7" s="1"/>
  <c r="I13" i="7"/>
  <c r="J13" i="7" s="1"/>
  <c r="K13" i="7" s="1"/>
  <c r="I17" i="7"/>
  <c r="J17" i="7" s="1"/>
  <c r="K17" i="7" s="1"/>
  <c r="I20" i="7"/>
  <c r="J20" i="7" s="1"/>
  <c r="K20" i="7" s="1"/>
  <c r="I58" i="7"/>
  <c r="I75" i="7"/>
  <c r="J75" i="7" s="1"/>
  <c r="K75" i="7" s="1"/>
  <c r="L75" i="7" s="1"/>
  <c r="I67" i="7"/>
  <c r="J67" i="7" s="1"/>
  <c r="K67" i="7" s="1"/>
  <c r="L67" i="7" s="1"/>
  <c r="I124" i="7"/>
  <c r="J124" i="7" s="1"/>
  <c r="K124" i="7" s="1"/>
  <c r="L124" i="7" s="1"/>
  <c r="I71" i="7"/>
  <c r="J71" i="7" s="1"/>
  <c r="K71" i="7" s="1"/>
  <c r="L71" i="7" s="1"/>
  <c r="I74" i="7"/>
  <c r="J74" i="7" s="1"/>
  <c r="K74" i="7" s="1"/>
  <c r="L74" i="7" s="1"/>
  <c r="I66" i="7"/>
  <c r="J66" i="7" s="1"/>
  <c r="K66" i="7" s="1"/>
  <c r="L66" i="7" s="1"/>
  <c r="D100" i="12" s="1"/>
  <c r="I69" i="7"/>
  <c r="J69" i="7" s="1"/>
  <c r="K69" i="7" s="1"/>
  <c r="L69" i="7" s="1"/>
  <c r="D101" i="12" s="1"/>
  <c r="I123" i="7"/>
  <c r="J123" i="7" s="1"/>
  <c r="K123" i="7" s="1"/>
  <c r="L123" i="7" s="1"/>
  <c r="N123" i="7" s="1"/>
  <c r="D122" i="12"/>
  <c r="I61" i="7"/>
  <c r="J61" i="7" s="1"/>
  <c r="K61" i="7" s="1"/>
  <c r="L61" i="7" s="1"/>
  <c r="I106" i="7"/>
  <c r="J106" i="7" s="1"/>
  <c r="K106" i="7" s="1"/>
  <c r="I38" i="7"/>
  <c r="J38" i="7" s="1"/>
  <c r="K38" i="7" s="1"/>
  <c r="I42" i="7"/>
  <c r="J42" i="7" s="1"/>
  <c r="K42" i="7" s="1"/>
  <c r="L42" i="7" s="1"/>
  <c r="I119" i="7"/>
  <c r="J119" i="7" s="1"/>
  <c r="K119" i="7" s="1"/>
  <c r="L119" i="7" s="1"/>
  <c r="N119" i="7" s="1"/>
  <c r="I120" i="7"/>
  <c r="J120" i="7" s="1"/>
  <c r="K120" i="7" s="1"/>
  <c r="L120" i="7" s="1"/>
  <c r="N120" i="7" s="1"/>
  <c r="I39" i="7"/>
  <c r="J39" i="7" s="1"/>
  <c r="K39" i="7" s="1"/>
  <c r="L39" i="7" s="1"/>
  <c r="L40" i="7" s="1"/>
  <c r="I43" i="7"/>
  <c r="J43" i="7" s="1"/>
  <c r="K43" i="7" s="1"/>
  <c r="L43" i="7" s="1"/>
  <c r="I46" i="7"/>
  <c r="J46" i="7" s="1"/>
  <c r="K46" i="7" s="1"/>
  <c r="L46" i="7" s="1"/>
  <c r="D66" i="12" s="1"/>
  <c r="I49" i="7"/>
  <c r="J49" i="7" s="1"/>
  <c r="K49" i="7" s="1"/>
  <c r="L49" i="7" s="1"/>
  <c r="I53" i="7"/>
  <c r="J53" i="7" s="1"/>
  <c r="K53" i="7" s="1"/>
  <c r="L53" i="7" s="1"/>
  <c r="I121" i="7"/>
  <c r="J121" i="7" s="1"/>
  <c r="K121" i="7" s="1"/>
  <c r="L121" i="7" s="1"/>
  <c r="N121" i="7" s="1"/>
  <c r="I54" i="7"/>
  <c r="J54" i="7" s="1"/>
  <c r="K54" i="7" s="1"/>
  <c r="L54" i="7" s="1"/>
  <c r="I25" i="7"/>
  <c r="J25" i="7" s="1"/>
  <c r="K25" i="7" s="1"/>
  <c r="I29" i="7"/>
  <c r="J29" i="7" s="1"/>
  <c r="K29" i="7" s="1"/>
  <c r="I33" i="7"/>
  <c r="J33" i="7" s="1"/>
  <c r="K33" i="7" s="1"/>
  <c r="I36" i="7"/>
  <c r="J36" i="7" s="1"/>
  <c r="K36" i="7" s="1"/>
  <c r="L36" i="7" s="1"/>
  <c r="D59" i="12" s="1"/>
  <c r="I26" i="7"/>
  <c r="J26" i="7" s="1"/>
  <c r="K26" i="7" s="1"/>
  <c r="I30" i="7"/>
  <c r="J30" i="7" s="1"/>
  <c r="K30" i="7" s="1"/>
  <c r="I92" i="7"/>
  <c r="J92" i="7" s="1"/>
  <c r="K92" i="7" s="1"/>
  <c r="L92" i="7" s="1"/>
  <c r="I94" i="7"/>
  <c r="J94" i="7" s="1"/>
  <c r="K94" i="7" s="1"/>
  <c r="I96" i="7"/>
  <c r="J96" i="7" s="1"/>
  <c r="K96" i="7" s="1"/>
  <c r="I98" i="7"/>
  <c r="J98" i="7" s="1"/>
  <c r="K98" i="7" s="1"/>
  <c r="I130" i="7"/>
  <c r="J130" i="7" s="1"/>
  <c r="K130" i="7" s="1"/>
  <c r="L130" i="7" s="1"/>
  <c r="N130" i="7" s="1"/>
  <c r="I131" i="7"/>
  <c r="J131" i="7" s="1"/>
  <c r="K131" i="7" s="1"/>
  <c r="L131" i="7" s="1"/>
  <c r="N131" i="7" s="1"/>
  <c r="I103" i="7"/>
  <c r="J103" i="7" s="1"/>
  <c r="K103" i="7" s="1"/>
  <c r="L103" i="7" s="1"/>
  <c r="I104" i="7"/>
  <c r="J104" i="7" s="1"/>
  <c r="K104" i="7" s="1"/>
  <c r="I90" i="7"/>
  <c r="J90" i="7" s="1"/>
  <c r="K90" i="7" s="1"/>
  <c r="I86" i="7"/>
  <c r="J86" i="7" s="1"/>
  <c r="K86" i="7" s="1"/>
  <c r="I78" i="7"/>
  <c r="J78" i="7" s="1"/>
  <c r="K78" i="7" s="1"/>
  <c r="L78" i="7" s="1"/>
  <c r="D126" i="12" s="1"/>
  <c r="I89" i="7"/>
  <c r="J89" i="7" s="1"/>
  <c r="K89" i="7" s="1"/>
  <c r="I85" i="7"/>
  <c r="J85" i="7" s="1"/>
  <c r="K85" i="7" s="1"/>
  <c r="L85" i="7" s="1"/>
  <c r="I81" i="7"/>
  <c r="J81" i="7" s="1"/>
  <c r="K81" i="7" s="1"/>
  <c r="I77" i="7"/>
  <c r="J77" i="7" s="1"/>
  <c r="K77" i="7" s="1"/>
  <c r="L77" i="7" s="1"/>
  <c r="I12" i="7"/>
  <c r="J12" i="7" s="1"/>
  <c r="K12" i="7" s="1"/>
  <c r="I16" i="7"/>
  <c r="J16" i="7" s="1"/>
  <c r="K16" i="7" s="1"/>
  <c r="I113" i="7"/>
  <c r="J113" i="7" s="1"/>
  <c r="K113" i="7" s="1"/>
  <c r="L113" i="7" s="1"/>
  <c r="D44" i="12" s="1"/>
  <c r="I22" i="7"/>
  <c r="J22" i="7" s="1"/>
  <c r="K22" i="7" s="1"/>
  <c r="L22" i="7" s="1"/>
  <c r="D28" i="12" s="1"/>
  <c r="D29" i="12" s="1"/>
  <c r="E29" i="12" s="1"/>
  <c r="I11" i="7"/>
  <c r="J11" i="7" s="1"/>
  <c r="K11" i="7" s="1"/>
  <c r="I15" i="7"/>
  <c r="J15" i="7" s="1"/>
  <c r="K15" i="7" s="1"/>
  <c r="I19" i="7"/>
  <c r="J19" i="7" s="1"/>
  <c r="K19" i="7" s="1"/>
  <c r="I21" i="7"/>
  <c r="J21" i="7" s="1"/>
  <c r="K21" i="7" s="1"/>
  <c r="L21" i="7" s="1"/>
  <c r="D26" i="12" s="1"/>
  <c r="D27" i="12" s="1"/>
  <c r="E27" i="12" s="1"/>
  <c r="I59" i="7"/>
  <c r="J59" i="7" s="1"/>
  <c r="K59" i="7" s="1"/>
  <c r="L59" i="7" s="1"/>
  <c r="D87" i="12" s="1"/>
  <c r="I68" i="7"/>
  <c r="J68" i="7" s="1"/>
  <c r="K68" i="7" s="1"/>
  <c r="L68" i="7" s="1"/>
  <c r="I73" i="7"/>
  <c r="J73" i="7" s="1"/>
  <c r="K73" i="7" s="1"/>
  <c r="L73" i="7" s="1"/>
  <c r="D102" i="12" s="1"/>
  <c r="I65" i="7"/>
  <c r="J65" i="7" s="1"/>
  <c r="K65" i="7" s="1"/>
  <c r="L65" i="7" s="1"/>
  <c r="D99" i="12" s="1"/>
  <c r="I64" i="7"/>
  <c r="J64" i="7" s="1"/>
  <c r="K64" i="7" s="1"/>
  <c r="L64" i="7" s="1"/>
  <c r="D98" i="12" s="1"/>
  <c r="I70" i="7"/>
  <c r="J70" i="7" s="1"/>
  <c r="K70" i="7" s="1"/>
  <c r="L70" i="7" s="1"/>
  <c r="X60" i="7" l="1"/>
  <c r="N60" i="7"/>
  <c r="Q60" i="7" s="1"/>
  <c r="R60" i="7" s="1"/>
  <c r="U60" i="7"/>
  <c r="Z60" i="7" s="1"/>
  <c r="X21" i="7"/>
  <c r="U21" i="7"/>
  <c r="U22" i="7"/>
  <c r="X22" i="7"/>
  <c r="D8" i="12"/>
  <c r="X100" i="7"/>
  <c r="U100" i="7"/>
  <c r="L89" i="7"/>
  <c r="X89" i="7" s="1"/>
  <c r="L20" i="7"/>
  <c r="D23" i="12" s="1"/>
  <c r="L102" i="7"/>
  <c r="X102" i="7" s="1"/>
  <c r="L32" i="7"/>
  <c r="D42" i="12" s="1"/>
  <c r="L50" i="7"/>
  <c r="X50" i="7" s="1"/>
  <c r="L86" i="7"/>
  <c r="D148" i="12" s="1"/>
  <c r="L94" i="7"/>
  <c r="X94" i="7" s="1"/>
  <c r="L17" i="7"/>
  <c r="D19" i="12" s="1"/>
  <c r="E19" i="12" s="1"/>
  <c r="D136" i="12"/>
  <c r="D172" i="12" s="1"/>
  <c r="L88" i="7"/>
  <c r="U88" i="7" s="1"/>
  <c r="L101" i="7"/>
  <c r="X101" i="7" s="1"/>
  <c r="L29" i="7"/>
  <c r="D39" i="12" s="1"/>
  <c r="D38" i="12"/>
  <c r="L82" i="7"/>
  <c r="N82" i="7" s="1"/>
  <c r="Q82" i="7" s="1"/>
  <c r="L98" i="7"/>
  <c r="X98" i="7" s="1"/>
  <c r="L62" i="7"/>
  <c r="X62" i="7" s="1"/>
  <c r="L104" i="7"/>
  <c r="X104" i="7" s="1"/>
  <c r="L38" i="7"/>
  <c r="D63" i="12" s="1"/>
  <c r="L9" i="7"/>
  <c r="D12" i="12" s="1"/>
  <c r="E12" i="12" s="1"/>
  <c r="L26" i="7"/>
  <c r="D36" i="12" s="1"/>
  <c r="L106" i="7"/>
  <c r="X106" i="7" s="1"/>
  <c r="N124" i="7"/>
  <c r="D83" i="12"/>
  <c r="L95" i="7"/>
  <c r="X95" i="7" s="1"/>
  <c r="L31" i="7"/>
  <c r="D41" i="12" s="1"/>
  <c r="L11" i="7"/>
  <c r="L25" i="7"/>
  <c r="X25" i="7" s="1"/>
  <c r="L90" i="7"/>
  <c r="X90" i="7" s="1"/>
  <c r="L97" i="7"/>
  <c r="X97" i="7" s="1"/>
  <c r="L8" i="7"/>
  <c r="L19" i="7"/>
  <c r="D21" i="12" s="1"/>
  <c r="L81" i="7"/>
  <c r="D155" i="12" s="1"/>
  <c r="L18" i="7"/>
  <c r="D20" i="12" s="1"/>
  <c r="E20" i="12" s="1"/>
  <c r="L93" i="7"/>
  <c r="X93" i="7" s="1"/>
  <c r="L27" i="7"/>
  <c r="D37" i="12" s="1"/>
  <c r="L10" i="7"/>
  <c r="D25" i="12" s="1"/>
  <c r="E25" i="12" s="1"/>
  <c r="L35" i="7"/>
  <c r="D58" i="12" s="1"/>
  <c r="L96" i="7"/>
  <c r="X96" i="7" s="1"/>
  <c r="L16" i="7"/>
  <c r="D18" i="12" s="1"/>
  <c r="E18" i="12" s="1"/>
  <c r="L13" i="7"/>
  <c r="D15" i="12" s="1"/>
  <c r="E15" i="12" s="1"/>
  <c r="L99" i="7"/>
  <c r="X99" i="7" s="1"/>
  <c r="L12" i="7"/>
  <c r="L30" i="7"/>
  <c r="D40" i="12" s="1"/>
  <c r="L15" i="7"/>
  <c r="D17" i="12" s="1"/>
  <c r="E17" i="12" s="1"/>
  <c r="L33" i="7"/>
  <c r="D43" i="12" s="1"/>
  <c r="L14" i="7"/>
  <c r="D16" i="12" s="1"/>
  <c r="E16" i="12" s="1"/>
  <c r="L105" i="7"/>
  <c r="X105" i="7" s="1"/>
  <c r="L91" i="7"/>
  <c r="X91" i="7" s="1"/>
  <c r="L72" i="7"/>
  <c r="X72" i="7" s="1"/>
  <c r="J58" i="7"/>
  <c r="K58" i="7" s="1"/>
  <c r="L58" i="7" s="1"/>
  <c r="I108" i="7"/>
  <c r="X80" i="7"/>
  <c r="X24" i="7"/>
  <c r="D53" i="12"/>
  <c r="X36" i="7"/>
  <c r="N129" i="7"/>
  <c r="X103" i="7"/>
  <c r="X92" i="7"/>
  <c r="U74" i="7"/>
  <c r="X74" i="7"/>
  <c r="X28" i="7"/>
  <c r="U71" i="7"/>
  <c r="X71" i="7"/>
  <c r="U76" i="7"/>
  <c r="X76" i="7"/>
  <c r="U48" i="7"/>
  <c r="X48" i="7"/>
  <c r="U49" i="7"/>
  <c r="X49" i="7"/>
  <c r="U79" i="7"/>
  <c r="X79" i="7"/>
  <c r="U34" i="7"/>
  <c r="X34" i="7"/>
  <c r="U45" i="7"/>
  <c r="X45" i="7"/>
  <c r="U55" i="7"/>
  <c r="X55" i="7"/>
  <c r="U42" i="7"/>
  <c r="X42" i="7"/>
  <c r="U43" i="7"/>
  <c r="X43" i="7"/>
  <c r="U47" i="7"/>
  <c r="X47" i="7"/>
  <c r="U65" i="7"/>
  <c r="X65" i="7"/>
  <c r="U78" i="7"/>
  <c r="X78" i="7"/>
  <c r="X40" i="7"/>
  <c r="X39" i="7"/>
  <c r="U56" i="7"/>
  <c r="X56" i="7"/>
  <c r="U44" i="7"/>
  <c r="X44" i="7"/>
  <c r="N83" i="7"/>
  <c r="Q83" i="7" s="1"/>
  <c r="X83" i="7"/>
  <c r="U51" i="7"/>
  <c r="X51" i="7"/>
  <c r="U77" i="7"/>
  <c r="X77" i="7"/>
  <c r="U46" i="7"/>
  <c r="X46" i="7"/>
  <c r="U67" i="7"/>
  <c r="X67" i="7"/>
  <c r="U75" i="7"/>
  <c r="X75" i="7"/>
  <c r="U73" i="7"/>
  <c r="X73" i="7"/>
  <c r="U69" i="7"/>
  <c r="X69" i="7"/>
  <c r="U52" i="7"/>
  <c r="X52" i="7"/>
  <c r="U87" i="7"/>
  <c r="X87" i="7"/>
  <c r="U70" i="7"/>
  <c r="X70" i="7"/>
  <c r="U61" i="7"/>
  <c r="X61" i="7"/>
  <c r="U41" i="7"/>
  <c r="X41" i="7"/>
  <c r="U64" i="7"/>
  <c r="X64" i="7"/>
  <c r="U68" i="7"/>
  <c r="X68" i="7"/>
  <c r="U54" i="7"/>
  <c r="X54" i="7"/>
  <c r="U66" i="7"/>
  <c r="X66" i="7"/>
  <c r="U37" i="7"/>
  <c r="X37" i="7"/>
  <c r="U84" i="7"/>
  <c r="X84" i="7"/>
  <c r="U85" i="7"/>
  <c r="U83" i="7"/>
  <c r="U81" i="7"/>
  <c r="N80" i="7"/>
  <c r="Q80" i="7" s="1"/>
  <c r="U80" i="7"/>
  <c r="N55" i="7"/>
  <c r="Q55" i="7" s="1"/>
  <c r="J7" i="7"/>
  <c r="N92" i="7"/>
  <c r="Q92" i="7" s="1"/>
  <c r="X59" i="7"/>
  <c r="U59" i="7"/>
  <c r="N74" i="7"/>
  <c r="Q74" i="7" s="1"/>
  <c r="N71" i="7"/>
  <c r="Q71" i="7" s="1"/>
  <c r="U39" i="7"/>
  <c r="N44" i="7"/>
  <c r="Q44" i="7" s="1"/>
  <c r="N37" i="7"/>
  <c r="Q37" i="7" s="1"/>
  <c r="N24" i="7"/>
  <c r="Q24" i="7" s="1"/>
  <c r="U24" i="7"/>
  <c r="U36" i="7"/>
  <c r="N46" i="7"/>
  <c r="Q46" i="7" s="1"/>
  <c r="N41" i="7"/>
  <c r="Q41" i="7" s="1"/>
  <c r="N56" i="7"/>
  <c r="Q56" i="7" s="1"/>
  <c r="N52" i="7"/>
  <c r="Q52" i="7" s="1"/>
  <c r="N54" i="7"/>
  <c r="Q54" i="7" s="1"/>
  <c r="N42" i="7"/>
  <c r="Q42" i="7" s="1"/>
  <c r="N48" i="7"/>
  <c r="Q48" i="7" s="1"/>
  <c r="N79" i="7"/>
  <c r="Q79" i="7" s="1"/>
  <c r="N34" i="7"/>
  <c r="Q34" i="7" s="1"/>
  <c r="N45" i="7"/>
  <c r="Q45" i="7" s="1"/>
  <c r="N36" i="7"/>
  <c r="Q36" i="7" s="1"/>
  <c r="N39" i="7"/>
  <c r="Q39" i="7" s="1"/>
  <c r="N47" i="7"/>
  <c r="Q47" i="7" s="1"/>
  <c r="N43" i="7"/>
  <c r="Q43" i="7" s="1"/>
  <c r="N128" i="7"/>
  <c r="N127" i="7"/>
  <c r="D173" i="12"/>
  <c r="N126" i="7"/>
  <c r="D171" i="12"/>
  <c r="D174" i="12"/>
  <c r="N87" i="7"/>
  <c r="Q87" i="7" s="1"/>
  <c r="N125" i="7"/>
  <c r="D164" i="12"/>
  <c r="N59" i="7"/>
  <c r="Q59" i="7" s="1"/>
  <c r="N66" i="7"/>
  <c r="Q66" i="7" s="1"/>
  <c r="N114" i="7"/>
  <c r="N64" i="7"/>
  <c r="Q64" i="7" s="1"/>
  <c r="N78" i="7"/>
  <c r="Q78" i="7" s="1"/>
  <c r="D162" i="12"/>
  <c r="N73" i="7"/>
  <c r="Q73" i="7" s="1"/>
  <c r="N65" i="7"/>
  <c r="Q65" i="7" s="1"/>
  <c r="N113" i="7"/>
  <c r="N69" i="7"/>
  <c r="Q69" i="7" s="1"/>
  <c r="I57" i="7"/>
  <c r="I23" i="7"/>
  <c r="N13" i="7" l="1"/>
  <c r="Q13" i="7" s="1"/>
  <c r="R13" i="7" s="1"/>
  <c r="X13" i="7"/>
  <c r="U62" i="7"/>
  <c r="N18" i="7"/>
  <c r="Q18" i="7" s="1"/>
  <c r="R18" i="7" s="1"/>
  <c r="X18" i="7"/>
  <c r="D14" i="12"/>
  <c r="E14" i="12" s="1"/>
  <c r="O12" i="7" s="1"/>
  <c r="E28" i="12"/>
  <c r="O22" i="7" s="1"/>
  <c r="D13" i="12"/>
  <c r="E13" i="12" s="1"/>
  <c r="O11" i="7" s="1"/>
  <c r="E26" i="12"/>
  <c r="O21" i="7" s="1"/>
  <c r="X14" i="7"/>
  <c r="N94" i="7"/>
  <c r="Q94" i="7" s="1"/>
  <c r="D11" i="12"/>
  <c r="E11" i="12" s="1"/>
  <c r="D56" i="12"/>
  <c r="O10" i="7"/>
  <c r="O9" i="7"/>
  <c r="O18" i="7"/>
  <c r="O13" i="7"/>
  <c r="O17" i="7"/>
  <c r="O14" i="7"/>
  <c r="O15" i="7"/>
  <c r="O16" i="7"/>
  <c r="N14" i="7"/>
  <c r="Q14" i="7" s="1"/>
  <c r="R14" i="7" s="1"/>
  <c r="N102" i="7"/>
  <c r="Q102" i="7" s="1"/>
  <c r="X88" i="7"/>
  <c r="X9" i="7"/>
  <c r="U12" i="7"/>
  <c r="Z100" i="7"/>
  <c r="X10" i="7"/>
  <c r="N86" i="7"/>
  <c r="Q86" i="7" s="1"/>
  <c r="U72" i="7"/>
  <c r="Z72" i="7" s="1"/>
  <c r="U82" i="7"/>
  <c r="N10" i="7"/>
  <c r="Q10" i="7" s="1"/>
  <c r="R10" i="7" s="1"/>
  <c r="N50" i="7"/>
  <c r="Q50" i="7" s="1"/>
  <c r="N11" i="7"/>
  <c r="Q11" i="7" s="1"/>
  <c r="R11" i="7" s="1"/>
  <c r="U25" i="7"/>
  <c r="Z25" i="7" s="1"/>
  <c r="X15" i="7"/>
  <c r="U86" i="7"/>
  <c r="X11" i="7"/>
  <c r="N20" i="7"/>
  <c r="Q20" i="7" s="1"/>
  <c r="N15" i="7"/>
  <c r="Q15" i="7" s="1"/>
  <c r="R15" i="7" s="1"/>
  <c r="N72" i="7"/>
  <c r="Q72" i="7" s="1"/>
  <c r="N9" i="7"/>
  <c r="Q9" i="7" s="1"/>
  <c r="R9" i="7" s="1"/>
  <c r="X20" i="7"/>
  <c r="U11" i="7"/>
  <c r="U14" i="7"/>
  <c r="U8" i="7"/>
  <c r="N25" i="7"/>
  <c r="Q25" i="7" s="1"/>
  <c r="X30" i="7"/>
  <c r="X27" i="7"/>
  <c r="U19" i="7"/>
  <c r="X38" i="7"/>
  <c r="X82" i="7"/>
  <c r="U17" i="7"/>
  <c r="X32" i="7"/>
  <c r="N16" i="7"/>
  <c r="Q16" i="7" s="1"/>
  <c r="R16" i="7" s="1"/>
  <c r="K7" i="7"/>
  <c r="J109" i="7"/>
  <c r="D123" i="12"/>
  <c r="E123" i="12" s="1"/>
  <c r="D119" i="12"/>
  <c r="D121" i="12" s="1"/>
  <c r="E121" i="12" s="1"/>
  <c r="X33" i="7"/>
  <c r="X35" i="7"/>
  <c r="U18" i="7"/>
  <c r="X31" i="7"/>
  <c r="X26" i="7"/>
  <c r="X86" i="7"/>
  <c r="U20" i="7"/>
  <c r="X16" i="7"/>
  <c r="N38" i="7"/>
  <c r="Q38" i="7" s="1"/>
  <c r="N58" i="7"/>
  <c r="Q58" i="7" s="1"/>
  <c r="N19" i="7"/>
  <c r="Q19" i="7" s="1"/>
  <c r="U58" i="7"/>
  <c r="U16" i="7"/>
  <c r="X29" i="7"/>
  <c r="N17" i="7"/>
  <c r="Q17" i="7" s="1"/>
  <c r="R17" i="7" s="1"/>
  <c r="N12" i="7"/>
  <c r="Q12" i="7" s="1"/>
  <c r="R12" i="7" s="1"/>
  <c r="U35" i="7"/>
  <c r="X17" i="7"/>
  <c r="X19" i="7"/>
  <c r="X12" i="7"/>
  <c r="N35" i="7"/>
  <c r="Q35" i="7" s="1"/>
  <c r="X58" i="7"/>
  <c r="U50" i="7"/>
  <c r="Z50" i="7" s="1"/>
  <c r="U38" i="7"/>
  <c r="Z38" i="7" s="1"/>
  <c r="U15" i="7"/>
  <c r="Z15" i="7" s="1"/>
  <c r="U13" i="7"/>
  <c r="U10" i="7"/>
  <c r="X81" i="7"/>
  <c r="U9" i="7"/>
  <c r="Z80" i="7"/>
  <c r="N85" i="7"/>
  <c r="Q85" i="7" s="1"/>
  <c r="U40" i="7"/>
  <c r="Z40" i="7" s="1"/>
  <c r="N40" i="7"/>
  <c r="R40" i="7" s="1"/>
  <c r="Z83" i="7"/>
  <c r="U63" i="7"/>
  <c r="X63" i="7"/>
  <c r="E156" i="12"/>
  <c r="X85" i="7"/>
  <c r="Z85" i="7" s="1"/>
  <c r="U53" i="7"/>
  <c r="X53" i="7"/>
  <c r="N53" i="7"/>
  <c r="Q53" i="7" s="1"/>
  <c r="Z55" i="7"/>
  <c r="D163" i="12"/>
  <c r="E163" i="12" s="1"/>
  <c r="E127" i="12"/>
  <c r="E8" i="12"/>
  <c r="Z21" i="7"/>
  <c r="N22" i="7"/>
  <c r="Q22" i="7" s="1"/>
  <c r="Z22" i="7"/>
  <c r="N21" i="7"/>
  <c r="Q21" i="7" s="1"/>
  <c r="N51" i="7"/>
  <c r="Q51" i="7" s="1"/>
  <c r="Z78" i="7"/>
  <c r="Z64" i="7"/>
  <c r="Z79" i="7"/>
  <c r="Z65" i="7"/>
  <c r="Z87" i="7"/>
  <c r="N49" i="7"/>
  <c r="Q49" i="7" s="1"/>
  <c r="Z44" i="7"/>
  <c r="D176" i="12"/>
  <c r="E176" i="12" s="1"/>
  <c r="E171" i="12"/>
  <c r="D168" i="12"/>
  <c r="E168" i="12" s="1"/>
  <c r="E164" i="12"/>
  <c r="D178" i="12"/>
  <c r="E178" i="12" s="1"/>
  <c r="E173" i="12"/>
  <c r="Z51" i="7"/>
  <c r="Z49" i="7"/>
  <c r="D179" i="12"/>
  <c r="E179" i="12" s="1"/>
  <c r="E174" i="12"/>
  <c r="Z59" i="7"/>
  <c r="Z56" i="7"/>
  <c r="Z66" i="7"/>
  <c r="D166" i="12"/>
  <c r="E166" i="12" s="1"/>
  <c r="E162" i="12"/>
  <c r="Z73" i="7"/>
  <c r="D177" i="12"/>
  <c r="E177" i="12" s="1"/>
  <c r="E172" i="12"/>
  <c r="Z46" i="7"/>
  <c r="E148" i="12"/>
  <c r="D152" i="12"/>
  <c r="E152" i="12" s="1"/>
  <c r="D184" i="12"/>
  <c r="U99" i="7"/>
  <c r="N76" i="7"/>
  <c r="Q76" i="7" s="1"/>
  <c r="N99" i="7"/>
  <c r="Q99" i="7" s="1"/>
  <c r="N61" i="7"/>
  <c r="Q61" i="7" s="1"/>
  <c r="N63" i="7"/>
  <c r="Q63" i="7" s="1"/>
  <c r="N88" i="7"/>
  <c r="Z69" i="7"/>
  <c r="U106" i="7"/>
  <c r="U94" i="7"/>
  <c r="N67" i="7"/>
  <c r="Q67" i="7" s="1"/>
  <c r="N106" i="7"/>
  <c r="Q106" i="7" s="1"/>
  <c r="Z54" i="7"/>
  <c r="U102" i="7"/>
  <c r="U92" i="7"/>
  <c r="U89" i="7"/>
  <c r="U97" i="7"/>
  <c r="U103" i="7"/>
  <c r="U104" i="7"/>
  <c r="U91" i="7"/>
  <c r="U90" i="7"/>
  <c r="U96" i="7"/>
  <c r="U98" i="7"/>
  <c r="U93" i="7"/>
  <c r="N75" i="7"/>
  <c r="Q75" i="7" s="1"/>
  <c r="N93" i="7"/>
  <c r="Q93" i="7" s="1"/>
  <c r="N62" i="7"/>
  <c r="Q62" i="7" s="1"/>
  <c r="N89" i="7"/>
  <c r="Q89" i="7" s="1"/>
  <c r="N81" i="7"/>
  <c r="Q81" i="7" s="1"/>
  <c r="N97" i="7"/>
  <c r="Q97" i="7" s="1"/>
  <c r="N70" i="7"/>
  <c r="Q70" i="7" s="1"/>
  <c r="N103" i="7"/>
  <c r="Q103" i="7" s="1"/>
  <c r="N104" i="7"/>
  <c r="Q104" i="7" s="1"/>
  <c r="N91" i="7"/>
  <c r="Q91" i="7" s="1"/>
  <c r="N84" i="7"/>
  <c r="Q84" i="7" s="1"/>
  <c r="N90" i="7"/>
  <c r="Q90" i="7" s="1"/>
  <c r="N96" i="7"/>
  <c r="Q96" i="7" s="1"/>
  <c r="N98" i="7"/>
  <c r="Q98" i="7" s="1"/>
  <c r="U95" i="7"/>
  <c r="U105" i="7"/>
  <c r="U101" i="7"/>
  <c r="N95" i="7"/>
  <c r="Q95" i="7" s="1"/>
  <c r="N105" i="7"/>
  <c r="Q105" i="7" s="1"/>
  <c r="N68" i="7"/>
  <c r="Q68" i="7" s="1"/>
  <c r="N101" i="7"/>
  <c r="Q101" i="7" s="1"/>
  <c r="N77" i="7"/>
  <c r="Q77" i="7" s="1"/>
  <c r="Z52" i="7"/>
  <c r="Z34" i="7"/>
  <c r="Z24" i="7"/>
  <c r="Z42" i="7"/>
  <c r="Z45" i="7"/>
  <c r="Z48" i="7"/>
  <c r="N31" i="7"/>
  <c r="Q31" i="7" s="1"/>
  <c r="U31" i="7"/>
  <c r="N32" i="7"/>
  <c r="Q32" i="7" s="1"/>
  <c r="U32" i="7"/>
  <c r="Z41" i="7"/>
  <c r="N29" i="7"/>
  <c r="U29" i="7"/>
  <c r="Z36" i="7"/>
  <c r="Z39" i="7"/>
  <c r="N30" i="7"/>
  <c r="Q30" i="7" s="1"/>
  <c r="U30" i="7"/>
  <c r="Z37" i="7"/>
  <c r="N27" i="7"/>
  <c r="Q27" i="7" s="1"/>
  <c r="U27" i="7"/>
  <c r="N28" i="7"/>
  <c r="Q28" i="7" s="1"/>
  <c r="U28" i="7"/>
  <c r="N33" i="7"/>
  <c r="Q33" i="7" s="1"/>
  <c r="U33" i="7"/>
  <c r="Z43" i="7"/>
  <c r="N26" i="7"/>
  <c r="Q26" i="7" s="1"/>
  <c r="U26" i="7"/>
  <c r="Z47" i="7"/>
  <c r="D191" i="12"/>
  <c r="E155" i="12"/>
  <c r="D158" i="12"/>
  <c r="E158" i="12" s="1"/>
  <c r="X8" i="7"/>
  <c r="N8" i="7"/>
  <c r="Q8" i="7" s="1"/>
  <c r="D150" i="12"/>
  <c r="E150" i="12" s="1"/>
  <c r="E146" i="12"/>
  <c r="D182" i="12"/>
  <c r="D183" i="12"/>
  <c r="D151" i="12"/>
  <c r="E151" i="12" s="1"/>
  <c r="E147" i="12"/>
  <c r="D141" i="12"/>
  <c r="E141" i="12" s="1"/>
  <c r="E136" i="12"/>
  <c r="D143" i="12"/>
  <c r="E143" i="12" s="1"/>
  <c r="E138" i="12"/>
  <c r="E135" i="12"/>
  <c r="D140" i="12"/>
  <c r="E140" i="12" s="1"/>
  <c r="D142" i="12"/>
  <c r="E142" i="12" s="1"/>
  <c r="E137" i="12"/>
  <c r="D131" i="12"/>
  <c r="E131" i="12" s="1"/>
  <c r="E126" i="12"/>
  <c r="D130" i="12"/>
  <c r="E130" i="12" s="1"/>
  <c r="E128" i="12"/>
  <c r="D132" i="12"/>
  <c r="E132" i="12" s="1"/>
  <c r="E37" i="12"/>
  <c r="E38" i="12"/>
  <c r="D109" i="12"/>
  <c r="E102" i="12"/>
  <c r="D69" i="12"/>
  <c r="E62" i="12"/>
  <c r="E46" i="12"/>
  <c r="D47" i="12"/>
  <c r="E47" i="12" s="1"/>
  <c r="E39" i="12"/>
  <c r="E65" i="12"/>
  <c r="D72" i="12"/>
  <c r="E58" i="12"/>
  <c r="E59" i="12"/>
  <c r="E122" i="12"/>
  <c r="O60" i="7" s="1"/>
  <c r="D107" i="12"/>
  <c r="E100" i="12"/>
  <c r="E36" i="12"/>
  <c r="D108" i="12"/>
  <c r="E101" i="12"/>
  <c r="E40" i="12"/>
  <c r="D45" i="12"/>
  <c r="E45" i="12" s="1"/>
  <c r="E44" i="12"/>
  <c r="E41" i="12"/>
  <c r="D24" i="12"/>
  <c r="E24" i="12" s="1"/>
  <c r="E23" i="12"/>
  <c r="E99" i="12"/>
  <c r="D106" i="12"/>
  <c r="E83" i="12"/>
  <c r="D84" i="12"/>
  <c r="E84" i="12" s="1"/>
  <c r="E98" i="12"/>
  <c r="D105" i="12"/>
  <c r="D88" i="12"/>
  <c r="E87" i="12"/>
  <c r="E64" i="12"/>
  <c r="D71" i="12"/>
  <c r="E21" i="12"/>
  <c r="D22" i="12"/>
  <c r="E22" i="12" s="1"/>
  <c r="E43" i="12"/>
  <c r="E42" i="12"/>
  <c r="E63" i="12"/>
  <c r="D70" i="12"/>
  <c r="E66" i="12"/>
  <c r="D73" i="12"/>
  <c r="I109" i="7"/>
  <c r="Z13" i="7" l="1"/>
  <c r="Z18" i="7"/>
  <c r="Z14" i="7"/>
  <c r="D48" i="12"/>
  <c r="Z9" i="7"/>
  <c r="D57" i="12"/>
  <c r="E57" i="12" s="1"/>
  <c r="E56" i="12"/>
  <c r="O114" i="7"/>
  <c r="O117" i="7"/>
  <c r="O116" i="7"/>
  <c r="O128" i="7"/>
  <c r="O26" i="7"/>
  <c r="O126" i="7"/>
  <c r="O124" i="7"/>
  <c r="O115" i="7"/>
  <c r="O36" i="7"/>
  <c r="R36" i="7" s="1"/>
  <c r="O78" i="7"/>
  <c r="R78" i="7" s="1"/>
  <c r="O83" i="7"/>
  <c r="R83" i="7" s="1"/>
  <c r="O79" i="7"/>
  <c r="R79" i="7" s="1"/>
  <c r="O32" i="7"/>
  <c r="O29" i="7"/>
  <c r="Q29" i="7" s="1"/>
  <c r="R29" i="7" s="1"/>
  <c r="O82" i="7"/>
  <c r="R82" i="7" s="1"/>
  <c r="O113" i="7"/>
  <c r="O118" i="7"/>
  <c r="O35" i="7"/>
  <c r="O87" i="7"/>
  <c r="R87" i="7" s="1"/>
  <c r="O28" i="7"/>
  <c r="O27" i="7"/>
  <c r="O33" i="7"/>
  <c r="O31" i="7"/>
  <c r="O125" i="7"/>
  <c r="O30" i="7"/>
  <c r="O8" i="7"/>
  <c r="O72" i="7"/>
  <c r="R72" i="7" s="1"/>
  <c r="O127" i="7"/>
  <c r="O88" i="7"/>
  <c r="O58" i="7"/>
  <c r="Z10" i="7"/>
  <c r="Z11" i="7"/>
  <c r="Z12" i="7"/>
  <c r="Z82" i="7"/>
  <c r="R35" i="7"/>
  <c r="Z58" i="7"/>
  <c r="Z20" i="7"/>
  <c r="D120" i="12"/>
  <c r="E120" i="12" s="1"/>
  <c r="E119" i="12"/>
  <c r="Z16" i="7"/>
  <c r="Z17" i="7"/>
  <c r="Z19" i="7"/>
  <c r="Z35" i="7"/>
  <c r="X108" i="7"/>
  <c r="L7" i="7"/>
  <c r="X7" i="7" s="1"/>
  <c r="K109" i="7"/>
  <c r="U108" i="7"/>
  <c r="R8" i="7"/>
  <c r="R21" i="7"/>
  <c r="R32" i="7"/>
  <c r="D192" i="12"/>
  <c r="E192" i="12" s="1"/>
  <c r="Z53" i="7"/>
  <c r="D159" i="12"/>
  <c r="E159" i="12" s="1"/>
  <c r="O86" i="7"/>
  <c r="R86" i="7" s="1"/>
  <c r="O85" i="7"/>
  <c r="R85" i="7" s="1"/>
  <c r="D167" i="12"/>
  <c r="E167" i="12" s="1"/>
  <c r="O81" i="7"/>
  <c r="R81" i="7" s="1"/>
  <c r="O80" i="7"/>
  <c r="R80" i="7" s="1"/>
  <c r="O20" i="7"/>
  <c r="O19" i="7"/>
  <c r="Z26" i="7"/>
  <c r="Z86" i="7"/>
  <c r="Z94" i="7"/>
  <c r="Z93" i="7"/>
  <c r="Z103" i="7"/>
  <c r="Z99" i="7"/>
  <c r="Z76" i="7"/>
  <c r="D186" i="12"/>
  <c r="E186" i="12" s="1"/>
  <c r="E182" i="12"/>
  <c r="O34" i="7"/>
  <c r="R34" i="7" s="1"/>
  <c r="D187" i="12"/>
  <c r="E187" i="12" s="1"/>
  <c r="E183" i="12"/>
  <c r="Z106" i="7"/>
  <c r="Z70" i="7"/>
  <c r="Z101" i="7"/>
  <c r="Z95" i="7"/>
  <c r="Z91" i="7"/>
  <c r="D188" i="12"/>
  <c r="E188" i="12" s="1"/>
  <c r="E184" i="12"/>
  <c r="Z62" i="7"/>
  <c r="D194" i="12"/>
  <c r="E194" i="12" s="1"/>
  <c r="E191" i="12"/>
  <c r="Z68" i="7"/>
  <c r="Z104" i="7"/>
  <c r="Z81" i="7"/>
  <c r="Z92" i="7"/>
  <c r="Z96" i="7"/>
  <c r="Z89" i="7"/>
  <c r="Z75" i="7"/>
  <c r="Z84" i="7"/>
  <c r="Z102" i="7"/>
  <c r="R88" i="7"/>
  <c r="Z63" i="7"/>
  <c r="Z90" i="7"/>
  <c r="Z71" i="7"/>
  <c r="Z61" i="7"/>
  <c r="Z77" i="7"/>
  <c r="Z105" i="7"/>
  <c r="Z98" i="7"/>
  <c r="Z97" i="7"/>
  <c r="Z74" i="7"/>
  <c r="Z67" i="7"/>
  <c r="Z88" i="7"/>
  <c r="X57" i="7"/>
  <c r="Z32" i="7"/>
  <c r="U57" i="7"/>
  <c r="Z8" i="7"/>
  <c r="Z29" i="7"/>
  <c r="Z27" i="7"/>
  <c r="Z33" i="7"/>
  <c r="Z30" i="7"/>
  <c r="Z31" i="7"/>
  <c r="Z28" i="7"/>
  <c r="R30" i="7"/>
  <c r="O84" i="7"/>
  <c r="R84" i="7" s="1"/>
  <c r="R33" i="7"/>
  <c r="R27" i="7"/>
  <c r="R26" i="7"/>
  <c r="R28" i="7"/>
  <c r="R31" i="7"/>
  <c r="D112" i="12"/>
  <c r="E105" i="12"/>
  <c r="D114" i="12"/>
  <c r="E114" i="12" s="1"/>
  <c r="E107" i="12"/>
  <c r="O47" i="7"/>
  <c r="R47" i="7" s="1"/>
  <c r="O48" i="7"/>
  <c r="R48" i="7" s="1"/>
  <c r="O46" i="7"/>
  <c r="R46" i="7" s="1"/>
  <c r="O120" i="7"/>
  <c r="E71" i="12"/>
  <c r="D78" i="12"/>
  <c r="E78" i="12" s="1"/>
  <c r="O45" i="7"/>
  <c r="R45" i="7" s="1"/>
  <c r="O44" i="7"/>
  <c r="R44" i="7" s="1"/>
  <c r="O119" i="7"/>
  <c r="O93" i="7"/>
  <c r="R93" i="7" s="1"/>
  <c r="O65" i="7"/>
  <c r="R65" i="7" s="1"/>
  <c r="O92" i="7"/>
  <c r="R92" i="7" s="1"/>
  <c r="O96" i="7"/>
  <c r="R96" i="7" s="1"/>
  <c r="O66" i="7"/>
  <c r="R66" i="7" s="1"/>
  <c r="O68" i="7"/>
  <c r="R68" i="7" s="1"/>
  <c r="O97" i="7"/>
  <c r="R97" i="7" s="1"/>
  <c r="O98" i="7"/>
  <c r="R98" i="7" s="1"/>
  <c r="O94" i="7"/>
  <c r="R94" i="7" s="1"/>
  <c r="O95" i="7"/>
  <c r="R95" i="7" s="1"/>
  <c r="O67" i="7"/>
  <c r="R67" i="7" s="1"/>
  <c r="E109" i="12"/>
  <c r="D116" i="12"/>
  <c r="E116" i="12" s="1"/>
  <c r="E72" i="12"/>
  <c r="D79" i="12"/>
  <c r="E79" i="12" s="1"/>
  <c r="E70" i="12"/>
  <c r="D77" i="12"/>
  <c r="E77" i="12" s="1"/>
  <c r="O40" i="7"/>
  <c r="O39" i="7"/>
  <c r="R39" i="7" s="1"/>
  <c r="O38" i="7"/>
  <c r="R38" i="7" s="1"/>
  <c r="O37" i="7"/>
  <c r="R37" i="7" s="1"/>
  <c r="E88" i="12"/>
  <c r="D89" i="12"/>
  <c r="O89" i="7"/>
  <c r="R89" i="7" s="1"/>
  <c r="O64" i="7"/>
  <c r="R64" i="7" s="1"/>
  <c r="O91" i="7"/>
  <c r="R91" i="7" s="1"/>
  <c r="O90" i="7"/>
  <c r="R90" i="7" s="1"/>
  <c r="O41" i="7"/>
  <c r="R41" i="7" s="1"/>
  <c r="O42" i="7"/>
  <c r="R42" i="7" s="1"/>
  <c r="O43" i="7"/>
  <c r="R43" i="7" s="1"/>
  <c r="O71" i="7"/>
  <c r="R71" i="7" s="1"/>
  <c r="O70" i="7"/>
  <c r="R70" i="7" s="1"/>
  <c r="O69" i="7"/>
  <c r="D76" i="12"/>
  <c r="E76" i="12" s="1"/>
  <c r="E69" i="12"/>
  <c r="E73" i="12"/>
  <c r="D80" i="12"/>
  <c r="E80" i="12" s="1"/>
  <c r="D113" i="12"/>
  <c r="E113" i="12" s="1"/>
  <c r="E106" i="12"/>
  <c r="D115" i="12"/>
  <c r="E115" i="12" s="1"/>
  <c r="E108" i="12"/>
  <c r="O74" i="7"/>
  <c r="R74" i="7" s="1"/>
  <c r="O75" i="7"/>
  <c r="R75" i="7" s="1"/>
  <c r="O76" i="7"/>
  <c r="R76" i="7" s="1"/>
  <c r="O77" i="7"/>
  <c r="R77" i="7" s="1"/>
  <c r="O73" i="7"/>
  <c r="R73" i="7" s="1"/>
  <c r="E48" i="12" l="1"/>
  <c r="D49" i="12"/>
  <c r="E49" i="12" s="1"/>
  <c r="O129" i="7"/>
  <c r="O54" i="7"/>
  <c r="R54" i="7" s="1"/>
  <c r="O49" i="7"/>
  <c r="R49" i="7" s="1"/>
  <c r="O101" i="7"/>
  <c r="R101" i="7" s="1"/>
  <c r="O105" i="7"/>
  <c r="R105" i="7" s="1"/>
  <c r="O56" i="7"/>
  <c r="R56" i="7" s="1"/>
  <c r="O53" i="7"/>
  <c r="R53" i="7" s="1"/>
  <c r="O51" i="7"/>
  <c r="R51" i="7" s="1"/>
  <c r="O52" i="7"/>
  <c r="R52" i="7" s="1"/>
  <c r="O106" i="7"/>
  <c r="R106" i="7" s="1"/>
  <c r="O103" i="7"/>
  <c r="R103" i="7" s="1"/>
  <c r="O123" i="7"/>
  <c r="O61" i="7"/>
  <c r="R61" i="7" s="1"/>
  <c r="D33" i="12"/>
  <c r="E33" i="12" s="1"/>
  <c r="O63" i="7"/>
  <c r="R63" i="7" s="1"/>
  <c r="O62" i="7"/>
  <c r="R62" i="7" s="1"/>
  <c r="N7" i="7"/>
  <c r="Q7" i="7" s="1"/>
  <c r="X114" i="7"/>
  <c r="Z114" i="7" s="1"/>
  <c r="D32" i="12"/>
  <c r="E32" i="12" s="1"/>
  <c r="U7" i="7"/>
  <c r="U23" i="7" s="1"/>
  <c r="U109" i="7" s="1"/>
  <c r="R20" i="7"/>
  <c r="R19" i="7"/>
  <c r="R22" i="7"/>
  <c r="Z108" i="7"/>
  <c r="D195" i="12"/>
  <c r="E195" i="12" s="1"/>
  <c r="O130" i="7"/>
  <c r="O100" i="7"/>
  <c r="R100" i="7" s="1"/>
  <c r="U114" i="7"/>
  <c r="W114" i="7" s="1"/>
  <c r="X23" i="7"/>
  <c r="O122" i="7"/>
  <c r="O55" i="7"/>
  <c r="R55" i="7" s="1"/>
  <c r="O121" i="7"/>
  <c r="O50" i="7"/>
  <c r="R50" i="7" s="1"/>
  <c r="E52" i="12"/>
  <c r="E53" i="12"/>
  <c r="U113" i="7"/>
  <c r="W113" i="7" s="1"/>
  <c r="X113" i="7"/>
  <c r="Z113" i="7" s="1"/>
  <c r="Z57" i="7"/>
  <c r="E112" i="12"/>
  <c r="E89" i="12"/>
  <c r="D90" i="12"/>
  <c r="O25" i="7"/>
  <c r="R25" i="7" s="1"/>
  <c r="O59" i="7"/>
  <c r="O104" i="7"/>
  <c r="R104" i="7" s="1"/>
  <c r="O132" i="7"/>
  <c r="O131" i="7"/>
  <c r="O102" i="7"/>
  <c r="R102" i="7" s="1"/>
  <c r="R58" i="7"/>
  <c r="R69" i="7"/>
  <c r="O99" i="7" l="1"/>
  <c r="R99" i="7" s="1"/>
  <c r="Z7" i="7"/>
  <c r="Z23" i="7" s="1"/>
  <c r="Z109" i="7" s="1"/>
  <c r="U112" i="7"/>
  <c r="X112" i="7"/>
  <c r="R59" i="7"/>
  <c r="Q108" i="7"/>
  <c r="X109" i="7"/>
  <c r="O24" i="7"/>
  <c r="O7" i="7"/>
  <c r="D91" i="12"/>
  <c r="E90" i="12"/>
  <c r="U115" i="7" l="1"/>
  <c r="W112" i="7"/>
  <c r="X115" i="7"/>
  <c r="Z112" i="7"/>
  <c r="R108" i="7"/>
  <c r="R24" i="7"/>
  <c r="Q57" i="7"/>
  <c r="R7" i="7"/>
  <c r="Q23" i="7"/>
  <c r="D92" i="12"/>
  <c r="E92" i="12" s="1"/>
  <c r="E91" i="12"/>
  <c r="Z115" i="7" l="1"/>
  <c r="U117" i="7" s="1"/>
  <c r="Q109" i="7"/>
  <c r="R23" i="7"/>
  <c r="R57" i="7"/>
  <c r="X117" i="7" l="1"/>
  <c r="C72" i="4"/>
  <c r="C73" i="4" s="1"/>
  <c r="R109" i="7"/>
</calcChain>
</file>

<file path=xl/comments1.xml><?xml version="1.0" encoding="utf-8"?>
<comments xmlns="http://schemas.openxmlformats.org/spreadsheetml/2006/main">
  <authors>
    <author>Irmgard R Wilcox</author>
  </authors>
  <commentList>
    <comment ref="E61" authorId="0">
      <text>
        <r>
          <rPr>
            <b/>
            <sz val="9"/>
            <color indexed="81"/>
            <rFont val="Tahoma"/>
            <family val="2"/>
          </rPr>
          <t>Irmgard R Wilcox:</t>
        </r>
        <r>
          <rPr>
            <sz val="9"/>
            <color indexed="81"/>
            <rFont val="Tahoma"/>
            <family val="2"/>
          </rPr>
          <t xml:space="preserve">
Not on tariff, doubled the pu freguency and left the lbs the same as 1-can.  Also for the  3, 4 can.
</t>
        </r>
      </text>
    </comment>
  </commentList>
</comments>
</file>

<file path=xl/sharedStrings.xml><?xml version="1.0" encoding="utf-8"?>
<sst xmlns="http://schemas.openxmlformats.org/spreadsheetml/2006/main" count="819" uniqueCount="470">
  <si>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</si>
  <si>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</si>
  <si>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</si>
  <si>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</si>
  <si>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</si>
  <si>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</si>
  <si>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</si>
  <si>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</si>
  <si>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</si>
  <si>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</si>
  <si>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</si>
  <si>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</si>
  <si>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</si>
  <si>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</si>
  <si>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</si>
  <si>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</si>
  <si>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</si>
  <si>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</si>
  <si>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</si>
  <si>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</si>
  <si>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</si>
  <si>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</si>
  <si>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</si>
  <si>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</si>
  <si>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</si>
  <si>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</si>
  <si>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</si>
  <si>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</si>
  <si>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</si>
  <si>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</si>
  <si>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</si>
  <si>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</si>
  <si>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</si>
  <si>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</si>
  <si>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</si>
  <si>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</si>
  <si>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</si>
  <si>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Current Tariff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</si>
  <si>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</si>
  <si>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</si>
  <si>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</si>
  <si>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</si>
  <si>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</si>
  <si>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</si>
  <si>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</si>
  <si>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</si>
  <si>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</si>
  <si>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</si>
  <si>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</si>
  <si>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</si>
  <si>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</si>
  <si>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</si>
  <si>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</si>
  <si>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</si>
  <si>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</si>
  <si>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</si>
  <si>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</si>
  <si>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</si>
  <si>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</si>
  <si>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</si>
  <si>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</si>
  <si>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</si>
  <si>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</si>
  <si>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</si>
  <si>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</si>
  <si>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</si>
  <si>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</si>
  <si>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</si>
  <si>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</si>
  <si>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</si>
  <si>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</si>
  <si>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</si>
  <si>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</si>
  <si>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</si>
  <si>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</si>
  <si>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</si>
  <si>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</si>
  <si>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</si>
  <si>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</si>
  <si>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</si>
  <si>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</si>
  <si>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</si>
  <si>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Customers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</si>
  <si>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</si>
  <si>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</si>
  <si>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</si>
  <si>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</si>
  <si>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</si>
  <si>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No Current Customers</t>
  </si>
  <si>
    <t>Service Code Description</t>
  </si>
  <si>
    <t>Transfer Station</t>
  </si>
  <si>
    <t>1YD CONT 1X WEEKLY</t>
  </si>
  <si>
    <t>1.5YD CONT 1X WEEKLY</t>
  </si>
  <si>
    <t>2YD CONT 1X WEEKLY</t>
  </si>
  <si>
    <t>2YD CONT 2X WEEKLY</t>
  </si>
  <si>
    <t>Murrey's Disposal Co., Inc.  G-9</t>
  </si>
  <si>
    <t>American Disposal Co., Inc. G-87</t>
  </si>
  <si>
    <t>Current</t>
  </si>
  <si>
    <t xml:space="preserve">New </t>
  </si>
  <si>
    <t>Tariff</t>
  </si>
  <si>
    <t>Proposed</t>
  </si>
  <si>
    <t>Rate</t>
  </si>
  <si>
    <t>Over size</t>
  </si>
  <si>
    <t>WG-R</t>
  </si>
  <si>
    <t xml:space="preserve">Mini can </t>
  </si>
  <si>
    <t>Mini can</t>
  </si>
  <si>
    <t>WG-NR</t>
  </si>
  <si>
    <t>One can</t>
  </si>
  <si>
    <t>Two cans</t>
  </si>
  <si>
    <t>Three cans</t>
  </si>
  <si>
    <t>Four cans</t>
  </si>
  <si>
    <t>Five cans</t>
  </si>
  <si>
    <t>Six cans</t>
  </si>
  <si>
    <t>MG</t>
  </si>
  <si>
    <t>Extra Units</t>
  </si>
  <si>
    <t>Each</t>
  </si>
  <si>
    <t>On Call</t>
  </si>
  <si>
    <t>Item 105, pg 27</t>
  </si>
  <si>
    <t>Item 105, pg 28</t>
  </si>
  <si>
    <t>1 yard</t>
  </si>
  <si>
    <t>1.5 yard</t>
  </si>
  <si>
    <t>2 yard</t>
  </si>
  <si>
    <t>4 yard</t>
  </si>
  <si>
    <t>6 yard</t>
  </si>
  <si>
    <t>Special Pickups</t>
  </si>
  <si>
    <t>Temporary Service</t>
  </si>
  <si>
    <t>Drum</t>
  </si>
  <si>
    <t>Special Pickup</t>
  </si>
  <si>
    <t>Bulky</t>
  </si>
  <si>
    <t>Loose material</t>
  </si>
  <si>
    <t>Additional</t>
  </si>
  <si>
    <t>Minimum</t>
  </si>
  <si>
    <t>Garbage</t>
  </si>
  <si>
    <t>Ton</t>
  </si>
  <si>
    <t>1 32 gal can</t>
  </si>
  <si>
    <t>Special pickups, p/can</t>
  </si>
  <si>
    <t>Temporary p/can</t>
  </si>
  <si>
    <t>Minimum monthly charge</t>
  </si>
  <si>
    <t>Special and Temporary</t>
  </si>
  <si>
    <t>3 yard</t>
  </si>
  <si>
    <t>Test Period</t>
  </si>
  <si>
    <t>RESIDENTIAL</t>
  </si>
  <si>
    <t>EXTRA UNITS</t>
  </si>
  <si>
    <t>Returned Trip - Carts</t>
  </si>
  <si>
    <t>1-20 GAL CAN WEEKLY</t>
  </si>
  <si>
    <t>1-20 GAL WKLY NON REC</t>
  </si>
  <si>
    <t>1-32 GAL CAN MONTHLY</t>
  </si>
  <si>
    <t>1-32 GAL CAN WEEKLY</t>
  </si>
  <si>
    <t>1-32 GAL WKLY NON REC</t>
  </si>
  <si>
    <t>2-32 GAL CANS WEEKLY</t>
  </si>
  <si>
    <t>2-32 GAL WKLY NON REC</t>
  </si>
  <si>
    <t>3-32 GAL CANS WEEKLY</t>
  </si>
  <si>
    <t>3-32 GAL WKLY NON REC</t>
  </si>
  <si>
    <t>4-32 GAL CANS WEEKLY</t>
  </si>
  <si>
    <t>4-32 GAL WKLY NON REC</t>
  </si>
  <si>
    <t>5-32 GAL CANS WEEKLY</t>
  </si>
  <si>
    <t>5-32 GAL WKLY NON REC</t>
  </si>
  <si>
    <t>6-32 GAL CANS WEEKLY</t>
  </si>
  <si>
    <t>6-32 GAL WKLY NON REC</t>
  </si>
  <si>
    <t>1 IMPROPER CAN - RESI</t>
  </si>
  <si>
    <t>2 IMPROPER CANS - RESI</t>
  </si>
  <si>
    <t>MULTI-FAMILY</t>
  </si>
  <si>
    <t>MF EXTRA CANS</t>
  </si>
  <si>
    <t>MF EXTRA YARDS</t>
  </si>
  <si>
    <t>1-32 GAL CAN MULTI-FAMILY</t>
  </si>
  <si>
    <t>MF 1 CAN NON RECY</t>
  </si>
  <si>
    <t>2-32 GAL CANS MULTI-FAMILY</t>
  </si>
  <si>
    <t>MF 2 CANS NON RECY</t>
  </si>
  <si>
    <t>3-32 GAL CANS MULTI-FAMILY</t>
  </si>
  <si>
    <t>MF 3 CAN NON RECY</t>
  </si>
  <si>
    <t>4-32 GAL CANS MULTI-FAMILY</t>
  </si>
  <si>
    <t>MF 4 CAN NON RECY</t>
  </si>
  <si>
    <t>6-32 GAL CANS MULTI-FAMILY</t>
  </si>
  <si>
    <t>MF 1 IMPROPER CAN W/ RECY</t>
  </si>
  <si>
    <t>Can Count First P/U w/Recycle</t>
  </si>
  <si>
    <t>Can Count Each Additional</t>
  </si>
  <si>
    <t>MF 1YD CONT 1X WKLY</t>
  </si>
  <si>
    <t>MF 1.5YD CONT 1X WKLY</t>
  </si>
  <si>
    <t>MF 1.5YD CONT 2X WKLY</t>
  </si>
  <si>
    <t>MF 1.5YD CONT 3X WKLY</t>
  </si>
  <si>
    <t>MF 2YD CONT 1X WKLY</t>
  </si>
  <si>
    <t>MF 2YD CONT 2X WKLY</t>
  </si>
  <si>
    <t>MF 2YD CONT 3X WKLY</t>
  </si>
  <si>
    <t>MF 4YD CONT 1X WKLY</t>
  </si>
  <si>
    <t>MF 4YD CONT 2X WKLY</t>
  </si>
  <si>
    <t>MF 4YD CONT 3X WKLY</t>
  </si>
  <si>
    <t>MF 6YD CONT 1X WKLY</t>
  </si>
  <si>
    <t>MF 6YD CONT 2X WKLY</t>
  </si>
  <si>
    <t>MF 6YD CONT 3X WKLY</t>
  </si>
  <si>
    <t>MF 6YD CONT 4X WKLY</t>
  </si>
  <si>
    <t>MF 1YD TEMP CONT</t>
  </si>
  <si>
    <t>MF 1.5YD TEMP CONT</t>
  </si>
  <si>
    <t>MF 2YD TEMP CONT</t>
  </si>
  <si>
    <t>MF 1YD CONT SPECIAL PU</t>
  </si>
  <si>
    <t>MF 1.5YD CONT SPECIAL PU</t>
  </si>
  <si>
    <t>MF 2YD CONT SPECIAL PU</t>
  </si>
  <si>
    <t>MF 4YD CONT SPECIAL PU</t>
  </si>
  <si>
    <t>MF 6YD CONT SPECIAL PU</t>
  </si>
  <si>
    <t>COMMERICAL EXTRA CAN</t>
  </si>
  <si>
    <t>COMMERICAL EXTRA YARD</t>
  </si>
  <si>
    <t>2-32 GAL CANS WKLY</t>
  </si>
  <si>
    <t>3-32 GAL CANS WKLY</t>
  </si>
  <si>
    <t>4-32 GAL CANS WKLY</t>
  </si>
  <si>
    <t xml:space="preserve">5-32 GAL CANS WKLY </t>
  </si>
  <si>
    <t>2YD CONT 3X WEEKLY</t>
  </si>
  <si>
    <t>4YD CONT 1X WEEKLY</t>
  </si>
  <si>
    <t>4YD CONT 2X WEEKLY</t>
  </si>
  <si>
    <t>4YD CONT 3X WEEKLY</t>
  </si>
  <si>
    <t>6YD CONT 1X WEEKLY</t>
  </si>
  <si>
    <t>6YD CONT 2X WEEKLY</t>
  </si>
  <si>
    <t>6YD CONT 3X WEEKLY</t>
  </si>
  <si>
    <t>6YD CONT 4X WEEKLY</t>
  </si>
  <si>
    <t>6YD CONT 5X WEEKLY</t>
  </si>
  <si>
    <t>2YD COMP 1X WEEK 2.25:1</t>
  </si>
  <si>
    <t>6YD COMP 2X WEEK 3:1</t>
  </si>
  <si>
    <t>3YD COMP ONCALL 3:1</t>
  </si>
  <si>
    <t>1YD CONT 1xWEEKLY</t>
  </si>
  <si>
    <t>1YD CONT 2xWEEKLY</t>
  </si>
  <si>
    <t>1YD CONT 3xWEEKLY</t>
  </si>
  <si>
    <t>1.5YD CONT 1xWEEKLY</t>
  </si>
  <si>
    <t>1.5YD CONT 2xWEEKLY</t>
  </si>
  <si>
    <t>2YD CONT 1xWEEKLY</t>
  </si>
  <si>
    <t>2YD CONT 2xWEEKLY</t>
  </si>
  <si>
    <t>2YD CONT 3xWEEKLY</t>
  </si>
  <si>
    <t>2YD CONT 4xWEEKLY</t>
  </si>
  <si>
    <t>2YD CONT 5xWEEKLY</t>
  </si>
  <si>
    <t>1YD TEMP CONTAINER</t>
  </si>
  <si>
    <t>1.5YD TEMP CONTAINER</t>
  </si>
  <si>
    <t>2YD TEMP CONTAINER</t>
  </si>
  <si>
    <t>1YD CONTAINER SPECIAL PU</t>
  </si>
  <si>
    <t>1.5YD CONTAINERSPECIAL PU</t>
  </si>
  <si>
    <t>2YD CONTAINER SPECIAL PU</t>
  </si>
  <si>
    <t>4YD CONTAINER SPECIAL PU</t>
  </si>
  <si>
    <t>6YD CONTAINER SPECIAL PU</t>
  </si>
  <si>
    <t>Multi-Family</t>
  </si>
  <si>
    <t>MF</t>
  </si>
  <si>
    <t>na</t>
  </si>
  <si>
    <t>45 (na)</t>
  </si>
  <si>
    <t>6YD COMP 1X WEEK 2.25:1</t>
  </si>
  <si>
    <t>4YD COMP 1X WEEK 3:1</t>
  </si>
  <si>
    <t>2YD COMP 1X WEEK 3:1</t>
  </si>
  <si>
    <t>3YD Comp 1X Week 4:1</t>
  </si>
  <si>
    <t>Annual Increase</t>
  </si>
  <si>
    <t>Total Increase</t>
  </si>
  <si>
    <t>Murrey's Annual Units</t>
  </si>
  <si>
    <t>American Annual Units</t>
  </si>
  <si>
    <t>Residential:</t>
  </si>
  <si>
    <t>Multi-Family:</t>
  </si>
  <si>
    <t>Commercial:</t>
  </si>
  <si>
    <t>Pierce County</t>
  </si>
  <si>
    <t>Monthly</t>
  </si>
  <si>
    <t>5-32 GAL CANS MULTI-FAMILY</t>
  </si>
  <si>
    <t>Compaction Ratio:   3:1</t>
  </si>
  <si>
    <t>Compaction Ratio:   2:25</t>
  </si>
  <si>
    <t>Compaction Ratio:   4:1</t>
  </si>
  <si>
    <t>Compaction Ratio:   5:1</t>
  </si>
  <si>
    <t>Recycling Credits</t>
  </si>
  <si>
    <t xml:space="preserve">Recycling </t>
  </si>
  <si>
    <t>Recycling</t>
  </si>
  <si>
    <t>Restart Fee</t>
  </si>
  <si>
    <t>Extra Unit</t>
  </si>
  <si>
    <t>Returned Trip</t>
  </si>
  <si>
    <t>Drive-in</t>
  </si>
  <si>
    <t>Packout</t>
  </si>
  <si>
    <t>Obstraction</t>
  </si>
  <si>
    <t>Steps</t>
  </si>
  <si>
    <t>Sunken</t>
  </si>
  <si>
    <t>Packout-Recycling</t>
  </si>
  <si>
    <t>Recycling Only</t>
  </si>
  <si>
    <t>Delivery - Carts</t>
  </si>
  <si>
    <t>Drive-in Recycling</t>
  </si>
  <si>
    <t>Drive-in Yard Waste</t>
  </si>
  <si>
    <t>Returned Trip YW Tote</t>
  </si>
  <si>
    <t>Yard Waste</t>
  </si>
  <si>
    <t>Delivery - YW Tote</t>
  </si>
  <si>
    <t>Extra Unit YW</t>
  </si>
  <si>
    <t>Mini can w/recycling</t>
  </si>
  <si>
    <t>Mini can wo/recycling</t>
  </si>
  <si>
    <t>32 gal per month</t>
  </si>
  <si>
    <t>1-32 gal per week w/r</t>
  </si>
  <si>
    <t>1-32 gal per week wo/r</t>
  </si>
  <si>
    <t>2-32 gal per week w/r</t>
  </si>
  <si>
    <t>2-32 gal per week wo/r</t>
  </si>
  <si>
    <t>3-32 gal per week w/r</t>
  </si>
  <si>
    <t>3-32 gal per week wo/r</t>
  </si>
  <si>
    <t>4-32 gal per week w/r</t>
  </si>
  <si>
    <t>4-32 gal per week wo/r</t>
  </si>
  <si>
    <t>5-32 gal per week w/r</t>
  </si>
  <si>
    <t>5-32 gal per week wo/r</t>
  </si>
  <si>
    <t>6-32 gal per week w/r</t>
  </si>
  <si>
    <t>6-32 gal per week wo/r</t>
  </si>
  <si>
    <t>1 Improper per week w/r</t>
  </si>
  <si>
    <t>2 Improver per week w/r</t>
  </si>
  <si>
    <t>Recycling Credit</t>
  </si>
  <si>
    <t>Extra Yard</t>
  </si>
  <si>
    <t>Container Delivery</t>
  </si>
  <si>
    <t>Recycling Credit - Yardage</t>
  </si>
  <si>
    <t>Recycling Incentive</t>
  </si>
  <si>
    <t>Roll-out</t>
  </si>
  <si>
    <t>Delivery - Yard Waste Cart</t>
  </si>
  <si>
    <t>MF - Containers:</t>
  </si>
  <si>
    <t>1 yd once per week</t>
  </si>
  <si>
    <t>1 yard twice per week</t>
  </si>
  <si>
    <t>1.5 yard once per week</t>
  </si>
  <si>
    <t>1.5 yard twice per week</t>
  </si>
  <si>
    <t>1.5 yard three times p/wk</t>
  </si>
  <si>
    <t>2 yard once per week</t>
  </si>
  <si>
    <t>2 yard twice per week</t>
  </si>
  <si>
    <t>2 yard three times p/wk</t>
  </si>
  <si>
    <t>4 yard once per week</t>
  </si>
  <si>
    <t>4 yard twice per week</t>
  </si>
  <si>
    <t>4 yard three times p/wk</t>
  </si>
  <si>
    <t>6 yard once per week</t>
  </si>
  <si>
    <t>6 yard twice per week</t>
  </si>
  <si>
    <t>6 yard three times p/wk</t>
  </si>
  <si>
    <t>6 yard four times p/wk</t>
  </si>
  <si>
    <t>1 yard extra pu</t>
  </si>
  <si>
    <t>1/5 yard extra pu</t>
  </si>
  <si>
    <t>2 yard extra pu</t>
  </si>
  <si>
    <t>1 yard extra</t>
  </si>
  <si>
    <t>1.5 yard extra</t>
  </si>
  <si>
    <t>2 yard extra</t>
  </si>
  <si>
    <t>4 yard extra</t>
  </si>
  <si>
    <t>6 yard extra</t>
  </si>
  <si>
    <t>COMMERCIAL</t>
  </si>
  <si>
    <t>Extra unit</t>
  </si>
  <si>
    <t>Extra yard -container</t>
  </si>
  <si>
    <t>Roll-out - container</t>
  </si>
  <si>
    <t>Return trip -container</t>
  </si>
  <si>
    <t>Returned trip</t>
  </si>
  <si>
    <t>Time charge</t>
  </si>
  <si>
    <t>Restart fee</t>
  </si>
  <si>
    <t>1-32 gal once per week</t>
  </si>
  <si>
    <t>2-32 gal once per week</t>
  </si>
  <si>
    <t>3-32 gal once per week</t>
  </si>
  <si>
    <t>4-32 gal once per week</t>
  </si>
  <si>
    <t>5-32 gal once per week</t>
  </si>
  <si>
    <t>Improper can once p/wk</t>
  </si>
  <si>
    <t>1 yard once p/wk</t>
  </si>
  <si>
    <t>1.5 yard once p/wk</t>
  </si>
  <si>
    <t>2 yard once p/wk</t>
  </si>
  <si>
    <t>2 yard twice p/wk</t>
  </si>
  <si>
    <t>4 yard once p/wk</t>
  </si>
  <si>
    <t>4 yard twice p/wk</t>
  </si>
  <si>
    <t>6 yard once p/wk</t>
  </si>
  <si>
    <t>6 yard twice p/wk</t>
  </si>
  <si>
    <t>6 yard five times p/wk</t>
  </si>
  <si>
    <t>2 yard comp once p/w 2:25:1</t>
  </si>
  <si>
    <t>2 yard comp twice p/w 2:25:1</t>
  </si>
  <si>
    <t>4 yard comp once p/w 2:25:1</t>
  </si>
  <si>
    <t>4 yard comp once p/w 4:1</t>
  </si>
  <si>
    <t>4 yard comp once p/w 5:1</t>
  </si>
  <si>
    <t>4 yard comp twice p/w 5:1</t>
  </si>
  <si>
    <t>4 yard comp 3X p/w 2.25:1</t>
  </si>
  <si>
    <t>6 yard comp twice p/w 3:1</t>
  </si>
  <si>
    <t>6 yard comp once p/w 5:1</t>
  </si>
  <si>
    <t>6 yard comp twice p/w 4:1</t>
  </si>
  <si>
    <t>6 yard comp twice p/w 5:1</t>
  </si>
  <si>
    <t>6 yard comp 5X p/w 4:1</t>
  </si>
  <si>
    <t>3 yard comp once p/w 3:1</t>
  </si>
  <si>
    <t>3 yard comp twice p/w 3:1</t>
  </si>
  <si>
    <t>3 yard comp on call 3:1</t>
  </si>
  <si>
    <t>4 yard comp on call 5:1</t>
  </si>
  <si>
    <t>4 yard comp eow 5:1</t>
  </si>
  <si>
    <t>6 yard comp once p/w 4:1</t>
  </si>
  <si>
    <t>1 yard twice p/wk</t>
  </si>
  <si>
    <t>1 yard three times p/wk</t>
  </si>
  <si>
    <t>1.5 yard twice p/wk</t>
  </si>
  <si>
    <t>2 yard four times p/wk</t>
  </si>
  <si>
    <t>2 yard five times p/wk</t>
  </si>
  <si>
    <t>ROLL-OFF HAULS:</t>
  </si>
  <si>
    <t>Perm Drop Box Rent</t>
  </si>
  <si>
    <t>20 yard</t>
  </si>
  <si>
    <t>25 yard</t>
  </si>
  <si>
    <t>30 yard</t>
  </si>
  <si>
    <t>40 yard</t>
  </si>
  <si>
    <t>50 yard</t>
  </si>
  <si>
    <t>Permanent Drop Box</t>
  </si>
  <si>
    <t>Temporary DB (rent)</t>
  </si>
  <si>
    <t>Temporary Drop Box</t>
  </si>
  <si>
    <t>Cust owned Drop Box</t>
  </si>
  <si>
    <t>10 yard</t>
  </si>
  <si>
    <t>Cust owned Comp</t>
  </si>
  <si>
    <t>15 yard</t>
  </si>
  <si>
    <t>35 yard</t>
  </si>
  <si>
    <t>Other Charges:</t>
  </si>
  <si>
    <t>Temp DB delivery</t>
  </si>
  <si>
    <t>Mileage</t>
  </si>
  <si>
    <t>Connect/Reconnect</t>
  </si>
  <si>
    <t>Tandem Axle</t>
  </si>
  <si>
    <t>Special Charges</t>
  </si>
  <si>
    <t>Standby</t>
  </si>
  <si>
    <t>Relocate</t>
  </si>
  <si>
    <t>Roclean</t>
  </si>
  <si>
    <t>Tipping Fee</t>
  </si>
  <si>
    <t xml:space="preserve">Returned Trip </t>
  </si>
  <si>
    <t>Haul</t>
  </si>
  <si>
    <t>Pass Thru Dump Fee</t>
  </si>
  <si>
    <t>Rear Load</t>
  </si>
  <si>
    <t>Can Count w/Recycling</t>
  </si>
  <si>
    <t>Can Count - additional</t>
  </si>
  <si>
    <t>Recycling Stations:</t>
  </si>
  <si>
    <t>2 yard pu</t>
  </si>
  <si>
    <t>2 yard rent</t>
  </si>
  <si>
    <t>6 yard pu</t>
  </si>
  <si>
    <t>6 yard rent</t>
  </si>
  <si>
    <t>96 gal cart</t>
  </si>
  <si>
    <t>96 gal rent</t>
  </si>
  <si>
    <t>Damage</t>
  </si>
  <si>
    <t>Medical Waste</t>
  </si>
  <si>
    <t>Average Customer Count 2015</t>
  </si>
  <si>
    <t>Hauls</t>
  </si>
  <si>
    <t>4YD CONT 4X WEEKLY</t>
  </si>
  <si>
    <t>4YD COMP 1X WEEK 2.25:1</t>
  </si>
  <si>
    <t>4YD COMP ONCALL 5:1</t>
  </si>
  <si>
    <t>40 gallon Can</t>
  </si>
  <si>
    <t>American</t>
  </si>
  <si>
    <t>4 yard four times p/wk</t>
  </si>
  <si>
    <t>Murrey's</t>
  </si>
  <si>
    <t>10 Gallon</t>
  </si>
  <si>
    <t>20 Gallon</t>
  </si>
  <si>
    <t>35 Gallon</t>
  </si>
  <si>
    <t>4YD COMP 1X WEEK 4:1</t>
  </si>
  <si>
    <t>4YD COMP 1X WEEK 5:1</t>
  </si>
  <si>
    <t>6YD COMP 2X WEEK 4:1</t>
  </si>
  <si>
    <t>3YD COMP 2X WEEK 3:1</t>
  </si>
  <si>
    <t>4YD COMP EOW 5:1</t>
  </si>
  <si>
    <t>6YD COMP 1X WEEK 4:1</t>
  </si>
  <si>
    <t xml:space="preserve"> Calculated Rate</t>
  </si>
  <si>
    <t>Proposed Revenue</t>
  </si>
  <si>
    <t>WG</t>
  </si>
  <si>
    <t>6YD COMP 1X WEEK 5:1</t>
  </si>
  <si>
    <t>1-32 GAL CAN WEEKLY Min Applies</t>
  </si>
  <si>
    <t>Annual Customers</t>
  </si>
  <si>
    <t>1 Oversice</t>
  </si>
  <si>
    <t>2 Oversice</t>
  </si>
  <si>
    <t>32 Gal Can Count</t>
  </si>
  <si>
    <t>20 Gal Can Count</t>
  </si>
  <si>
    <t xml:space="preserve"> Can Count</t>
  </si>
  <si>
    <t>TG-160232</t>
  </si>
  <si>
    <t>Pass Thru Tons</t>
  </si>
  <si>
    <t>Pass Thru Increase</t>
  </si>
  <si>
    <t>Total:</t>
  </si>
  <si>
    <t>Murrey's Annual Revenue</t>
  </si>
  <si>
    <t>American AnnualRevenue</t>
  </si>
  <si>
    <t xml:space="preserve">* not on meeks - for compactors </t>
  </si>
  <si>
    <t xml:space="preserve">   calculated weight times compaction ratio</t>
  </si>
  <si>
    <t>Item 55, Pg 18</t>
  </si>
  <si>
    <t>Item 100, pg 23</t>
  </si>
  <si>
    <t>Item 100, pg 24</t>
  </si>
  <si>
    <t>Item 105, pg 29</t>
  </si>
  <si>
    <t>Item 105, pg 30</t>
  </si>
  <si>
    <t>Item 120, pg 34</t>
  </si>
  <si>
    <t>Item 230, pg 40</t>
  </si>
  <si>
    <t>Item 240, pg 41</t>
  </si>
  <si>
    <t>Item 245, pg 42</t>
  </si>
  <si>
    <t>Item 255, pg 44  2.25:1 compaction</t>
  </si>
  <si>
    <t>Item 255, pg 45  3:1 compaction</t>
  </si>
  <si>
    <t>Item 255, pg 46  4:1 compaction</t>
  </si>
  <si>
    <t>Item 255, pg 47  5:1 compaction</t>
  </si>
  <si>
    <t>Item 255, pg 48  2.25:1 compaction</t>
  </si>
  <si>
    <t>Item 255, pg 49  3:1 compaction</t>
  </si>
  <si>
    <t>Item 255, pg 50  4:1 compaction</t>
  </si>
  <si>
    <t>Item 255, pg 51  5:1 compaction</t>
  </si>
  <si>
    <t>Item 150, pg 34</t>
  </si>
  <si>
    <t>Dump Fee Calc References</t>
  </si>
  <si>
    <t>Dump Fee Calculation</t>
  </si>
  <si>
    <t>Proposed Rates Effective 3/1/2017</t>
  </si>
  <si>
    <t>Effective 3/1/2017</t>
  </si>
  <si>
    <t>Audited under TG-160232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</si>
</sst>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b/>
      <sz val="8"/>
      <name val="Arial"/>
      <family val="2"/>
    </font>
    <font>
      <sz val="11"/>
      <color theme="3" tint="0.399975585192419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16" borderId="0" applyNumberFormat="0" applyBorder="0" applyAlignment="0" applyProtection="0"/>
    <xf numFmtId="0" fontId="49" fillId="24" borderId="4" applyNumberFormat="0" applyAlignment="0" applyProtection="0"/>
    <xf numFmtId="0" fontId="49" fillId="12" borderId="4" applyNumberFormat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5" applyNumberFormat="0" applyFill="0" applyAlignment="0" applyProtection="0"/>
    <xf numFmtId="0" fontId="51" fillId="0" borderId="26" applyNumberFormat="0" applyFill="0" applyAlignment="0" applyProtection="0"/>
    <xf numFmtId="0" fontId="23" fillId="0" borderId="10" applyNumberFormat="0" applyFill="0" applyAlignment="0" applyProtection="0"/>
    <xf numFmtId="0" fontId="52" fillId="0" borderId="10" applyNumberFormat="0" applyFill="0" applyAlignment="0" applyProtection="0"/>
    <xf numFmtId="0" fontId="24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0" borderId="29" applyNumberFormat="0" applyFill="0" applyAlignment="0" applyProtection="0"/>
    <xf numFmtId="0" fontId="55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10" borderId="15" applyNumberFormat="0" applyFont="0" applyAlignment="0" applyProtection="0"/>
    <xf numFmtId="0" fontId="50" fillId="10" borderId="15" applyNumberFormat="0" applyFont="0" applyAlignment="0" applyProtection="0"/>
    <xf numFmtId="9" fontId="5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7" fontId="57" fillId="0" borderId="0"/>
    <xf numFmtId="0" fontId="31" fillId="0" borderId="30" applyNumberFormat="0" applyFill="0" applyAlignment="0" applyProtection="0"/>
    <xf numFmtId="0" fontId="31" fillId="0" borderId="31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</cellStyleXfs>
  <cellXfs count="252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6" borderId="1" xfId="0" applyNumberFormat="1" applyFont="1" applyFill="1" applyBorder="1"/>
    <xf numFmtId="43" fontId="0" fillId="6" borderId="1" xfId="0" applyNumberFormat="1" applyFont="1" applyFill="1" applyBorder="1"/>
    <xf numFmtId="166" fontId="3" fillId="6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166" fontId="0" fillId="0" borderId="3" xfId="1" applyNumberFormat="1" applyFont="1" applyFill="1" applyBorder="1"/>
    <xf numFmtId="43" fontId="0" fillId="0" borderId="3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0" fillId="2" borderId="3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0" fillId="32" borderId="0" xfId="0" applyFont="1" applyFill="1" applyBorder="1"/>
    <xf numFmtId="0" fontId="0" fillId="32" borderId="0" xfId="0" applyFont="1" applyFill="1" applyBorder="1" applyAlignment="1">
      <alignment horizontal="center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 applyBorder="1"/>
    <xf numFmtId="166" fontId="0" fillId="0" borderId="1" xfId="1" applyNumberFormat="1" applyFont="1" applyFill="1" applyBorder="1"/>
    <xf numFmtId="0" fontId="3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/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44" fontId="0" fillId="0" borderId="1" xfId="2" applyFont="1" applyFill="1" applyBorder="1"/>
    <xf numFmtId="44" fontId="0" fillId="0" borderId="0" xfId="2" applyFont="1" applyBorder="1"/>
    <xf numFmtId="0" fontId="3" fillId="0" borderId="20" xfId="0" applyFont="1" applyBorder="1"/>
    <xf numFmtId="0" fontId="0" fillId="0" borderId="21" xfId="0" applyFont="1" applyBorder="1"/>
    <xf numFmtId="43" fontId="3" fillId="0" borderId="0" xfId="1" applyNumberFormat="1" applyFont="1" applyBorder="1" applyAlignment="1">
      <alignment horizontal="right"/>
    </xf>
    <xf numFmtId="43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0" fontId="58" fillId="0" borderId="0" xfId="353" applyFont="1" applyBorder="1"/>
    <xf numFmtId="0" fontId="2" fillId="0" borderId="0" xfId="372"/>
    <xf numFmtId="0" fontId="2" fillId="0" borderId="0" xfId="372" applyFill="1"/>
    <xf numFmtId="0" fontId="2" fillId="0" borderId="0" xfId="372" applyAlignment="1">
      <alignment horizontal="center"/>
    </xf>
    <xf numFmtId="14" fontId="2" fillId="0" borderId="0" xfId="372" applyNumberFormat="1" applyAlignment="1">
      <alignment horizontal="center"/>
    </xf>
    <xf numFmtId="0" fontId="48" fillId="0" borderId="0" xfId="372" applyFont="1"/>
    <xf numFmtId="4" fontId="2" fillId="0" borderId="0" xfId="372" applyNumberFormat="1" applyFill="1"/>
    <xf numFmtId="4" fontId="2" fillId="0" borderId="0" xfId="372" applyNumberFormat="1"/>
    <xf numFmtId="43" fontId="2" fillId="0" borderId="0" xfId="372" applyNumberFormat="1"/>
    <xf numFmtId="0" fontId="48" fillId="0" borderId="0" xfId="353" applyFont="1" applyBorder="1"/>
    <xf numFmtId="0" fontId="48" fillId="0" borderId="0" xfId="372" applyFont="1" applyAlignment="1">
      <alignment horizontal="center"/>
    </xf>
    <xf numFmtId="14" fontId="3" fillId="0" borderId="0" xfId="0" applyNumberFormat="1" applyFont="1"/>
    <xf numFmtId="3" fontId="1" fillId="0" borderId="0" xfId="0" applyNumberFormat="1" applyFont="1" applyFill="1" applyBorder="1"/>
    <xf numFmtId="0" fontId="11" fillId="0" borderId="0" xfId="299" applyFont="1" applyFill="1" applyBorder="1"/>
    <xf numFmtId="3" fontId="1" fillId="0" borderId="0" xfId="0" applyNumberFormat="1" applyFont="1" applyBorder="1"/>
    <xf numFmtId="0" fontId="11" fillId="0" borderId="0" xfId="299" applyFont="1" applyBorder="1"/>
    <xf numFmtId="16" fontId="12" fillId="0" borderId="0" xfId="299" applyNumberFormat="1" applyFont="1" applyBorder="1"/>
    <xf numFmtId="3" fontId="3" fillId="39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0" fontId="12" fillId="0" borderId="0" xfId="299" applyFont="1" applyBorder="1"/>
    <xf numFmtId="0" fontId="0" fillId="0" borderId="1" xfId="0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0" fontId="11" fillId="0" borderId="1" xfId="299" applyFont="1" applyBorder="1"/>
    <xf numFmtId="166" fontId="0" fillId="0" borderId="3" xfId="1" applyNumberFormat="1" applyFont="1" applyFill="1" applyBorder="1" applyAlignment="1">
      <alignment horizontal="center" wrapText="1"/>
    </xf>
    <xf numFmtId="0" fontId="11" fillId="0" borderId="3" xfId="299" applyFont="1" applyBorder="1"/>
    <xf numFmtId="2" fontId="2" fillId="0" borderId="0" xfId="372" applyNumberFormat="1" applyFill="1"/>
    <xf numFmtId="0" fontId="3" fillId="6" borderId="0" xfId="0" applyFont="1" applyFill="1" applyBorder="1" applyAlignment="1">
      <alignment horizontal="center" wrapText="1"/>
    </xf>
    <xf numFmtId="3" fontId="0" fillId="0" borderId="0" xfId="0" applyNumberFormat="1" applyFont="1" applyFill="1" applyBorder="1"/>
    <xf numFmtId="3" fontId="0" fillId="0" borderId="0" xfId="0" applyNumberFormat="1" applyFont="1" applyBorder="1"/>
    <xf numFmtId="3" fontId="3" fillId="0" borderId="0" xfId="0" applyNumberFormat="1" applyFont="1" applyFill="1" applyBorder="1"/>
    <xf numFmtId="3" fontId="3" fillId="0" borderId="0" xfId="2" applyNumberFormat="1" applyFont="1" applyBorder="1" applyAlignment="1">
      <alignment horizontal="right"/>
    </xf>
    <xf numFmtId="3" fontId="0" fillId="0" borderId="0" xfId="2" applyNumberFormat="1" applyFont="1" applyFill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/>
    <xf numFmtId="169" fontId="0" fillId="0" borderId="0" xfId="0" applyNumberFormat="1" applyFont="1"/>
    <xf numFmtId="166" fontId="0" fillId="40" borderId="1" xfId="1" applyNumberFormat="1" applyFont="1" applyFill="1" applyBorder="1"/>
    <xf numFmtId="2" fontId="50" fillId="0" borderId="0" xfId="353" applyNumberFormat="1" applyFont="1" applyFill="1" applyBorder="1"/>
    <xf numFmtId="2" fontId="2" fillId="0" borderId="0" xfId="372" applyNumberFormat="1"/>
    <xf numFmtId="2" fontId="0" fillId="0" borderId="0" xfId="0" applyNumberFormat="1"/>
    <xf numFmtId="3" fontId="0" fillId="0" borderId="0" xfId="1" applyNumberFormat="1" applyFont="1" applyBorder="1"/>
    <xf numFmtId="3" fontId="3" fillId="0" borderId="0" xfId="1" applyNumberFormat="1" applyFont="1" applyBorder="1" applyAlignment="1">
      <alignment horizontal="right"/>
    </xf>
    <xf numFmtId="3" fontId="0" fillId="32" borderId="0" xfId="0" applyNumberFormat="1" applyFont="1" applyFill="1" applyBorder="1" applyAlignment="1">
      <alignment horizontal="right"/>
    </xf>
    <xf numFmtId="3" fontId="1" fillId="0" borderId="0" xfId="1" applyNumberFormat="1" applyFont="1" applyFill="1" applyBorder="1"/>
    <xf numFmtId="3" fontId="1" fillId="0" borderId="1" xfId="1" applyNumberFormat="1" applyFont="1" applyBorder="1"/>
    <xf numFmtId="3" fontId="0" fillId="0" borderId="3" xfId="1" applyNumberFormat="1" applyFont="1" applyBorder="1"/>
    <xf numFmtId="3" fontId="0" fillId="0" borderId="1" xfId="1" applyNumberFormat="1" applyFont="1" applyBorder="1"/>
    <xf numFmtId="3" fontId="0" fillId="0" borderId="0" xfId="1" applyNumberFormat="1" applyFont="1" applyBorder="1" applyAlignment="1">
      <alignment horizontal="right"/>
    </xf>
    <xf numFmtId="0" fontId="11" fillId="0" borderId="0" xfId="0" applyFont="1" applyFill="1"/>
    <xf numFmtId="10" fontId="0" fillId="0" borderId="0" xfId="0" applyNumberFormat="1" applyFont="1"/>
    <xf numFmtId="0" fontId="0" fillId="0" borderId="0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3" fontId="1" fillId="0" borderId="0" xfId="1" applyNumberFormat="1" applyFont="1" applyBorder="1"/>
    <xf numFmtId="0" fontId="0" fillId="0" borderId="0" xfId="0" applyFont="1" applyAlignment="1">
      <alignment horizontal="left"/>
    </xf>
    <xf numFmtId="3" fontId="1" fillId="0" borderId="3" xfId="1" applyNumberFormat="1" applyFont="1" applyFill="1" applyBorder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2" xfId="0" applyFont="1" applyBorder="1"/>
    <xf numFmtId="41" fontId="0" fillId="0" borderId="0" xfId="1" applyNumberFormat="1" applyFont="1"/>
    <xf numFmtId="0" fontId="11" fillId="41" borderId="0" xfId="0" applyFont="1" applyFill="1" applyAlignment="1">
      <alignment horizontal="right"/>
    </xf>
    <xf numFmtId="44" fontId="0" fillId="6" borderId="33" xfId="2" applyFont="1" applyFill="1" applyBorder="1"/>
    <xf numFmtId="10" fontId="3" fillId="0" borderId="0" xfId="0" applyNumberFormat="1" applyFont="1" applyFill="1" applyBorder="1"/>
    <xf numFmtId="3" fontId="0" fillId="0" borderId="0" xfId="1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" fontId="3" fillId="0" borderId="0" xfId="0" applyNumberFormat="1" applyFont="1" applyFill="1" applyBorder="1"/>
    <xf numFmtId="4" fontId="0" fillId="2" borderId="0" xfId="2" applyNumberFormat="1" applyFont="1" applyFill="1" applyBorder="1"/>
    <xf numFmtId="4" fontId="3" fillId="6" borderId="1" xfId="2" applyNumberFormat="1" applyFont="1" applyFill="1" applyBorder="1"/>
    <xf numFmtId="164" fontId="3" fillId="0" borderId="0" xfId="2" applyNumberFormat="1" applyFont="1" applyBorder="1" applyAlignment="1">
      <alignment horizontal="right"/>
    </xf>
    <xf numFmtId="0" fontId="0" fillId="6" borderId="35" xfId="0" applyFont="1" applyFill="1" applyBorder="1" applyAlignment="1">
      <alignment horizontal="center"/>
    </xf>
    <xf numFmtId="3" fontId="3" fillId="6" borderId="1" xfId="2" applyNumberFormat="1" applyFont="1" applyFill="1" applyBorder="1"/>
    <xf numFmtId="0" fontId="0" fillId="0" borderId="0" xfId="0" applyFont="1" applyFill="1" applyBorder="1" applyAlignment="1">
      <alignment horizontal="left"/>
    </xf>
    <xf numFmtId="43" fontId="0" fillId="0" borderId="0" xfId="0" applyNumberFormat="1" applyFont="1" applyFill="1" applyBorder="1"/>
    <xf numFmtId="0" fontId="59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3" xfId="0" applyNumberFormat="1" applyFont="1" applyFill="1" applyBorder="1" applyAlignment="1">
      <alignment horizontal="right"/>
    </xf>
    <xf numFmtId="43" fontId="0" fillId="6" borderId="33" xfId="1" applyFont="1" applyFill="1" applyBorder="1"/>
    <xf numFmtId="166" fontId="3" fillId="6" borderId="33" xfId="0" applyNumberFormat="1" applyFont="1" applyFill="1" applyBorder="1"/>
    <xf numFmtId="42" fontId="3" fillId="0" borderId="0" xfId="0" applyNumberFormat="1" applyFont="1"/>
    <xf numFmtId="42" fontId="0" fillId="0" borderId="22" xfId="2" applyNumberFormat="1" applyFont="1" applyBorder="1"/>
    <xf numFmtId="2" fontId="0" fillId="0" borderId="0" xfId="0" applyNumberFormat="1" applyFont="1" applyFill="1" applyBorder="1"/>
    <xf numFmtId="3" fontId="3" fillId="6" borderId="0" xfId="0" applyNumberFormat="1" applyFont="1" applyFill="1" applyBorder="1" applyAlignment="1">
      <alignment horizontal="center" wrapText="1"/>
    </xf>
    <xf numFmtId="10" fontId="0" fillId="0" borderId="0" xfId="0" applyNumberFormat="1" applyFont="1" applyFill="1" applyBorder="1"/>
    <xf numFmtId="10" fontId="0" fillId="0" borderId="0" xfId="0" applyNumberFormat="1" applyFont="1" applyBorder="1"/>
    <xf numFmtId="3" fontId="3" fillId="41" borderId="0" xfId="0" applyNumberFormat="1" applyFont="1" applyFill="1" applyBorder="1" applyAlignment="1">
      <alignment horizontal="center"/>
    </xf>
    <xf numFmtId="0" fontId="12" fillId="41" borderId="0" xfId="299" applyFont="1" applyFill="1" applyBorder="1" applyAlignment="1">
      <alignment horizontal="center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center" vertical="center"/>
    </xf>
    <xf numFmtId="166" fontId="3" fillId="6" borderId="0" xfId="1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/>
    </xf>
    <xf numFmtId="0" fontId="0" fillId="0" borderId="23" xfId="0" applyFont="1" applyBorder="1"/>
    <xf numFmtId="0" fontId="3" fillId="0" borderId="0" xfId="0" applyFont="1" applyFill="1" applyBorder="1"/>
    <xf numFmtId="42" fontId="0" fillId="0" borderId="0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4" xfId="0" applyFont="1" applyBorder="1"/>
    <xf numFmtId="4" fontId="2" fillId="0" borderId="0" xfId="372" quotePrefix="1" applyNumberFormat="1"/>
    <xf numFmtId="0" fontId="0" fillId="6" borderId="36" xfId="0" applyFont="1" applyFill="1" applyBorder="1" applyAlignment="1">
      <alignment vertical="center" textRotation="90"/>
    </xf>
    <xf numFmtId="0" fontId="0" fillId="6" borderId="33" xfId="0" applyFont="1" applyFill="1" applyBorder="1" applyAlignment="1">
      <alignment horizontal="center" vertical="center"/>
    </xf>
    <xf numFmtId="0" fontId="12" fillId="6" borderId="33" xfId="4" applyFont="1" applyFill="1" applyBorder="1" applyAlignment="1">
      <alignment horizontal="left"/>
    </xf>
    <xf numFmtId="43" fontId="0" fillId="6" borderId="33" xfId="0" applyNumberFormat="1" applyFont="1" applyFill="1" applyBorder="1"/>
    <xf numFmtId="3" fontId="3" fillId="6" borderId="33" xfId="0" applyNumberFormat="1" applyFont="1" applyFill="1" applyBorder="1"/>
    <xf numFmtId="166" fontId="3" fillId="6" borderId="33" xfId="1" applyNumberFormat="1" applyFont="1" applyFill="1" applyBorder="1"/>
    <xf numFmtId="44" fontId="3" fillId="6" borderId="33" xfId="2" applyFont="1" applyFill="1" applyBorder="1"/>
    <xf numFmtId="4" fontId="3" fillId="6" borderId="34" xfId="2" applyNumberFormat="1" applyFont="1" applyFill="1" applyBorder="1"/>
    <xf numFmtId="3" fontId="0" fillId="41" borderId="0" xfId="1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4" fontId="0" fillId="0" borderId="0" xfId="0" applyNumberFormat="1" applyFont="1" applyFill="1" applyBorder="1"/>
    <xf numFmtId="0" fontId="3" fillId="42" borderId="1" xfId="0" applyFont="1" applyFill="1" applyBorder="1" applyAlignment="1">
      <alignment horizontal="center" wrapText="1"/>
    </xf>
    <xf numFmtId="0" fontId="3" fillId="42" borderId="0" xfId="0" applyFont="1" applyFill="1" applyBorder="1" applyAlignment="1">
      <alignment horizontal="center" wrapText="1"/>
    </xf>
    <xf numFmtId="171" fontId="0" fillId="0" borderId="0" xfId="0" applyNumberFormat="1" applyFont="1" applyBorder="1"/>
    <xf numFmtId="171" fontId="0" fillId="0" borderId="0" xfId="0" applyNumberFormat="1" applyFont="1" applyFill="1" applyBorder="1"/>
    <xf numFmtId="0" fontId="3" fillId="0" borderId="0" xfId="0" applyFont="1" applyBorder="1"/>
    <xf numFmtId="2" fontId="48" fillId="6" borderId="0" xfId="372" applyNumberFormat="1" applyFont="1" applyFill="1" applyAlignment="1">
      <alignment horizontal="center"/>
    </xf>
    <xf numFmtId="0" fontId="48" fillId="6" borderId="0" xfId="372" applyFont="1" applyFill="1"/>
    <xf numFmtId="0" fontId="48" fillId="6" borderId="0" xfId="372" applyFont="1" applyFill="1" applyAlignment="1">
      <alignment horizontal="center"/>
    </xf>
    <xf numFmtId="14" fontId="3" fillId="6" borderId="0" xfId="0" applyNumberFormat="1" applyFont="1" applyFill="1"/>
    <xf numFmtId="166" fontId="1" fillId="0" borderId="0" xfId="282" applyNumberFormat="1" applyFont="1" applyFill="1" applyBorder="1"/>
    <xf numFmtId="166" fontId="11" fillId="0" borderId="0" xfId="282" applyNumberFormat="1" applyFont="1" applyBorder="1"/>
    <xf numFmtId="3" fontId="11" fillId="0" borderId="0" xfId="282" applyNumberFormat="1" applyFont="1" applyBorder="1"/>
    <xf numFmtId="3" fontId="12" fillId="0" borderId="0" xfId="299" applyNumberFormat="1" applyFont="1" applyFill="1" applyBorder="1"/>
    <xf numFmtId="3" fontId="12" fillId="0" borderId="0" xfId="299" applyNumberFormat="1" applyFont="1" applyBorder="1"/>
    <xf numFmtId="166" fontId="12" fillId="0" borderId="0" xfId="282" applyNumberFormat="1" applyFont="1" applyBorder="1"/>
    <xf numFmtId="3" fontId="11" fillId="0" borderId="0" xfId="299" applyNumberFormat="1" applyFont="1" applyBorder="1" applyAlignment="1"/>
    <xf numFmtId="0" fontId="3" fillId="41" borderId="0" xfId="0" applyFont="1" applyFill="1" applyBorder="1"/>
    <xf numFmtId="16" fontId="12" fillId="0" borderId="0" xfId="299" quotePrefix="1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43" fontId="1" fillId="0" borderId="0" xfId="0" applyNumberFormat="1" applyFont="1" applyFill="1" applyBorder="1"/>
    <xf numFmtId="0" fontId="11" fillId="0" borderId="0" xfId="299" applyFont="1" applyFill="1" applyBorder="1" applyAlignment="1"/>
    <xf numFmtId="0" fontId="12" fillId="0" borderId="0" xfId="353" applyFont="1" applyBorder="1"/>
    <xf numFmtId="0" fontId="12" fillId="41" borderId="0" xfId="299" applyFont="1" applyFill="1" applyBorder="1"/>
    <xf numFmtId="0" fontId="12" fillId="0" borderId="0" xfId="299" applyFont="1" applyFill="1" applyBorder="1"/>
    <xf numFmtId="0" fontId="11" fillId="0" borderId="0" xfId="300" applyFont="1" applyFill="1" applyBorder="1"/>
    <xf numFmtId="0" fontId="12" fillId="41" borderId="0" xfId="299" applyFont="1" applyFill="1" applyBorder="1" applyAlignment="1"/>
    <xf numFmtId="0" fontId="12" fillId="0" borderId="0" xfId="299" applyFont="1" applyFill="1" applyBorder="1" applyAlignment="1"/>
    <xf numFmtId="0" fontId="1" fillId="0" borderId="0" xfId="299" applyFont="1" applyFill="1" applyBorder="1" applyAlignment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43" fontId="0" fillId="0" borderId="0" xfId="0" applyNumberFormat="1"/>
  </cellXfs>
  <cellStyles count="375">
    <cellStyle name="20% - Accent1 2" xfId="40"/>
    <cellStyle name="20% - Accent1 2 2" xfId="301"/>
    <cellStyle name="20% - Accent1 3" xfId="39"/>
    <cellStyle name="20% - Accent1 3 2" xfId="302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3"/>
    <cellStyle name="20% - Accent4 3" xfId="45"/>
    <cellStyle name="20% - Accent4 3 2" xfId="304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5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6"/>
    <cellStyle name="40% - Accent5 2" xfId="60"/>
    <cellStyle name="40% - Accent5 3" xfId="59"/>
    <cellStyle name="40% - Accent6 2" xfId="62"/>
    <cellStyle name="40% - Accent6 3" xfId="61"/>
    <cellStyle name="40% - Accent6 3 2" xfId="307"/>
    <cellStyle name="60% - Accent1 2" xfId="64"/>
    <cellStyle name="60% - Accent1 2 2" xfId="308"/>
    <cellStyle name="60% - Accent1 3" xfId="63"/>
    <cellStyle name="60% - Accent1 3 2" xfId="309"/>
    <cellStyle name="60% - Accent2 2" xfId="66"/>
    <cellStyle name="60% - Accent2 3" xfId="65"/>
    <cellStyle name="60% - Accent3 2" xfId="68"/>
    <cellStyle name="60% - Accent3 3" xfId="67"/>
    <cellStyle name="60% - Accent3 3 2" xfId="310"/>
    <cellStyle name="60% - Accent4 2" xfId="70"/>
    <cellStyle name="60% - Accent4 3" xfId="69"/>
    <cellStyle name="60% - Accent4 3 2" xfId="311"/>
    <cellStyle name="60% - Accent5 2" xfId="72"/>
    <cellStyle name="60% - Accent5 2 2" xfId="312"/>
    <cellStyle name="60% - Accent5 3" xfId="71"/>
    <cellStyle name="60% - Accent6 2" xfId="74"/>
    <cellStyle name="60% - Accent6 3" xfId="73"/>
    <cellStyle name="Accent1 2" xfId="76"/>
    <cellStyle name="Accent1 2 2" xfId="313"/>
    <cellStyle name="Accent1 3" xfId="75"/>
    <cellStyle name="Accent1 3 2" xfId="314"/>
    <cellStyle name="Accent2 2" xfId="78"/>
    <cellStyle name="Accent2 3" xfId="77"/>
    <cellStyle name="Accent3 2" xfId="80"/>
    <cellStyle name="Accent3 2 2" xfId="315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7"/>
    <cellStyle name="Calculation 3" xfId="97"/>
    <cellStyle name="Calculation 3 2" xfId="318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9"/>
    <cellStyle name="Comma 18" xfId="320"/>
    <cellStyle name="Comma 18 2" xfId="373"/>
    <cellStyle name="Comma 19" xfId="321"/>
    <cellStyle name="Comma 2" xfId="5"/>
    <cellStyle name="Comma 2 2" xfId="6"/>
    <cellStyle name="Comma 2 2 2" xfId="322"/>
    <cellStyle name="Comma 2 3" xfId="105"/>
    <cellStyle name="Comma 2 4" xfId="323"/>
    <cellStyle name="Comma 2 6" xfId="7"/>
    <cellStyle name="Comma 2 6 2" xfId="8"/>
    <cellStyle name="Comma 3" xfId="9"/>
    <cellStyle name="Comma 3 2" xfId="106"/>
    <cellStyle name="Comma 3 2 2" xfId="107"/>
    <cellStyle name="Comma 3 3" xfId="287"/>
    <cellStyle name="Comma 3 4" xfId="324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5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6"/>
    <cellStyle name="Currency 2" xfId="10"/>
    <cellStyle name="Currency 2 2" xfId="11"/>
    <cellStyle name="Currency 2 2 2" xfId="123"/>
    <cellStyle name="Currency 2 3" xfId="122"/>
    <cellStyle name="Currency 2 3 2" xfId="327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8"/>
    <cellStyle name="Currency 9" xfId="329"/>
    <cellStyle name="Data Enter" xfId="126"/>
    <cellStyle name="date" xfId="330"/>
    <cellStyle name="Explanatory Text 2" xfId="128"/>
    <cellStyle name="Explanatory Text 3" xfId="127"/>
    <cellStyle name="FactSheet" xfId="129"/>
    <cellStyle name="fish" xfId="331"/>
    <cellStyle name="Good 2" xfId="131"/>
    <cellStyle name="Good 3" xfId="130"/>
    <cellStyle name="Heading 1 2" xfId="133"/>
    <cellStyle name="Heading 1 2 2" xfId="332"/>
    <cellStyle name="Heading 1 3" xfId="132"/>
    <cellStyle name="Heading 1 3 2" xfId="333"/>
    <cellStyle name="Heading 2 2" xfId="135"/>
    <cellStyle name="Heading 2 2 2" xfId="334"/>
    <cellStyle name="Heading 2 3" xfId="134"/>
    <cellStyle name="Heading 2 3 2" xfId="335"/>
    <cellStyle name="Heading 3 2" xfId="137"/>
    <cellStyle name="Heading 3 2 2" xfId="336"/>
    <cellStyle name="Heading 3 3" xfId="136"/>
    <cellStyle name="Heading 3 3 2" xfId="337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8"/>
    <cellStyle name="Linked Cell 3" xfId="146"/>
    <cellStyle name="Neutral 2" xfId="149"/>
    <cellStyle name="Neutral 2 2" xfId="339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1"/>
    <cellStyle name="Normal 10 2 3" xfId="340"/>
    <cellStyle name="Normal 10_2112 DF Schedule" xfId="342"/>
    <cellStyle name="Normal 11" xfId="157"/>
    <cellStyle name="Normal 12" xfId="158"/>
    <cellStyle name="Normal 12 2" xfId="343"/>
    <cellStyle name="Normal 13" xfId="159"/>
    <cellStyle name="Normal 13 2" xfId="344"/>
    <cellStyle name="Normal 14" xfId="160"/>
    <cellStyle name="Normal 14 2" xfId="345"/>
    <cellStyle name="Normal 15" xfId="161"/>
    <cellStyle name="Normal 15 2" xfId="346"/>
    <cellStyle name="Normal 16" xfId="162"/>
    <cellStyle name="Normal 16 2" xfId="347"/>
    <cellStyle name="Normal 17" xfId="163"/>
    <cellStyle name="Normal 17 2" xfId="348"/>
    <cellStyle name="Normal 18" xfId="164"/>
    <cellStyle name="Normal 18 2" xfId="349"/>
    <cellStyle name="Normal 19" xfId="165"/>
    <cellStyle name="Normal 19 2" xfId="350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1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2"/>
    <cellStyle name="Normal 85" xfId="252"/>
    <cellStyle name="Normal 85 2" xfId="374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_American 2012 Jan-Dec 2012" xfId="300"/>
    <cellStyle name="Normal_Book3" xfId="353"/>
    <cellStyle name="Normal_Murrey's Jan-Dec 2012" xfId="299"/>
    <cellStyle name="Normal_Price out" xfId="4"/>
    <cellStyle name="Normal_Sheet1" xfId="372"/>
    <cellStyle name="Note 2" xfId="246"/>
    <cellStyle name="Note 2 2" xfId="354"/>
    <cellStyle name="Note 3" xfId="245"/>
    <cellStyle name="Note 3 2" xfId="355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6"/>
    <cellStyle name="Percent 2 6" xfId="26"/>
    <cellStyle name="Percent 3" xfId="27"/>
    <cellStyle name="Percent 3 2" xfId="28"/>
    <cellStyle name="Percent 4" xfId="29"/>
    <cellStyle name="Percent 4 2" xfId="358"/>
    <cellStyle name="Percent 4 3" xfId="357"/>
    <cellStyle name="Percent 5" xfId="253"/>
    <cellStyle name="Percent 6" xfId="254"/>
    <cellStyle name="Percent 7" xfId="250"/>
    <cellStyle name="Percent 7 2" xfId="275"/>
    <cellStyle name="Percent 7 3" xfId="359"/>
    <cellStyle name="Percent 8" xfId="360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61"/>
    <cellStyle name="STYL1 - Style2" xfId="362"/>
    <cellStyle name="STYL2 - Style3" xfId="363"/>
    <cellStyle name="STYL3 - Style4" xfId="364"/>
    <cellStyle name="STYL4 - Style5" xfId="365"/>
    <cellStyle name="STYL5 - Style6" xfId="366"/>
    <cellStyle name="STYL6 - Style7" xfId="367"/>
    <cellStyle name="STYL7 - Style8" xfId="368"/>
    <cellStyle name="Style 1" xfId="261"/>
    <cellStyle name="Style 1 2" xfId="262"/>
    <cellStyle name="STYLE1" xfId="263"/>
    <cellStyle name="sub heading" xfId="369"/>
    <cellStyle name="Title 2" xfId="265"/>
    <cellStyle name="Title 3" xfId="264"/>
    <cellStyle name="Total 2" xfId="267"/>
    <cellStyle name="Total 2 2" xfId="370"/>
    <cellStyle name="Total 3" xfId="266"/>
    <cellStyle name="Total 3 2" xfId="371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 refreshError="1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zoomScale="85" zoomScaleNormal="85" workbookViewId="0">
      <selection activeCell="D60" sqref="D60:D61"/>
    </sheetView>
  </sheetViews>
  <sheetFormatPr defaultRowHeight="15"/>
  <cols>
    <col min="1" max="1" width="31.28515625" style="3" customWidth="1"/>
    <col min="2" max="2" width="7" style="23" customWidth="1"/>
    <col min="3" max="3" width="19" style="3" bestFit="1" customWidth="1"/>
    <col min="4" max="4" width="16" style="3" bestFit="1" customWidth="1"/>
    <col min="5" max="5" width="10.5703125" style="3" bestFit="1" customWidth="1"/>
    <col min="6" max="6" width="7" style="3" bestFit="1" customWidth="1"/>
    <col min="7" max="7" width="11.42578125" style="3" bestFit="1" customWidth="1"/>
    <col min="8" max="8" width="10" style="3" bestFit="1" customWidth="1"/>
    <col min="9" max="9" width="8" style="3" bestFit="1" customWidth="1"/>
    <col min="10" max="10" width="15.85546875" style="3" bestFit="1" customWidth="1"/>
    <col min="11" max="11" width="14.5703125" style="3" customWidth="1"/>
    <col min="12" max="16384" width="9.140625" style="3"/>
  </cols>
  <sheetData>
    <row r="1" spans="1:9" s="23" customFormat="1">
      <c r="A1" s="25" t="s">
        <v>95</v>
      </c>
    </row>
    <row r="2" spans="1:9" s="23" customFormat="1">
      <c r="A2" s="25" t="s">
        <v>96</v>
      </c>
    </row>
    <row r="3" spans="1:9" s="23" customFormat="1">
      <c r="A3" s="25" t="s">
        <v>465</v>
      </c>
    </row>
    <row r="4" spans="1:9" s="23" customFormat="1"/>
    <row r="5" spans="1:9">
      <c r="A5" s="244" t="s">
        <v>18</v>
      </c>
      <c r="B5" s="244"/>
      <c r="C5" s="244"/>
      <c r="D5" s="244"/>
      <c r="E5" s="244"/>
      <c r="F5" s="244"/>
      <c r="G5" s="244"/>
      <c r="H5" s="244"/>
      <c r="I5" s="244"/>
    </row>
    <row r="6" spans="1:9">
      <c r="A6" s="3" t="s">
        <v>54</v>
      </c>
      <c r="C6" s="10" t="s">
        <v>41</v>
      </c>
      <c r="D6" s="10" t="s">
        <v>42</v>
      </c>
      <c r="E6" s="10" t="s">
        <v>43</v>
      </c>
      <c r="F6" s="11" t="s">
        <v>45</v>
      </c>
      <c r="G6" s="11" t="s">
        <v>46</v>
      </c>
      <c r="H6" s="11" t="s">
        <v>47</v>
      </c>
      <c r="I6" s="10" t="s">
        <v>50</v>
      </c>
    </row>
    <row r="7" spans="1:9">
      <c r="A7" s="3" t="s">
        <v>51</v>
      </c>
      <c r="C7" s="1">
        <f>52*5/12</f>
        <v>21.666666666666668</v>
      </c>
      <c r="D7" s="12">
        <f>$C$7*2</f>
        <v>43.333333333333336</v>
      </c>
      <c r="E7" s="12">
        <f>$C$7*3</f>
        <v>65</v>
      </c>
      <c r="F7" s="12">
        <f>$C$7*4</f>
        <v>86.666666666666671</v>
      </c>
      <c r="G7" s="12">
        <f>$C$7*5</f>
        <v>108.33333333333334</v>
      </c>
      <c r="H7" s="12">
        <f>$C$7*6</f>
        <v>130</v>
      </c>
      <c r="I7" s="12">
        <f>$C$7*7</f>
        <v>151.66666666666669</v>
      </c>
    </row>
    <row r="8" spans="1:9">
      <c r="A8" s="3" t="s">
        <v>87</v>
      </c>
      <c r="C8" s="1">
        <f>52*4/12</f>
        <v>17.333333333333332</v>
      </c>
      <c r="D8" s="12">
        <f>$C$8*2</f>
        <v>34.666666666666664</v>
      </c>
      <c r="E8" s="12">
        <f>$C$8*3</f>
        <v>52</v>
      </c>
      <c r="F8" s="12">
        <f>$C$8*4</f>
        <v>69.333333333333329</v>
      </c>
      <c r="G8" s="12">
        <f>$C$8*5</f>
        <v>86.666666666666657</v>
      </c>
      <c r="H8" s="12">
        <f>$C$8*6</f>
        <v>104</v>
      </c>
      <c r="I8" s="12">
        <f>$C$8*7</f>
        <v>121.33333333333333</v>
      </c>
    </row>
    <row r="9" spans="1:9">
      <c r="A9" s="3" t="s">
        <v>52</v>
      </c>
      <c r="C9" s="1">
        <f>52*3/12</f>
        <v>13</v>
      </c>
      <c r="D9" s="12">
        <f>$C$9*2</f>
        <v>26</v>
      </c>
      <c r="E9" s="12">
        <f>$C$9*3</f>
        <v>39</v>
      </c>
      <c r="F9" s="12">
        <f>$C$9*4</f>
        <v>52</v>
      </c>
      <c r="G9" s="12">
        <f>$C$9*5</f>
        <v>65</v>
      </c>
      <c r="H9" s="12">
        <f>$C$9*6</f>
        <v>78</v>
      </c>
      <c r="I9" s="12">
        <f>$C$9*7</f>
        <v>91</v>
      </c>
    </row>
    <row r="10" spans="1:9">
      <c r="A10" s="3" t="s">
        <v>53</v>
      </c>
      <c r="C10" s="1">
        <f>52*2/12</f>
        <v>8.6666666666666661</v>
      </c>
      <c r="D10" s="13">
        <f>$C$10*2</f>
        <v>17.333333333333332</v>
      </c>
      <c r="E10" s="13">
        <f>$C$10*3</f>
        <v>26</v>
      </c>
      <c r="F10" s="13">
        <f>$C$10*4</f>
        <v>34.666666666666664</v>
      </c>
      <c r="G10" s="13">
        <f>$C$10*5</f>
        <v>43.333333333333329</v>
      </c>
      <c r="H10" s="13">
        <f>$C$10*6</f>
        <v>52</v>
      </c>
      <c r="I10" s="13">
        <f>$C$10*7</f>
        <v>60.666666666666664</v>
      </c>
    </row>
    <row r="11" spans="1:9">
      <c r="A11" s="3" t="s">
        <v>21</v>
      </c>
      <c r="C11" s="1">
        <f>52/12</f>
        <v>4.333333333333333</v>
      </c>
      <c r="D11" s="13">
        <f>$C$11*2</f>
        <v>8.6666666666666661</v>
      </c>
      <c r="E11" s="13">
        <f>$C$11*3</f>
        <v>13</v>
      </c>
      <c r="F11" s="13">
        <f>$C$11*4</f>
        <v>17.333333333333332</v>
      </c>
      <c r="G11" s="13">
        <f>$C$11*5</f>
        <v>21.666666666666664</v>
      </c>
      <c r="H11" s="13">
        <f>$C$11*6</f>
        <v>26</v>
      </c>
      <c r="I11" s="13">
        <f>$C$11*7</f>
        <v>30.333333333333332</v>
      </c>
    </row>
    <row r="12" spans="1:9">
      <c r="A12" s="3" t="s">
        <v>23</v>
      </c>
      <c r="C12" s="1">
        <f>26/12</f>
        <v>2.1666666666666665</v>
      </c>
      <c r="D12" s="13">
        <f>$C$12*2</f>
        <v>4.333333333333333</v>
      </c>
      <c r="E12" s="13">
        <f>$C$12*3</f>
        <v>6.5</v>
      </c>
      <c r="F12" s="13">
        <f>$C$12*4</f>
        <v>8.6666666666666661</v>
      </c>
      <c r="G12" s="13">
        <f>$C$12*5</f>
        <v>10.833333333333332</v>
      </c>
      <c r="H12" s="13">
        <f>$C$12*6</f>
        <v>13</v>
      </c>
      <c r="I12" s="13">
        <f>$C$12*7</f>
        <v>15.166666666666666</v>
      </c>
    </row>
    <row r="13" spans="1:9">
      <c r="A13" s="3" t="s">
        <v>22</v>
      </c>
      <c r="C13" s="1">
        <f>12/12</f>
        <v>1</v>
      </c>
      <c r="D13" s="13">
        <f>$C$13*2</f>
        <v>2</v>
      </c>
      <c r="E13" s="13">
        <f>$C$13*3</f>
        <v>3</v>
      </c>
      <c r="F13" s="13">
        <f>$C$13*4</f>
        <v>4</v>
      </c>
      <c r="G13" s="13">
        <f>$C$13*5</f>
        <v>5</v>
      </c>
      <c r="H13" s="13">
        <f>$C$13*6</f>
        <v>6</v>
      </c>
      <c r="I13" s="13">
        <f>$C$13*7</f>
        <v>7</v>
      </c>
    </row>
    <row r="14" spans="1:9">
      <c r="A14" s="23" t="s">
        <v>114</v>
      </c>
      <c r="C14" s="1">
        <v>1</v>
      </c>
      <c r="D14" s="13"/>
      <c r="E14" s="13"/>
      <c r="F14" s="13"/>
      <c r="G14" s="13"/>
      <c r="H14" s="13"/>
      <c r="I14" s="13"/>
    </row>
    <row r="15" spans="1:9">
      <c r="A15" s="244" t="s">
        <v>11</v>
      </c>
      <c r="B15" s="244"/>
      <c r="C15" s="244"/>
      <c r="D15" s="27"/>
      <c r="E15" s="13"/>
      <c r="F15" s="13"/>
      <c r="G15" s="13"/>
      <c r="H15" s="13"/>
      <c r="I15" s="13"/>
    </row>
    <row r="16" spans="1:9">
      <c r="A16" s="25" t="s">
        <v>49</v>
      </c>
      <c r="B16" s="25"/>
      <c r="C16" s="29" t="s">
        <v>78</v>
      </c>
      <c r="D16" s="27"/>
      <c r="E16" s="13"/>
      <c r="F16" s="13"/>
      <c r="G16" s="13"/>
      <c r="H16" s="13"/>
      <c r="I16" s="13"/>
    </row>
    <row r="17" spans="1:9">
      <c r="A17" s="28" t="s">
        <v>79</v>
      </c>
      <c r="B17" s="47"/>
      <c r="C17" s="26">
        <v>20</v>
      </c>
      <c r="D17" s="27"/>
      <c r="E17" s="13"/>
      <c r="F17" s="13"/>
      <c r="G17" s="13"/>
      <c r="H17" s="13"/>
      <c r="I17" s="13"/>
    </row>
    <row r="18" spans="1:9">
      <c r="A18" s="28" t="s">
        <v>55</v>
      </c>
      <c r="B18" s="47"/>
      <c r="C18" s="26">
        <v>34</v>
      </c>
      <c r="D18" s="27"/>
      <c r="E18" s="13"/>
      <c r="F18" s="13"/>
      <c r="G18" s="13"/>
      <c r="H18" s="13"/>
      <c r="I18" s="13"/>
    </row>
    <row r="19" spans="1:9">
      <c r="A19" s="28" t="s">
        <v>56</v>
      </c>
      <c r="B19" s="47"/>
      <c r="C19" s="26">
        <v>51</v>
      </c>
      <c r="D19" s="27"/>
      <c r="E19" s="13"/>
      <c r="F19" s="13"/>
      <c r="G19" s="13"/>
      <c r="H19" s="13"/>
      <c r="I19" s="13"/>
    </row>
    <row r="20" spans="1:9">
      <c r="A20" s="28" t="s">
        <v>57</v>
      </c>
      <c r="B20" s="47"/>
      <c r="C20" s="26">
        <v>77</v>
      </c>
      <c r="D20" s="27"/>
      <c r="E20" s="13"/>
      <c r="F20" s="13"/>
      <c r="G20" s="3" t="s">
        <v>19</v>
      </c>
      <c r="H20" s="7">
        <v>2000</v>
      </c>
      <c r="I20" s="13"/>
    </row>
    <row r="21" spans="1:9">
      <c r="A21" s="28" t="s">
        <v>58</v>
      </c>
      <c r="B21" s="47"/>
      <c r="C21" s="26">
        <v>97</v>
      </c>
      <c r="D21" s="27"/>
      <c r="E21" s="13"/>
      <c r="F21" s="13"/>
      <c r="G21" s="3" t="s">
        <v>20</v>
      </c>
      <c r="H21" s="15" t="s">
        <v>44</v>
      </c>
      <c r="I21" s="13"/>
    </row>
    <row r="22" spans="1:9">
      <c r="A22" s="28" t="s">
        <v>59</v>
      </c>
      <c r="B22" s="47"/>
      <c r="C22" s="26">
        <v>117</v>
      </c>
      <c r="D22" s="27"/>
      <c r="E22" s="13"/>
      <c r="F22" s="13"/>
      <c r="I22" s="13"/>
    </row>
    <row r="23" spans="1:9">
      <c r="A23" s="28" t="s">
        <v>60</v>
      </c>
      <c r="B23" s="47"/>
      <c r="C23" s="26">
        <v>137</v>
      </c>
      <c r="D23" s="27"/>
      <c r="E23" s="13"/>
      <c r="F23" s="13"/>
      <c r="G23" s="150" t="s">
        <v>81</v>
      </c>
      <c r="H23" s="165">
        <v>12</v>
      </c>
      <c r="I23" s="13"/>
    </row>
    <row r="24" spans="1:9" s="23" customFormat="1">
      <c r="A24" s="47" t="s">
        <v>415</v>
      </c>
      <c r="B24" s="47"/>
      <c r="C24" s="37">
        <v>40</v>
      </c>
      <c r="D24" s="46" t="s">
        <v>80</v>
      </c>
      <c r="E24" s="27"/>
      <c r="F24" s="27"/>
      <c r="G24" s="8"/>
      <c r="H24" s="9"/>
      <c r="I24" s="27"/>
    </row>
    <row r="25" spans="1:9">
      <c r="A25" s="28" t="s">
        <v>61</v>
      </c>
      <c r="B25" s="47"/>
      <c r="C25" s="26">
        <v>47</v>
      </c>
      <c r="D25" s="27"/>
      <c r="E25" s="13"/>
      <c r="F25" s="13"/>
      <c r="G25" s="13"/>
      <c r="H25" s="13"/>
      <c r="I25" s="13"/>
    </row>
    <row r="26" spans="1:9">
      <c r="A26" s="28" t="s">
        <v>62</v>
      </c>
      <c r="B26" s="47"/>
      <c r="C26" s="26">
        <v>68</v>
      </c>
      <c r="D26" s="27"/>
      <c r="E26" s="13"/>
      <c r="F26" s="13"/>
      <c r="G26" s="13"/>
      <c r="H26" s="13"/>
      <c r="I26" s="13"/>
    </row>
    <row r="27" spans="1:9">
      <c r="A27" s="28" t="s">
        <v>63</v>
      </c>
      <c r="B27" s="47"/>
      <c r="C27" s="26">
        <v>34</v>
      </c>
      <c r="D27" s="27"/>
      <c r="E27" s="13"/>
      <c r="F27" s="13"/>
      <c r="G27" s="13"/>
      <c r="H27" s="13"/>
      <c r="I27" s="13"/>
    </row>
    <row r="28" spans="1:9">
      <c r="A28" s="28" t="s">
        <v>31</v>
      </c>
      <c r="B28" s="47"/>
      <c r="C28" s="26">
        <v>34</v>
      </c>
      <c r="D28" s="27"/>
      <c r="E28" s="13"/>
      <c r="F28" s="13"/>
      <c r="G28" s="13"/>
      <c r="H28" s="13"/>
      <c r="I28" s="13"/>
    </row>
    <row r="29" spans="1:9">
      <c r="A29" s="25" t="s">
        <v>64</v>
      </c>
      <c r="B29" s="25"/>
      <c r="C29" s="26"/>
      <c r="D29" s="27"/>
      <c r="E29" s="13"/>
      <c r="F29" s="13"/>
      <c r="G29" s="13"/>
      <c r="H29" s="13"/>
      <c r="I29" s="13"/>
    </row>
    <row r="30" spans="1:9">
      <c r="A30" s="28" t="s">
        <v>65</v>
      </c>
      <c r="B30" s="47"/>
      <c r="C30" s="26">
        <v>29</v>
      </c>
      <c r="D30" s="27"/>
      <c r="E30" s="13"/>
      <c r="F30" s="13"/>
      <c r="G30" s="13"/>
      <c r="H30" s="13"/>
      <c r="I30" s="13"/>
    </row>
    <row r="31" spans="1:9" s="23" customFormat="1">
      <c r="A31" s="47" t="s">
        <v>77</v>
      </c>
      <c r="B31" s="47"/>
      <c r="C31" s="37">
        <v>125</v>
      </c>
      <c r="D31" s="46"/>
      <c r="E31" s="46"/>
      <c r="F31" s="46"/>
      <c r="G31" s="46"/>
      <c r="H31" s="46"/>
      <c r="I31" s="46"/>
    </row>
    <row r="32" spans="1:9">
      <c r="A32" s="28" t="s">
        <v>66</v>
      </c>
      <c r="B32" s="47"/>
      <c r="C32" s="26">
        <v>175</v>
      </c>
      <c r="D32" s="27"/>
      <c r="E32" s="13"/>
      <c r="F32" s="13"/>
      <c r="G32" s="13"/>
      <c r="H32" s="13"/>
      <c r="I32" s="13"/>
    </row>
    <row r="33" spans="1:9">
      <c r="A33" s="28" t="s">
        <v>67</v>
      </c>
      <c r="B33" s="47"/>
      <c r="C33" s="26">
        <v>250</v>
      </c>
      <c r="D33" s="27"/>
      <c r="E33" s="13"/>
      <c r="F33" s="13"/>
      <c r="G33" s="13"/>
      <c r="H33" s="13"/>
      <c r="I33" s="13"/>
    </row>
    <row r="34" spans="1:9">
      <c r="A34" s="28" t="s">
        <v>68</v>
      </c>
      <c r="B34" s="47"/>
      <c r="C34" s="26">
        <v>324</v>
      </c>
      <c r="D34" s="27"/>
      <c r="E34" s="13"/>
      <c r="F34" s="13"/>
      <c r="G34" s="13"/>
      <c r="H34" s="13"/>
      <c r="I34" s="13"/>
    </row>
    <row r="35" spans="1:9">
      <c r="A35" s="28" t="s">
        <v>69</v>
      </c>
      <c r="B35" s="47"/>
      <c r="C35" s="26">
        <v>473</v>
      </c>
      <c r="D35" s="27"/>
      <c r="E35" s="13"/>
      <c r="F35" s="13"/>
      <c r="G35" s="13"/>
      <c r="H35" s="13"/>
      <c r="I35" s="13"/>
    </row>
    <row r="36" spans="1:9">
      <c r="A36" s="28" t="s">
        <v>70</v>
      </c>
      <c r="B36" s="47"/>
      <c r="C36" s="26">
        <v>613</v>
      </c>
      <c r="D36" s="27"/>
      <c r="E36" s="13"/>
      <c r="F36" s="13"/>
      <c r="G36" s="13"/>
      <c r="H36" s="13"/>
      <c r="I36" s="13"/>
    </row>
    <row r="37" spans="1:9">
      <c r="A37" s="28" t="s">
        <v>71</v>
      </c>
      <c r="B37" s="47"/>
      <c r="C37" s="26">
        <v>840</v>
      </c>
      <c r="D37" s="27"/>
      <c r="E37" s="13"/>
      <c r="F37" s="13"/>
      <c r="G37" s="13"/>
      <c r="H37" s="13"/>
      <c r="I37" s="13"/>
    </row>
    <row r="38" spans="1:9">
      <c r="A38" s="28" t="s">
        <v>72</v>
      </c>
      <c r="B38" s="47"/>
      <c r="C38" s="26">
        <v>980</v>
      </c>
      <c r="D38" s="161"/>
      <c r="E38" s="13"/>
      <c r="F38" s="13"/>
      <c r="G38" s="13"/>
      <c r="H38" s="13"/>
      <c r="I38" s="13"/>
    </row>
    <row r="39" spans="1:9" s="23" customFormat="1">
      <c r="A39" s="162" t="s">
        <v>253</v>
      </c>
      <c r="B39" s="162">
        <v>2.25</v>
      </c>
      <c r="C39" s="37"/>
      <c r="D39" s="161"/>
      <c r="E39" s="46"/>
      <c r="F39" s="46"/>
      <c r="G39" s="46"/>
      <c r="H39" s="46"/>
      <c r="I39" s="46"/>
    </row>
    <row r="40" spans="1:9" s="23" customFormat="1">
      <c r="A40" s="28" t="s">
        <v>74</v>
      </c>
      <c r="B40" s="47"/>
      <c r="C40" s="26">
        <f>C34*$B$39</f>
        <v>729</v>
      </c>
      <c r="D40" s="27" t="s">
        <v>80</v>
      </c>
      <c r="E40" s="24"/>
      <c r="F40" s="24"/>
      <c r="G40" s="24"/>
      <c r="H40" s="24"/>
      <c r="I40" s="24"/>
    </row>
    <row r="41" spans="1:9" s="23" customFormat="1">
      <c r="A41" s="28" t="s">
        <v>75</v>
      </c>
      <c r="B41" s="47"/>
      <c r="C41" s="37">
        <f>C36*$B$39</f>
        <v>1379.25</v>
      </c>
      <c r="D41" s="46" t="s">
        <v>80</v>
      </c>
      <c r="E41" s="24"/>
      <c r="F41" s="24"/>
      <c r="G41" s="24"/>
      <c r="H41" s="24"/>
      <c r="I41" s="24"/>
    </row>
    <row r="42" spans="1:9" s="23" customFormat="1">
      <c r="A42" s="28" t="s">
        <v>76</v>
      </c>
      <c r="B42" s="47"/>
      <c r="C42" s="37">
        <f>C37*$B$39</f>
        <v>1890</v>
      </c>
      <c r="D42" s="46" t="s">
        <v>80</v>
      </c>
      <c r="E42" s="24"/>
      <c r="F42" s="24"/>
      <c r="G42" s="24"/>
      <c r="H42" s="24"/>
      <c r="I42" s="24"/>
    </row>
    <row r="43" spans="1:9" s="23" customFormat="1">
      <c r="A43" s="162" t="s">
        <v>252</v>
      </c>
      <c r="B43" s="162">
        <v>3</v>
      </c>
      <c r="C43" s="37"/>
      <c r="D43" s="46"/>
      <c r="E43" s="46"/>
      <c r="F43" s="46"/>
      <c r="G43" s="46"/>
      <c r="H43" s="46"/>
      <c r="I43" s="46"/>
    </row>
    <row r="44" spans="1:9" s="23" customFormat="1">
      <c r="A44" s="47" t="s">
        <v>74</v>
      </c>
      <c r="B44" s="47"/>
      <c r="C44" s="164">
        <f>C34*$B$43</f>
        <v>972</v>
      </c>
      <c r="D44" s="46" t="s">
        <v>80</v>
      </c>
      <c r="E44" s="46"/>
      <c r="F44" s="46"/>
      <c r="G44" s="46"/>
      <c r="H44" s="46"/>
      <c r="I44" s="46"/>
    </row>
    <row r="45" spans="1:9" s="23" customFormat="1">
      <c r="A45" s="47" t="s">
        <v>73</v>
      </c>
      <c r="B45" s="47"/>
      <c r="C45" s="164">
        <f t="shared" ref="C45:C47" si="0">C35*$B$43</f>
        <v>1419</v>
      </c>
      <c r="D45" s="46" t="s">
        <v>80</v>
      </c>
      <c r="E45" s="46"/>
      <c r="F45" s="46"/>
      <c r="G45" s="46"/>
      <c r="H45" s="46"/>
      <c r="I45" s="46"/>
    </row>
    <row r="46" spans="1:9" s="23" customFormat="1">
      <c r="A46" s="47" t="s">
        <v>75</v>
      </c>
      <c r="B46" s="47"/>
      <c r="C46" s="164">
        <f t="shared" si="0"/>
        <v>1839</v>
      </c>
      <c r="D46" s="46" t="s">
        <v>80</v>
      </c>
      <c r="E46" s="46"/>
      <c r="F46" s="46"/>
      <c r="G46" s="46"/>
      <c r="H46" s="46"/>
      <c r="I46" s="46"/>
    </row>
    <row r="47" spans="1:9" s="23" customFormat="1">
      <c r="A47" s="47" t="s">
        <v>76</v>
      </c>
      <c r="B47" s="47"/>
      <c r="C47" s="164">
        <f t="shared" si="0"/>
        <v>2520</v>
      </c>
      <c r="D47" s="46" t="s">
        <v>80</v>
      </c>
      <c r="E47" s="46"/>
      <c r="F47" s="46"/>
      <c r="G47" s="46"/>
      <c r="H47" s="46"/>
      <c r="I47" s="46"/>
    </row>
    <row r="48" spans="1:9" s="23" customFormat="1">
      <c r="A48" s="162" t="s">
        <v>254</v>
      </c>
      <c r="B48" s="162">
        <v>4</v>
      </c>
      <c r="C48" s="37"/>
      <c r="D48" s="46"/>
      <c r="E48" s="46"/>
      <c r="F48" s="46"/>
      <c r="G48" s="46"/>
      <c r="H48" s="46"/>
      <c r="I48" s="46"/>
    </row>
    <row r="49" spans="1:10" s="23" customFormat="1">
      <c r="A49" s="47" t="s">
        <v>73</v>
      </c>
      <c r="B49" s="47"/>
      <c r="C49" s="164">
        <f t="shared" ref="C49:C51" si="1">C35*$B$48</f>
        <v>1892</v>
      </c>
      <c r="D49" s="46" t="s">
        <v>80</v>
      </c>
      <c r="E49" s="46"/>
      <c r="F49" s="46"/>
      <c r="G49" s="46"/>
      <c r="H49" s="46"/>
      <c r="I49" s="46"/>
    </row>
    <row r="50" spans="1:10" s="23" customFormat="1">
      <c r="A50" s="47" t="s">
        <v>75</v>
      </c>
      <c r="B50" s="47"/>
      <c r="C50" s="164">
        <f t="shared" si="1"/>
        <v>2452</v>
      </c>
      <c r="D50" s="46" t="s">
        <v>80</v>
      </c>
      <c r="E50" s="46"/>
      <c r="F50" s="46"/>
      <c r="G50" s="46"/>
      <c r="H50" s="46"/>
      <c r="I50" s="46"/>
    </row>
    <row r="51" spans="1:10" s="23" customFormat="1">
      <c r="A51" s="47" t="s">
        <v>76</v>
      </c>
      <c r="B51" s="47"/>
      <c r="C51" s="164">
        <f t="shared" si="1"/>
        <v>3360</v>
      </c>
      <c r="D51" s="46" t="s">
        <v>80</v>
      </c>
      <c r="E51" s="46"/>
      <c r="F51" s="46"/>
      <c r="G51" s="46"/>
      <c r="H51" s="46"/>
      <c r="I51" s="46"/>
    </row>
    <row r="52" spans="1:10" s="23" customFormat="1">
      <c r="A52" s="162" t="s">
        <v>255</v>
      </c>
      <c r="B52" s="162">
        <v>5</v>
      </c>
      <c r="C52" s="37"/>
      <c r="D52" s="46"/>
      <c r="E52" s="46"/>
      <c r="F52" s="46"/>
      <c r="G52" s="46"/>
      <c r="H52" s="46"/>
      <c r="I52" s="46"/>
    </row>
    <row r="53" spans="1:10" s="23" customFormat="1">
      <c r="A53" s="47" t="s">
        <v>75</v>
      </c>
      <c r="B53" s="47"/>
      <c r="C53" s="164">
        <f>C36*$B$52</f>
        <v>3065</v>
      </c>
      <c r="D53" s="46" t="s">
        <v>80</v>
      </c>
      <c r="E53" s="46"/>
      <c r="F53" s="46"/>
      <c r="G53" s="46"/>
      <c r="H53" s="46"/>
      <c r="I53" s="46"/>
    </row>
    <row r="54" spans="1:10" s="23" customFormat="1">
      <c r="A54" s="47" t="s">
        <v>76</v>
      </c>
      <c r="B54" s="47"/>
      <c r="C54" s="164">
        <f>C37*$B$52</f>
        <v>4200</v>
      </c>
      <c r="D54" s="46" t="s">
        <v>80</v>
      </c>
      <c r="E54" s="46"/>
      <c r="F54" s="46"/>
      <c r="G54" s="46"/>
      <c r="H54" s="46"/>
      <c r="I54" s="46"/>
    </row>
    <row r="55" spans="1:10">
      <c r="C55" s="246" t="s">
        <v>445</v>
      </c>
      <c r="D55" s="246"/>
    </row>
    <row r="56" spans="1:10">
      <c r="C56" s="3" t="s">
        <v>446</v>
      </c>
    </row>
    <row r="58" spans="1:10">
      <c r="A58" s="22" t="s">
        <v>249</v>
      </c>
      <c r="B58" s="51"/>
      <c r="C58" s="20" t="s">
        <v>6</v>
      </c>
      <c r="D58" s="20" t="s">
        <v>7</v>
      </c>
      <c r="G58" s="245" t="s">
        <v>26</v>
      </c>
      <c r="H58" s="245"/>
    </row>
    <row r="59" spans="1:10">
      <c r="A59" s="16" t="s">
        <v>8</v>
      </c>
      <c r="B59" s="159"/>
      <c r="C59" s="154">
        <v>145.84</v>
      </c>
      <c r="D59" s="155">
        <f>C59/2000</f>
        <v>7.2919999999999999E-2</v>
      </c>
      <c r="G59" s="3" t="s">
        <v>27</v>
      </c>
      <c r="H59" s="4">
        <f>0.015</f>
        <v>1.4999999999999999E-2</v>
      </c>
    </row>
    <row r="60" spans="1:10">
      <c r="A60" s="16" t="s">
        <v>9</v>
      </c>
      <c r="B60" s="159"/>
      <c r="C60" s="95">
        <v>153.47999999999999</v>
      </c>
      <c r="D60" s="156">
        <f>C60/2000</f>
        <v>7.6739999999999989E-2</v>
      </c>
      <c r="G60" s="3" t="s">
        <v>28</v>
      </c>
      <c r="H60" s="5">
        <f>0.004275</f>
        <v>4.2750000000000002E-3</v>
      </c>
    </row>
    <row r="61" spans="1:10">
      <c r="A61" s="14" t="s">
        <v>10</v>
      </c>
      <c r="B61" s="47"/>
      <c r="C61" s="154">
        <f>C60-C59</f>
        <v>7.6399999999999864</v>
      </c>
      <c r="D61" s="157">
        <f>D60-D59</f>
        <v>3.8199999999999901E-3</v>
      </c>
      <c r="E61" s="151">
        <f>C61/C59</f>
        <v>5.2386176631925303E-2</v>
      </c>
      <c r="G61" s="3" t="s">
        <v>48</v>
      </c>
      <c r="H61" s="6"/>
    </row>
    <row r="62" spans="1:10">
      <c r="D62" s="137"/>
      <c r="G62" s="3" t="s">
        <v>16</v>
      </c>
      <c r="H62" s="17">
        <f>SUM(H59:H61)</f>
        <v>1.9275E-2</v>
      </c>
      <c r="J62" s="136"/>
    </row>
    <row r="63" spans="1:10">
      <c r="C63" s="21" t="s">
        <v>90</v>
      </c>
    </row>
    <row r="64" spans="1:10">
      <c r="A64" s="3" t="s">
        <v>4</v>
      </c>
      <c r="C64" s="18">
        <f>C61</f>
        <v>7.6399999999999864</v>
      </c>
      <c r="G64" s="3" t="s">
        <v>29</v>
      </c>
      <c r="H64" s="19">
        <f>1-H62</f>
        <v>0.98072499999999996</v>
      </c>
    </row>
    <row r="65" spans="1:5">
      <c r="A65" s="3" t="s">
        <v>25</v>
      </c>
      <c r="C65" s="18">
        <f>C64/$H$64</f>
        <v>7.7901552422952269</v>
      </c>
    </row>
    <row r="66" spans="1:5">
      <c r="A66" s="3" t="s">
        <v>24</v>
      </c>
      <c r="C66" s="138">
        <f>'DF Calculation'!C138</f>
        <v>65230.76112481716</v>
      </c>
      <c r="D66" s="18"/>
      <c r="E66" s="72"/>
    </row>
    <row r="67" spans="1:5">
      <c r="A67" s="2" t="s">
        <v>30</v>
      </c>
      <c r="B67" s="25"/>
      <c r="C67" s="185">
        <f>C65*C66</f>
        <v>508157.75573540211</v>
      </c>
      <c r="E67" s="72"/>
    </row>
    <row r="68" spans="1:5">
      <c r="E68" s="63"/>
    </row>
    <row r="70" spans="1:5" ht="15.75" thickBot="1"/>
    <row r="71" spans="1:5">
      <c r="A71" s="97" t="s">
        <v>85</v>
      </c>
      <c r="B71" s="163"/>
      <c r="C71" s="175" t="s">
        <v>83</v>
      </c>
      <c r="E71" s="18"/>
    </row>
    <row r="72" spans="1:5">
      <c r="A72" s="98" t="s">
        <v>84</v>
      </c>
      <c r="B72" s="63"/>
      <c r="C72" s="186">
        <f>'DF Calculation'!Z115</f>
        <v>508157.7557354017</v>
      </c>
    </row>
    <row r="73" spans="1:5">
      <c r="A73" s="98" t="s">
        <v>13</v>
      </c>
      <c r="B73" s="63"/>
      <c r="C73" s="186">
        <f>C72-C67</f>
        <v>0</v>
      </c>
    </row>
    <row r="74" spans="1:5" ht="15.75" thickBot="1">
      <c r="A74" s="197"/>
      <c r="B74" s="200"/>
      <c r="C74" s="201"/>
    </row>
    <row r="75" spans="1:5">
      <c r="A75" s="65"/>
      <c r="B75" s="198"/>
      <c r="C75" s="199"/>
    </row>
  </sheetData>
  <mergeCells count="4">
    <mergeCell ref="A5:I5"/>
    <mergeCell ref="G58:H58"/>
    <mergeCell ref="A15:C15"/>
    <mergeCell ref="C55:D55"/>
  </mergeCells>
  <pageMargins left="0.7" right="0.7" top="0.75" bottom="0.75" header="0.3" footer="0.3"/>
  <pageSetup scale="63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49"/>
  <sheetViews>
    <sheetView topLeftCell="A42" zoomScale="85" zoomScaleNormal="85" zoomScaleSheetLayoutView="55" zoomScalePageLayoutView="85" workbookViewId="0">
      <selection activeCell="D79" sqref="D79"/>
    </sheetView>
  </sheetViews>
  <sheetFormatPr defaultColWidth="8.85546875" defaultRowHeight="15"/>
  <cols>
    <col min="1" max="1" width="4.5703125" style="63" customWidth="1"/>
    <col min="2" max="2" width="17.140625" style="67" customWidth="1"/>
    <col min="3" max="3" width="33.140625" style="63" customWidth="1"/>
    <col min="4" max="4" width="18.85546875" style="64" bestFit="1" customWidth="1"/>
    <col min="5" max="5" width="11.42578125" style="63" bestFit="1" customWidth="1"/>
    <col min="6" max="6" width="15.42578125" style="63" bestFit="1" customWidth="1"/>
    <col min="7" max="7" width="15.140625" style="63" customWidth="1"/>
    <col min="8" max="8" width="21.42578125" style="63" customWidth="1"/>
    <col min="9" max="9" width="16.28515625" style="62" customWidth="1"/>
    <col min="10" max="10" width="15.140625" style="63" customWidth="1"/>
    <col min="11" max="11" width="13.5703125" style="63" customWidth="1"/>
    <col min="12" max="12" width="10.7109375" style="63" customWidth="1"/>
    <col min="13" max="13" width="16.5703125" style="63" customWidth="1"/>
    <col min="14" max="14" width="20.140625" style="63" customWidth="1"/>
    <col min="15" max="15" width="18.140625" style="63" customWidth="1"/>
    <col min="16" max="16" width="21.28515625" style="63" customWidth="1"/>
    <col min="17" max="17" width="22" style="63" bestFit="1" customWidth="1"/>
    <col min="18" max="18" width="16.7109375" style="130" bestFit="1" customWidth="1"/>
    <col min="19" max="19" width="3.7109375" style="170" customWidth="1"/>
    <col min="20" max="20" width="13.85546875" style="63" customWidth="1"/>
    <col min="21" max="21" width="14.28515625" style="63" customWidth="1"/>
    <col min="22" max="22" width="3.28515625" style="63" customWidth="1"/>
    <col min="23" max="23" width="13.28515625" style="63" customWidth="1"/>
    <col min="24" max="24" width="12.5703125" style="63" customWidth="1"/>
    <col min="25" max="25" width="5.28515625" style="63" customWidth="1"/>
    <col min="26" max="26" width="12.5703125" style="130" customWidth="1"/>
    <col min="27" max="27" width="18.7109375" style="65" customWidth="1"/>
    <col min="28" max="28" width="1.85546875" style="63" customWidth="1"/>
    <col min="29" max="29" width="16.42578125" style="63" customWidth="1"/>
    <col min="30" max="30" width="3.28515625" style="63" customWidth="1"/>
    <col min="31" max="31" width="16.42578125" style="63" customWidth="1"/>
    <col min="32" max="32" width="18.28515625" style="63" customWidth="1"/>
    <col min="33" max="16384" width="8.85546875" style="63"/>
  </cols>
  <sheetData>
    <row r="1" spans="1:31">
      <c r="A1" s="25" t="s">
        <v>95</v>
      </c>
    </row>
    <row r="2" spans="1:31">
      <c r="A2" s="25" t="s">
        <v>96</v>
      </c>
    </row>
    <row r="3" spans="1:31">
      <c r="A3" s="219" t="s">
        <v>466</v>
      </c>
    </row>
    <row r="4" spans="1:31">
      <c r="A4" s="219" t="s">
        <v>468</v>
      </c>
    </row>
    <row r="5" spans="1:31">
      <c r="M5" s="43"/>
      <c r="N5" s="43"/>
      <c r="O5" s="43"/>
    </row>
    <row r="6" spans="1:31" ht="30">
      <c r="A6" s="193"/>
      <c r="B6" s="128" t="s">
        <v>15</v>
      </c>
      <c r="C6" s="194" t="s">
        <v>17</v>
      </c>
      <c r="D6" s="128" t="s">
        <v>433</v>
      </c>
      <c r="E6" s="128" t="s">
        <v>0</v>
      </c>
      <c r="F6" s="193" t="s">
        <v>1</v>
      </c>
      <c r="G6" s="128" t="s">
        <v>11</v>
      </c>
      <c r="H6" s="128" t="s">
        <v>34</v>
      </c>
      <c r="I6" s="195" t="s">
        <v>35</v>
      </c>
      <c r="J6" s="128" t="s">
        <v>10</v>
      </c>
      <c r="K6" s="128" t="s">
        <v>2</v>
      </c>
      <c r="L6" s="128" t="s">
        <v>39</v>
      </c>
      <c r="M6" s="128" t="s">
        <v>37</v>
      </c>
      <c r="N6" s="128" t="s">
        <v>428</v>
      </c>
      <c r="O6" s="128" t="s">
        <v>36</v>
      </c>
      <c r="P6" s="128" t="s">
        <v>38</v>
      </c>
      <c r="Q6" s="128" t="s">
        <v>429</v>
      </c>
      <c r="R6" s="188" t="s">
        <v>40</v>
      </c>
      <c r="T6" s="89" t="s">
        <v>244</v>
      </c>
      <c r="U6" s="128" t="s">
        <v>242</v>
      </c>
      <c r="W6" s="89" t="s">
        <v>245</v>
      </c>
      <c r="X6" s="128" t="s">
        <v>242</v>
      </c>
      <c r="Z6" s="188" t="s">
        <v>243</v>
      </c>
      <c r="AA6" s="215" t="s">
        <v>443</v>
      </c>
      <c r="AC6" s="215" t="s">
        <v>444</v>
      </c>
      <c r="AE6" s="216" t="s">
        <v>38</v>
      </c>
    </row>
    <row r="7" spans="1:31" s="65" customFormat="1">
      <c r="A7" s="248"/>
      <c r="B7" s="49">
        <v>22</v>
      </c>
      <c r="C7" s="117" t="s">
        <v>142</v>
      </c>
      <c r="D7" s="116">
        <f>'Consolidated Cust Cnt'!D14</f>
        <v>162957.2834811096</v>
      </c>
      <c r="E7" s="74">
        <f>References!$C$14</f>
        <v>1</v>
      </c>
      <c r="F7" s="73">
        <f>D7*E7</f>
        <v>162957.2834811096</v>
      </c>
      <c r="G7" s="73">
        <f>References!C18</f>
        <v>34</v>
      </c>
      <c r="H7" s="73">
        <f>F7*G7</f>
        <v>5540547.6383577259</v>
      </c>
      <c r="I7" s="48">
        <f>$C$141*H7</f>
        <v>4409020.8328003874</v>
      </c>
      <c r="J7" s="72">
        <f>(References!$D$61*I7)</f>
        <v>16842.459581297437</v>
      </c>
      <c r="K7" s="72">
        <f>J7/References!$H$64</f>
        <v>17173.478377014391</v>
      </c>
      <c r="L7" s="72">
        <f>K7/F7</f>
        <v>0.10538638108191821</v>
      </c>
      <c r="M7" s="96">
        <f>'Proposed Rates'!C32</f>
        <v>4.18</v>
      </c>
      <c r="N7" s="72">
        <f>L7+M7</f>
        <v>4.2853863810819179</v>
      </c>
      <c r="O7" s="72">
        <f>'Proposed Rates'!E32</f>
        <v>4.29</v>
      </c>
      <c r="P7" s="72">
        <f>D7*M7</f>
        <v>681161.44495103811</v>
      </c>
      <c r="Q7" s="77">
        <f>D7*N7</f>
        <v>698334.92332805251</v>
      </c>
      <c r="R7" s="172">
        <f t="shared" ref="R7:R22" si="0">Q7-P7</f>
        <v>17173.478377014399</v>
      </c>
      <c r="S7" s="169"/>
      <c r="T7" s="129">
        <f>'Consolidated Cust Cnt'!B14</f>
        <v>109702.44284798634</v>
      </c>
      <c r="U7" s="129">
        <f t="shared" ref="U7:U22" si="1">T7*L7</f>
        <v>11561.143447595241</v>
      </c>
      <c r="V7" s="129"/>
      <c r="W7" s="129">
        <f>'Consolidated Cust Cnt'!C14</f>
        <v>53254.84063312324</v>
      </c>
      <c r="X7" s="129">
        <f t="shared" ref="X7:X22" si="2">W7*L7</f>
        <v>5612.3349294191485</v>
      </c>
      <c r="Y7" s="129"/>
      <c r="Z7" s="129">
        <f>U7+X7</f>
        <v>17173.478377014391</v>
      </c>
      <c r="AA7" s="129">
        <f>T7*M7</f>
        <v>458556.21110458288</v>
      </c>
      <c r="AB7" s="129"/>
      <c r="AC7" s="129">
        <f>W7*M7</f>
        <v>222605.23384645511</v>
      </c>
      <c r="AE7" s="129">
        <f>AA7+AC7</f>
        <v>681161.44495103799</v>
      </c>
    </row>
    <row r="8" spans="1:31" s="65" customFormat="1">
      <c r="A8" s="248"/>
      <c r="B8" s="49">
        <v>21</v>
      </c>
      <c r="C8" s="117" t="s">
        <v>144</v>
      </c>
      <c r="D8" s="116">
        <f>'Consolidated Cust Cnt'!D34</f>
        <v>16699.771548436307</v>
      </c>
      <c r="E8" s="74">
        <f>References!C11</f>
        <v>4.333333333333333</v>
      </c>
      <c r="F8" s="73">
        <f t="shared" ref="F8:F71" si="3">D8*E8</f>
        <v>72365.676709890657</v>
      </c>
      <c r="G8" s="73">
        <f>References!C17</f>
        <v>20</v>
      </c>
      <c r="H8" s="73">
        <f>F8*G8</f>
        <v>1447313.5341978131</v>
      </c>
      <c r="I8" s="48">
        <f>$C$141*H8</f>
        <v>1151733.7166626325</v>
      </c>
      <c r="J8" s="72">
        <f>(References!$D$61*I8)</f>
        <v>4399.6227976512446</v>
      </c>
      <c r="K8" s="72">
        <f>J8/References!$H$64</f>
        <v>4486.0922252937826</v>
      </c>
      <c r="L8" s="72">
        <f>K8/F8*E8</f>
        <v>0.26863195177743859</v>
      </c>
      <c r="M8" s="96">
        <f>'Proposed Rates'!C11</f>
        <v>13.44</v>
      </c>
      <c r="N8" s="72">
        <f>L8+M8</f>
        <v>13.708631951777438</v>
      </c>
      <c r="O8" s="72">
        <f>'Proposed Rates'!E11</f>
        <v>13.709999999999999</v>
      </c>
      <c r="P8" s="72">
        <f>D8*M8</f>
        <v>224444.92961098396</v>
      </c>
      <c r="Q8" s="77">
        <f t="shared" ref="Q8:Q22" si="4">D8*N8</f>
        <v>228931.02183627774</v>
      </c>
      <c r="R8" s="172">
        <f t="shared" si="0"/>
        <v>4486.0922252937744</v>
      </c>
      <c r="S8" s="169"/>
      <c r="T8" s="129">
        <f>'Consolidated Cust Cnt'!B34</f>
        <v>10328.246284188732</v>
      </c>
      <c r="U8" s="129">
        <f t="shared" si="1"/>
        <v>2774.4969577596967</v>
      </c>
      <c r="V8" s="129"/>
      <c r="W8" s="129">
        <f>'Consolidated Cust Cnt'!C34</f>
        <v>6371.5252642475753</v>
      </c>
      <c r="X8" s="129">
        <f t="shared" si="2"/>
        <v>1711.5952675340864</v>
      </c>
      <c r="Y8" s="129"/>
      <c r="Z8" s="129">
        <f t="shared" ref="Z8:Z74" si="5">U8+X8</f>
        <v>4486.0922252937835</v>
      </c>
      <c r="AA8" s="129">
        <f t="shared" ref="AA8:AA22" si="6">T8*M8</f>
        <v>138811.63005949656</v>
      </c>
      <c r="AB8" s="129"/>
      <c r="AC8" s="129">
        <f t="shared" ref="AC8:AC22" si="7">W8*M8</f>
        <v>85633.299551487406</v>
      </c>
      <c r="AE8" s="129">
        <f t="shared" ref="AE8:AE22" si="8">AA8+AC8</f>
        <v>224444.92961098396</v>
      </c>
    </row>
    <row r="9" spans="1:31" s="65" customFormat="1">
      <c r="A9" s="248"/>
      <c r="B9" s="49">
        <v>21</v>
      </c>
      <c r="C9" s="117" t="s">
        <v>145</v>
      </c>
      <c r="D9" s="116">
        <f>'Consolidated Cust Cnt'!D35</f>
        <v>210.31198376393272</v>
      </c>
      <c r="E9" s="74">
        <f>References!C11</f>
        <v>4.333333333333333</v>
      </c>
      <c r="F9" s="73">
        <f t="shared" si="3"/>
        <v>911.35192964370833</v>
      </c>
      <c r="G9" s="73">
        <f>References!C17</f>
        <v>20</v>
      </c>
      <c r="H9" s="73">
        <f>F9*G9</f>
        <v>18227.038592874167</v>
      </c>
      <c r="I9" s="48">
        <f>$C$141*H9</f>
        <v>14504.593791392683</v>
      </c>
      <c r="J9" s="72">
        <f>(References!$D$61*I9)</f>
        <v>55.407548283119901</v>
      </c>
      <c r="K9" s="72">
        <f>J9/References!$H$64</f>
        <v>56.496518680690208</v>
      </c>
      <c r="L9" s="72">
        <f t="shared" ref="L9:L20" si="9">K9/F9*E9</f>
        <v>0.26863195177743854</v>
      </c>
      <c r="M9" s="96">
        <f>'Proposed Rates'!C12</f>
        <v>14.44</v>
      </c>
      <c r="N9" s="72">
        <f t="shared" ref="N9:N85" si="10">L9+M9</f>
        <v>14.708631951777438</v>
      </c>
      <c r="O9" s="72">
        <f>'Proposed Rates'!E12</f>
        <v>14.709999999999999</v>
      </c>
      <c r="P9" s="72">
        <f t="shared" ref="P9:P22" si="11">D9*M9</f>
        <v>3036.9050455511883</v>
      </c>
      <c r="Q9" s="77">
        <f t="shared" si="4"/>
        <v>3093.4015642318786</v>
      </c>
      <c r="R9" s="172">
        <f t="shared" si="0"/>
        <v>56.496518680690315</v>
      </c>
      <c r="S9" s="169"/>
      <c r="T9" s="129">
        <f>'Consolidated Cust Cnt'!B35</f>
        <v>144.60717489455971</v>
      </c>
      <c r="U9" s="129">
        <f t="shared" si="1"/>
        <v>38.846107632946982</v>
      </c>
      <c r="V9" s="129"/>
      <c r="W9" s="129">
        <f>'Consolidated Cust Cnt'!C35</f>
        <v>65.704808869373011</v>
      </c>
      <c r="X9" s="129">
        <f t="shared" si="2"/>
        <v>17.650411047743226</v>
      </c>
      <c r="Y9" s="129"/>
      <c r="Z9" s="129">
        <f t="shared" si="5"/>
        <v>56.496518680690208</v>
      </c>
      <c r="AA9" s="129">
        <f t="shared" si="6"/>
        <v>2088.1276054774421</v>
      </c>
      <c r="AB9" s="129"/>
      <c r="AC9" s="129">
        <f t="shared" si="7"/>
        <v>948.77744007374622</v>
      </c>
      <c r="AE9" s="129">
        <f t="shared" si="8"/>
        <v>3036.9050455511883</v>
      </c>
    </row>
    <row r="10" spans="1:31" s="65" customFormat="1">
      <c r="A10" s="248"/>
      <c r="B10" s="49">
        <v>21</v>
      </c>
      <c r="C10" s="117" t="s">
        <v>146</v>
      </c>
      <c r="D10" s="116">
        <f>'Consolidated Cust Cnt'!D36</f>
        <v>8732.318419554138</v>
      </c>
      <c r="E10" s="74">
        <f>References!C13</f>
        <v>1</v>
      </c>
      <c r="F10" s="73">
        <f t="shared" si="3"/>
        <v>8732.318419554138</v>
      </c>
      <c r="G10" s="73">
        <f>References!$C$18</f>
        <v>34</v>
      </c>
      <c r="H10" s="73">
        <f t="shared" ref="H10:H22" si="12">F10*G10</f>
        <v>296898.82626484067</v>
      </c>
      <c r="I10" s="48">
        <f>$C$141*H10</f>
        <v>236264.20990826027</v>
      </c>
      <c r="J10" s="72">
        <f>(References!$D$61*I10)</f>
        <v>902.52928184955192</v>
      </c>
      <c r="K10" s="72">
        <f>J10/References!$H$64</f>
        <v>920.26743669178609</v>
      </c>
      <c r="L10" s="72">
        <f t="shared" si="9"/>
        <v>0.10538638108191821</v>
      </c>
      <c r="M10" s="96">
        <f>'Proposed Rates'!C25</f>
        <v>10.39</v>
      </c>
      <c r="N10" s="72">
        <f t="shared" si="10"/>
        <v>10.495386381081918</v>
      </c>
      <c r="O10" s="72">
        <f>'Proposed Rates'!E25</f>
        <v>10.5</v>
      </c>
      <c r="P10" s="72">
        <f t="shared" si="11"/>
        <v>90728.788379167498</v>
      </c>
      <c r="Q10" s="77">
        <f t="shared" si="4"/>
        <v>91649.055815859276</v>
      </c>
      <c r="R10" s="172">
        <f t="shared" si="0"/>
        <v>920.26743669177813</v>
      </c>
      <c r="S10" s="169"/>
      <c r="T10" s="129">
        <f>'Consolidated Cust Cnt'!B36</f>
        <v>5449.462982945648</v>
      </c>
      <c r="U10" s="129">
        <f t="shared" si="1"/>
        <v>574.2991826125168</v>
      </c>
      <c r="V10" s="129"/>
      <c r="W10" s="129">
        <f>'Consolidated Cust Cnt'!C36</f>
        <v>3282.85543660849</v>
      </c>
      <c r="X10" s="129">
        <f t="shared" si="2"/>
        <v>345.96825407926929</v>
      </c>
      <c r="Y10" s="129"/>
      <c r="Z10" s="129">
        <f t="shared" si="5"/>
        <v>920.26743669178609</v>
      </c>
      <c r="AA10" s="129">
        <f t="shared" si="6"/>
        <v>56619.920392805288</v>
      </c>
      <c r="AB10" s="129"/>
      <c r="AC10" s="129">
        <f t="shared" si="7"/>
        <v>34108.867986362209</v>
      </c>
      <c r="AE10" s="129">
        <f t="shared" si="8"/>
        <v>90728.788379167498</v>
      </c>
    </row>
    <row r="11" spans="1:31" s="65" customFormat="1">
      <c r="A11" s="248"/>
      <c r="B11" s="49">
        <v>21</v>
      </c>
      <c r="C11" s="117" t="s">
        <v>147</v>
      </c>
      <c r="D11" s="116">
        <f>'Consolidated Cust Cnt'!D37</f>
        <v>427796.02418477263</v>
      </c>
      <c r="E11" s="74">
        <f>References!C11</f>
        <v>4.333333333333333</v>
      </c>
      <c r="F11" s="73">
        <f>D11*E11</f>
        <v>1853782.7714673479</v>
      </c>
      <c r="G11" s="73">
        <f>References!$C$18</f>
        <v>34</v>
      </c>
      <c r="H11" s="73">
        <f t="shared" si="12"/>
        <v>63028614.229889825</v>
      </c>
      <c r="I11" s="48">
        <f>$C$141*H11</f>
        <v>50156499.202034466</v>
      </c>
      <c r="J11" s="72">
        <f>(References!$D$61*I11)</f>
        <v>191597.82695177116</v>
      </c>
      <c r="K11" s="72">
        <f>J11/References!$H$64</f>
        <v>195363.45759695242</v>
      </c>
      <c r="L11" s="72">
        <f t="shared" si="9"/>
        <v>0.45667431802164554</v>
      </c>
      <c r="M11" s="96">
        <f>'Proposed Rates'!C13</f>
        <v>16.809999999999999</v>
      </c>
      <c r="N11" s="72">
        <f t="shared" si="10"/>
        <v>17.266674318021643</v>
      </c>
      <c r="O11" s="72">
        <f>'Proposed Rates'!E13</f>
        <v>17.27</v>
      </c>
      <c r="P11" s="72">
        <f t="shared" si="11"/>
        <v>7191251.1665460272</v>
      </c>
      <c r="Q11" s="77">
        <f t="shared" si="4"/>
        <v>7386614.6241429793</v>
      </c>
      <c r="R11" s="172">
        <f t="shared" si="0"/>
        <v>195363.4575969521</v>
      </c>
      <c r="S11" s="169"/>
      <c r="T11" s="129">
        <f>'Consolidated Cust Cnt'!B37</f>
        <v>277734.7579097547</v>
      </c>
      <c r="U11" s="129">
        <f t="shared" si="1"/>
        <v>126834.33115934404</v>
      </c>
      <c r="V11" s="129"/>
      <c r="W11" s="129">
        <f>'Consolidated Cust Cnt'!C37</f>
        <v>150061.2662750179</v>
      </c>
      <c r="X11" s="129">
        <f t="shared" si="2"/>
        <v>68529.126437608356</v>
      </c>
      <c r="Y11" s="129"/>
      <c r="Z11" s="129">
        <f t="shared" si="5"/>
        <v>195363.45759695239</v>
      </c>
      <c r="AA11" s="129">
        <f t="shared" si="6"/>
        <v>4668721.2804629765</v>
      </c>
      <c r="AB11" s="129"/>
      <c r="AC11" s="129">
        <f t="shared" si="7"/>
        <v>2522529.8860830506</v>
      </c>
      <c r="AE11" s="129">
        <f t="shared" si="8"/>
        <v>7191251.1665460272</v>
      </c>
    </row>
    <row r="12" spans="1:31" s="65" customFormat="1">
      <c r="A12" s="248"/>
      <c r="B12" s="49">
        <v>21</v>
      </c>
      <c r="C12" s="117" t="s">
        <v>148</v>
      </c>
      <c r="D12" s="116">
        <f>'Consolidated Cust Cnt'!D38</f>
        <v>6930.2264393457244</v>
      </c>
      <c r="E12" s="74">
        <f>References!C11</f>
        <v>4.333333333333333</v>
      </c>
      <c r="F12" s="73">
        <f t="shared" si="3"/>
        <v>30030.981237164804</v>
      </c>
      <c r="G12" s="73">
        <f>References!$C$18</f>
        <v>34</v>
      </c>
      <c r="H12" s="73">
        <f t="shared" si="12"/>
        <v>1021053.3620636034</v>
      </c>
      <c r="I12" s="48">
        <f>$C$141*H12</f>
        <v>812527.17936627951</v>
      </c>
      <c r="J12" s="72">
        <f>(References!$D$61*I12)</f>
        <v>3103.8538251791797</v>
      </c>
      <c r="K12" s="72">
        <f>J12/References!$H$64</f>
        <v>3164.8564329237856</v>
      </c>
      <c r="L12" s="72">
        <f t="shared" si="9"/>
        <v>0.45667431802164554</v>
      </c>
      <c r="M12" s="96">
        <f>'Proposed Rates'!C14</f>
        <v>17.809999999999999</v>
      </c>
      <c r="N12" s="72">
        <f t="shared" si="10"/>
        <v>18.266674318021643</v>
      </c>
      <c r="O12" s="72">
        <f>'Proposed Rates'!E14</f>
        <v>18.27</v>
      </c>
      <c r="P12" s="72">
        <f t="shared" si="11"/>
        <v>123427.33288474735</v>
      </c>
      <c r="Q12" s="77">
        <f t="shared" si="4"/>
        <v>126592.18931767112</v>
      </c>
      <c r="R12" s="172">
        <f t="shared" si="0"/>
        <v>3164.8564329237706</v>
      </c>
      <c r="S12" s="169"/>
      <c r="T12" s="129">
        <f>'Consolidated Cust Cnt'!B38</f>
        <v>4464.3257530525607</v>
      </c>
      <c r="U12" s="129">
        <f t="shared" si="1"/>
        <v>2038.7429187017474</v>
      </c>
      <c r="V12" s="129"/>
      <c r="W12" s="129">
        <f>'Consolidated Cust Cnt'!C38</f>
        <v>2465.9006862931637</v>
      </c>
      <c r="X12" s="129">
        <f t="shared" si="2"/>
        <v>1126.1135142220382</v>
      </c>
      <c r="Y12" s="129"/>
      <c r="Z12" s="129">
        <f t="shared" si="5"/>
        <v>3164.8564329237856</v>
      </c>
      <c r="AA12" s="129">
        <f t="shared" si="6"/>
        <v>79509.641661866102</v>
      </c>
      <c r="AB12" s="129"/>
      <c r="AC12" s="129">
        <f t="shared" si="7"/>
        <v>43917.691222881243</v>
      </c>
      <c r="AE12" s="129">
        <f t="shared" si="8"/>
        <v>123427.33288474735</v>
      </c>
    </row>
    <row r="13" spans="1:31" s="65" customFormat="1">
      <c r="A13" s="248"/>
      <c r="B13" s="49">
        <v>21</v>
      </c>
      <c r="C13" s="117" t="s">
        <v>149</v>
      </c>
      <c r="D13" s="116">
        <f>'Consolidated Cust Cnt'!D39</f>
        <v>134972.46129411401</v>
      </c>
      <c r="E13" s="74">
        <f>References!$C$11</f>
        <v>4.333333333333333</v>
      </c>
      <c r="F13" s="73">
        <f t="shared" si="3"/>
        <v>584880.66560782737</v>
      </c>
      <c r="G13" s="73">
        <f>References!$C$19</f>
        <v>51</v>
      </c>
      <c r="H13" s="73">
        <f t="shared" si="12"/>
        <v>29828913.945999194</v>
      </c>
      <c r="I13" s="48">
        <f>$C$141*H13</f>
        <v>23737058.426719569</v>
      </c>
      <c r="J13" s="72">
        <f>(References!$D$61*I13)</f>
        <v>90675.563190068511</v>
      </c>
      <c r="K13" s="72">
        <f>J13/References!$H$64</f>
        <v>92457.685069788698</v>
      </c>
      <c r="L13" s="72">
        <f t="shared" si="9"/>
        <v>0.68501147703246823</v>
      </c>
      <c r="M13" s="96">
        <f>'Proposed Rates'!C15</f>
        <v>24.71</v>
      </c>
      <c r="N13" s="72">
        <f t="shared" si="10"/>
        <v>25.395011477032469</v>
      </c>
      <c r="O13" s="72">
        <f>'Proposed Rates'!E15</f>
        <v>25.400000000000002</v>
      </c>
      <c r="P13" s="72">
        <f t="shared" si="11"/>
        <v>3335169.5185775571</v>
      </c>
      <c r="Q13" s="77">
        <f t="shared" si="4"/>
        <v>3427627.2036473458</v>
      </c>
      <c r="R13" s="172">
        <f t="shared" si="0"/>
        <v>92457.685069788713</v>
      </c>
      <c r="S13" s="169"/>
      <c r="T13" s="129">
        <f>'Consolidated Cust Cnt'!B39</f>
        <v>89485.74259909564</v>
      </c>
      <c r="U13" s="129">
        <f t="shared" si="1"/>
        <v>61298.760711153765</v>
      </c>
      <c r="V13" s="129"/>
      <c r="W13" s="129">
        <f>'Consolidated Cust Cnt'!C39</f>
        <v>45486.718695018353</v>
      </c>
      <c r="X13" s="129">
        <f t="shared" si="2"/>
        <v>31158.924358634908</v>
      </c>
      <c r="Y13" s="129"/>
      <c r="Z13" s="129">
        <f t="shared" si="5"/>
        <v>92457.685069788669</v>
      </c>
      <c r="AA13" s="129">
        <f t="shared" si="6"/>
        <v>2211192.6996236532</v>
      </c>
      <c r="AB13" s="129"/>
      <c r="AC13" s="129">
        <f t="shared" si="7"/>
        <v>1123976.8189539036</v>
      </c>
      <c r="AE13" s="129">
        <f t="shared" si="8"/>
        <v>3335169.5185775571</v>
      </c>
    </row>
    <row r="14" spans="1:31" s="65" customFormat="1">
      <c r="A14" s="248"/>
      <c r="B14" s="49">
        <v>21</v>
      </c>
      <c r="C14" s="117" t="s">
        <v>150</v>
      </c>
      <c r="D14" s="116">
        <f>'Consolidated Cust Cnt'!D40</f>
        <v>2301.0949678395764</v>
      </c>
      <c r="E14" s="74">
        <f>References!$C$11</f>
        <v>4.333333333333333</v>
      </c>
      <c r="F14" s="73">
        <f t="shared" si="3"/>
        <v>9971.4115273048301</v>
      </c>
      <c r="G14" s="73">
        <f>References!$C$19</f>
        <v>51</v>
      </c>
      <c r="H14" s="73">
        <f t="shared" si="12"/>
        <v>508541.98789254634</v>
      </c>
      <c r="I14" s="48">
        <f>$C$141*H14</f>
        <v>404684.22353219974</v>
      </c>
      <c r="J14" s="72">
        <f>(References!$D$61*I14)</f>
        <v>1545.8937338929991</v>
      </c>
      <c r="K14" s="72">
        <f>J14/References!$H$64</f>
        <v>1576.2764627117685</v>
      </c>
      <c r="L14" s="72">
        <f t="shared" si="9"/>
        <v>0.68501147703246845</v>
      </c>
      <c r="M14" s="96">
        <f>'Proposed Rates'!C16</f>
        <v>26.71</v>
      </c>
      <c r="N14" s="72">
        <f t="shared" si="10"/>
        <v>27.395011477032469</v>
      </c>
      <c r="O14" s="72">
        <f>'Proposed Rates'!E16</f>
        <v>27.400000000000002</v>
      </c>
      <c r="P14" s="72">
        <f t="shared" si="11"/>
        <v>61462.246590995084</v>
      </c>
      <c r="Q14" s="77">
        <f t="shared" si="4"/>
        <v>63038.523053706856</v>
      </c>
      <c r="R14" s="172">
        <f t="shared" si="0"/>
        <v>1576.2764627117722</v>
      </c>
      <c r="S14" s="169"/>
      <c r="T14" s="129">
        <f>'Consolidated Cust Cnt'!B40</f>
        <v>1640.1721073486328</v>
      </c>
      <c r="U14" s="129">
        <f t="shared" si="1"/>
        <v>1123.5367178423435</v>
      </c>
      <c r="V14" s="129"/>
      <c r="W14" s="129">
        <f>'Consolidated Cust Cnt'!C40</f>
        <v>660.92286049094332</v>
      </c>
      <c r="X14" s="129">
        <f t="shared" si="2"/>
        <v>452.73974486942518</v>
      </c>
      <c r="Y14" s="129"/>
      <c r="Z14" s="129">
        <f t="shared" si="5"/>
        <v>1576.2764627117685</v>
      </c>
      <c r="AA14" s="129">
        <f t="shared" si="6"/>
        <v>43808.996987281986</v>
      </c>
      <c r="AB14" s="129"/>
      <c r="AC14" s="129">
        <f t="shared" si="7"/>
        <v>17653.249603713095</v>
      </c>
      <c r="AE14" s="129">
        <f t="shared" si="8"/>
        <v>61462.246590995084</v>
      </c>
    </row>
    <row r="15" spans="1:31" s="65" customFormat="1">
      <c r="A15" s="248"/>
      <c r="B15" s="49">
        <v>21</v>
      </c>
      <c r="C15" s="117" t="s">
        <v>151</v>
      </c>
      <c r="D15" s="116">
        <f>'Consolidated Cust Cnt'!D41</f>
        <v>7755.8176267920626</v>
      </c>
      <c r="E15" s="74">
        <f>References!$C$11</f>
        <v>4.333333333333333</v>
      </c>
      <c r="F15" s="73">
        <f t="shared" si="3"/>
        <v>33608.543049432272</v>
      </c>
      <c r="G15" s="73">
        <f>References!$C$20</f>
        <v>77</v>
      </c>
      <c r="H15" s="73">
        <f t="shared" si="12"/>
        <v>2587857.8148062848</v>
      </c>
      <c r="I15" s="48">
        <f>$C$141*H15</f>
        <v>2059348.5991915797</v>
      </c>
      <c r="J15" s="72">
        <f>(References!$D$61*I15)</f>
        <v>7866.7116489118143</v>
      </c>
      <c r="K15" s="72">
        <f>J15/References!$H$64</f>
        <v>8021.3226428528023</v>
      </c>
      <c r="L15" s="72">
        <f t="shared" si="9"/>
        <v>1.0342330143431384</v>
      </c>
      <c r="M15" s="96">
        <f>'Proposed Rates'!C17</f>
        <v>34.299999999999997</v>
      </c>
      <c r="N15" s="72">
        <f t="shared" si="10"/>
        <v>35.334233014343134</v>
      </c>
      <c r="O15" s="72">
        <f>'Proposed Rates'!E17</f>
        <v>35.33</v>
      </c>
      <c r="P15" s="72">
        <f t="shared" si="11"/>
        <v>266024.54459896771</v>
      </c>
      <c r="Q15" s="77">
        <f t="shared" si="4"/>
        <v>274045.8672418205</v>
      </c>
      <c r="R15" s="172">
        <f t="shared" si="0"/>
        <v>8021.3226428527851</v>
      </c>
      <c r="S15" s="169"/>
      <c r="T15" s="129">
        <f>'Consolidated Cust Cnt'!B41</f>
        <v>4569.9710863748123</v>
      </c>
      <c r="U15" s="129">
        <f t="shared" si="1"/>
        <v>4726.4149721224094</v>
      </c>
      <c r="V15" s="129"/>
      <c r="W15" s="129">
        <f>'Consolidated Cust Cnt'!C41</f>
        <v>3185.8465404172498</v>
      </c>
      <c r="X15" s="129">
        <f t="shared" si="2"/>
        <v>3294.9076707303916</v>
      </c>
      <c r="Y15" s="129"/>
      <c r="Z15" s="129">
        <f t="shared" si="5"/>
        <v>8021.3226428528014</v>
      </c>
      <c r="AA15" s="129">
        <f t="shared" si="6"/>
        <v>156750.00826265605</v>
      </c>
      <c r="AB15" s="129"/>
      <c r="AC15" s="129">
        <f t="shared" si="7"/>
        <v>109274.53633631166</v>
      </c>
      <c r="AE15" s="129">
        <f t="shared" si="8"/>
        <v>266024.54459896771</v>
      </c>
    </row>
    <row r="16" spans="1:31" s="65" customFormat="1">
      <c r="A16" s="248"/>
      <c r="B16" s="49">
        <v>21</v>
      </c>
      <c r="C16" s="117" t="s">
        <v>152</v>
      </c>
      <c r="D16" s="116">
        <f>'Consolidated Cust Cnt'!D42</f>
        <v>121.89004065040652</v>
      </c>
      <c r="E16" s="74">
        <f>References!$C$11</f>
        <v>4.333333333333333</v>
      </c>
      <c r="F16" s="73">
        <f t="shared" si="3"/>
        <v>528.19017615176153</v>
      </c>
      <c r="G16" s="73">
        <f>References!$C$20</f>
        <v>77</v>
      </c>
      <c r="H16" s="123">
        <f>F16*G16</f>
        <v>40670.64356368564</v>
      </c>
      <c r="I16" s="48">
        <f>$C$141*H16</f>
        <v>32364.619250677639</v>
      </c>
      <c r="J16" s="72">
        <f>(References!$D$61*I16)</f>
        <v>123.63284553758825</v>
      </c>
      <c r="K16" s="72">
        <f>J16/References!$H$64</f>
        <v>126.0627041602776</v>
      </c>
      <c r="L16" s="72">
        <f t="shared" si="9"/>
        <v>1.0342330143431384</v>
      </c>
      <c r="M16" s="96">
        <f>'Proposed Rates'!C18</f>
        <v>37.299999999999997</v>
      </c>
      <c r="N16" s="72">
        <f t="shared" si="10"/>
        <v>38.334233014343134</v>
      </c>
      <c r="O16" s="72">
        <f>'Proposed Rates'!E18</f>
        <v>38.33</v>
      </c>
      <c r="P16" s="72">
        <f t="shared" si="11"/>
        <v>4546.4985162601624</v>
      </c>
      <c r="Q16" s="77">
        <f t="shared" si="4"/>
        <v>4672.5612204204399</v>
      </c>
      <c r="R16" s="172">
        <f t="shared" si="0"/>
        <v>126.06270416027746</v>
      </c>
      <c r="S16" s="169"/>
      <c r="T16" s="129">
        <f>'Consolidated Cust Cnt'!B42</f>
        <v>68.64505420054202</v>
      </c>
      <c r="U16" s="129">
        <f t="shared" si="1"/>
        <v>70.994981325574685</v>
      </c>
      <c r="V16" s="129"/>
      <c r="W16" s="129">
        <f>'Consolidated Cust Cnt'!C42</f>
        <v>53.244986449864491</v>
      </c>
      <c r="X16" s="129">
        <f t="shared" si="2"/>
        <v>55.067722834702913</v>
      </c>
      <c r="Y16" s="129"/>
      <c r="Z16" s="129">
        <f t="shared" si="5"/>
        <v>126.0627041602776</v>
      </c>
      <c r="AA16" s="129">
        <f t="shared" si="6"/>
        <v>2560.460521680217</v>
      </c>
      <c r="AB16" s="129"/>
      <c r="AC16" s="129">
        <f t="shared" si="7"/>
        <v>1986.0379945799455</v>
      </c>
      <c r="AE16" s="129">
        <f t="shared" si="8"/>
        <v>4546.4985162601624</v>
      </c>
    </row>
    <row r="17" spans="1:32" s="65" customFormat="1">
      <c r="A17" s="248"/>
      <c r="B17" s="49">
        <v>21</v>
      </c>
      <c r="C17" s="117" t="s">
        <v>153</v>
      </c>
      <c r="D17" s="116">
        <f>'Consolidated Cust Cnt'!D43</f>
        <v>832.50482387256011</v>
      </c>
      <c r="E17" s="74">
        <f>References!$C$11</f>
        <v>4.333333333333333</v>
      </c>
      <c r="F17" s="73">
        <f t="shared" si="3"/>
        <v>3607.5209034477602</v>
      </c>
      <c r="G17" s="73">
        <f>References!$C$21</f>
        <v>97</v>
      </c>
      <c r="H17" s="73">
        <f t="shared" si="12"/>
        <v>349929.52763443277</v>
      </c>
      <c r="I17" s="48">
        <f>$C$141*H17</f>
        <v>278464.63527737634</v>
      </c>
      <c r="J17" s="72">
        <f>(References!$D$61*I17)</f>
        <v>1063.7349067595749</v>
      </c>
      <c r="K17" s="72">
        <f>J17/References!$H$64</f>
        <v>1084.6413691499399</v>
      </c>
      <c r="L17" s="72">
        <f t="shared" si="9"/>
        <v>1.3028649661205769</v>
      </c>
      <c r="M17" s="96">
        <f>'Proposed Rates'!C19</f>
        <v>45.09</v>
      </c>
      <c r="N17" s="72">
        <f t="shared" si="10"/>
        <v>46.392864966120584</v>
      </c>
      <c r="O17" s="72">
        <f>'Proposed Rates'!E19</f>
        <v>46.39</v>
      </c>
      <c r="P17" s="72">
        <f t="shared" si="11"/>
        <v>37537.642508413737</v>
      </c>
      <c r="Q17" s="77">
        <f t="shared" si="4"/>
        <v>38622.283877563677</v>
      </c>
      <c r="R17" s="172">
        <f t="shared" si="0"/>
        <v>1084.6413691499401</v>
      </c>
      <c r="S17" s="169"/>
      <c r="T17" s="129">
        <f>'Consolidated Cust Cnt'!B43</f>
        <v>522.7403242091093</v>
      </c>
      <c r="U17" s="129">
        <f t="shared" si="1"/>
        <v>681.06005479056057</v>
      </c>
      <c r="V17" s="129"/>
      <c r="W17" s="129">
        <f>'Consolidated Cust Cnt'!C43</f>
        <v>309.76449966345075</v>
      </c>
      <c r="X17" s="129">
        <f t="shared" si="2"/>
        <v>403.58131435937923</v>
      </c>
      <c r="Y17" s="129"/>
      <c r="Z17" s="129">
        <f t="shared" si="5"/>
        <v>1084.6413691499397</v>
      </c>
      <c r="AA17" s="129">
        <f t="shared" si="6"/>
        <v>23570.36121858874</v>
      </c>
      <c r="AB17" s="129"/>
      <c r="AC17" s="129">
        <f t="shared" si="7"/>
        <v>13967.281289824996</v>
      </c>
      <c r="AE17" s="129">
        <f t="shared" si="8"/>
        <v>37537.642508413737</v>
      </c>
    </row>
    <row r="18" spans="1:32" s="65" customFormat="1">
      <c r="A18" s="248"/>
      <c r="B18" s="49">
        <v>21</v>
      </c>
      <c r="C18" s="117" t="s">
        <v>154</v>
      </c>
      <c r="D18" s="116">
        <f>'Consolidated Cust Cnt'!D44</f>
        <v>25.773934527486102</v>
      </c>
      <c r="E18" s="74">
        <f>References!$C$11</f>
        <v>4.333333333333333</v>
      </c>
      <c r="F18" s="73">
        <f t="shared" si="3"/>
        <v>111.68704961910643</v>
      </c>
      <c r="G18" s="73">
        <f>References!$C$21</f>
        <v>97</v>
      </c>
      <c r="H18" s="73">
        <f t="shared" si="12"/>
        <v>10833.643813053324</v>
      </c>
      <c r="I18" s="48">
        <f>$C$141*H18</f>
        <v>8621.1263551285683</v>
      </c>
      <c r="J18" s="72">
        <f>(References!$D$61*I18)</f>
        <v>32.932702676591049</v>
      </c>
      <c r="K18" s="72">
        <f>J18/References!$H$64</f>
        <v>33.579956334947155</v>
      </c>
      <c r="L18" s="72">
        <f t="shared" si="9"/>
        <v>1.3028649661205771</v>
      </c>
      <c r="M18" s="96">
        <f>'Proposed Rates'!C20</f>
        <v>49.09</v>
      </c>
      <c r="N18" s="72">
        <f t="shared" si="10"/>
        <v>50.392864966120584</v>
      </c>
      <c r="O18" s="72">
        <f>'Proposed Rates'!E20</f>
        <v>50.39</v>
      </c>
      <c r="P18" s="72">
        <f t="shared" si="11"/>
        <v>1265.2424459542929</v>
      </c>
      <c r="Q18" s="77">
        <f t="shared" si="4"/>
        <v>1298.82240228924</v>
      </c>
      <c r="R18" s="172">
        <f t="shared" si="0"/>
        <v>33.579956334947155</v>
      </c>
      <c r="S18" s="169"/>
      <c r="T18" s="129">
        <f>'Consolidated Cust Cnt'!B44</f>
        <v>12</v>
      </c>
      <c r="U18" s="129">
        <f t="shared" si="1"/>
        <v>15.634379593446926</v>
      </c>
      <c r="V18" s="129"/>
      <c r="W18" s="129">
        <f>'Consolidated Cust Cnt'!C44</f>
        <v>13.773934527486102</v>
      </c>
      <c r="X18" s="129">
        <f t="shared" si="2"/>
        <v>17.945576741500226</v>
      </c>
      <c r="Y18" s="129"/>
      <c r="Z18" s="129">
        <f t="shared" si="5"/>
        <v>33.579956334947155</v>
      </c>
      <c r="AA18" s="129">
        <f t="shared" si="6"/>
        <v>589.08000000000004</v>
      </c>
      <c r="AB18" s="129"/>
      <c r="AC18" s="129">
        <f t="shared" si="7"/>
        <v>676.16244595429282</v>
      </c>
      <c r="AE18" s="129">
        <f t="shared" si="8"/>
        <v>1265.2424459542929</v>
      </c>
    </row>
    <row r="19" spans="1:32" s="65" customFormat="1">
      <c r="A19" s="248"/>
      <c r="B19" s="49">
        <v>21</v>
      </c>
      <c r="C19" s="117" t="s">
        <v>155</v>
      </c>
      <c r="D19" s="116">
        <f>'Consolidated Cust Cnt'!D45</f>
        <v>88.835920177383599</v>
      </c>
      <c r="E19" s="74">
        <f>References!$C$11</f>
        <v>4.333333333333333</v>
      </c>
      <c r="F19" s="73">
        <f t="shared" si="3"/>
        <v>384.95565410199555</v>
      </c>
      <c r="G19" s="73">
        <f>References!$C$22</f>
        <v>117</v>
      </c>
      <c r="H19" s="73">
        <f t="shared" si="12"/>
        <v>45039.811529933482</v>
      </c>
      <c r="I19" s="48">
        <f>$C$141*H19</f>
        <v>35841.487214383262</v>
      </c>
      <c r="J19" s="72">
        <f>(References!$D$61*I19)</f>
        <v>136.91448115894372</v>
      </c>
      <c r="K19" s="72">
        <f>J19/References!$H$64</f>
        <v>139.60537475739247</v>
      </c>
      <c r="L19" s="72">
        <f t="shared" si="9"/>
        <v>1.5714969178980158</v>
      </c>
      <c r="M19" s="96">
        <f>'Proposed Rates'!C21</f>
        <v>54.75</v>
      </c>
      <c r="N19" s="72">
        <f t="shared" si="10"/>
        <v>56.321496917898017</v>
      </c>
      <c r="O19" s="72">
        <f>'Proposed Rates'!E21</f>
        <v>56.32</v>
      </c>
      <c r="P19" s="72">
        <f t="shared" si="11"/>
        <v>4863.7666297117521</v>
      </c>
      <c r="Q19" s="77">
        <f t="shared" si="4"/>
        <v>5003.3720044691445</v>
      </c>
      <c r="R19" s="172">
        <f t="shared" si="0"/>
        <v>139.60537475739238</v>
      </c>
      <c r="S19" s="169"/>
      <c r="T19" s="129">
        <f>'Consolidated Cust Cnt'!B45</f>
        <v>60.335920177383599</v>
      </c>
      <c r="U19" s="129">
        <f t="shared" si="1"/>
        <v>94.817712597299035</v>
      </c>
      <c r="V19" s="129"/>
      <c r="W19" s="129">
        <f>'Consolidated Cust Cnt'!C45</f>
        <v>28.500000000000004</v>
      </c>
      <c r="X19" s="129">
        <f t="shared" si="2"/>
        <v>44.787662160093454</v>
      </c>
      <c r="Y19" s="129"/>
      <c r="Z19" s="129">
        <f t="shared" si="5"/>
        <v>139.6053747573925</v>
      </c>
      <c r="AA19" s="129">
        <f t="shared" si="6"/>
        <v>3303.3916297117521</v>
      </c>
      <c r="AB19" s="129"/>
      <c r="AC19" s="129">
        <f t="shared" si="7"/>
        <v>1560.3750000000002</v>
      </c>
      <c r="AE19" s="129">
        <f t="shared" si="8"/>
        <v>4863.7666297117521</v>
      </c>
    </row>
    <row r="20" spans="1:32" s="65" customFormat="1">
      <c r="A20" s="248"/>
      <c r="B20" s="49">
        <v>21</v>
      </c>
      <c r="C20" s="117" t="s">
        <v>157</v>
      </c>
      <c r="D20" s="116">
        <f>'Consolidated Cust Cnt'!D47</f>
        <v>67.537881327522626</v>
      </c>
      <c r="E20" s="74">
        <f>References!$C$11</f>
        <v>4.333333333333333</v>
      </c>
      <c r="F20" s="73">
        <f t="shared" si="3"/>
        <v>292.66415241926467</v>
      </c>
      <c r="G20" s="123">
        <f>References!$C$23</f>
        <v>137</v>
      </c>
      <c r="H20" s="123">
        <f t="shared" si="12"/>
        <v>40094.988881439262</v>
      </c>
      <c r="I20" s="48">
        <f>$C$141*H20</f>
        <v>31906.52852532189</v>
      </c>
      <c r="J20" s="72">
        <f>(References!$D$61*I20)</f>
        <v>121.8829389667293</v>
      </c>
      <c r="K20" s="72">
        <f>J20/References!$H$64</f>
        <v>124.27840522748916</v>
      </c>
      <c r="L20" s="72">
        <f t="shared" si="9"/>
        <v>1.8401288696754541</v>
      </c>
      <c r="M20" s="96">
        <f>'Proposed Rates'!C23</f>
        <v>60.36</v>
      </c>
      <c r="N20" s="72">
        <f t="shared" si="10"/>
        <v>62.200128869675453</v>
      </c>
      <c r="O20" s="72">
        <f>'Proposed Rates'!E23</f>
        <v>62.2</v>
      </c>
      <c r="P20" s="72">
        <f t="shared" si="11"/>
        <v>4076.5865169292656</v>
      </c>
      <c r="Q20" s="77">
        <f t="shared" si="4"/>
        <v>4200.8649221567548</v>
      </c>
      <c r="R20" s="172">
        <f t="shared" si="0"/>
        <v>124.2784052274892</v>
      </c>
      <c r="S20" s="169"/>
      <c r="T20" s="129">
        <f>'Consolidated Cust Cnt'!B47</f>
        <v>47.575595038551789</v>
      </c>
      <c r="U20" s="129">
        <f t="shared" si="1"/>
        <v>87.545225922427448</v>
      </c>
      <c r="V20" s="129"/>
      <c r="W20" s="129">
        <f>'Consolidated Cust Cnt'!C47</f>
        <v>19.962286288970837</v>
      </c>
      <c r="X20" s="129">
        <f t="shared" si="2"/>
        <v>36.733179305061725</v>
      </c>
      <c r="Y20" s="129"/>
      <c r="Z20" s="129">
        <f t="shared" si="5"/>
        <v>124.27840522748917</v>
      </c>
      <c r="AA20" s="129">
        <f t="shared" si="6"/>
        <v>2871.662916526986</v>
      </c>
      <c r="AB20" s="129"/>
      <c r="AC20" s="129">
        <f t="shared" si="7"/>
        <v>1204.9236004022798</v>
      </c>
      <c r="AE20" s="129">
        <f t="shared" si="8"/>
        <v>4076.5865169292656</v>
      </c>
      <c r="AF20" s="189"/>
    </row>
    <row r="21" spans="1:32" s="65" customFormat="1">
      <c r="A21" s="248"/>
      <c r="B21" s="49">
        <v>21</v>
      </c>
      <c r="C21" s="117" t="s">
        <v>159</v>
      </c>
      <c r="D21" s="116">
        <f>'Consolidated Cust Cnt'!D49</f>
        <v>2116.0709543315611</v>
      </c>
      <c r="E21" s="74">
        <f>References!$C$11</f>
        <v>4.333333333333333</v>
      </c>
      <c r="F21" s="73">
        <f t="shared" si="3"/>
        <v>9169.6408021034313</v>
      </c>
      <c r="G21" s="123">
        <f>References!C24</f>
        <v>40</v>
      </c>
      <c r="H21" s="123">
        <f t="shared" si="12"/>
        <v>366785.63208413724</v>
      </c>
      <c r="I21" s="48">
        <f>$C$141*H21</f>
        <v>291878.27604531951</v>
      </c>
      <c r="J21" s="72">
        <f>(References!$D$61*I21)</f>
        <v>1114.9750144931177</v>
      </c>
      <c r="K21" s="72">
        <f>J21/References!$H$64</f>
        <v>1136.8885411232686</v>
      </c>
      <c r="L21" s="72">
        <f>K21/F21*E21</f>
        <v>0.53726390355487708</v>
      </c>
      <c r="M21" s="96">
        <f>'Proposed Rates'!C26</f>
        <v>33.090000000000003</v>
      </c>
      <c r="N21" s="72">
        <f t="shared" ref="N21" si="13">L21+M21</f>
        <v>33.627263903554883</v>
      </c>
      <c r="O21" s="72">
        <f>'Proposed Rates'!E26</f>
        <v>33.630000000000003</v>
      </c>
      <c r="P21" s="72">
        <f t="shared" si="11"/>
        <v>70020.787878831368</v>
      </c>
      <c r="Q21" s="77">
        <f t="shared" si="4"/>
        <v>71157.676419954645</v>
      </c>
      <c r="R21" s="172">
        <f t="shared" si="0"/>
        <v>1136.8885411232768</v>
      </c>
      <c r="S21" s="169"/>
      <c r="T21" s="129">
        <f>'Consolidated Cust Cnt'!B49</f>
        <v>1437.4892706736705</v>
      </c>
      <c r="U21" s="129">
        <f t="shared" si="1"/>
        <v>772.31109688038953</v>
      </c>
      <c r="V21" s="129"/>
      <c r="W21" s="129">
        <f>'Consolidated Cust Cnt'!C49</f>
        <v>678.58168365789049</v>
      </c>
      <c r="X21" s="129">
        <f t="shared" si="2"/>
        <v>364.57744424287898</v>
      </c>
      <c r="Y21" s="129"/>
      <c r="Z21" s="129">
        <f t="shared" si="5"/>
        <v>1136.8885411232686</v>
      </c>
      <c r="AA21" s="129">
        <f t="shared" si="6"/>
        <v>47566.519966591761</v>
      </c>
      <c r="AB21" s="129"/>
      <c r="AC21" s="129">
        <f t="shared" si="7"/>
        <v>22454.2679122396</v>
      </c>
      <c r="AE21" s="129">
        <f t="shared" si="8"/>
        <v>70020.787878831354</v>
      </c>
      <c r="AF21" s="189"/>
    </row>
    <row r="22" spans="1:32" s="65" customFormat="1">
      <c r="A22" s="248"/>
      <c r="B22" s="49">
        <v>21</v>
      </c>
      <c r="C22" s="117" t="s">
        <v>160</v>
      </c>
      <c r="D22" s="116">
        <f>'Consolidated Cust Cnt'!D50</f>
        <v>111.50066986473766</v>
      </c>
      <c r="E22" s="74">
        <f>References!D11</f>
        <v>8.6666666666666661</v>
      </c>
      <c r="F22" s="73">
        <f t="shared" si="3"/>
        <v>966.33913882772629</v>
      </c>
      <c r="G22" s="123">
        <f>References!C24</f>
        <v>40</v>
      </c>
      <c r="H22" s="123">
        <f t="shared" si="12"/>
        <v>38653.565553109052</v>
      </c>
      <c r="I22" s="48">
        <f>$C$141*H22</f>
        <v>30759.482078235276</v>
      </c>
      <c r="J22" s="72">
        <f>(References!$D$61*I22)</f>
        <v>117.50122153885845</v>
      </c>
      <c r="K22" s="72">
        <f>J22/References!$H$64</f>
        <v>119.81057028102521</v>
      </c>
      <c r="L22" s="72">
        <f>K22/F22*E22</f>
        <v>1.0745278071097542</v>
      </c>
      <c r="M22" s="72">
        <v>66.180000000000007</v>
      </c>
      <c r="N22" s="72">
        <f t="shared" si="10"/>
        <v>67.254527807109767</v>
      </c>
      <c r="O22" s="72">
        <f>'Proposed Rates'!E28</f>
        <v>67.25</v>
      </c>
      <c r="P22" s="72">
        <f t="shared" si="11"/>
        <v>7379.1143316483394</v>
      </c>
      <c r="Q22" s="77">
        <f t="shared" si="4"/>
        <v>7498.9249019293648</v>
      </c>
      <c r="R22" s="172">
        <f t="shared" si="0"/>
        <v>119.81057028102532</v>
      </c>
      <c r="S22" s="169"/>
      <c r="T22" s="129">
        <f>'Consolidated Cust Cnt'!B50</f>
        <v>67.748160432616444</v>
      </c>
      <c r="U22" s="129">
        <f t="shared" si="1"/>
        <v>72.797282265379167</v>
      </c>
      <c r="V22" s="129"/>
      <c r="W22" s="129">
        <f>'Consolidated Cust Cnt'!C50</f>
        <v>43.752509432121215</v>
      </c>
      <c r="X22" s="129">
        <f t="shared" si="2"/>
        <v>47.013288015646047</v>
      </c>
      <c r="Y22" s="129"/>
      <c r="Z22" s="129">
        <f t="shared" si="5"/>
        <v>119.81057028102521</v>
      </c>
      <c r="AA22" s="129">
        <f t="shared" si="6"/>
        <v>4483.5732574305566</v>
      </c>
      <c r="AB22" s="129"/>
      <c r="AC22" s="129">
        <f t="shared" si="7"/>
        <v>2895.5410742177824</v>
      </c>
      <c r="AE22" s="129">
        <f t="shared" si="8"/>
        <v>7379.1143316483394</v>
      </c>
    </row>
    <row r="23" spans="1:32" s="65" customFormat="1">
      <c r="A23" s="203"/>
      <c r="B23" s="204"/>
      <c r="C23" s="205" t="s">
        <v>16</v>
      </c>
      <c r="D23" s="182">
        <f>SUM(D7:D22)</f>
        <v>771719.42417047964</v>
      </c>
      <c r="E23" s="183"/>
      <c r="F23" s="184">
        <f>SUM(F7:F22)</f>
        <v>2772302.0013059457</v>
      </c>
      <c r="G23" s="206"/>
      <c r="H23" s="207">
        <f>SUM(H7:H22)</f>
        <v>105169976.1911245</v>
      </c>
      <c r="I23" s="208">
        <f>SUM(I7:I22)</f>
        <v>83691477.13875322</v>
      </c>
      <c r="J23" s="166"/>
      <c r="K23" s="166"/>
      <c r="L23" s="166"/>
      <c r="M23" s="166"/>
      <c r="N23" s="166"/>
      <c r="O23" s="166"/>
      <c r="P23" s="209">
        <f>SUM(P7:P22)</f>
        <v>12106396.516012784</v>
      </c>
      <c r="Q23" s="209">
        <f>SUM(Q7:Q22)</f>
        <v>12432381.315696729</v>
      </c>
      <c r="R23" s="210">
        <f>SUM(R7:R22)</f>
        <v>325984.79968394409</v>
      </c>
      <c r="S23" s="171"/>
      <c r="T23" s="209">
        <f>SUM(T7:T22)</f>
        <v>505736.26307037345</v>
      </c>
      <c r="U23" s="209">
        <f>SUM(U7:U22)</f>
        <v>212765.73290813976</v>
      </c>
      <c r="V23"/>
      <c r="W23" s="209">
        <f>SUM(W7:W22)</f>
        <v>265983.16110010608</v>
      </c>
      <c r="X23" s="209">
        <f>SUM(X7:X22)</f>
        <v>113219.06677580465</v>
      </c>
      <c r="Y23"/>
      <c r="Z23" s="209">
        <f>SUM(Z7:Z22)</f>
        <v>325984.79968394432</v>
      </c>
      <c r="AA23" s="209">
        <f t="shared" ref="AA23:AE23" si="14">SUM(AA7:AA22)</f>
        <v>7901003.5656713275</v>
      </c>
      <c r="AB23"/>
      <c r="AC23" s="209">
        <f t="shared" si="14"/>
        <v>4205392.9503414584</v>
      </c>
      <c r="AD23"/>
      <c r="AE23" s="209">
        <f t="shared" si="14"/>
        <v>12106396.516012784</v>
      </c>
      <c r="AF23" s="214"/>
    </row>
    <row r="24" spans="1:32" s="65" customFormat="1">
      <c r="A24" s="248" t="s">
        <v>234</v>
      </c>
      <c r="B24" s="49">
        <v>26</v>
      </c>
      <c r="C24" s="117" t="s">
        <v>162</v>
      </c>
      <c r="D24" s="116">
        <f>'Consolidated Cust Cnt'!D58</f>
        <v>6279.3692922171185</v>
      </c>
      <c r="E24" s="74">
        <f>References!$C$14</f>
        <v>1</v>
      </c>
      <c r="F24" s="73">
        <f t="shared" si="3"/>
        <v>6279.3692922171185</v>
      </c>
      <c r="G24" s="73">
        <f>References!C18</f>
        <v>34</v>
      </c>
      <c r="H24" s="73">
        <f t="shared" ref="H24:H36" si="15">F24*G24</f>
        <v>213498.55593538203</v>
      </c>
      <c r="I24" s="48">
        <f>$C$141*H24</f>
        <v>169896.48719470532</v>
      </c>
      <c r="J24" s="72">
        <f>(References!$D$61*I24)</f>
        <v>649.00458108377268</v>
      </c>
      <c r="K24" s="72">
        <f>J24/References!$H$64</f>
        <v>661.76000518368835</v>
      </c>
      <c r="L24" s="72">
        <f>K24/F24</f>
        <v>0.10538638108191822</v>
      </c>
      <c r="M24" s="96">
        <f>'Proposed Rates'!C52</f>
        <v>4.18</v>
      </c>
      <c r="N24" s="72">
        <f t="shared" ref="N24:N37" si="16">L24+M24</f>
        <v>4.2853863810819179</v>
      </c>
      <c r="O24" s="72">
        <f>'Proposed Rates'!E32</f>
        <v>4.29</v>
      </c>
      <c r="P24" s="72">
        <f>D24*M24</f>
        <v>26247.763641467554</v>
      </c>
      <c r="Q24" s="79">
        <f>F24*N24</f>
        <v>26909.523646651243</v>
      </c>
      <c r="R24" s="172">
        <f t="shared" ref="R24:R56" si="17">Q24-P24</f>
        <v>661.76000518368892</v>
      </c>
      <c r="S24" s="169"/>
      <c r="T24" s="129">
        <f>'Consolidated Cust Cnt'!B58</f>
        <v>5522.7063466628688</v>
      </c>
      <c r="U24" s="129">
        <f t="shared" ref="U24:U33" si="18">L24*T24</f>
        <v>582.01803565294142</v>
      </c>
      <c r="V24" s="129"/>
      <c r="W24" s="129">
        <f>'Consolidated Cust Cnt'!C58</f>
        <v>756.66294555424997</v>
      </c>
      <c r="X24" s="129">
        <f t="shared" ref="X24:X33" si="19">W24*L24</f>
        <v>79.741969530746928</v>
      </c>
      <c r="Y24" s="129"/>
      <c r="Z24" s="129">
        <f t="shared" si="5"/>
        <v>661.76000518368835</v>
      </c>
      <c r="AA24" s="129">
        <f t="shared" ref="AA24:AA40" si="20">T24*M24</f>
        <v>23084.912529050791</v>
      </c>
      <c r="AB24" s="129"/>
      <c r="AC24" s="129">
        <f t="shared" ref="AC24:AC40" si="21">W24*M24</f>
        <v>3162.8511124167649</v>
      </c>
      <c r="AE24" s="129">
        <f t="shared" ref="AE24:AE56" si="22">AA24+AC24</f>
        <v>26247.763641467554</v>
      </c>
      <c r="AF24" s="214"/>
    </row>
    <row r="25" spans="1:32" s="65" customFormat="1">
      <c r="A25" s="248"/>
      <c r="B25" s="49">
        <v>32</v>
      </c>
      <c r="C25" s="117" t="s">
        <v>163</v>
      </c>
      <c r="D25" s="116">
        <f>'Consolidated Cust Cnt'!D60</f>
        <v>186.66816749212066</v>
      </c>
      <c r="E25" s="74">
        <f>References!$C$14</f>
        <v>1</v>
      </c>
      <c r="F25" s="73">
        <f t="shared" si="3"/>
        <v>186.66816749212066</v>
      </c>
      <c r="G25" s="73">
        <f>References!C31</f>
        <v>125</v>
      </c>
      <c r="H25" s="73">
        <f t="shared" si="15"/>
        <v>23333.520936515084</v>
      </c>
      <c r="I25" s="48">
        <f>$C$141*H25</f>
        <v>18568.196977397183</v>
      </c>
      <c r="J25" s="72">
        <f>(References!$D$61*I25)</f>
        <v>70.930512453657059</v>
      </c>
      <c r="K25" s="72">
        <f>J25/References!$H$64</f>
        <v>72.324568511720472</v>
      </c>
      <c r="L25" s="72">
        <f>K25/F25</f>
        <v>0.38744993044822879</v>
      </c>
      <c r="M25" s="72">
        <f>'Proposed Rates'!C88</f>
        <v>22.71</v>
      </c>
      <c r="N25" s="72">
        <f t="shared" si="16"/>
        <v>23.097449930448228</v>
      </c>
      <c r="O25" s="72">
        <f>'Proposed Rates'!E88</f>
        <v>23.1</v>
      </c>
      <c r="P25" s="72">
        <f>D25*M25</f>
        <v>4239.2340837460606</v>
      </c>
      <c r="Q25" s="77">
        <f>F25*N25</f>
        <v>4311.5586522577805</v>
      </c>
      <c r="R25" s="172">
        <f t="shared" si="17"/>
        <v>72.324568511719917</v>
      </c>
      <c r="S25" s="169"/>
      <c r="T25" s="129">
        <f>'Consolidated Cust Cnt'!B60</f>
        <v>128</v>
      </c>
      <c r="U25" s="129">
        <f t="shared" si="18"/>
        <v>49.593591097373285</v>
      </c>
      <c r="V25" s="129"/>
      <c r="W25" s="129">
        <f>'Consolidated Cust Cnt'!C60</f>
        <v>58.668167492120666</v>
      </c>
      <c r="X25" s="129">
        <f t="shared" si="19"/>
        <v>22.730977414347191</v>
      </c>
      <c r="Y25" s="129"/>
      <c r="Z25" s="129">
        <f t="shared" si="5"/>
        <v>72.324568511720472</v>
      </c>
      <c r="AA25" s="129">
        <f t="shared" si="20"/>
        <v>2906.88</v>
      </c>
      <c r="AB25" s="129"/>
      <c r="AC25" s="129">
        <f t="shared" si="21"/>
        <v>1332.3540837460605</v>
      </c>
      <c r="AE25" s="129">
        <f t="shared" si="22"/>
        <v>4239.2340837460606</v>
      </c>
      <c r="AF25" s="214"/>
    </row>
    <row r="26" spans="1:32" s="65" customFormat="1">
      <c r="A26" s="248"/>
      <c r="B26" s="49">
        <v>25</v>
      </c>
      <c r="C26" s="117" t="s">
        <v>164</v>
      </c>
      <c r="D26" s="116">
        <f>'Consolidated Cust Cnt'!D76</f>
        <v>6446.2691828619618</v>
      </c>
      <c r="E26" s="74">
        <f>References!$C$11</f>
        <v>4.333333333333333</v>
      </c>
      <c r="F26" s="73">
        <f t="shared" si="3"/>
        <v>27933.833125735167</v>
      </c>
      <c r="G26" s="73">
        <f>References!C18</f>
        <v>34</v>
      </c>
      <c r="H26" s="73">
        <f t="shared" si="15"/>
        <v>949750.32627499569</v>
      </c>
      <c r="I26" s="48">
        <f>$C$141*H26</f>
        <v>755786.11498892005</v>
      </c>
      <c r="J26" s="72">
        <f>(References!$D$61*I26)</f>
        <v>2887.102959257667</v>
      </c>
      <c r="K26" s="72">
        <f>J26/References!$H$64</f>
        <v>2943.8455828674369</v>
      </c>
      <c r="L26" s="72">
        <f t="shared" ref="L26:L36" si="23">K26/F26*E26</f>
        <v>0.45667431802164554</v>
      </c>
      <c r="M26" s="96">
        <f>'Proposed Rates'!C36</f>
        <v>18.309999999999999</v>
      </c>
      <c r="N26" s="72">
        <f t="shared" si="16"/>
        <v>18.766674318021643</v>
      </c>
      <c r="O26" s="72">
        <f>'Proposed Rates'!E36</f>
        <v>18.77</v>
      </c>
      <c r="P26" s="72">
        <f>D26*M26</f>
        <v>118031.18873820252</v>
      </c>
      <c r="Q26" s="77">
        <f>D26*N26</f>
        <v>120975.03432106994</v>
      </c>
      <c r="R26" s="172">
        <f t="shared" si="17"/>
        <v>2943.8455828674196</v>
      </c>
      <c r="S26" s="169"/>
      <c r="T26" s="129">
        <f>'Consolidated Cust Cnt'!B76</f>
        <v>5273.5292601673182</v>
      </c>
      <c r="U26" s="129">
        <f t="shared" si="18"/>
        <v>2408.285378454103</v>
      </c>
      <c r="V26" s="129"/>
      <c r="W26" s="129">
        <f>'Consolidated Cust Cnt'!C76</f>
        <v>1172.7399226946436</v>
      </c>
      <c r="X26" s="129">
        <f t="shared" si="19"/>
        <v>535.56020441333374</v>
      </c>
      <c r="Y26" s="129"/>
      <c r="Z26" s="129">
        <f t="shared" si="5"/>
        <v>2943.8455828674369</v>
      </c>
      <c r="AA26" s="129">
        <f t="shared" si="20"/>
        <v>96558.320753663589</v>
      </c>
      <c r="AB26" s="129"/>
      <c r="AC26" s="129">
        <f t="shared" si="21"/>
        <v>21472.867984538923</v>
      </c>
      <c r="AE26" s="129">
        <f t="shared" si="22"/>
        <v>118031.18873820252</v>
      </c>
      <c r="AF26" s="214"/>
    </row>
    <row r="27" spans="1:32" s="65" customFormat="1">
      <c r="A27" s="248"/>
      <c r="B27" s="49">
        <v>25</v>
      </c>
      <c r="C27" s="117" t="s">
        <v>165</v>
      </c>
      <c r="D27" s="116">
        <f>'Consolidated Cust Cnt'!D77</f>
        <v>25</v>
      </c>
      <c r="E27" s="74">
        <f>References!$C$11</f>
        <v>4.333333333333333</v>
      </c>
      <c r="F27" s="73">
        <f t="shared" si="3"/>
        <v>108.33333333333333</v>
      </c>
      <c r="G27" s="73">
        <f>References!C18</f>
        <v>34</v>
      </c>
      <c r="H27" s="73">
        <f t="shared" si="15"/>
        <v>3683.333333333333</v>
      </c>
      <c r="I27" s="48">
        <f>$C$141*H27</f>
        <v>2931.0989564252582</v>
      </c>
      <c r="J27" s="72">
        <f>(References!$D$61*I27)</f>
        <v>11.196798013544457</v>
      </c>
      <c r="K27" s="72">
        <f>J27/References!$H$64</f>
        <v>11.416857950541138</v>
      </c>
      <c r="L27" s="72">
        <f t="shared" si="23"/>
        <v>0.45667431802164549</v>
      </c>
      <c r="M27" s="96">
        <f>'Proposed Rates'!C37</f>
        <v>19.059999999999999</v>
      </c>
      <c r="N27" s="72">
        <f t="shared" si="16"/>
        <v>19.516674318021643</v>
      </c>
      <c r="O27" s="72">
        <f>'Proposed Rates'!E37</f>
        <v>19.52</v>
      </c>
      <c r="P27" s="72">
        <f t="shared" ref="P27:P33" si="24">D27*M27</f>
        <v>476.49999999999994</v>
      </c>
      <c r="Q27" s="77">
        <f>D27*N27</f>
        <v>487.91685795054104</v>
      </c>
      <c r="R27" s="172">
        <f t="shared" si="17"/>
        <v>11.4168579505411</v>
      </c>
      <c r="S27" s="169"/>
      <c r="T27" s="129">
        <f>'Consolidated Cust Cnt'!B77</f>
        <v>25</v>
      </c>
      <c r="U27" s="129">
        <f t="shared" si="18"/>
        <v>11.416857950541138</v>
      </c>
      <c r="V27" s="129"/>
      <c r="W27" s="129">
        <f>'Consolidated Cust Cnt'!C77</f>
        <v>0</v>
      </c>
      <c r="X27" s="129">
        <f t="shared" si="19"/>
        <v>0</v>
      </c>
      <c r="Y27" s="129"/>
      <c r="Z27" s="129">
        <f t="shared" si="5"/>
        <v>11.416857950541138</v>
      </c>
      <c r="AA27" s="129">
        <f t="shared" si="20"/>
        <v>476.49999999999994</v>
      </c>
      <c r="AB27" s="129"/>
      <c r="AC27" s="129">
        <f t="shared" si="21"/>
        <v>0</v>
      </c>
      <c r="AE27" s="129">
        <f t="shared" si="22"/>
        <v>476.49999999999994</v>
      </c>
      <c r="AF27" s="214"/>
    </row>
    <row r="28" spans="1:32" s="65" customFormat="1">
      <c r="A28" s="248"/>
      <c r="B28" s="49">
        <v>25</v>
      </c>
      <c r="C28" s="117" t="s">
        <v>166</v>
      </c>
      <c r="D28" s="116">
        <f>'Consolidated Cust Cnt'!D78</f>
        <v>714.33399478559875</v>
      </c>
      <c r="E28" s="74">
        <f>References!$C$11</f>
        <v>4.333333333333333</v>
      </c>
      <c r="F28" s="73">
        <f t="shared" si="3"/>
        <v>3095.4473107375943</v>
      </c>
      <c r="G28" s="73">
        <f>References!C19</f>
        <v>51</v>
      </c>
      <c r="H28" s="73">
        <f t="shared" si="15"/>
        <v>157867.81284761732</v>
      </c>
      <c r="I28" s="48">
        <f>$C$141*H28</f>
        <v>125627.01759930927</v>
      </c>
      <c r="J28" s="72">
        <f>(References!$D$61*I28)</f>
        <v>479.89520722936015</v>
      </c>
      <c r="K28" s="72">
        <f>J28/References!$H$64</f>
        <v>489.32698486258653</v>
      </c>
      <c r="L28" s="72">
        <f t="shared" si="23"/>
        <v>0.68501147703246823</v>
      </c>
      <c r="M28" s="96">
        <f>'Proposed Rates'!C38</f>
        <v>28.77</v>
      </c>
      <c r="N28" s="72">
        <f t="shared" si="16"/>
        <v>29.455011477032468</v>
      </c>
      <c r="O28" s="72">
        <f>'Proposed Rates'!E38</f>
        <v>29.46</v>
      </c>
      <c r="P28" s="72">
        <f t="shared" si="24"/>
        <v>20551.389029981674</v>
      </c>
      <c r="Q28" s="77">
        <f>D28*N28</f>
        <v>21040.716014844264</v>
      </c>
      <c r="R28" s="172">
        <f t="shared" si="17"/>
        <v>489.3269848625896</v>
      </c>
      <c r="S28" s="169"/>
      <c r="T28" s="129">
        <f>'Consolidated Cust Cnt'!B78</f>
        <v>670.58381910042658</v>
      </c>
      <c r="U28" s="129">
        <f t="shared" si="18"/>
        <v>459.35761239605671</v>
      </c>
      <c r="V28" s="129"/>
      <c r="W28" s="129">
        <f>'Consolidated Cust Cnt'!C78</f>
        <v>43.750175685172174</v>
      </c>
      <c r="X28" s="129">
        <f t="shared" si="19"/>
        <v>29.969372466529769</v>
      </c>
      <c r="Y28" s="129"/>
      <c r="Z28" s="129">
        <f t="shared" si="5"/>
        <v>489.32698486258647</v>
      </c>
      <c r="AA28" s="129">
        <f t="shared" si="20"/>
        <v>19292.696475519271</v>
      </c>
      <c r="AB28" s="129"/>
      <c r="AC28" s="129">
        <f t="shared" si="21"/>
        <v>1258.6925544624035</v>
      </c>
      <c r="AE28" s="129">
        <f t="shared" si="22"/>
        <v>20551.389029981674</v>
      </c>
      <c r="AF28" s="214"/>
    </row>
    <row r="29" spans="1:32" s="65" customFormat="1">
      <c r="A29" s="248"/>
      <c r="B29" s="49">
        <v>25</v>
      </c>
      <c r="C29" s="117" t="s">
        <v>167</v>
      </c>
      <c r="D29" s="116">
        <f>'Consolidated Cust Cnt'!D79</f>
        <v>0</v>
      </c>
      <c r="E29" s="74">
        <f>References!$C$11</f>
        <v>4.333333333333333</v>
      </c>
      <c r="F29" s="73">
        <f t="shared" si="3"/>
        <v>0</v>
      </c>
      <c r="G29" s="73">
        <f>References!C19</f>
        <v>51</v>
      </c>
      <c r="H29" s="73">
        <f t="shared" si="15"/>
        <v>0</v>
      </c>
      <c r="I29" s="48">
        <f>$C$141*H29</f>
        <v>0</v>
      </c>
      <c r="J29" s="72">
        <f>(References!$D$61*I29)</f>
        <v>0</v>
      </c>
      <c r="K29" s="72">
        <f>J29/References!$H$64</f>
        <v>0</v>
      </c>
      <c r="L29" s="72">
        <f>L28</f>
        <v>0.68501147703246823</v>
      </c>
      <c r="M29" s="96">
        <f>'Proposed Rates'!C39</f>
        <v>29.52</v>
      </c>
      <c r="N29" s="72">
        <f t="shared" si="16"/>
        <v>30.205011477032468</v>
      </c>
      <c r="O29" s="72">
        <f>'Proposed Rates'!E39</f>
        <v>30.21</v>
      </c>
      <c r="P29" s="72">
        <f t="shared" ref="P29" si="25">D29*M29*12</f>
        <v>0</v>
      </c>
      <c r="Q29" s="77">
        <f t="shared" ref="Q29" si="26">D29*O29</f>
        <v>0</v>
      </c>
      <c r="R29" s="172">
        <f t="shared" si="17"/>
        <v>0</v>
      </c>
      <c r="S29" s="169"/>
      <c r="T29" s="129">
        <f>'Consolidated Cust Cnt'!B79</f>
        <v>0</v>
      </c>
      <c r="U29" s="129">
        <f t="shared" si="18"/>
        <v>0</v>
      </c>
      <c r="V29" s="129"/>
      <c r="W29" s="129">
        <f>'Consolidated Cust Cnt'!C79</f>
        <v>0</v>
      </c>
      <c r="X29" s="129">
        <f t="shared" si="19"/>
        <v>0</v>
      </c>
      <c r="Y29" s="129"/>
      <c r="Z29" s="129">
        <f t="shared" si="5"/>
        <v>0</v>
      </c>
      <c r="AA29" s="129">
        <f t="shared" si="20"/>
        <v>0</v>
      </c>
      <c r="AB29" s="129"/>
      <c r="AC29" s="129">
        <f t="shared" si="21"/>
        <v>0</v>
      </c>
      <c r="AE29" s="129">
        <f t="shared" si="22"/>
        <v>0</v>
      </c>
      <c r="AF29" s="214"/>
    </row>
    <row r="30" spans="1:32" s="65" customFormat="1">
      <c r="A30" s="248"/>
      <c r="B30" s="49">
        <v>25</v>
      </c>
      <c r="C30" s="117" t="s">
        <v>168</v>
      </c>
      <c r="D30" s="116">
        <f>'Consolidated Cust Cnt'!D80</f>
        <v>107.49999999999999</v>
      </c>
      <c r="E30" s="74">
        <f>References!$C$11</f>
        <v>4.333333333333333</v>
      </c>
      <c r="F30" s="73">
        <f t="shared" si="3"/>
        <v>465.83333333333326</v>
      </c>
      <c r="G30" s="73">
        <f>References!C20</f>
        <v>77</v>
      </c>
      <c r="H30" s="73">
        <f t="shared" si="15"/>
        <v>35869.166666666664</v>
      </c>
      <c r="I30" s="48">
        <f>$C$141*H30</f>
        <v>28543.731308011855</v>
      </c>
      <c r="J30" s="72">
        <f>(References!$D$61*I30)</f>
        <v>109.03705359660501</v>
      </c>
      <c r="K30" s="72">
        <f>J30/References!$H$64</f>
        <v>111.18004904188739</v>
      </c>
      <c r="L30" s="72">
        <f t="shared" si="23"/>
        <v>1.0342330143431386</v>
      </c>
      <c r="M30" s="96">
        <f>'Proposed Rates'!C40</f>
        <v>42.34</v>
      </c>
      <c r="N30" s="72">
        <f t="shared" si="16"/>
        <v>43.37423301434314</v>
      </c>
      <c r="O30" s="72">
        <f>'Proposed Rates'!E40</f>
        <v>43.370000000000005</v>
      </c>
      <c r="P30" s="72">
        <f t="shared" si="24"/>
        <v>4551.55</v>
      </c>
      <c r="Q30" s="77">
        <f>D30*N30</f>
        <v>4662.7300490418866</v>
      </c>
      <c r="R30" s="172">
        <f t="shared" si="17"/>
        <v>111.18004904188638</v>
      </c>
      <c r="S30" s="169"/>
      <c r="T30" s="129">
        <f>'Consolidated Cust Cnt'!B80</f>
        <v>83.499999999999986</v>
      </c>
      <c r="U30" s="129">
        <f t="shared" si="18"/>
        <v>86.358456697652059</v>
      </c>
      <c r="V30" s="129"/>
      <c r="W30" s="129">
        <f>'Consolidated Cust Cnt'!C80</f>
        <v>24</v>
      </c>
      <c r="X30" s="129">
        <f t="shared" si="19"/>
        <v>24.821592344235327</v>
      </c>
      <c r="Y30" s="129"/>
      <c r="Z30" s="129">
        <f>U30+X30</f>
        <v>111.18004904188739</v>
      </c>
      <c r="AA30" s="129">
        <f t="shared" si="20"/>
        <v>3535.39</v>
      </c>
      <c r="AB30" s="129"/>
      <c r="AC30" s="129">
        <f t="shared" si="21"/>
        <v>1016.1600000000001</v>
      </c>
      <c r="AE30" s="129">
        <f t="shared" si="22"/>
        <v>4551.55</v>
      </c>
      <c r="AF30" s="214"/>
    </row>
    <row r="31" spans="1:32" s="65" customFormat="1">
      <c r="A31" s="248"/>
      <c r="B31" s="49">
        <v>25</v>
      </c>
      <c r="C31" s="117" t="s">
        <v>169</v>
      </c>
      <c r="D31" s="116">
        <f>'Consolidated Cust Cnt'!D81</f>
        <v>12</v>
      </c>
      <c r="E31" s="74">
        <f>References!$C$11</f>
        <v>4.333333333333333</v>
      </c>
      <c r="F31" s="73">
        <f t="shared" si="3"/>
        <v>52</v>
      </c>
      <c r="G31" s="73">
        <f>References!C20</f>
        <v>77</v>
      </c>
      <c r="H31" s="73">
        <f t="shared" si="15"/>
        <v>4004</v>
      </c>
      <c r="I31" s="48">
        <f>$C$141*H31</f>
        <v>3186.2769832199283</v>
      </c>
      <c r="J31" s="72">
        <f>(References!$D$61*I31)</f>
        <v>12.171578075900095</v>
      </c>
      <c r="K31" s="72">
        <f>J31/References!$H$64</f>
        <v>12.410796172117664</v>
      </c>
      <c r="L31" s="72">
        <f t="shared" si="23"/>
        <v>1.0342330143431386</v>
      </c>
      <c r="M31" s="96">
        <f>'Proposed Rates'!C41</f>
        <v>43.09</v>
      </c>
      <c r="N31" s="72">
        <f t="shared" si="16"/>
        <v>44.12423301434314</v>
      </c>
      <c r="O31" s="72">
        <f>'Proposed Rates'!E41</f>
        <v>44.120000000000005</v>
      </c>
      <c r="P31" s="72">
        <f t="shared" si="24"/>
        <v>517.08000000000004</v>
      </c>
      <c r="Q31" s="77">
        <f>D31*N31</f>
        <v>529.49079617211771</v>
      </c>
      <c r="R31" s="172">
        <f t="shared" si="17"/>
        <v>12.410796172117671</v>
      </c>
      <c r="S31" s="169"/>
      <c r="T31" s="129">
        <f>'Consolidated Cust Cnt'!B81</f>
        <v>12</v>
      </c>
      <c r="U31" s="129">
        <f t="shared" si="18"/>
        <v>12.410796172117664</v>
      </c>
      <c r="V31" s="129"/>
      <c r="W31" s="129">
        <f>'Consolidated Cust Cnt'!C81</f>
        <v>0</v>
      </c>
      <c r="X31" s="129">
        <f t="shared" si="19"/>
        <v>0</v>
      </c>
      <c r="Y31" s="129"/>
      <c r="Z31" s="129">
        <f t="shared" si="5"/>
        <v>12.410796172117664</v>
      </c>
      <c r="AA31" s="129">
        <f t="shared" si="20"/>
        <v>517.08000000000004</v>
      </c>
      <c r="AB31" s="129"/>
      <c r="AC31" s="129">
        <f t="shared" si="21"/>
        <v>0</v>
      </c>
      <c r="AE31" s="129">
        <f t="shared" si="22"/>
        <v>517.08000000000004</v>
      </c>
      <c r="AF31" s="214"/>
    </row>
    <row r="32" spans="1:32" s="65" customFormat="1">
      <c r="A32" s="248"/>
      <c r="B32" s="49">
        <v>25</v>
      </c>
      <c r="C32" s="117" t="s">
        <v>170</v>
      </c>
      <c r="D32" s="116">
        <f>'Consolidated Cust Cnt'!D82</f>
        <v>57</v>
      </c>
      <c r="E32" s="74">
        <f>References!$C$11</f>
        <v>4.333333333333333</v>
      </c>
      <c r="F32" s="73">
        <f t="shared" si="3"/>
        <v>246.99999999999997</v>
      </c>
      <c r="G32" s="73">
        <f>References!C21</f>
        <v>97</v>
      </c>
      <c r="H32" s="73">
        <f t="shared" si="15"/>
        <v>23958.999999999996</v>
      </c>
      <c r="I32" s="48">
        <f>$C$141*H32</f>
        <v>19065.936623617945</v>
      </c>
      <c r="J32" s="72">
        <f>(References!$D$61*I32)</f>
        <v>72.831877902220356</v>
      </c>
      <c r="K32" s="72">
        <f>J32/References!$H$64</f>
        <v>74.263303068872887</v>
      </c>
      <c r="L32" s="72">
        <f t="shared" si="23"/>
        <v>1.3028649661205771</v>
      </c>
      <c r="M32" s="96">
        <f>'Proposed Rates'!C42</f>
        <v>55.99</v>
      </c>
      <c r="N32" s="72">
        <f t="shared" si="16"/>
        <v>57.292864966120582</v>
      </c>
      <c r="O32" s="72">
        <f>'Proposed Rates'!E42</f>
        <v>57.29</v>
      </c>
      <c r="P32" s="72">
        <f t="shared" si="24"/>
        <v>3191.4300000000003</v>
      </c>
      <c r="Q32" s="77">
        <f>D32*N32</f>
        <v>3265.6933030688733</v>
      </c>
      <c r="R32" s="172">
        <f t="shared" si="17"/>
        <v>74.263303068873029</v>
      </c>
      <c r="S32" s="169"/>
      <c r="T32" s="129">
        <f>'Consolidated Cust Cnt'!B82</f>
        <v>45</v>
      </c>
      <c r="U32" s="129">
        <f t="shared" si="18"/>
        <v>58.628923475425971</v>
      </c>
      <c r="V32" s="129"/>
      <c r="W32" s="129">
        <f>'Consolidated Cust Cnt'!C82</f>
        <v>12</v>
      </c>
      <c r="X32" s="129">
        <f t="shared" si="19"/>
        <v>15.634379593446926</v>
      </c>
      <c r="Y32" s="129"/>
      <c r="Z32" s="129">
        <f t="shared" si="5"/>
        <v>74.263303068872901</v>
      </c>
      <c r="AA32" s="129">
        <f t="shared" si="20"/>
        <v>2519.5500000000002</v>
      </c>
      <c r="AB32" s="129"/>
      <c r="AC32" s="129">
        <f t="shared" si="21"/>
        <v>671.88</v>
      </c>
      <c r="AE32" s="129">
        <f t="shared" si="22"/>
        <v>3191.4300000000003</v>
      </c>
      <c r="AF32" s="214"/>
    </row>
    <row r="33" spans="1:32" s="65" customFormat="1">
      <c r="A33" s="248"/>
      <c r="B33" s="49">
        <v>25</v>
      </c>
      <c r="C33" s="117" t="s">
        <v>171</v>
      </c>
      <c r="D33" s="116">
        <f>'Consolidated Cust Cnt'!D83</f>
        <v>12</v>
      </c>
      <c r="E33" s="74">
        <f>References!$C$11</f>
        <v>4.333333333333333</v>
      </c>
      <c r="F33" s="73">
        <f t="shared" si="3"/>
        <v>52</v>
      </c>
      <c r="G33" s="73">
        <f>References!C21</f>
        <v>97</v>
      </c>
      <c r="H33" s="73">
        <f t="shared" si="15"/>
        <v>5044</v>
      </c>
      <c r="I33" s="48">
        <f>$C$141*H33</f>
        <v>4013.8813944458834</v>
      </c>
      <c r="J33" s="72">
        <f>(References!$D$61*I33)</f>
        <v>15.333026926783235</v>
      </c>
      <c r="K33" s="72">
        <f>J33/References!$H$64</f>
        <v>15.634379593446926</v>
      </c>
      <c r="L33" s="72">
        <f t="shared" si="23"/>
        <v>1.3028649661205771</v>
      </c>
      <c r="M33" s="96">
        <f>'Proposed Rates'!C43</f>
        <v>56.74</v>
      </c>
      <c r="N33" s="72">
        <f t="shared" si="16"/>
        <v>58.042864966120582</v>
      </c>
      <c r="O33" s="72">
        <f>'Proposed Rates'!E43</f>
        <v>58.04</v>
      </c>
      <c r="P33" s="72">
        <f t="shared" si="24"/>
        <v>680.88</v>
      </c>
      <c r="Q33" s="77">
        <f>D33*N33</f>
        <v>696.51437959344696</v>
      </c>
      <c r="R33" s="172">
        <f t="shared" si="17"/>
        <v>15.634379593446965</v>
      </c>
      <c r="S33" s="169"/>
      <c r="T33" s="129">
        <f>'Consolidated Cust Cnt'!B83</f>
        <v>12</v>
      </c>
      <c r="U33" s="129">
        <f t="shared" si="18"/>
        <v>15.634379593446926</v>
      </c>
      <c r="V33" s="129"/>
      <c r="W33" s="129">
        <f>'Consolidated Cust Cnt'!C83</f>
        <v>0</v>
      </c>
      <c r="X33" s="129">
        <f t="shared" si="19"/>
        <v>0</v>
      </c>
      <c r="Y33" s="129"/>
      <c r="Z33" s="129">
        <f t="shared" si="5"/>
        <v>15.634379593446926</v>
      </c>
      <c r="AA33" s="129">
        <f t="shared" si="20"/>
        <v>680.88</v>
      </c>
      <c r="AB33" s="129"/>
      <c r="AC33" s="129">
        <f t="shared" si="21"/>
        <v>0</v>
      </c>
      <c r="AE33" s="129">
        <f t="shared" si="22"/>
        <v>680.88</v>
      </c>
      <c r="AF33" s="214"/>
    </row>
    <row r="34" spans="1:32" s="65" customFormat="1">
      <c r="A34" s="248"/>
      <c r="B34" s="49">
        <v>16</v>
      </c>
      <c r="C34" s="117" t="s">
        <v>173</v>
      </c>
      <c r="D34" s="116">
        <f>'Consolidated Cust Cnt'!D85</f>
        <v>11</v>
      </c>
      <c r="E34" s="74">
        <f>References!$C$11</f>
        <v>4.333333333333333</v>
      </c>
      <c r="F34" s="73">
        <f t="shared" si="3"/>
        <v>47.666666666666664</v>
      </c>
      <c r="G34" s="123">
        <v>40</v>
      </c>
      <c r="H34" s="123">
        <f t="shared" si="15"/>
        <v>1906.6666666666665</v>
      </c>
      <c r="I34" s="48">
        <f>$C$141*H34</f>
        <v>1517.2747539142513</v>
      </c>
      <c r="J34" s="72">
        <f>(References!$D$61*I34)</f>
        <v>5.7959895599524245</v>
      </c>
      <c r="K34" s="72">
        <f>J34/References!$H$64</f>
        <v>5.9099029391036479</v>
      </c>
      <c r="L34" s="72">
        <f t="shared" ref="L34" si="27">K34/F34</f>
        <v>0.12398397774343319</v>
      </c>
      <c r="M34" s="96">
        <f>'Proposed Rates'!C8</f>
        <v>7.64</v>
      </c>
      <c r="N34" s="72">
        <f t="shared" si="16"/>
        <v>7.7639839777434325</v>
      </c>
      <c r="O34" s="72">
        <f>'Proposed Rates'!E8</f>
        <v>7.76</v>
      </c>
      <c r="P34" s="72">
        <f>F34*M34</f>
        <v>364.17333333333329</v>
      </c>
      <c r="Q34" s="77">
        <f t="shared" ref="Q34:Q39" si="28">F34*N34</f>
        <v>370.08323627243692</v>
      </c>
      <c r="R34" s="172">
        <f t="shared" si="17"/>
        <v>5.9099029391036311</v>
      </c>
      <c r="S34" s="169"/>
      <c r="T34" s="129">
        <f>'Consolidated Cust Cnt'!B85</f>
        <v>11</v>
      </c>
      <c r="U34" s="129">
        <f>L34*T34*E34</f>
        <v>5.9099029391036479</v>
      </c>
      <c r="V34" s="129"/>
      <c r="W34" s="129">
        <f>'Consolidated Cust Cnt'!C85</f>
        <v>0</v>
      </c>
      <c r="X34" s="129">
        <f>W34*L34*E34</f>
        <v>0</v>
      </c>
      <c r="Y34" s="129"/>
      <c r="Z34" s="129">
        <f t="shared" si="5"/>
        <v>5.9099029391036479</v>
      </c>
      <c r="AA34" s="129">
        <f>T34*M34*References!C$11</f>
        <v>364.17333333333329</v>
      </c>
      <c r="AB34" s="129"/>
      <c r="AC34" s="129">
        <f>W34*M34*References!C$11</f>
        <v>0</v>
      </c>
      <c r="AE34" s="129">
        <f t="shared" si="22"/>
        <v>364.17333333333329</v>
      </c>
      <c r="AF34" s="214"/>
    </row>
    <row r="35" spans="1:32" s="65" customFormat="1">
      <c r="A35" s="248"/>
      <c r="B35" s="49">
        <v>27</v>
      </c>
      <c r="C35" s="117" t="s">
        <v>174</v>
      </c>
      <c r="D35" s="116">
        <f>'Consolidated Cust Cnt'!D251</f>
        <v>13454.000000000002</v>
      </c>
      <c r="E35" s="74">
        <f>References!$C$14</f>
        <v>1</v>
      </c>
      <c r="F35" s="73">
        <f t="shared" si="3"/>
        <v>13454.000000000002</v>
      </c>
      <c r="G35" s="73">
        <f>References!C28</f>
        <v>34</v>
      </c>
      <c r="H35" s="73">
        <f t="shared" si="15"/>
        <v>457436.00000000006</v>
      </c>
      <c r="I35" s="48">
        <f>$C$141*H35</f>
        <v>364015.43408995785</v>
      </c>
      <c r="J35" s="72">
        <f>(References!$D$61*I35)</f>
        <v>1390.5389582236353</v>
      </c>
      <c r="K35" s="72">
        <f>J35/References!$H$64</f>
        <v>1417.8683710761277</v>
      </c>
      <c r="L35" s="72">
        <f t="shared" si="23"/>
        <v>0.1053863810819182</v>
      </c>
      <c r="M35" s="96">
        <f>'Proposed Rates'!C58</f>
        <v>11.06</v>
      </c>
      <c r="N35" s="72">
        <f t="shared" si="16"/>
        <v>11.165386381081918</v>
      </c>
      <c r="O35" s="72">
        <f>'Proposed Rates'!E58</f>
        <v>11.17</v>
      </c>
      <c r="P35" s="72">
        <f>F35*M35</f>
        <v>148801.24000000002</v>
      </c>
      <c r="Q35" s="77">
        <f t="shared" si="28"/>
        <v>150219.10837107614</v>
      </c>
      <c r="R35" s="172">
        <f t="shared" si="17"/>
        <v>1417.8683710761252</v>
      </c>
      <c r="S35" s="169"/>
      <c r="T35" s="129">
        <f>'Consolidated Cust Cnt'!B251</f>
        <v>11824.000000000002</v>
      </c>
      <c r="U35" s="129">
        <f>L35*T35</f>
        <v>1246.0885699126009</v>
      </c>
      <c r="V35" s="129"/>
      <c r="W35" s="129">
        <f>'Consolidated Cust Cnt'!C251</f>
        <v>1629.9999999999998</v>
      </c>
      <c r="X35" s="129">
        <f>W35*L35</f>
        <v>171.77980116352663</v>
      </c>
      <c r="Y35" s="129"/>
      <c r="Z35" s="129">
        <f t="shared" si="5"/>
        <v>1417.8683710761275</v>
      </c>
      <c r="AA35" s="129">
        <f t="shared" si="20"/>
        <v>130773.44000000003</v>
      </c>
      <c r="AB35" s="129"/>
      <c r="AC35" s="129">
        <f t="shared" si="21"/>
        <v>18027.8</v>
      </c>
      <c r="AE35" s="129">
        <f t="shared" si="22"/>
        <v>148801.24000000002</v>
      </c>
      <c r="AF35" s="214"/>
    </row>
    <row r="36" spans="1:32" s="65" customFormat="1">
      <c r="A36" s="248"/>
      <c r="B36" s="49">
        <v>27</v>
      </c>
      <c r="C36" s="117" t="s">
        <v>175</v>
      </c>
      <c r="D36" s="116">
        <f>'Consolidated Cust Cnt'!D252</f>
        <v>46452.036649214657</v>
      </c>
      <c r="E36" s="74">
        <f>References!$C$14</f>
        <v>1</v>
      </c>
      <c r="F36" s="73">
        <f t="shared" si="3"/>
        <v>46452.036649214657</v>
      </c>
      <c r="G36" s="73">
        <f>References!C28</f>
        <v>34</v>
      </c>
      <c r="H36" s="73">
        <f t="shared" si="15"/>
        <v>1579369.2460732984</v>
      </c>
      <c r="I36" s="48">
        <f>$C$141*H36</f>
        <v>1256820.1490431472</v>
      </c>
      <c r="J36" s="72">
        <f>(References!$D$61*I36)</f>
        <v>4801.0529693448098</v>
      </c>
      <c r="K36" s="72">
        <f>J36/References!$H$64</f>
        <v>4895.4120363453667</v>
      </c>
      <c r="L36" s="72">
        <f t="shared" si="23"/>
        <v>0.10538638108191821</v>
      </c>
      <c r="M36" s="96">
        <f>'Proposed Rates'!C59</f>
        <v>3.86</v>
      </c>
      <c r="N36" s="72">
        <f t="shared" si="16"/>
        <v>3.9653863810819181</v>
      </c>
      <c r="O36" s="72">
        <f>'Proposed Rates'!E59</f>
        <v>3.9699999999999998</v>
      </c>
      <c r="P36" s="72">
        <f>F36*M36</f>
        <v>179304.86146596857</v>
      </c>
      <c r="Q36" s="77">
        <f t="shared" si="28"/>
        <v>184200.27350231394</v>
      </c>
      <c r="R36" s="172">
        <f t="shared" si="17"/>
        <v>4895.4120363453694</v>
      </c>
      <c r="S36" s="169"/>
      <c r="T36" s="129">
        <f>'Consolidated Cust Cnt'!B252</f>
        <v>41547.036649214657</v>
      </c>
      <c r="U36" s="129">
        <f>L36*T36</f>
        <v>4378.4918371385584</v>
      </c>
      <c r="V36" s="129"/>
      <c r="W36" s="129">
        <f>'Consolidated Cust Cnt'!C252</f>
        <v>4905.0000000000009</v>
      </c>
      <c r="X36" s="129">
        <f>W36*L36</f>
        <v>516.92019920680889</v>
      </c>
      <c r="Y36" s="129"/>
      <c r="Z36" s="129">
        <f t="shared" si="5"/>
        <v>4895.4120363453676</v>
      </c>
      <c r="AA36" s="129">
        <f t="shared" si="20"/>
        <v>160371.56146596858</v>
      </c>
      <c r="AB36" s="129"/>
      <c r="AC36" s="129">
        <f t="shared" si="21"/>
        <v>18933.300000000003</v>
      </c>
      <c r="AE36" s="129">
        <f t="shared" si="22"/>
        <v>179304.8614659686</v>
      </c>
      <c r="AF36" s="214"/>
    </row>
    <row r="37" spans="1:32" s="65" customFormat="1">
      <c r="A37" s="248"/>
      <c r="B37" s="49">
        <v>28</v>
      </c>
      <c r="C37" s="117" t="s">
        <v>176</v>
      </c>
      <c r="D37" s="142">
        <f>'Consolidated Cust Cnt'!D88</f>
        <v>3687.8870791630015</v>
      </c>
      <c r="E37" s="74">
        <f>References!$C$11</f>
        <v>4.333333333333333</v>
      </c>
      <c r="F37" s="73">
        <f t="shared" si="3"/>
        <v>15980.844009706339</v>
      </c>
      <c r="G37" s="73">
        <f>References!$C$32</f>
        <v>175</v>
      </c>
      <c r="H37" s="73">
        <f>F37*G37</f>
        <v>2796647.7016986096</v>
      </c>
      <c r="I37" s="48">
        <f>$C$141*H37</f>
        <v>2225498.0524718259</v>
      </c>
      <c r="J37" s="72">
        <f>(References!$D$61*I37)</f>
        <v>8501.4025604423532</v>
      </c>
      <c r="K37" s="72">
        <f>J37/References!$H$64</f>
        <v>8668.4876600905991</v>
      </c>
      <c r="L37" s="72">
        <f>K37/F37</f>
        <v>0.54242990262752022</v>
      </c>
      <c r="M37" s="72">
        <f>'Proposed Rates'!C62</f>
        <v>24.92</v>
      </c>
      <c r="N37" s="72">
        <f t="shared" si="16"/>
        <v>25.462429902627523</v>
      </c>
      <c r="O37" s="72">
        <f>'Proposed Rates'!E62</f>
        <v>25.46</v>
      </c>
      <c r="P37" s="72">
        <f>F37*M37</f>
        <v>398242.63272188202</v>
      </c>
      <c r="Q37" s="77">
        <f t="shared" si="28"/>
        <v>406911.12038197264</v>
      </c>
      <c r="R37" s="172">
        <f t="shared" si="17"/>
        <v>8668.4876600906136</v>
      </c>
      <c r="S37" s="169"/>
      <c r="T37" s="129">
        <f>'Consolidated Cust Cnt'!B88</f>
        <v>3119.6526536042479</v>
      </c>
      <c r="U37" s="129">
        <f>L37*T37*E37</f>
        <v>7332.8358355470282</v>
      </c>
      <c r="V37" s="129"/>
      <c r="W37" s="129">
        <f>'Consolidated Cust Cnt'!C88</f>
        <v>568.23442555875363</v>
      </c>
      <c r="X37" s="129">
        <f t="shared" ref="X37:X56" si="29">W37*L37*E37</f>
        <v>1335.6518245435716</v>
      </c>
      <c r="Y37" s="129"/>
      <c r="Z37" s="129">
        <f t="shared" si="5"/>
        <v>8668.4876600905991</v>
      </c>
      <c r="AA37" s="129">
        <f>T37*M37*References!C$11</f>
        <v>336880.89122054406</v>
      </c>
      <c r="AB37" s="129"/>
      <c r="AC37" s="129">
        <f>W37*M37*References!C$11</f>
        <v>61361.741501337943</v>
      </c>
      <c r="AE37" s="129">
        <f t="shared" si="22"/>
        <v>398242.63272188202</v>
      </c>
      <c r="AF37" s="214"/>
    </row>
    <row r="38" spans="1:32" s="65" customFormat="1">
      <c r="A38" s="248"/>
      <c r="B38" s="49">
        <v>28</v>
      </c>
      <c r="C38" s="117" t="s">
        <v>177</v>
      </c>
      <c r="D38" s="142">
        <f>'Consolidated Cust Cnt'!D90</f>
        <v>666.74448442060964</v>
      </c>
      <c r="E38" s="74">
        <f>References!$C$11</f>
        <v>4.333333333333333</v>
      </c>
      <c r="F38" s="73">
        <f t="shared" si="3"/>
        <v>2889.2260991559747</v>
      </c>
      <c r="G38" s="73">
        <f>References!$C$33</f>
        <v>250</v>
      </c>
      <c r="H38" s="73">
        <f t="shared" ref="H38:H56" si="30">F38*G38</f>
        <v>722306.52478899364</v>
      </c>
      <c r="I38" s="48">
        <f>$C$141*H38</f>
        <v>574792.37131986639</v>
      </c>
      <c r="J38" s="72">
        <f>(References!$D$61*I38)</f>
        <v>2195.7068584418839</v>
      </c>
      <c r="K38" s="72">
        <f>J38/References!$H$64</f>
        <v>2238.8609023343793</v>
      </c>
      <c r="L38" s="72">
        <f t="shared" ref="L38:L101" si="31">K38/F38</f>
        <v>0.77489986089645746</v>
      </c>
      <c r="M38" s="72">
        <f>'Proposed Rates'!C63</f>
        <v>34.94</v>
      </c>
      <c r="N38" s="72">
        <f t="shared" ref="N38:N56" si="32">L38+M38</f>
        <v>35.714899860896452</v>
      </c>
      <c r="O38" s="72">
        <f>'Proposed Rates'!E63</f>
        <v>35.71</v>
      </c>
      <c r="P38" s="72">
        <f t="shared" ref="P38:P56" si="33">F38*M38</f>
        <v>100949.55990450975</v>
      </c>
      <c r="Q38" s="77">
        <f t="shared" si="28"/>
        <v>103188.42080684412</v>
      </c>
      <c r="R38" s="172">
        <f t="shared" si="17"/>
        <v>2238.8609023343743</v>
      </c>
      <c r="S38" s="169"/>
      <c r="T38" s="129">
        <f>'Consolidated Cust Cnt'!B90</f>
        <v>475.49450112179204</v>
      </c>
      <c r="U38" s="129">
        <f>L38*T38*E38</f>
        <v>1596.6626986973306</v>
      </c>
      <c r="V38" s="129"/>
      <c r="W38" s="129">
        <f>'Consolidated Cust Cnt'!C90</f>
        <v>191.24998329881757</v>
      </c>
      <c r="X38" s="129">
        <f t="shared" si="29"/>
        <v>642.19820363704866</v>
      </c>
      <c r="Y38" s="129"/>
      <c r="Z38" s="129">
        <f t="shared" si="5"/>
        <v>2238.8609023343793</v>
      </c>
      <c r="AA38" s="129">
        <f>T38*M38*$E38</f>
        <v>71993.037433180114</v>
      </c>
      <c r="AB38" s="129"/>
      <c r="AC38" s="129">
        <f>W38*M38*$E38</f>
        <v>28956.522471329637</v>
      </c>
      <c r="AE38" s="129">
        <f t="shared" si="22"/>
        <v>100949.55990450975</v>
      </c>
      <c r="AF38" s="214"/>
    </row>
    <row r="39" spans="1:32" s="65" customFormat="1">
      <c r="A39" s="248"/>
      <c r="B39" s="49" t="s">
        <v>236</v>
      </c>
      <c r="C39" s="117" t="s">
        <v>178</v>
      </c>
      <c r="D39" s="142">
        <f>'Consolidated Cust Cnt'!D91</f>
        <v>24.000000000000004</v>
      </c>
      <c r="E39" s="74">
        <f>References!$C$10</f>
        <v>8.6666666666666661</v>
      </c>
      <c r="F39" s="73">
        <f t="shared" si="3"/>
        <v>208.00000000000003</v>
      </c>
      <c r="G39" s="73">
        <f>References!$C$33</f>
        <v>250</v>
      </c>
      <c r="H39" s="73">
        <f t="shared" si="30"/>
        <v>52000.000000000007</v>
      </c>
      <c r="I39" s="48">
        <f>$C$141*H39</f>
        <v>41380.22056129777</v>
      </c>
      <c r="J39" s="72">
        <f>(References!$D$61*I39)</f>
        <v>158.07244254415707</v>
      </c>
      <c r="K39" s="72">
        <f>J39/References!$H$64</f>
        <v>161.17917106646314</v>
      </c>
      <c r="L39" s="72">
        <f t="shared" si="31"/>
        <v>0.77489986089645735</v>
      </c>
      <c r="M39" s="72">
        <f>M38</f>
        <v>34.94</v>
      </c>
      <c r="N39" s="72">
        <f t="shared" si="32"/>
        <v>35.714899860896452</v>
      </c>
      <c r="O39" s="72">
        <f>'Proposed Rates'!E63</f>
        <v>35.71</v>
      </c>
      <c r="P39" s="72">
        <f t="shared" si="33"/>
        <v>7267.52</v>
      </c>
      <c r="Q39" s="77">
        <f t="shared" si="28"/>
        <v>7428.6991710664634</v>
      </c>
      <c r="R39" s="172">
        <f t="shared" si="17"/>
        <v>161.17917106646291</v>
      </c>
      <c r="S39" s="169"/>
      <c r="T39" s="129">
        <f>'Consolidated Cust Cnt'!B91</f>
        <v>0</v>
      </c>
      <c r="U39" s="129">
        <f>L39*T39*References!D$11</f>
        <v>0</v>
      </c>
      <c r="V39" s="129"/>
      <c r="W39" s="129">
        <f>'Consolidated Cust Cnt'!C91</f>
        <v>24.000000000000004</v>
      </c>
      <c r="X39" s="129">
        <f t="shared" si="29"/>
        <v>161.17917106646317</v>
      </c>
      <c r="Y39" s="129"/>
      <c r="Z39" s="129">
        <f t="shared" si="5"/>
        <v>161.17917106646317</v>
      </c>
      <c r="AA39" s="129">
        <f>T39*M39*$E39</f>
        <v>0</v>
      </c>
      <c r="AB39" s="129"/>
      <c r="AC39" s="129">
        <f>W39*M39*$E39</f>
        <v>7267.52</v>
      </c>
      <c r="AE39" s="129">
        <f t="shared" si="22"/>
        <v>7267.52</v>
      </c>
      <c r="AF39" s="214"/>
    </row>
    <row r="40" spans="1:32" s="65" customFormat="1">
      <c r="A40" s="248"/>
      <c r="B40" s="49" t="s">
        <v>236</v>
      </c>
      <c r="C40" s="115" t="s">
        <v>179</v>
      </c>
      <c r="D40" s="142">
        <f>'Consolidated Cust Cnt'!D92</f>
        <v>0</v>
      </c>
      <c r="E40" s="74">
        <f>References!$C$9</f>
        <v>13</v>
      </c>
      <c r="F40" s="73">
        <f t="shared" si="3"/>
        <v>0</v>
      </c>
      <c r="G40" s="73">
        <f>References!$C$33</f>
        <v>250</v>
      </c>
      <c r="H40" s="73">
        <f t="shared" si="30"/>
        <v>0</v>
      </c>
      <c r="I40" s="48">
        <f>$C$141*H40</f>
        <v>0</v>
      </c>
      <c r="J40" s="72">
        <f>(References!$D$61*I40)</f>
        <v>0</v>
      </c>
      <c r="K40" s="72">
        <f>J40/References!$H$64</f>
        <v>0</v>
      </c>
      <c r="L40" s="72">
        <f>L39</f>
        <v>0.77489986089645735</v>
      </c>
      <c r="M40" s="72">
        <f>M38</f>
        <v>34.94</v>
      </c>
      <c r="N40" s="72">
        <f t="shared" si="32"/>
        <v>35.714899860896452</v>
      </c>
      <c r="O40" s="72">
        <f>'Proposed Rates'!E63</f>
        <v>35.71</v>
      </c>
      <c r="P40" s="72">
        <f t="shared" si="33"/>
        <v>0</v>
      </c>
      <c r="Q40" s="77"/>
      <c r="R40" s="172">
        <f t="shared" si="17"/>
        <v>0</v>
      </c>
      <c r="S40" s="169"/>
      <c r="T40" s="129">
        <f>'Consolidated Cust Cnt'!B92</f>
        <v>0</v>
      </c>
      <c r="U40" s="129">
        <f>L40*T40*References!E$11</f>
        <v>0</v>
      </c>
      <c r="V40" s="129"/>
      <c r="W40" s="129">
        <f>'Consolidated Cust Cnt'!C92</f>
        <v>0</v>
      </c>
      <c r="X40" s="129">
        <f t="shared" si="29"/>
        <v>0</v>
      </c>
      <c r="Y40" s="129"/>
      <c r="Z40" s="129">
        <f t="shared" si="5"/>
        <v>0</v>
      </c>
      <c r="AA40" s="129">
        <f t="shared" si="20"/>
        <v>0</v>
      </c>
      <c r="AB40" s="129"/>
      <c r="AC40" s="129">
        <f t="shared" si="21"/>
        <v>0</v>
      </c>
      <c r="AE40" s="129">
        <f t="shared" si="22"/>
        <v>0</v>
      </c>
      <c r="AF40" s="214"/>
    </row>
    <row r="41" spans="1:32" s="65" customFormat="1">
      <c r="A41" s="248"/>
      <c r="B41" s="49">
        <v>28</v>
      </c>
      <c r="C41" s="117" t="s">
        <v>180</v>
      </c>
      <c r="D41" s="142">
        <f>'Consolidated Cust Cnt'!D93</f>
        <v>1743.7916726097046</v>
      </c>
      <c r="E41" s="74">
        <f>References!$C$11</f>
        <v>4.333333333333333</v>
      </c>
      <c r="F41" s="73">
        <f t="shared" si="3"/>
        <v>7556.4305813087194</v>
      </c>
      <c r="G41" s="73">
        <f>References!$C$34</f>
        <v>324</v>
      </c>
      <c r="H41" s="73">
        <f t="shared" si="30"/>
        <v>2448283.5083440249</v>
      </c>
      <c r="I41" s="48">
        <f>$C$141*H41</f>
        <v>1948279.0686896858</v>
      </c>
      <c r="J41" s="72">
        <f>(References!$D$61*I41)</f>
        <v>7442.4260423945807</v>
      </c>
      <c r="K41" s="72">
        <f>J41/References!$H$64</f>
        <v>7588.6982002035038</v>
      </c>
      <c r="L41" s="72">
        <f t="shared" si="31"/>
        <v>1.004270219721809</v>
      </c>
      <c r="M41" s="72">
        <f>'Proposed Rates'!C64</f>
        <v>44.07</v>
      </c>
      <c r="N41" s="72">
        <f t="shared" si="32"/>
        <v>45.074270219721811</v>
      </c>
      <c r="O41" s="72">
        <f>'Proposed Rates'!$E$64</f>
        <v>45.07</v>
      </c>
      <c r="P41" s="72">
        <f t="shared" si="33"/>
        <v>333011.89571827528</v>
      </c>
      <c r="Q41" s="77">
        <f t="shared" ref="Q41:Q104" si="34">F41*N41</f>
        <v>340600.59391847876</v>
      </c>
      <c r="R41" s="172">
        <f t="shared" si="17"/>
        <v>7588.6982002034783</v>
      </c>
      <c r="S41" s="169"/>
      <c r="T41" s="129">
        <f>'Consolidated Cust Cnt'!B93</f>
        <v>937.74179118926463</v>
      </c>
      <c r="U41" s="129">
        <f t="shared" ref="U41:U56" si="35">L41*T41*E41</f>
        <v>4080.9000036131833</v>
      </c>
      <c r="V41" s="129"/>
      <c r="W41" s="129">
        <f>'Consolidated Cust Cnt'!C93</f>
        <v>806.0498814204401</v>
      </c>
      <c r="X41" s="129">
        <f t="shared" si="29"/>
        <v>3507.7981965903214</v>
      </c>
      <c r="Y41" s="129"/>
      <c r="Z41" s="129">
        <f t="shared" si="5"/>
        <v>7588.6982002035047</v>
      </c>
      <c r="AA41" s="129">
        <f t="shared" ref="AA41:AA48" si="36">T41*M41*$E41</f>
        <v>179080.54986341385</v>
      </c>
      <c r="AB41" s="129"/>
      <c r="AC41" s="129">
        <f t="shared" ref="AC41:AC48" si="37">W41*M41*$E41</f>
        <v>153931.34585486143</v>
      </c>
      <c r="AE41" s="129">
        <f t="shared" si="22"/>
        <v>333011.89571827528</v>
      </c>
      <c r="AF41" s="214"/>
    </row>
    <row r="42" spans="1:32" s="65" customFormat="1">
      <c r="A42" s="248"/>
      <c r="B42" s="49" t="s">
        <v>236</v>
      </c>
      <c r="C42" s="117" t="s">
        <v>181</v>
      </c>
      <c r="D42" s="142">
        <f>'Consolidated Cust Cnt'!D94</f>
        <v>122.75001346801346</v>
      </c>
      <c r="E42" s="74">
        <f>References!$C$10</f>
        <v>8.6666666666666661</v>
      </c>
      <c r="F42" s="73">
        <f t="shared" si="3"/>
        <v>1063.8334500561166</v>
      </c>
      <c r="G42" s="73">
        <f>References!$C$34</f>
        <v>324</v>
      </c>
      <c r="H42" s="73">
        <f t="shared" si="30"/>
        <v>344682.03781818179</v>
      </c>
      <c r="I42" s="48">
        <f>$C$141*H42</f>
        <v>274288.8220852681</v>
      </c>
      <c r="J42" s="72">
        <f>(References!$D$61*I42)</f>
        <v>1047.7833003657215</v>
      </c>
      <c r="K42" s="72">
        <f>J42/References!$H$64</f>
        <v>1068.3762526352664</v>
      </c>
      <c r="L42" s="72">
        <f t="shared" si="31"/>
        <v>1.004270219721809</v>
      </c>
      <c r="M42" s="72">
        <f>M41</f>
        <v>44.07</v>
      </c>
      <c r="N42" s="72">
        <f t="shared" si="32"/>
        <v>45.074270219721811</v>
      </c>
      <c r="O42" s="72">
        <f>'Proposed Rates'!$E$64</f>
        <v>45.07</v>
      </c>
      <c r="P42" s="72">
        <f t="shared" si="33"/>
        <v>46883.140143973062</v>
      </c>
      <c r="Q42" s="77">
        <f t="shared" si="34"/>
        <v>47951.516396608327</v>
      </c>
      <c r="R42" s="172">
        <f t="shared" si="17"/>
        <v>1068.3762526352657</v>
      </c>
      <c r="S42" s="169"/>
      <c r="T42" s="129">
        <f>'Consolidated Cust Cnt'!B94</f>
        <v>50.750013468013471</v>
      </c>
      <c r="U42" s="129">
        <f t="shared" si="35"/>
        <v>441.71163552885758</v>
      </c>
      <c r="V42" s="129"/>
      <c r="W42" s="129">
        <f>'Consolidated Cust Cnt'!C94</f>
        <v>72</v>
      </c>
      <c r="X42" s="129">
        <f t="shared" si="29"/>
        <v>626.66461710640874</v>
      </c>
      <c r="Y42" s="129"/>
      <c r="Z42" s="129">
        <f t="shared" si="5"/>
        <v>1068.3762526352664</v>
      </c>
      <c r="AA42" s="129">
        <f t="shared" si="36"/>
        <v>19383.460143973061</v>
      </c>
      <c r="AB42" s="129"/>
      <c r="AC42" s="129">
        <f t="shared" si="37"/>
        <v>27499.679999999997</v>
      </c>
      <c r="AE42" s="129">
        <f t="shared" si="22"/>
        <v>46883.140143973054</v>
      </c>
      <c r="AF42" s="214"/>
    </row>
    <row r="43" spans="1:32" s="65" customFormat="1">
      <c r="A43" s="248"/>
      <c r="B43" s="49" t="s">
        <v>236</v>
      </c>
      <c r="C43" s="117" t="s">
        <v>182</v>
      </c>
      <c r="D43" s="142">
        <f>'Consolidated Cust Cnt'!D95</f>
        <v>22.58066369774458</v>
      </c>
      <c r="E43" s="74">
        <f>References!$C$9</f>
        <v>13</v>
      </c>
      <c r="F43" s="73">
        <f t="shared" si="3"/>
        <v>293.54862807067951</v>
      </c>
      <c r="G43" s="73">
        <f>References!$C$34</f>
        <v>324</v>
      </c>
      <c r="H43" s="73">
        <f t="shared" si="30"/>
        <v>95109.755494900164</v>
      </c>
      <c r="I43" s="48">
        <f>$C$141*H43</f>
        <v>75685.820382885984</v>
      </c>
      <c r="J43" s="72">
        <f>(References!$D$61*I43)</f>
        <v>289.11983386262369</v>
      </c>
      <c r="K43" s="72">
        <f>J43/References!$H$64</f>
        <v>294.80214521157683</v>
      </c>
      <c r="L43" s="72">
        <f t="shared" si="31"/>
        <v>1.0042702197218087</v>
      </c>
      <c r="M43" s="72">
        <f>M41</f>
        <v>44.07</v>
      </c>
      <c r="N43" s="72">
        <f t="shared" si="32"/>
        <v>45.074270219721811</v>
      </c>
      <c r="O43" s="72">
        <f>'Proposed Rates'!$E$64</f>
        <v>45.07</v>
      </c>
      <c r="P43" s="72">
        <f t="shared" si="33"/>
        <v>12936.688039074847</v>
      </c>
      <c r="Q43" s="77">
        <f t="shared" si="34"/>
        <v>13231.490184286424</v>
      </c>
      <c r="R43" s="172">
        <f t="shared" si="17"/>
        <v>294.80214521157723</v>
      </c>
      <c r="S43" s="169"/>
      <c r="T43" s="129">
        <f>'Consolidated Cust Cnt'!B95</f>
        <v>22.58066369774458</v>
      </c>
      <c r="U43" s="129">
        <f t="shared" si="35"/>
        <v>294.80214521157683</v>
      </c>
      <c r="V43" s="129"/>
      <c r="W43" s="129">
        <f>'Consolidated Cust Cnt'!C95</f>
        <v>0</v>
      </c>
      <c r="X43" s="129">
        <f t="shared" si="29"/>
        <v>0</v>
      </c>
      <c r="Y43" s="129"/>
      <c r="Z43" s="129">
        <f t="shared" si="5"/>
        <v>294.80214521157683</v>
      </c>
      <c r="AA43" s="129">
        <f t="shared" si="36"/>
        <v>12936.688039074847</v>
      </c>
      <c r="AB43" s="129"/>
      <c r="AC43" s="129">
        <f t="shared" si="37"/>
        <v>0</v>
      </c>
      <c r="AE43" s="129">
        <f t="shared" si="22"/>
        <v>12936.688039074847</v>
      </c>
      <c r="AF43" s="214"/>
    </row>
    <row r="44" spans="1:32" s="65" customFormat="1">
      <c r="A44" s="248"/>
      <c r="B44" s="49">
        <v>28</v>
      </c>
      <c r="C44" s="117" t="s">
        <v>183</v>
      </c>
      <c r="D44" s="142">
        <f>'Consolidated Cust Cnt'!D96</f>
        <v>271.49893765724232</v>
      </c>
      <c r="E44" s="74">
        <f>References!$C$11</f>
        <v>4.333333333333333</v>
      </c>
      <c r="F44" s="73">
        <f t="shared" si="3"/>
        <v>1176.4953965147167</v>
      </c>
      <c r="G44" s="73">
        <f>References!$C$36</f>
        <v>613</v>
      </c>
      <c r="H44" s="73">
        <f t="shared" si="30"/>
        <v>721191.67806352139</v>
      </c>
      <c r="I44" s="48">
        <f>$C$141*H44</f>
        <v>573905.20587001857</v>
      </c>
      <c r="J44" s="72">
        <f>(References!$D$61*I44)</f>
        <v>2192.3178864234651</v>
      </c>
      <c r="K44" s="72">
        <f>J44/References!$H$64</f>
        <v>2235.4053240444214</v>
      </c>
      <c r="L44" s="72">
        <f t="shared" si="31"/>
        <v>1.9000544589181134</v>
      </c>
      <c r="M44" s="72">
        <f>'Proposed Rates'!C65</f>
        <v>83.82</v>
      </c>
      <c r="N44" s="72">
        <f t="shared" si="32"/>
        <v>85.720054458918113</v>
      </c>
      <c r="O44" s="72">
        <f>'Proposed Rates'!$E$65</f>
        <v>85.72</v>
      </c>
      <c r="P44" s="72">
        <f t="shared" si="33"/>
        <v>98613.844135863546</v>
      </c>
      <c r="Q44" s="77">
        <f t="shared" si="34"/>
        <v>100849.24945990798</v>
      </c>
      <c r="R44" s="172">
        <f t="shared" si="17"/>
        <v>2235.4053240444337</v>
      </c>
      <c r="S44" s="169"/>
      <c r="T44" s="129">
        <f>'Consolidated Cust Cnt'!B96</f>
        <v>230.49893765724232</v>
      </c>
      <c r="U44" s="129">
        <f t="shared" si="35"/>
        <v>1897.8289818433032</v>
      </c>
      <c r="V44" s="129"/>
      <c r="W44" s="129">
        <f>'Consolidated Cust Cnt'!C96</f>
        <v>40.999999999999993</v>
      </c>
      <c r="X44" s="129">
        <f t="shared" si="29"/>
        <v>337.57634220111805</v>
      </c>
      <c r="Y44" s="129"/>
      <c r="Z44" s="129">
        <f t="shared" si="5"/>
        <v>2235.4053240444214</v>
      </c>
      <c r="AA44" s="129">
        <f t="shared" si="36"/>
        <v>83721.824135863542</v>
      </c>
      <c r="AB44" s="129"/>
      <c r="AC44" s="129">
        <f t="shared" si="37"/>
        <v>14892.019999999995</v>
      </c>
      <c r="AE44" s="129">
        <f t="shared" si="22"/>
        <v>98613.844135863532</v>
      </c>
      <c r="AF44" s="214"/>
    </row>
    <row r="45" spans="1:32" s="65" customFormat="1">
      <c r="A45" s="248"/>
      <c r="B45" s="49" t="s">
        <v>236</v>
      </c>
      <c r="C45" s="117" t="s">
        <v>184</v>
      </c>
      <c r="D45" s="142">
        <f>'Consolidated Cust Cnt'!D97</f>
        <v>23.999971677004559</v>
      </c>
      <c r="E45" s="74">
        <f>References!$C$10</f>
        <v>8.6666666666666661</v>
      </c>
      <c r="F45" s="73">
        <f t="shared" si="3"/>
        <v>207.99975453403951</v>
      </c>
      <c r="G45" s="73">
        <f>References!$C$36</f>
        <v>613</v>
      </c>
      <c r="H45" s="73">
        <f t="shared" si="30"/>
        <v>127503.84952936623</v>
      </c>
      <c r="I45" s="48">
        <f>$C$141*H45</f>
        <v>101464.18107576341</v>
      </c>
      <c r="J45" s="72">
        <f>(References!$D$61*I45)</f>
        <v>387.59317170941523</v>
      </c>
      <c r="K45" s="72">
        <f>J45/References!$H$64</f>
        <v>395.21086105627495</v>
      </c>
      <c r="L45" s="72">
        <f t="shared" si="31"/>
        <v>1.9000544589181139</v>
      </c>
      <c r="M45" s="72">
        <f>M44</f>
        <v>83.82</v>
      </c>
      <c r="N45" s="72">
        <f t="shared" si="32"/>
        <v>85.720054458918113</v>
      </c>
      <c r="O45" s="72">
        <f>'Proposed Rates'!$E$65</f>
        <v>85.72</v>
      </c>
      <c r="P45" s="72">
        <f t="shared" si="33"/>
        <v>17434.539425043189</v>
      </c>
      <c r="Q45" s="77">
        <f t="shared" si="34"/>
        <v>17829.750286099468</v>
      </c>
      <c r="R45" s="172">
        <f t="shared" si="17"/>
        <v>395.2108610562791</v>
      </c>
      <c r="S45" s="169"/>
      <c r="T45" s="129">
        <f>'Consolidated Cust Cnt'!B97</f>
        <v>11.999971677004559</v>
      </c>
      <c r="U45" s="129">
        <f t="shared" si="35"/>
        <v>197.60519732879109</v>
      </c>
      <c r="V45" s="129"/>
      <c r="W45" s="129">
        <f>'Consolidated Cust Cnt'!C97</f>
        <v>12</v>
      </c>
      <c r="X45" s="129">
        <f t="shared" si="29"/>
        <v>197.60566372748383</v>
      </c>
      <c r="Y45" s="129"/>
      <c r="Z45" s="129">
        <f t="shared" si="5"/>
        <v>395.21086105627489</v>
      </c>
      <c r="AA45" s="129">
        <f t="shared" si="36"/>
        <v>8717.2594250431903</v>
      </c>
      <c r="AB45" s="129"/>
      <c r="AC45" s="129">
        <f t="shared" si="37"/>
        <v>8717.2799999999988</v>
      </c>
      <c r="AE45" s="129">
        <f t="shared" si="22"/>
        <v>17434.539425043189</v>
      </c>
      <c r="AF45" s="214"/>
    </row>
    <row r="46" spans="1:32" s="65" customFormat="1">
      <c r="A46" s="248"/>
      <c r="B46" s="49">
        <v>28</v>
      </c>
      <c r="C46" s="117" t="s">
        <v>186</v>
      </c>
      <c r="D46" s="142">
        <f>'Consolidated Cust Cnt'!D99</f>
        <v>350.99915505263021</v>
      </c>
      <c r="E46" s="74">
        <f>References!$C$11</f>
        <v>4.333333333333333</v>
      </c>
      <c r="F46" s="73">
        <f t="shared" si="3"/>
        <v>1520.9963385613976</v>
      </c>
      <c r="G46" s="73">
        <f>References!$C$37</f>
        <v>840</v>
      </c>
      <c r="H46" s="73">
        <f t="shared" si="30"/>
        <v>1277636.924391574</v>
      </c>
      <c r="I46" s="48">
        <f>$C$141*H46</f>
        <v>1016709.5717034895</v>
      </c>
      <c r="J46" s="72">
        <f>(References!$D$61*I46)</f>
        <v>3883.8305639073201</v>
      </c>
      <c r="K46" s="72">
        <f>J46/References!$H$64</f>
        <v>3960.162699948834</v>
      </c>
      <c r="L46" s="72">
        <f t="shared" si="31"/>
        <v>2.6036635326120972</v>
      </c>
      <c r="M46" s="72">
        <f>'Proposed Rates'!C66</f>
        <v>117.97</v>
      </c>
      <c r="N46" s="72">
        <f t="shared" si="32"/>
        <v>120.5736635326121</v>
      </c>
      <c r="O46" s="72">
        <f>'Proposed Rates'!$E$66</f>
        <v>120.57</v>
      </c>
      <c r="P46" s="72">
        <f t="shared" si="33"/>
        <v>179431.93806008808</v>
      </c>
      <c r="Q46" s="77">
        <f t="shared" si="34"/>
        <v>183392.1007600369</v>
      </c>
      <c r="R46" s="172">
        <f t="shared" si="17"/>
        <v>3960.1626999488217</v>
      </c>
      <c r="S46" s="169"/>
      <c r="T46" s="129">
        <f>'Consolidated Cust Cnt'!B99</f>
        <v>266.99915505263021</v>
      </c>
      <c r="U46" s="129">
        <f t="shared" si="35"/>
        <v>3012.4291740780304</v>
      </c>
      <c r="V46" s="129"/>
      <c r="W46" s="129">
        <f>'Consolidated Cust Cnt'!C99</f>
        <v>84</v>
      </c>
      <c r="X46" s="129">
        <f t="shared" si="29"/>
        <v>947.73352587080331</v>
      </c>
      <c r="Y46" s="129"/>
      <c r="Z46" s="129">
        <f t="shared" si="5"/>
        <v>3960.1626999488335</v>
      </c>
      <c r="AA46" s="129">
        <f t="shared" si="36"/>
        <v>136490.85806008807</v>
      </c>
      <c r="AB46" s="129"/>
      <c r="AC46" s="129">
        <f t="shared" si="37"/>
        <v>42941.079999999994</v>
      </c>
      <c r="AE46" s="129">
        <f t="shared" si="22"/>
        <v>179431.93806008805</v>
      </c>
      <c r="AF46" s="214"/>
    </row>
    <row r="47" spans="1:32" s="65" customFormat="1">
      <c r="A47" s="248"/>
      <c r="B47" s="49" t="s">
        <v>236</v>
      </c>
      <c r="C47" s="117" t="s">
        <v>187</v>
      </c>
      <c r="D47" s="142">
        <f>'Consolidated Cust Cnt'!D100</f>
        <v>222.67744400898127</v>
      </c>
      <c r="E47" s="74">
        <f>References!$C$10</f>
        <v>8.6666666666666661</v>
      </c>
      <c r="F47" s="73">
        <f t="shared" si="3"/>
        <v>1929.8711814111709</v>
      </c>
      <c r="G47" s="73">
        <f>References!$C$37</f>
        <v>840</v>
      </c>
      <c r="H47" s="73">
        <f t="shared" si="30"/>
        <v>1621091.7923853835</v>
      </c>
      <c r="I47" s="48">
        <f>$C$141*H47</f>
        <v>1290021.8445964749</v>
      </c>
      <c r="J47" s="72">
        <f>(References!$D$61*I47)</f>
        <v>4927.8834463585217</v>
      </c>
      <c r="K47" s="72">
        <f>J47/References!$H$64</f>
        <v>5024.7352176792901</v>
      </c>
      <c r="L47" s="72">
        <f t="shared" si="31"/>
        <v>2.6036635326120967</v>
      </c>
      <c r="M47" s="72">
        <f>M46</f>
        <v>117.97</v>
      </c>
      <c r="N47" s="72">
        <f t="shared" si="32"/>
        <v>120.5736635326121</v>
      </c>
      <c r="O47" s="72">
        <f>'Proposed Rates'!$E$66</f>
        <v>120.57</v>
      </c>
      <c r="P47" s="72">
        <f t="shared" si="33"/>
        <v>227666.90327107583</v>
      </c>
      <c r="Q47" s="77">
        <f t="shared" si="34"/>
        <v>232691.63848875512</v>
      </c>
      <c r="R47" s="172">
        <f t="shared" si="17"/>
        <v>5024.735217679292</v>
      </c>
      <c r="S47" s="169"/>
      <c r="T47" s="129">
        <f>'Consolidated Cust Cnt'!B100</f>
        <v>174.67744400898127</v>
      </c>
      <c r="U47" s="129">
        <f t="shared" si="35"/>
        <v>3941.6111881126571</v>
      </c>
      <c r="V47" s="129"/>
      <c r="W47" s="129">
        <f>'Consolidated Cust Cnt'!C100</f>
        <v>48.000000000000007</v>
      </c>
      <c r="X47" s="129">
        <f t="shared" si="29"/>
        <v>1083.1240295666323</v>
      </c>
      <c r="Y47" s="129"/>
      <c r="Z47" s="129">
        <f t="shared" si="5"/>
        <v>5024.7352176792892</v>
      </c>
      <c r="AA47" s="129">
        <f t="shared" si="36"/>
        <v>178591.38327107581</v>
      </c>
      <c r="AB47" s="129"/>
      <c r="AC47" s="129">
        <f t="shared" si="37"/>
        <v>49075.519999999997</v>
      </c>
      <c r="AE47" s="129">
        <f t="shared" si="22"/>
        <v>227666.9032710758</v>
      </c>
      <c r="AF47" s="214"/>
    </row>
    <row r="48" spans="1:32" s="65" customFormat="1">
      <c r="A48" s="248"/>
      <c r="B48" s="49" t="s">
        <v>236</v>
      </c>
      <c r="C48" s="117" t="s">
        <v>188</v>
      </c>
      <c r="D48" s="142">
        <f>'Consolidated Cust Cnt'!D101</f>
        <v>23.999999999999996</v>
      </c>
      <c r="E48" s="74">
        <f>References!$C$9</f>
        <v>13</v>
      </c>
      <c r="F48" s="73">
        <f t="shared" si="3"/>
        <v>311.99999999999994</v>
      </c>
      <c r="G48" s="73">
        <f>References!$C$37</f>
        <v>840</v>
      </c>
      <c r="H48" s="73">
        <f t="shared" si="30"/>
        <v>262079.99999999994</v>
      </c>
      <c r="I48" s="48">
        <f>$C$141*H48</f>
        <v>208556.31162894072</v>
      </c>
      <c r="J48" s="72">
        <f>(References!$D$61*I48)</f>
        <v>796.68511042255147</v>
      </c>
      <c r="K48" s="72">
        <f>J48/References!$H$64</f>
        <v>812.34302217497418</v>
      </c>
      <c r="L48" s="72">
        <f t="shared" si="31"/>
        <v>2.6036635326120972</v>
      </c>
      <c r="M48" s="72">
        <f>M46</f>
        <v>117.97</v>
      </c>
      <c r="N48" s="72">
        <f t="shared" si="32"/>
        <v>120.5736635326121</v>
      </c>
      <c r="O48" s="72">
        <f>'Proposed Rates'!$E$66</f>
        <v>120.57</v>
      </c>
      <c r="P48" s="72">
        <f t="shared" si="33"/>
        <v>36806.639999999992</v>
      </c>
      <c r="Q48" s="77">
        <f t="shared" si="34"/>
        <v>37618.983022174965</v>
      </c>
      <c r="R48" s="172">
        <f t="shared" si="17"/>
        <v>812.34302217497316</v>
      </c>
      <c r="S48" s="169"/>
      <c r="T48" s="129">
        <f>'Consolidated Cust Cnt'!B101</f>
        <v>23.999999999999996</v>
      </c>
      <c r="U48" s="129">
        <f t="shared" si="35"/>
        <v>812.34302217497418</v>
      </c>
      <c r="V48" s="129"/>
      <c r="W48" s="129">
        <f>'Consolidated Cust Cnt'!C101</f>
        <v>0</v>
      </c>
      <c r="X48" s="129">
        <f t="shared" si="29"/>
        <v>0</v>
      </c>
      <c r="Y48" s="129"/>
      <c r="Z48" s="129">
        <f t="shared" si="5"/>
        <v>812.34302217497418</v>
      </c>
      <c r="AA48" s="129">
        <f t="shared" si="36"/>
        <v>36806.639999999999</v>
      </c>
      <c r="AB48" s="129"/>
      <c r="AC48" s="129">
        <f t="shared" si="37"/>
        <v>0</v>
      </c>
      <c r="AE48" s="129">
        <f t="shared" si="22"/>
        <v>36806.639999999999</v>
      </c>
      <c r="AF48" s="214"/>
    </row>
    <row r="49" spans="1:32" s="65" customFormat="1">
      <c r="A49" s="248"/>
      <c r="B49" s="49">
        <v>28</v>
      </c>
      <c r="C49" s="117" t="s">
        <v>190</v>
      </c>
      <c r="D49" s="142">
        <f>'Consolidated Cust Cnt'!D103</f>
        <v>146.6281425891182</v>
      </c>
      <c r="E49" s="74">
        <f>References!$C$14</f>
        <v>1</v>
      </c>
      <c r="F49" s="73">
        <f t="shared" si="3"/>
        <v>146.6281425891182</v>
      </c>
      <c r="G49" s="73">
        <f>References!$C$32</f>
        <v>175</v>
      </c>
      <c r="H49" s="73">
        <f t="shared" si="30"/>
        <v>25659.924953095684</v>
      </c>
      <c r="I49" s="48">
        <f>$C$141*H49</f>
        <v>20419.487579720149</v>
      </c>
      <c r="J49" s="72">
        <f>(References!$D$61*I49)</f>
        <v>78.002442554530774</v>
      </c>
      <c r="K49" s="72">
        <f>J49/References!$H$64</f>
        <v>79.535489107069537</v>
      </c>
      <c r="L49" s="72">
        <f t="shared" si="31"/>
        <v>0.54242990262752022</v>
      </c>
      <c r="M49" s="72">
        <f>'Proposed Rates'!C76</f>
        <v>26.93</v>
      </c>
      <c r="N49" s="72">
        <f t="shared" si="32"/>
        <v>27.472429902627521</v>
      </c>
      <c r="O49" s="72">
        <f>'Proposed Rates'!E76</f>
        <v>27.47</v>
      </c>
      <c r="P49" s="72">
        <f t="shared" si="33"/>
        <v>3948.6958799249533</v>
      </c>
      <c r="Q49" s="77">
        <f t="shared" si="34"/>
        <v>4028.2313690320229</v>
      </c>
      <c r="R49" s="172">
        <f t="shared" si="17"/>
        <v>79.535489107069679</v>
      </c>
      <c r="S49" s="169"/>
      <c r="T49" s="129">
        <f>'Consolidated Cust Cnt'!B103</f>
        <v>101.95609756097561</v>
      </c>
      <c r="U49" s="129">
        <f t="shared" si="35"/>
        <v>55.304036072281953</v>
      </c>
      <c r="V49" s="129"/>
      <c r="W49" s="129">
        <f>'Consolidated Cust Cnt'!C103</f>
        <v>44.672045028142598</v>
      </c>
      <c r="X49" s="129">
        <f t="shared" si="29"/>
        <v>24.231453034787588</v>
      </c>
      <c r="Y49" s="129"/>
      <c r="Z49" s="129">
        <f>U49+X49</f>
        <v>79.535489107069537</v>
      </c>
      <c r="AA49" s="129">
        <f t="shared" ref="AA49:AA56" si="38">T49*M49*$E49</f>
        <v>2745.6777073170729</v>
      </c>
      <c r="AB49" s="129"/>
      <c r="AC49" s="129">
        <f t="shared" ref="AC49:AC56" si="39">W49*M49*$E49</f>
        <v>1203.0181726078802</v>
      </c>
      <c r="AE49" s="129">
        <f t="shared" si="22"/>
        <v>3948.6958799249533</v>
      </c>
      <c r="AF49" s="214"/>
    </row>
    <row r="50" spans="1:32" s="65" customFormat="1">
      <c r="A50" s="248"/>
      <c r="B50" s="49">
        <v>28</v>
      </c>
      <c r="C50" s="117" t="s">
        <v>191</v>
      </c>
      <c r="D50" s="142">
        <f>'Consolidated Cust Cnt'!D104</f>
        <v>4</v>
      </c>
      <c r="E50" s="74">
        <f>References!$C$14</f>
        <v>1</v>
      </c>
      <c r="F50" s="73">
        <f t="shared" si="3"/>
        <v>4</v>
      </c>
      <c r="G50" s="73">
        <f>References!$C$33</f>
        <v>250</v>
      </c>
      <c r="H50" s="73">
        <f t="shared" ref="H50" si="40">F50*G50</f>
        <v>1000</v>
      </c>
      <c r="I50" s="48">
        <f>$C$141*H50</f>
        <v>795.77347233264936</v>
      </c>
      <c r="J50" s="72">
        <f>(References!$D$61*I50)</f>
        <v>3.0398546643107127</v>
      </c>
      <c r="K50" s="72">
        <f>J50/References!$H$64</f>
        <v>3.0995994435858298</v>
      </c>
      <c r="L50" s="72">
        <f t="shared" si="31"/>
        <v>0.77489986089645746</v>
      </c>
      <c r="M50" s="72">
        <f>'Proposed Rates'!C77</f>
        <v>36.96</v>
      </c>
      <c r="N50" s="72">
        <f t="shared" ref="N50" si="41">L50+M50</f>
        <v>37.734899860896455</v>
      </c>
      <c r="O50" s="72">
        <f>'Proposed Rates'!E77</f>
        <v>37.730000000000004</v>
      </c>
      <c r="P50" s="72">
        <f t="shared" si="33"/>
        <v>147.84</v>
      </c>
      <c r="Q50" s="77">
        <f t="shared" si="34"/>
        <v>150.93959944358582</v>
      </c>
      <c r="R50" s="172">
        <f t="shared" si="17"/>
        <v>3.0995994435858165</v>
      </c>
      <c r="S50" s="169"/>
      <c r="T50" s="129">
        <f>'Consolidated Cust Cnt'!B104</f>
        <v>4</v>
      </c>
      <c r="U50" s="129">
        <f t="shared" si="35"/>
        <v>3.0995994435858298</v>
      </c>
      <c r="V50" s="129"/>
      <c r="W50" s="129">
        <f>'Consolidated Cust Cnt'!C104</f>
        <v>0</v>
      </c>
      <c r="X50" s="129">
        <f t="shared" si="29"/>
        <v>0</v>
      </c>
      <c r="Y50" s="129"/>
      <c r="Z50" s="129">
        <f>U50+X50</f>
        <v>3.0995994435858298</v>
      </c>
      <c r="AA50" s="129">
        <f t="shared" si="38"/>
        <v>147.84</v>
      </c>
      <c r="AB50" s="129"/>
      <c r="AC50" s="129">
        <f t="shared" si="39"/>
        <v>0</v>
      </c>
      <c r="AE50" s="129">
        <f t="shared" si="22"/>
        <v>147.84</v>
      </c>
      <c r="AF50" s="214"/>
    </row>
    <row r="51" spans="1:32" s="65" customFormat="1">
      <c r="A51" s="248"/>
      <c r="B51" s="49">
        <v>28</v>
      </c>
      <c r="C51" s="117" t="s">
        <v>192</v>
      </c>
      <c r="D51" s="142">
        <f>'Consolidated Cust Cnt'!D105</f>
        <v>312.00771963430412</v>
      </c>
      <c r="E51" s="74">
        <f>References!$C$14</f>
        <v>1</v>
      </c>
      <c r="F51" s="73">
        <f t="shared" si="3"/>
        <v>312.00771963430412</v>
      </c>
      <c r="G51" s="73">
        <f>References!$C$34</f>
        <v>324</v>
      </c>
      <c r="H51" s="73">
        <f t="shared" si="30"/>
        <v>101090.50116151453</v>
      </c>
      <c r="I51" s="48">
        <f>$C$141*H51</f>
        <v>80445.139129146148</v>
      </c>
      <c r="J51" s="72">
        <f>(References!$D$61*I51)</f>
        <v>307.30043147333748</v>
      </c>
      <c r="K51" s="72">
        <f>J51/References!$H$64</f>
        <v>313.34006115204312</v>
      </c>
      <c r="L51" s="72">
        <f t="shared" si="31"/>
        <v>1.0042702197218087</v>
      </c>
      <c r="M51" s="72">
        <f>'Proposed Rates'!C78</f>
        <v>46.08</v>
      </c>
      <c r="N51" s="72">
        <f t="shared" si="32"/>
        <v>47.084270219721809</v>
      </c>
      <c r="O51" s="72">
        <f>'Proposed Rates'!E78</f>
        <v>47.08</v>
      </c>
      <c r="P51" s="72">
        <f t="shared" si="33"/>
        <v>14377.315720748733</v>
      </c>
      <c r="Q51" s="77">
        <f t="shared" si="34"/>
        <v>14690.655781900778</v>
      </c>
      <c r="R51" s="172">
        <f t="shared" si="17"/>
        <v>313.34006115204465</v>
      </c>
      <c r="S51" s="169"/>
      <c r="T51" s="129">
        <f>'Consolidated Cust Cnt'!B105</f>
        <v>240.24221149627033</v>
      </c>
      <c r="U51" s="129">
        <f t="shared" si="35"/>
        <v>241.26809852581266</v>
      </c>
      <c r="V51" s="129"/>
      <c r="W51" s="129">
        <f>'Consolidated Cust Cnt'!C105</f>
        <v>71.765508138033795</v>
      </c>
      <c r="X51" s="129">
        <f t="shared" si="29"/>
        <v>72.071962626230459</v>
      </c>
      <c r="Y51" s="129"/>
      <c r="Z51" s="129">
        <f t="shared" si="5"/>
        <v>313.34006115204312</v>
      </c>
      <c r="AA51" s="129">
        <f t="shared" si="38"/>
        <v>11070.361105748136</v>
      </c>
      <c r="AB51" s="129"/>
      <c r="AC51" s="129">
        <f t="shared" si="39"/>
        <v>3306.9546150005972</v>
      </c>
      <c r="AE51" s="129">
        <f t="shared" si="22"/>
        <v>14377.315720748733</v>
      </c>
      <c r="AF51" s="214"/>
    </row>
    <row r="52" spans="1:32" s="65" customFormat="1">
      <c r="A52" s="248"/>
      <c r="B52" s="49">
        <v>28</v>
      </c>
      <c r="C52" s="117" t="s">
        <v>193</v>
      </c>
      <c r="D52" s="142">
        <f>'Consolidated Cust Cnt'!D107</f>
        <v>22</v>
      </c>
      <c r="E52" s="74">
        <f>References!$C$14</f>
        <v>1</v>
      </c>
      <c r="F52" s="73">
        <f t="shared" si="3"/>
        <v>22</v>
      </c>
      <c r="G52" s="73">
        <f>References!$C$32</f>
        <v>175</v>
      </c>
      <c r="H52" s="73">
        <f t="shared" si="30"/>
        <v>3850</v>
      </c>
      <c r="I52" s="48">
        <f>$C$141*H52</f>
        <v>3063.7278684807002</v>
      </c>
      <c r="J52" s="72">
        <f>(References!$D$61*I52)</f>
        <v>11.703440457596244</v>
      </c>
      <c r="K52" s="72">
        <f>J52/References!$H$64</f>
        <v>11.933457857805445</v>
      </c>
      <c r="L52" s="72">
        <f t="shared" si="31"/>
        <v>0.54242990262752022</v>
      </c>
      <c r="M52" s="72">
        <f>'Proposed Rates'!C69</f>
        <v>26.93</v>
      </c>
      <c r="N52" s="72">
        <f t="shared" si="32"/>
        <v>27.472429902627521</v>
      </c>
      <c r="O52" s="72">
        <f>'Proposed Rates'!E69</f>
        <v>27.47</v>
      </c>
      <c r="P52" s="72">
        <f t="shared" si="33"/>
        <v>592.46</v>
      </c>
      <c r="Q52" s="77">
        <f t="shared" si="34"/>
        <v>604.39345785780552</v>
      </c>
      <c r="R52" s="172">
        <f t="shared" si="17"/>
        <v>11.933457857805479</v>
      </c>
      <c r="S52" s="169"/>
      <c r="T52" s="129">
        <f>'Consolidated Cust Cnt'!B107</f>
        <v>15</v>
      </c>
      <c r="U52" s="129">
        <f t="shared" si="35"/>
        <v>8.1364485394128039</v>
      </c>
      <c r="V52" s="129"/>
      <c r="W52" s="129">
        <f>'Consolidated Cust Cnt'!C107</f>
        <v>7.0000000000000009</v>
      </c>
      <c r="X52" s="129">
        <f t="shared" si="29"/>
        <v>3.7970093183926421</v>
      </c>
      <c r="Y52" s="129"/>
      <c r="Z52" s="129">
        <f t="shared" si="5"/>
        <v>11.933457857805447</v>
      </c>
      <c r="AA52" s="129">
        <f t="shared" si="38"/>
        <v>403.95</v>
      </c>
      <c r="AB52" s="129"/>
      <c r="AC52" s="129">
        <f t="shared" si="39"/>
        <v>188.51000000000002</v>
      </c>
      <c r="AE52" s="129">
        <f t="shared" si="22"/>
        <v>592.46</v>
      </c>
      <c r="AF52" s="214"/>
    </row>
    <row r="53" spans="1:32" s="65" customFormat="1">
      <c r="A53" s="248"/>
      <c r="B53" s="49">
        <v>28</v>
      </c>
      <c r="C53" s="117" t="s">
        <v>194</v>
      </c>
      <c r="D53" s="142">
        <f>'Consolidated Cust Cnt'!D108</f>
        <v>1</v>
      </c>
      <c r="E53" s="74">
        <f>References!$C$14</f>
        <v>1</v>
      </c>
      <c r="F53" s="73">
        <f t="shared" si="3"/>
        <v>1</v>
      </c>
      <c r="G53" s="73">
        <f>References!$C$33</f>
        <v>250</v>
      </c>
      <c r="H53" s="73">
        <f t="shared" si="30"/>
        <v>250</v>
      </c>
      <c r="I53" s="48">
        <f>$C$141*H53</f>
        <v>198.94336808316234</v>
      </c>
      <c r="J53" s="72">
        <f>(References!$D$61*I53)</f>
        <v>0.75996366607767818</v>
      </c>
      <c r="K53" s="72">
        <f>J53/References!$H$64</f>
        <v>0.77489986089645746</v>
      </c>
      <c r="L53" s="72">
        <f t="shared" si="31"/>
        <v>0.77489986089645746</v>
      </c>
      <c r="M53" s="72">
        <f>'Proposed Rates'!C70</f>
        <v>36.96</v>
      </c>
      <c r="N53" s="72">
        <f t="shared" si="32"/>
        <v>37.734899860896455</v>
      </c>
      <c r="O53" s="72">
        <f>'Proposed Rates'!E70</f>
        <v>37.730000000000004</v>
      </c>
      <c r="P53" s="72">
        <f t="shared" si="33"/>
        <v>36.96</v>
      </c>
      <c r="Q53" s="77">
        <f t="shared" si="34"/>
        <v>37.734899860896455</v>
      </c>
      <c r="R53" s="172">
        <f t="shared" si="17"/>
        <v>0.77489986089645413</v>
      </c>
      <c r="S53" s="169"/>
      <c r="T53" s="129">
        <f>'Consolidated Cust Cnt'!B108</f>
        <v>1</v>
      </c>
      <c r="U53" s="129">
        <f t="shared" si="35"/>
        <v>0.77489986089645746</v>
      </c>
      <c r="V53" s="129"/>
      <c r="W53" s="129">
        <f>'Consolidated Cust Cnt'!C108</f>
        <v>0</v>
      </c>
      <c r="X53" s="129">
        <f t="shared" si="29"/>
        <v>0</v>
      </c>
      <c r="Y53" s="129"/>
      <c r="Z53" s="129">
        <f t="shared" si="5"/>
        <v>0.77489986089645746</v>
      </c>
      <c r="AA53" s="129">
        <f t="shared" si="38"/>
        <v>36.96</v>
      </c>
      <c r="AB53" s="129"/>
      <c r="AC53" s="129">
        <f t="shared" si="39"/>
        <v>0</v>
      </c>
      <c r="AE53" s="129">
        <f t="shared" si="22"/>
        <v>36.96</v>
      </c>
      <c r="AF53" s="214"/>
    </row>
    <row r="54" spans="1:32" s="65" customFormat="1">
      <c r="A54" s="248"/>
      <c r="B54" s="49">
        <v>28</v>
      </c>
      <c r="C54" s="117" t="s">
        <v>195</v>
      </c>
      <c r="D54" s="142">
        <f>'Consolidated Cust Cnt'!D109</f>
        <v>28.031154014918826</v>
      </c>
      <c r="E54" s="74">
        <f>References!$C$14</f>
        <v>1</v>
      </c>
      <c r="F54" s="73">
        <f t="shared" si="3"/>
        <v>28.031154014918826</v>
      </c>
      <c r="G54" s="73">
        <f>References!$C$34</f>
        <v>324</v>
      </c>
      <c r="H54" s="73">
        <f t="shared" si="30"/>
        <v>9082.0939008336991</v>
      </c>
      <c r="I54" s="48">
        <f>$C$141*H54</f>
        <v>7227.2893995176091</v>
      </c>
      <c r="J54" s="72">
        <f>(References!$D$61*I54)</f>
        <v>27.608245506157196</v>
      </c>
      <c r="K54" s="72">
        <f>J54/References!$H$64</f>
        <v>28.150853201618393</v>
      </c>
      <c r="L54" s="72">
        <f t="shared" si="31"/>
        <v>1.0042702197218087</v>
      </c>
      <c r="M54" s="72">
        <f>'Proposed Rates'!C71</f>
        <v>46.08</v>
      </c>
      <c r="N54" s="72">
        <f t="shared" si="32"/>
        <v>47.084270219721809</v>
      </c>
      <c r="O54" s="72">
        <f>'Proposed Rates'!E71</f>
        <v>47.08</v>
      </c>
      <c r="P54" s="72">
        <f t="shared" si="33"/>
        <v>1291.6755770074594</v>
      </c>
      <c r="Q54" s="77">
        <f t="shared" si="34"/>
        <v>1319.8264302090779</v>
      </c>
      <c r="R54" s="172">
        <f t="shared" si="17"/>
        <v>28.150853201618474</v>
      </c>
      <c r="S54" s="169"/>
      <c r="T54" s="129">
        <f>'Consolidated Cust Cnt'!B109</f>
        <v>13</v>
      </c>
      <c r="U54" s="129">
        <f t="shared" si="35"/>
        <v>13.055512856383514</v>
      </c>
      <c r="V54" s="129"/>
      <c r="W54" s="129">
        <f>'Consolidated Cust Cnt'!C109</f>
        <v>15.031154014918826</v>
      </c>
      <c r="X54" s="129">
        <f t="shared" si="29"/>
        <v>15.095340345234877</v>
      </c>
      <c r="Y54" s="129"/>
      <c r="Z54" s="129">
        <f t="shared" si="5"/>
        <v>28.150853201618389</v>
      </c>
      <c r="AA54" s="129">
        <f t="shared" si="38"/>
        <v>599.04</v>
      </c>
      <c r="AB54" s="129"/>
      <c r="AC54" s="129">
        <f t="shared" si="39"/>
        <v>692.63557700745946</v>
      </c>
      <c r="AE54" s="129">
        <f t="shared" si="22"/>
        <v>1291.6755770074594</v>
      </c>
      <c r="AF54" s="214"/>
    </row>
    <row r="55" spans="1:32" s="65" customFormat="1">
      <c r="A55" s="248"/>
      <c r="B55" s="49">
        <v>28</v>
      </c>
      <c r="C55" s="117" t="s">
        <v>196</v>
      </c>
      <c r="D55" s="142">
        <f>'Consolidated Cust Cnt'!D110</f>
        <v>4</v>
      </c>
      <c r="E55" s="74">
        <f>References!$C$14</f>
        <v>1</v>
      </c>
      <c r="F55" s="73">
        <f t="shared" si="3"/>
        <v>4</v>
      </c>
      <c r="G55" s="73">
        <f>References!$C$36</f>
        <v>613</v>
      </c>
      <c r="H55" s="73">
        <f t="shared" ref="H55" si="42">F55*G55</f>
        <v>2452</v>
      </c>
      <c r="I55" s="48">
        <f>$C$141*H55</f>
        <v>1951.2365541596564</v>
      </c>
      <c r="J55" s="72">
        <f>(References!$D$61*I55)</f>
        <v>7.4537236368898681</v>
      </c>
      <c r="K55" s="72">
        <f>J55/References!$H$64</f>
        <v>7.6002178356724546</v>
      </c>
      <c r="L55" s="72">
        <f t="shared" si="31"/>
        <v>1.9000544589181136</v>
      </c>
      <c r="M55" s="72">
        <f>'Proposed Rates'!C72</f>
        <v>85.83</v>
      </c>
      <c r="N55" s="72">
        <f t="shared" ref="N55" si="43">L55+M55</f>
        <v>87.730054458918119</v>
      </c>
      <c r="O55" s="72">
        <f>'Proposed Rates'!E72</f>
        <v>87.73</v>
      </c>
      <c r="P55" s="72">
        <f t="shared" si="33"/>
        <v>343.32</v>
      </c>
      <c r="Q55" s="77">
        <f t="shared" si="34"/>
        <v>350.92021783567247</v>
      </c>
      <c r="R55" s="172">
        <f t="shared" si="17"/>
        <v>7.6002178356724812</v>
      </c>
      <c r="S55" s="169"/>
      <c r="T55" s="129">
        <f>'Consolidated Cust Cnt'!B110</f>
        <v>4</v>
      </c>
      <c r="U55" s="129">
        <f t="shared" si="35"/>
        <v>7.6002178356724546</v>
      </c>
      <c r="V55" s="129"/>
      <c r="W55" s="129">
        <f>'Consolidated Cust Cnt'!C110</f>
        <v>0</v>
      </c>
      <c r="X55" s="129">
        <f t="shared" si="29"/>
        <v>0</v>
      </c>
      <c r="Y55" s="129"/>
      <c r="Z55" s="129">
        <f t="shared" ref="Z55" si="44">U55+X55</f>
        <v>7.6002178356724546</v>
      </c>
      <c r="AA55" s="129">
        <f t="shared" si="38"/>
        <v>343.32</v>
      </c>
      <c r="AB55" s="129"/>
      <c r="AC55" s="129">
        <f t="shared" si="39"/>
        <v>0</v>
      </c>
      <c r="AE55" s="129">
        <f t="shared" si="22"/>
        <v>343.32</v>
      </c>
      <c r="AF55" s="214"/>
    </row>
    <row r="56" spans="1:32" s="65" customFormat="1">
      <c r="A56" s="248"/>
      <c r="B56" s="49">
        <v>28</v>
      </c>
      <c r="C56" s="117" t="s">
        <v>197</v>
      </c>
      <c r="D56" s="142">
        <f>'Consolidated Cust Cnt'!D111</f>
        <v>5.0000000000000009</v>
      </c>
      <c r="E56" s="74">
        <f>References!$C$14</f>
        <v>1</v>
      </c>
      <c r="F56" s="73">
        <f t="shared" si="3"/>
        <v>5.0000000000000009</v>
      </c>
      <c r="G56" s="73">
        <f>References!$C$37</f>
        <v>840</v>
      </c>
      <c r="H56" s="73">
        <f t="shared" si="30"/>
        <v>4200.0000000000009</v>
      </c>
      <c r="I56" s="48">
        <f>$C$141*H56</f>
        <v>3342.248583797128</v>
      </c>
      <c r="J56" s="72">
        <f>(References!$D$61*I56)</f>
        <v>12.767389590104996</v>
      </c>
      <c r="K56" s="72">
        <f>J56/References!$H$64</f>
        <v>13.018317663060486</v>
      </c>
      <c r="L56" s="72">
        <f t="shared" si="31"/>
        <v>2.6036635326120967</v>
      </c>
      <c r="M56" s="72">
        <f>'Proposed Rates'!C73</f>
        <v>119.99</v>
      </c>
      <c r="N56" s="72">
        <f t="shared" si="32"/>
        <v>122.5936635326121</v>
      </c>
      <c r="O56" s="72">
        <f>'Proposed Rates'!E73</f>
        <v>122.58999999999999</v>
      </c>
      <c r="P56" s="72">
        <f t="shared" si="33"/>
        <v>599.95000000000005</v>
      </c>
      <c r="Q56" s="77">
        <f t="shared" si="34"/>
        <v>612.96831766306059</v>
      </c>
      <c r="R56" s="172">
        <f t="shared" si="17"/>
        <v>13.018317663060543</v>
      </c>
      <c r="S56" s="169"/>
      <c r="T56" s="129">
        <f>'Consolidated Cust Cnt'!B111</f>
        <v>5.0000000000000009</v>
      </c>
      <c r="U56" s="129">
        <f t="shared" si="35"/>
        <v>13.018317663060486</v>
      </c>
      <c r="V56" s="129"/>
      <c r="W56" s="129">
        <f>'Consolidated Cust Cnt'!C111</f>
        <v>0</v>
      </c>
      <c r="X56" s="129">
        <f t="shared" si="29"/>
        <v>0</v>
      </c>
      <c r="Y56" s="129"/>
      <c r="Z56" s="129">
        <f t="shared" si="5"/>
        <v>13.018317663060486</v>
      </c>
      <c r="AA56" s="129">
        <f t="shared" si="38"/>
        <v>599.95000000000005</v>
      </c>
      <c r="AB56" s="129"/>
      <c r="AC56" s="129">
        <f t="shared" si="39"/>
        <v>0</v>
      </c>
      <c r="AE56" s="129">
        <f t="shared" si="22"/>
        <v>599.95000000000005</v>
      </c>
      <c r="AF56" s="214"/>
    </row>
    <row r="57" spans="1:32" s="65" customFormat="1">
      <c r="A57" s="52"/>
      <c r="B57" s="90"/>
      <c r="C57" s="54" t="s">
        <v>16</v>
      </c>
      <c r="D57" s="55">
        <f>SUM(D24:D56)</f>
        <v>81440.773724564744</v>
      </c>
      <c r="E57" s="56"/>
      <c r="F57" s="91">
        <f>SUM(F24:F56)</f>
        <v>132036.1003342875</v>
      </c>
      <c r="G57" s="58"/>
      <c r="H57" s="91">
        <f>SUM(H24:H56)</f>
        <v>14071839.921264471</v>
      </c>
      <c r="I57" s="59">
        <f>SUM(I24:I56)</f>
        <v>11197996.916253828</v>
      </c>
      <c r="J57" s="81"/>
      <c r="K57" s="81"/>
      <c r="L57" s="81"/>
      <c r="M57" s="81"/>
      <c r="N57" s="81"/>
      <c r="O57" s="81"/>
      <c r="P57" s="80">
        <f>SUM(P24:P56)</f>
        <v>1987540.8088901662</v>
      </c>
      <c r="Q57" s="80">
        <f>SUM(Q24:Q56)</f>
        <v>2031157.8760803465</v>
      </c>
      <c r="R57" s="173">
        <f>SUM(R24:R56)</f>
        <v>43617.067190180205</v>
      </c>
      <c r="S57" s="169"/>
      <c r="T57"/>
      <c r="U57" s="173">
        <f>SUM(U24:U56)</f>
        <v>33265.181354412765</v>
      </c>
      <c r="V57"/>
      <c r="W57"/>
      <c r="X57" s="173">
        <f>SUM(X24:X56)</f>
        <v>10351.885835767469</v>
      </c>
      <c r="Y57"/>
      <c r="Z57" s="173">
        <f>SUM(Z24:Z56)</f>
        <v>43617.06719018022</v>
      </c>
      <c r="AA57" s="173">
        <f t="shared" ref="AA57:AE57" si="45">SUM(AA24:AA56)</f>
        <v>1521631.0749628572</v>
      </c>
      <c r="AB57"/>
      <c r="AC57" s="173">
        <f t="shared" si="45"/>
        <v>465909.73392730911</v>
      </c>
      <c r="AD57"/>
      <c r="AE57" s="173">
        <f t="shared" si="45"/>
        <v>1987540.8088901665</v>
      </c>
    </row>
    <row r="58" spans="1:32" s="65" customFormat="1">
      <c r="A58" s="248" t="s">
        <v>14</v>
      </c>
      <c r="B58" s="49">
        <v>40</v>
      </c>
      <c r="C58" s="117" t="s">
        <v>198</v>
      </c>
      <c r="D58" s="142">
        <f>'Consolidated Cust Cnt'!D114</f>
        <v>5940.6654014789601</v>
      </c>
      <c r="E58" s="74">
        <f>References!$C$14</f>
        <v>1</v>
      </c>
      <c r="F58" s="73">
        <f t="shared" si="3"/>
        <v>5940.6654014789601</v>
      </c>
      <c r="G58" s="73">
        <f>References!C30</f>
        <v>29</v>
      </c>
      <c r="H58" s="73">
        <f>F58*G58</f>
        <v>172279.29664288985</v>
      </c>
      <c r="I58" s="48">
        <f>$C$141*H58</f>
        <v>137095.294100539</v>
      </c>
      <c r="J58" s="72">
        <f>(References!$D$61*I58)</f>
        <v>523.70402346405763</v>
      </c>
      <c r="K58" s="72">
        <f>J58/References!$H$64</f>
        <v>533.99681201565943</v>
      </c>
      <c r="L58" s="72">
        <f t="shared" si="31"/>
        <v>8.9888383863989063E-2</v>
      </c>
      <c r="M58" s="72">
        <f>'Proposed Rates'!C123</f>
        <v>4.17</v>
      </c>
      <c r="N58" s="72">
        <f>ROUND(L58+M58,2)</f>
        <v>4.26</v>
      </c>
      <c r="O58" s="72">
        <f>'Proposed Rates'!E123</f>
        <v>4.26</v>
      </c>
      <c r="P58" s="72">
        <f>F58*M58</f>
        <v>24772.574724167262</v>
      </c>
      <c r="Q58" s="77">
        <f t="shared" si="34"/>
        <v>25307.234610300369</v>
      </c>
      <c r="R58" s="172">
        <f t="shared" ref="R58:R89" si="46">Q58-P58</f>
        <v>534.65988613310765</v>
      </c>
      <c r="S58" s="169"/>
      <c r="T58" s="129">
        <f>'Consolidated Cust Cnt'!B114</f>
        <v>4373.3961604131091</v>
      </c>
      <c r="U58" s="129">
        <f>T58*L58</f>
        <v>393.11751285650945</v>
      </c>
      <c r="V58" s="129"/>
      <c r="W58" s="129">
        <f>'Consolidated Cust Cnt'!C114</f>
        <v>1567.2692410658515</v>
      </c>
      <c r="X58" s="129">
        <f>W58*L58</f>
        <v>140.87929915915007</v>
      </c>
      <c r="Y58" s="129"/>
      <c r="Z58" s="129">
        <f t="shared" si="5"/>
        <v>533.99681201565954</v>
      </c>
      <c r="AA58" s="129">
        <f t="shared" ref="AA58:AA106" si="47">T58*M58*$E58</f>
        <v>18237.061988922665</v>
      </c>
      <c r="AB58" s="129"/>
      <c r="AC58" s="129">
        <f t="shared" ref="AC58:AC106" si="48">W58*M58*$E58</f>
        <v>6535.5127352446007</v>
      </c>
      <c r="AE58" s="129">
        <f t="shared" ref="AE58:AE106" si="49">AA58+AC58</f>
        <v>24772.574724167265</v>
      </c>
      <c r="AF58" s="214"/>
    </row>
    <row r="59" spans="1:32" s="65" customFormat="1">
      <c r="A59" s="248"/>
      <c r="B59" s="49">
        <v>32</v>
      </c>
      <c r="C59" s="117" t="s">
        <v>199</v>
      </c>
      <c r="D59" s="142">
        <f>'Consolidated Cust Cnt'!D116</f>
        <v>1923.1462872387729</v>
      </c>
      <c r="E59" s="74">
        <f>References!$C$14</f>
        <v>1</v>
      </c>
      <c r="F59" s="73">
        <f t="shared" si="3"/>
        <v>1923.1462872387729</v>
      </c>
      <c r="G59" s="73">
        <f>References!C31</f>
        <v>125</v>
      </c>
      <c r="H59" s="73">
        <f t="shared" ref="H59:H75" si="50">F59*G59</f>
        <v>240393.28590484662</v>
      </c>
      <c r="I59" s="48">
        <f>$C$141*H59</f>
        <v>191298.59984995515</v>
      </c>
      <c r="J59" s="72">
        <f>(References!$D$61*I59)</f>
        <v>730.76065142682683</v>
      </c>
      <c r="K59" s="72">
        <f>J59/References!$H$64</f>
        <v>745.12289523243203</v>
      </c>
      <c r="L59" s="72">
        <f t="shared" si="31"/>
        <v>0.38744993044822884</v>
      </c>
      <c r="M59" s="72">
        <f>'Proposed Rates'!C87</f>
        <v>22.71</v>
      </c>
      <c r="N59" s="72">
        <f t="shared" si="10"/>
        <v>23.097449930448228</v>
      </c>
      <c r="O59" s="72">
        <f>'Proposed Rates'!E88</f>
        <v>23.1</v>
      </c>
      <c r="P59" s="72">
        <f t="shared" ref="P59:P105" si="51">F59*M59</f>
        <v>43674.652183192535</v>
      </c>
      <c r="Q59" s="77">
        <f t="shared" si="34"/>
        <v>44419.775078424958</v>
      </c>
      <c r="R59" s="172">
        <f t="shared" si="46"/>
        <v>745.12289523242362</v>
      </c>
      <c r="S59" s="169"/>
      <c r="T59" s="129">
        <f>'Consolidated Cust Cnt'!B116</f>
        <v>1292.6460649177413</v>
      </c>
      <c r="U59" s="129">
        <f>T59*L59</f>
        <v>500.83562794655558</v>
      </c>
      <c r="V59" s="129"/>
      <c r="W59" s="129">
        <f>'Consolidated Cust Cnt'!C116</f>
        <v>630.50022232103163</v>
      </c>
      <c r="X59" s="129">
        <f>W59*L59</f>
        <v>244.28726728587654</v>
      </c>
      <c r="Y59" s="129"/>
      <c r="Z59" s="129">
        <f t="shared" si="5"/>
        <v>745.12289523243214</v>
      </c>
      <c r="AA59" s="129">
        <f t="shared" si="47"/>
        <v>29355.992134281907</v>
      </c>
      <c r="AB59" s="129"/>
      <c r="AC59" s="129">
        <f t="shared" si="48"/>
        <v>14318.660048910629</v>
      </c>
      <c r="AE59" s="129">
        <f t="shared" si="49"/>
        <v>43674.652183192535</v>
      </c>
      <c r="AF59" s="214"/>
    </row>
    <row r="60" spans="1:32" s="65" customFormat="1">
      <c r="A60" s="248"/>
      <c r="B60" s="49">
        <v>40</v>
      </c>
      <c r="C60" s="115" t="s">
        <v>432</v>
      </c>
      <c r="D60" s="114">
        <f>'Consolidated Cust Cnt'!D129</f>
        <v>1514.4773874801747</v>
      </c>
      <c r="E60" s="74">
        <f>References!$C$11</f>
        <v>4.333333333333333</v>
      </c>
      <c r="F60" s="73">
        <f t="shared" si="3"/>
        <v>6562.7353457474228</v>
      </c>
      <c r="G60" s="73">
        <f>References!$C$30</f>
        <v>29</v>
      </c>
      <c r="H60" s="73">
        <f t="shared" si="50"/>
        <v>190319.32502667527</v>
      </c>
      <c r="I60" s="48">
        <f t="shared" ref="I60" si="52">$C$141*H60</f>
        <v>151451.07012848349</v>
      </c>
      <c r="J60" s="72">
        <f>(References!$D$61*I60)</f>
        <v>578.5430878908054</v>
      </c>
      <c r="K60" s="72">
        <f>J60/References!$H$64</f>
        <v>589.91367395631335</v>
      </c>
      <c r="L60" s="72">
        <f>K60/F60*E60</f>
        <v>0.38951633007728592</v>
      </c>
      <c r="M60" s="72">
        <f>'Proposed Rates'!C122</f>
        <v>17.649999999999999</v>
      </c>
      <c r="N60" s="72">
        <f t="shared" si="10"/>
        <v>18.039516330077284</v>
      </c>
      <c r="O60" s="72">
        <f>'Proposed Rates'!$E$122</f>
        <v>18.04</v>
      </c>
      <c r="P60" s="72">
        <f t="shared" ref="P60" si="53">D60*M60</f>
        <v>26730.525889025081</v>
      </c>
      <c r="Q60" s="77">
        <f>D60*N60</f>
        <v>27320.439562981392</v>
      </c>
      <c r="R60" s="172">
        <f t="shared" si="46"/>
        <v>589.91367395631096</v>
      </c>
      <c r="S60" s="169"/>
      <c r="T60" s="129">
        <f>'Consolidated Cust Cnt'!B129</f>
        <v>848.97596111742132</v>
      </c>
      <c r="U60" s="129">
        <f t="shared" ref="U60" si="54">T60*L60</f>
        <v>330.69000069829457</v>
      </c>
      <c r="V60" s="129"/>
      <c r="W60" s="129">
        <f>'Consolidated Cust Cnt'!C129</f>
        <v>665.50142636275336</v>
      </c>
      <c r="X60" s="129">
        <f>W60*L60</f>
        <v>259.22367325801883</v>
      </c>
      <c r="Y60" s="129"/>
      <c r="Z60" s="129">
        <f t="shared" si="5"/>
        <v>589.91367395631346</v>
      </c>
      <c r="AA60" s="129">
        <f>T60*M60</f>
        <v>14984.425713722485</v>
      </c>
      <c r="AB60" s="129"/>
      <c r="AC60" s="129">
        <f>W60*M60</f>
        <v>11746.100175302596</v>
      </c>
      <c r="AE60" s="129">
        <f t="shared" si="49"/>
        <v>26730.525889025081</v>
      </c>
      <c r="AF60" s="214"/>
    </row>
    <row r="61" spans="1:32" s="65" customFormat="1">
      <c r="A61" s="248"/>
      <c r="B61" s="49" t="s">
        <v>236</v>
      </c>
      <c r="C61" s="117" t="s">
        <v>200</v>
      </c>
      <c r="D61" s="116">
        <f>'Consolidated Cust Cnt'!D130</f>
        <v>605.47460590575338</v>
      </c>
      <c r="E61" s="74">
        <f>References!$C$10</f>
        <v>8.6666666666666661</v>
      </c>
      <c r="F61" s="73">
        <f t="shared" si="3"/>
        <v>5247.4465845165287</v>
      </c>
      <c r="G61" s="73">
        <f>References!$C$30</f>
        <v>29</v>
      </c>
      <c r="H61" s="73">
        <f t="shared" ref="H61:H63" si="55">F61*G61</f>
        <v>152175.95095097934</v>
      </c>
      <c r="I61" s="48">
        <f>$C$141*H61</f>
        <v>121097.58489378377</v>
      </c>
      <c r="J61" s="72">
        <f>(References!$D$61*I61)</f>
        <v>462.59277429425282</v>
      </c>
      <c r="K61" s="72">
        <f>J61/References!$H$64</f>
        <v>471.68449289480009</v>
      </c>
      <c r="L61" s="72">
        <f t="shared" si="31"/>
        <v>8.9888383863989063E-2</v>
      </c>
      <c r="M61" s="96">
        <f>'Proposed Rates'!C119</f>
        <v>3.95</v>
      </c>
      <c r="N61" s="72">
        <f t="shared" ref="N61:N63" si="56">L61+M61</f>
        <v>4.039888383863989</v>
      </c>
      <c r="O61" s="72">
        <f>'Proposed Rates'!$E$119</f>
        <v>4.04</v>
      </c>
      <c r="P61" s="72">
        <f t="shared" ref="P61:P63" si="57">F61*M61</f>
        <v>20727.414008840289</v>
      </c>
      <c r="Q61" s="77">
        <f t="shared" si="34"/>
        <v>21199.098501735087</v>
      </c>
      <c r="R61" s="172">
        <f t="shared" si="46"/>
        <v>471.68449289479759</v>
      </c>
      <c r="S61" s="169"/>
      <c r="T61" s="129">
        <f>'Consolidated Cust Cnt'!B130</f>
        <v>331.23951795583002</v>
      </c>
      <c r="U61" s="129">
        <f t="shared" ref="U61:U88" si="58">L61*T61*E61</f>
        <v>258.04640282144834</v>
      </c>
      <c r="V61" s="129"/>
      <c r="W61" s="129">
        <f>'Consolidated Cust Cnt'!C130</f>
        <v>274.23508794992335</v>
      </c>
      <c r="X61" s="129">
        <f t="shared" ref="X61:X106" si="59">W61*L61*E61</f>
        <v>213.63809007335175</v>
      </c>
      <c r="Y61" s="129"/>
      <c r="Z61" s="129">
        <f t="shared" si="5"/>
        <v>471.68449289480009</v>
      </c>
      <c r="AA61" s="129">
        <f t="shared" si="47"/>
        <v>11339.432831354581</v>
      </c>
      <c r="AB61" s="129"/>
      <c r="AC61" s="129">
        <f t="shared" si="48"/>
        <v>9387.981177485708</v>
      </c>
      <c r="AE61" s="129">
        <f t="shared" si="49"/>
        <v>20727.414008840289</v>
      </c>
      <c r="AF61" s="214"/>
    </row>
    <row r="62" spans="1:32" s="65" customFormat="1">
      <c r="A62" s="248"/>
      <c r="B62" s="49" t="s">
        <v>236</v>
      </c>
      <c r="C62" s="117" t="s">
        <v>201</v>
      </c>
      <c r="D62" s="116">
        <f>'Consolidated Cust Cnt'!D131</f>
        <v>105.25004922228786</v>
      </c>
      <c r="E62" s="74">
        <f>References!$C$9</f>
        <v>13</v>
      </c>
      <c r="F62" s="73">
        <f t="shared" si="3"/>
        <v>1368.2506398897422</v>
      </c>
      <c r="G62" s="73">
        <f>References!$C$30</f>
        <v>29</v>
      </c>
      <c r="H62" s="73">
        <f t="shared" si="55"/>
        <v>39679.268556802519</v>
      </c>
      <c r="I62" s="48">
        <f>$C$141*H62</f>
        <v>31575.709319066453</v>
      </c>
      <c r="J62" s="72">
        <f>(References!$D$61*I62)</f>
        <v>120.61920959883354</v>
      </c>
      <c r="K62" s="72">
        <f>J62/References!$H$64</f>
        <v>122.98983874055779</v>
      </c>
      <c r="L62" s="72">
        <f t="shared" si="31"/>
        <v>8.9888383863989049E-2</v>
      </c>
      <c r="M62" s="96">
        <f>'Proposed Rates'!C119</f>
        <v>3.95</v>
      </c>
      <c r="N62" s="72">
        <f t="shared" si="56"/>
        <v>4.039888383863989</v>
      </c>
      <c r="O62" s="72">
        <f>'Proposed Rates'!$E$119</f>
        <v>4.04</v>
      </c>
      <c r="P62" s="72">
        <f t="shared" si="57"/>
        <v>5404.5900275644817</v>
      </c>
      <c r="Q62" s="77">
        <f t="shared" si="34"/>
        <v>5527.5798663050391</v>
      </c>
      <c r="R62" s="172">
        <f t="shared" si="46"/>
        <v>122.98983874055739</v>
      </c>
      <c r="S62" s="169"/>
      <c r="T62" s="129">
        <f>'Consolidated Cust Cnt'!B131</f>
        <v>57</v>
      </c>
      <c r="U62" s="129">
        <f t="shared" si="58"/>
        <v>66.607292443215883</v>
      </c>
      <c r="V62" s="129"/>
      <c r="W62" s="129">
        <f>'Consolidated Cust Cnt'!C131</f>
        <v>48.250049222287856</v>
      </c>
      <c r="X62" s="129">
        <f t="shared" si="59"/>
        <v>56.382546297341896</v>
      </c>
      <c r="Y62" s="129"/>
      <c r="Z62" s="129">
        <f t="shared" si="5"/>
        <v>122.98983874055779</v>
      </c>
      <c r="AA62" s="129">
        <f t="shared" si="47"/>
        <v>2926.9500000000003</v>
      </c>
      <c r="AB62" s="129"/>
      <c r="AC62" s="129">
        <f t="shared" si="48"/>
        <v>2477.6400275644819</v>
      </c>
      <c r="AE62" s="129">
        <f t="shared" si="49"/>
        <v>5404.5900275644817</v>
      </c>
      <c r="AF62" s="214"/>
    </row>
    <row r="63" spans="1:32" s="65" customFormat="1">
      <c r="A63" s="248"/>
      <c r="B63" s="49" t="s">
        <v>236</v>
      </c>
      <c r="C63" s="117" t="s">
        <v>202</v>
      </c>
      <c r="D63" s="116">
        <f>'Consolidated Cust Cnt'!D132</f>
        <v>12.000000000000002</v>
      </c>
      <c r="E63" s="74">
        <f>References!C$8</f>
        <v>17.333333333333332</v>
      </c>
      <c r="F63" s="73">
        <f t="shared" si="3"/>
        <v>208.00000000000003</v>
      </c>
      <c r="G63" s="73">
        <v>29</v>
      </c>
      <c r="H63" s="73">
        <f t="shared" si="55"/>
        <v>6032.0000000000009</v>
      </c>
      <c r="I63" s="48">
        <f>$C$141*H63</f>
        <v>4800.1055851105421</v>
      </c>
      <c r="J63" s="72">
        <f>(References!$D$61*I63)</f>
        <v>18.336403335122224</v>
      </c>
      <c r="K63" s="72">
        <f>J63/References!$H$64</f>
        <v>18.696783843709731</v>
      </c>
      <c r="L63" s="72">
        <f t="shared" si="31"/>
        <v>8.9888383863989077E-2</v>
      </c>
      <c r="M63" s="96">
        <f>'Proposed Rates'!C119</f>
        <v>3.95</v>
      </c>
      <c r="N63" s="72">
        <f t="shared" si="56"/>
        <v>4.039888383863989</v>
      </c>
      <c r="O63" s="72">
        <f>'Proposed Rates'!$E$119</f>
        <v>4.04</v>
      </c>
      <c r="P63" s="72">
        <f t="shared" si="57"/>
        <v>821.60000000000014</v>
      </c>
      <c r="Q63" s="77">
        <f t="shared" si="34"/>
        <v>840.29678384370982</v>
      </c>
      <c r="R63" s="172">
        <f t="shared" si="46"/>
        <v>18.696783843709682</v>
      </c>
      <c r="S63" s="169"/>
      <c r="T63" s="129">
        <f>'Consolidated Cust Cnt'!B132</f>
        <v>0</v>
      </c>
      <c r="U63" s="129">
        <f t="shared" si="58"/>
        <v>0</v>
      </c>
      <c r="V63" s="129"/>
      <c r="W63" s="129">
        <f>'Consolidated Cust Cnt'!C132</f>
        <v>12.000000000000002</v>
      </c>
      <c r="X63" s="129">
        <f t="shared" si="59"/>
        <v>18.696783843709728</v>
      </c>
      <c r="Y63" s="129"/>
      <c r="Z63" s="129">
        <f t="shared" si="5"/>
        <v>18.696783843709728</v>
      </c>
      <c r="AA63" s="129">
        <f t="shared" si="47"/>
        <v>0</v>
      </c>
      <c r="AB63" s="129"/>
      <c r="AC63" s="129">
        <f t="shared" si="48"/>
        <v>821.6</v>
      </c>
      <c r="AE63" s="129">
        <f t="shared" si="49"/>
        <v>821.6</v>
      </c>
      <c r="AF63" s="214"/>
    </row>
    <row r="64" spans="1:32" s="65" customFormat="1">
      <c r="A64" s="248"/>
      <c r="B64" s="49">
        <v>39</v>
      </c>
      <c r="C64" s="117" t="s">
        <v>91</v>
      </c>
      <c r="D64" s="142">
        <f>'Consolidated Cust Cnt'!D136</f>
        <v>136.49997152943854</v>
      </c>
      <c r="E64" s="74">
        <f>References!$C$11</f>
        <v>4.333333333333333</v>
      </c>
      <c r="F64" s="73">
        <f t="shared" si="3"/>
        <v>591.49987662756701</v>
      </c>
      <c r="G64" s="73">
        <f>References!C32</f>
        <v>175</v>
      </c>
      <c r="H64" s="73">
        <f t="shared" si="50"/>
        <v>103512.47840982422</v>
      </c>
      <c r="I64" s="48">
        <f>$C$141*H64</f>
        <v>82372.484373944229</v>
      </c>
      <c r="J64" s="72">
        <f>(References!$D$61*I64)</f>
        <v>314.66289030846616</v>
      </c>
      <c r="K64" s="72">
        <f>J64/References!$H$64</f>
        <v>320.84722048328143</v>
      </c>
      <c r="L64" s="72">
        <f t="shared" si="31"/>
        <v>0.54242990262752033</v>
      </c>
      <c r="M64" s="72">
        <f>'Proposed Rates'!C98</f>
        <v>20.51</v>
      </c>
      <c r="N64" s="72">
        <f t="shared" si="10"/>
        <v>21.052429902627523</v>
      </c>
      <c r="O64" s="72">
        <f>'Proposed Rates'!E98</f>
        <v>21.05</v>
      </c>
      <c r="P64" s="72">
        <f t="shared" si="51"/>
        <v>12131.662469631399</v>
      </c>
      <c r="Q64" s="77">
        <f t="shared" si="34"/>
        <v>12452.509690114683</v>
      </c>
      <c r="R64" s="172">
        <f t="shared" si="46"/>
        <v>320.84722048328331</v>
      </c>
      <c r="S64" s="169"/>
      <c r="T64" s="129">
        <f>'Consolidated Cust Cnt'!B136</f>
        <v>100.49997152943854</v>
      </c>
      <c r="U64" s="129">
        <f t="shared" si="58"/>
        <v>236.22815567338827</v>
      </c>
      <c r="V64" s="129"/>
      <c r="W64" s="129">
        <f>'Consolidated Cust Cnt'!C136</f>
        <v>36</v>
      </c>
      <c r="X64" s="129">
        <f t="shared" si="59"/>
        <v>84.619064809893175</v>
      </c>
      <c r="Y64" s="129"/>
      <c r="Z64" s="129">
        <f t="shared" si="5"/>
        <v>320.84722048328143</v>
      </c>
      <c r="AA64" s="129">
        <f t="shared" si="47"/>
        <v>8932.102469631398</v>
      </c>
      <c r="AB64" s="129"/>
      <c r="AC64" s="129">
        <f t="shared" si="48"/>
        <v>3199.56</v>
      </c>
      <c r="AE64" s="129">
        <f t="shared" si="49"/>
        <v>12131.662469631397</v>
      </c>
      <c r="AF64" s="214"/>
    </row>
    <row r="65" spans="1:32" s="65" customFormat="1">
      <c r="A65" s="248"/>
      <c r="B65" s="49">
        <v>39</v>
      </c>
      <c r="C65" s="117" t="s">
        <v>92</v>
      </c>
      <c r="D65" s="142">
        <f>'Consolidated Cust Cnt'!D137</f>
        <v>37.242659188386668</v>
      </c>
      <c r="E65" s="74">
        <f>References!$C$11</f>
        <v>4.333333333333333</v>
      </c>
      <c r="F65" s="73">
        <f t="shared" si="3"/>
        <v>161.38485648300889</v>
      </c>
      <c r="G65" s="73">
        <f>References!C33</f>
        <v>250</v>
      </c>
      <c r="H65" s="73">
        <f t="shared" si="50"/>
        <v>40346.214120752222</v>
      </c>
      <c r="I65" s="48">
        <f>$C$141*H65</f>
        <v>32106.446906347566</v>
      </c>
      <c r="J65" s="72">
        <f>(References!$D$61*I65)</f>
        <v>122.64662718224739</v>
      </c>
      <c r="K65" s="72">
        <f>J65/References!$H$64</f>
        <v>125.05710283947833</v>
      </c>
      <c r="L65" s="72">
        <f t="shared" si="31"/>
        <v>0.77489986089645746</v>
      </c>
      <c r="M65" s="72">
        <f>'Proposed Rates'!C99</f>
        <v>28.32</v>
      </c>
      <c r="N65" s="72">
        <f t="shared" si="10"/>
        <v>29.094899860896458</v>
      </c>
      <c r="O65" s="72">
        <f>'Proposed Rates'!E99</f>
        <v>29.09</v>
      </c>
      <c r="P65" s="72">
        <f t="shared" si="51"/>
        <v>4570.4191355988114</v>
      </c>
      <c r="Q65" s="77">
        <f t="shared" si="34"/>
        <v>4695.4762384382902</v>
      </c>
      <c r="R65" s="172">
        <f t="shared" si="46"/>
        <v>125.05710283947883</v>
      </c>
      <c r="S65" s="169"/>
      <c r="T65" s="129">
        <f>'Consolidated Cust Cnt'!B137</f>
        <v>25.242659188386668</v>
      </c>
      <c r="U65" s="129">
        <f t="shared" si="58"/>
        <v>84.762310072862547</v>
      </c>
      <c r="V65" s="129"/>
      <c r="W65" s="129">
        <f>'Consolidated Cust Cnt'!C137</f>
        <v>12</v>
      </c>
      <c r="X65" s="129">
        <f t="shared" si="59"/>
        <v>40.294792766615778</v>
      </c>
      <c r="Y65" s="129"/>
      <c r="Z65" s="129">
        <f t="shared" si="5"/>
        <v>125.05710283947832</v>
      </c>
      <c r="AA65" s="129">
        <f t="shared" si="47"/>
        <v>3097.7791355988115</v>
      </c>
      <c r="AB65" s="129"/>
      <c r="AC65" s="129">
        <f t="shared" si="48"/>
        <v>1472.64</v>
      </c>
      <c r="AE65" s="129">
        <f t="shared" si="49"/>
        <v>4570.4191355988114</v>
      </c>
      <c r="AF65" s="214"/>
    </row>
    <row r="66" spans="1:32" s="65" customFormat="1">
      <c r="A66" s="248"/>
      <c r="B66" s="49">
        <v>39</v>
      </c>
      <c r="C66" s="117" t="s">
        <v>93</v>
      </c>
      <c r="D66" s="142">
        <f>'Consolidated Cust Cnt'!D139</f>
        <v>507.41441420699459</v>
      </c>
      <c r="E66" s="74">
        <f>References!$C$11</f>
        <v>4.333333333333333</v>
      </c>
      <c r="F66" s="73">
        <f t="shared" si="3"/>
        <v>2198.7957948969765</v>
      </c>
      <c r="G66" s="73">
        <f>References!$C$34</f>
        <v>324</v>
      </c>
      <c r="H66" s="73">
        <f t="shared" si="50"/>
        <v>712409.8375466204</v>
      </c>
      <c r="I66" s="48">
        <f>$C$141*H66</f>
        <v>566916.85014841275</v>
      </c>
      <c r="J66" s="72">
        <f>(References!$D$61*I66)</f>
        <v>2165.6223675669312</v>
      </c>
      <c r="K66" s="72">
        <f>J66/References!$H$64</f>
        <v>2208.185136064576</v>
      </c>
      <c r="L66" s="72">
        <f t="shared" si="31"/>
        <v>1.004270219721809</v>
      </c>
      <c r="M66" s="72">
        <f>'Proposed Rates'!C100</f>
        <v>35.25</v>
      </c>
      <c r="N66" s="72">
        <f t="shared" si="10"/>
        <v>36.254270219721811</v>
      </c>
      <c r="O66" s="72">
        <f>'Proposed Rates'!$E$100</f>
        <v>36.25</v>
      </c>
      <c r="P66" s="72">
        <f t="shared" si="51"/>
        <v>77507.551770118429</v>
      </c>
      <c r="Q66" s="77">
        <f t="shared" si="34"/>
        <v>79715.736906182996</v>
      </c>
      <c r="R66" s="172">
        <f t="shared" si="46"/>
        <v>2208.1851360645669</v>
      </c>
      <c r="S66" s="169"/>
      <c r="T66" s="129">
        <f>'Consolidated Cust Cnt'!B139</f>
        <v>398.91441420699459</v>
      </c>
      <c r="U66" s="129">
        <f t="shared" si="58"/>
        <v>1736.0107544253724</v>
      </c>
      <c r="V66" s="129"/>
      <c r="W66" s="129">
        <f>'Consolidated Cust Cnt'!C139</f>
        <v>108.5</v>
      </c>
      <c r="X66" s="129">
        <f t="shared" si="59"/>
        <v>472.17438163920377</v>
      </c>
      <c r="Y66" s="129"/>
      <c r="Z66" s="129">
        <f t="shared" si="5"/>
        <v>2208.185136064576</v>
      </c>
      <c r="AA66" s="129">
        <f t="shared" si="47"/>
        <v>60934.176770118414</v>
      </c>
      <c r="AB66" s="129"/>
      <c r="AC66" s="129">
        <f t="shared" si="48"/>
        <v>16573.375</v>
      </c>
      <c r="AE66" s="129">
        <f t="shared" si="49"/>
        <v>77507.551770118414</v>
      </c>
      <c r="AF66" s="214"/>
    </row>
    <row r="67" spans="1:32" s="65" customFormat="1">
      <c r="A67" s="248"/>
      <c r="B67" s="49" t="s">
        <v>236</v>
      </c>
      <c r="C67" s="117" t="s">
        <v>94</v>
      </c>
      <c r="D67" s="142">
        <f>'Consolidated Cust Cnt'!D140</f>
        <v>40.375033479152137</v>
      </c>
      <c r="E67" s="74">
        <f>References!$C$10</f>
        <v>8.6666666666666661</v>
      </c>
      <c r="F67" s="73">
        <f t="shared" si="3"/>
        <v>349.9169568193185</v>
      </c>
      <c r="G67" s="73">
        <f>References!$C$34</f>
        <v>324</v>
      </c>
      <c r="H67" s="73">
        <f t="shared" si="50"/>
        <v>113373.09400945919</v>
      </c>
      <c r="I67" s="48">
        <f>$C$141*H67</f>
        <v>90219.300689003227</v>
      </c>
      <c r="J67" s="72">
        <f>(References!$D$61*I67)</f>
        <v>344.63772863199142</v>
      </c>
      <c r="K67" s="72">
        <f>J67/References!$H$64</f>
        <v>351.41117910932365</v>
      </c>
      <c r="L67" s="72">
        <f t="shared" si="31"/>
        <v>1.0042702197218087</v>
      </c>
      <c r="M67" s="72">
        <f>M66</f>
        <v>35.25</v>
      </c>
      <c r="N67" s="72">
        <f t="shared" si="10"/>
        <v>36.254270219721811</v>
      </c>
      <c r="O67" s="72">
        <f>'Proposed Rates'!$E$100</f>
        <v>36.25</v>
      </c>
      <c r="P67" s="72">
        <f t="shared" si="51"/>
        <v>12334.572727880977</v>
      </c>
      <c r="Q67" s="77">
        <f t="shared" si="34"/>
        <v>12685.983906990301</v>
      </c>
      <c r="R67" s="172">
        <f t="shared" si="46"/>
        <v>351.41117910932371</v>
      </c>
      <c r="S67" s="169"/>
      <c r="T67" s="129">
        <f>'Consolidated Cust Cnt'!B140</f>
        <v>40.375033479152137</v>
      </c>
      <c r="U67" s="129">
        <f t="shared" si="58"/>
        <v>351.41117910932365</v>
      </c>
      <c r="V67" s="129"/>
      <c r="W67" s="129">
        <f>'Consolidated Cust Cnt'!C140</f>
        <v>0</v>
      </c>
      <c r="X67" s="129">
        <f t="shared" si="59"/>
        <v>0</v>
      </c>
      <c r="Y67" s="129"/>
      <c r="Z67" s="129">
        <f t="shared" si="5"/>
        <v>351.41117910932365</v>
      </c>
      <c r="AA67" s="129">
        <f t="shared" si="47"/>
        <v>12334.572727880977</v>
      </c>
      <c r="AB67" s="129"/>
      <c r="AC67" s="129">
        <f t="shared" si="48"/>
        <v>0</v>
      </c>
      <c r="AE67" s="129">
        <f t="shared" si="49"/>
        <v>12334.572727880977</v>
      </c>
      <c r="AF67" s="214"/>
    </row>
    <row r="68" spans="1:32" s="65" customFormat="1">
      <c r="A68" s="248"/>
      <c r="B68" s="49" t="s">
        <v>236</v>
      </c>
      <c r="C68" s="117" t="s">
        <v>204</v>
      </c>
      <c r="D68" s="142">
        <f>'Consolidated Cust Cnt'!D141</f>
        <v>23.999999999999996</v>
      </c>
      <c r="E68" s="74">
        <f>References!$C$9</f>
        <v>13</v>
      </c>
      <c r="F68" s="73">
        <f t="shared" si="3"/>
        <v>311.99999999999994</v>
      </c>
      <c r="G68" s="73">
        <f>References!$C$34</f>
        <v>324</v>
      </c>
      <c r="H68" s="73">
        <f t="shared" si="50"/>
        <v>101087.99999999999</v>
      </c>
      <c r="I68" s="48">
        <f>$C$141*H68</f>
        <v>80443.148771162843</v>
      </c>
      <c r="J68" s="72">
        <f>(References!$D$61*I68)</f>
        <v>307.29282830584128</v>
      </c>
      <c r="K68" s="72">
        <f>J68/References!$H$64</f>
        <v>313.33230855320431</v>
      </c>
      <c r="L68" s="72">
        <f t="shared" si="31"/>
        <v>1.004270219721809</v>
      </c>
      <c r="M68" s="72">
        <f>M66</f>
        <v>35.25</v>
      </c>
      <c r="N68" s="72">
        <f t="shared" si="10"/>
        <v>36.254270219721811</v>
      </c>
      <c r="O68" s="72">
        <f>'Proposed Rates'!$E$100</f>
        <v>36.25</v>
      </c>
      <c r="P68" s="72">
        <f t="shared" si="51"/>
        <v>10997.999999999998</v>
      </c>
      <c r="Q68" s="77">
        <f t="shared" si="34"/>
        <v>11311.332308553203</v>
      </c>
      <c r="R68" s="172">
        <f t="shared" si="46"/>
        <v>313.33230855320471</v>
      </c>
      <c r="S68" s="169"/>
      <c r="T68" s="129">
        <f>'Consolidated Cust Cnt'!B141</f>
        <v>23.999999999999996</v>
      </c>
      <c r="U68" s="129">
        <f t="shared" si="58"/>
        <v>313.33230855320431</v>
      </c>
      <c r="V68" s="129"/>
      <c r="W68" s="129">
        <f>'Consolidated Cust Cnt'!C141</f>
        <v>0</v>
      </c>
      <c r="X68" s="129">
        <f t="shared" si="59"/>
        <v>0</v>
      </c>
      <c r="Y68" s="129"/>
      <c r="Z68" s="129">
        <f t="shared" si="5"/>
        <v>313.33230855320431</v>
      </c>
      <c r="AA68" s="129">
        <f t="shared" si="47"/>
        <v>10997.999999999998</v>
      </c>
      <c r="AB68" s="129"/>
      <c r="AC68" s="129">
        <f t="shared" si="48"/>
        <v>0</v>
      </c>
      <c r="AE68" s="129">
        <f t="shared" si="49"/>
        <v>10997.999999999998</v>
      </c>
      <c r="AF68" s="214"/>
    </row>
    <row r="69" spans="1:32" s="65" customFormat="1">
      <c r="A69" s="248"/>
      <c r="B69" s="49">
        <v>39</v>
      </c>
      <c r="C69" s="117" t="s">
        <v>205</v>
      </c>
      <c r="D69" s="142">
        <f>'Consolidated Cust Cnt'!D142</f>
        <v>2255.7347605910081</v>
      </c>
      <c r="E69" s="74">
        <f>References!$C$11</f>
        <v>4.333333333333333</v>
      </c>
      <c r="F69" s="73">
        <f t="shared" si="3"/>
        <v>9774.8506292277016</v>
      </c>
      <c r="G69" s="73">
        <f>References!$C$36</f>
        <v>613</v>
      </c>
      <c r="H69" s="73">
        <f t="shared" si="50"/>
        <v>5991983.4357165806</v>
      </c>
      <c r="I69" s="48">
        <f>$C$141*H69</f>
        <v>4768261.4647999015</v>
      </c>
      <c r="J69" s="72">
        <f>(References!$D$61*I69)</f>
        <v>18214.758795535578</v>
      </c>
      <c r="K69" s="72">
        <f>J69/References!$H$64</f>
        <v>18572.748523322622</v>
      </c>
      <c r="L69" s="72">
        <f t="shared" si="31"/>
        <v>1.9000544589181134</v>
      </c>
      <c r="M69" s="72">
        <f>'Proposed Rates'!C101</f>
        <v>66.180000000000007</v>
      </c>
      <c r="N69" s="72">
        <f t="shared" si="10"/>
        <v>68.080054458918127</v>
      </c>
      <c r="O69" s="72">
        <f>'Proposed Rates'!$E$101</f>
        <v>68.080000000000013</v>
      </c>
      <c r="P69" s="72">
        <f t="shared" si="51"/>
        <v>646899.61464228935</v>
      </c>
      <c r="Q69" s="77">
        <f t="shared" si="34"/>
        <v>665472.3631656121</v>
      </c>
      <c r="R69" s="172">
        <f t="shared" si="46"/>
        <v>18572.748523322749</v>
      </c>
      <c r="S69" s="169"/>
      <c r="T69" s="129">
        <f>'Consolidated Cust Cnt'!B142</f>
        <v>1687.0002140453096</v>
      </c>
      <c r="U69" s="129">
        <f t="shared" si="58"/>
        <v>13890.033208534607</v>
      </c>
      <c r="V69" s="129"/>
      <c r="W69" s="129">
        <f>'Consolidated Cust Cnt'!C142</f>
        <v>568.73454654569855</v>
      </c>
      <c r="X69" s="129">
        <f t="shared" si="59"/>
        <v>4682.7153147880117</v>
      </c>
      <c r="Y69" s="129"/>
      <c r="Z69" s="129">
        <f t="shared" si="5"/>
        <v>18572.748523322618</v>
      </c>
      <c r="AA69" s="129">
        <f t="shared" si="47"/>
        <v>483797.9213839139</v>
      </c>
      <c r="AB69" s="129"/>
      <c r="AC69" s="129">
        <f t="shared" si="48"/>
        <v>163101.69325837542</v>
      </c>
      <c r="AE69" s="129">
        <f t="shared" si="49"/>
        <v>646899.61464228935</v>
      </c>
      <c r="AF69" s="214"/>
    </row>
    <row r="70" spans="1:32" s="65" customFormat="1">
      <c r="A70" s="248"/>
      <c r="B70" s="49" t="s">
        <v>236</v>
      </c>
      <c r="C70" s="117" t="s">
        <v>206</v>
      </c>
      <c r="D70" s="142">
        <f>'Consolidated Cust Cnt'!D143</f>
        <v>392.59725703392519</v>
      </c>
      <c r="E70" s="74">
        <f>References!$C$10</f>
        <v>8.6666666666666661</v>
      </c>
      <c r="F70" s="73">
        <f t="shared" si="3"/>
        <v>3402.5095609606847</v>
      </c>
      <c r="G70" s="73">
        <f>References!$C$36</f>
        <v>613</v>
      </c>
      <c r="H70" s="73">
        <f t="shared" si="50"/>
        <v>2085738.3608688996</v>
      </c>
      <c r="I70" s="48">
        <f>$C$141*H70</f>
        <v>1659775.2578060527</v>
      </c>
      <c r="J70" s="72">
        <f>(References!$D$61*I70)</f>
        <v>6340.3414848191051</v>
      </c>
      <c r="K70" s="72">
        <f>J70/References!$H$64</f>
        <v>6464.9534628148622</v>
      </c>
      <c r="L70" s="72">
        <f t="shared" si="31"/>
        <v>1.9000544589181136</v>
      </c>
      <c r="M70" s="72">
        <f>'Proposed Rates'!C101</f>
        <v>66.180000000000007</v>
      </c>
      <c r="N70" s="72">
        <f t="shared" si="10"/>
        <v>68.080054458918127</v>
      </c>
      <c r="O70" s="72">
        <f>'Proposed Rates'!$E$101</f>
        <v>68.080000000000013</v>
      </c>
      <c r="P70" s="72">
        <f t="shared" si="51"/>
        <v>225178.08274437813</v>
      </c>
      <c r="Q70" s="77">
        <f t="shared" si="34"/>
        <v>231643.03620719301</v>
      </c>
      <c r="R70" s="172">
        <f t="shared" si="46"/>
        <v>6464.9534628148831</v>
      </c>
      <c r="S70" s="169"/>
      <c r="T70" s="129">
        <f>'Consolidated Cust Cnt'!B143</f>
        <v>262.22224379567194</v>
      </c>
      <c r="U70" s="129">
        <f t="shared" si="58"/>
        <v>4318.0500441128188</v>
      </c>
      <c r="V70" s="129"/>
      <c r="W70" s="129">
        <f>'Consolidated Cust Cnt'!C143</f>
        <v>130.37501323825325</v>
      </c>
      <c r="X70" s="129">
        <f t="shared" si="59"/>
        <v>2146.9034187020434</v>
      </c>
      <c r="Y70" s="129"/>
      <c r="Z70" s="129">
        <f t="shared" si="5"/>
        <v>6464.9534628148622</v>
      </c>
      <c r="AA70" s="129">
        <f t="shared" si="47"/>
        <v>150400.1901514456</v>
      </c>
      <c r="AB70" s="129"/>
      <c r="AC70" s="129">
        <f t="shared" si="48"/>
        <v>74777.892592932534</v>
      </c>
      <c r="AE70" s="129">
        <f t="shared" si="49"/>
        <v>225178.08274437813</v>
      </c>
      <c r="AF70" s="214"/>
    </row>
    <row r="71" spans="1:32" s="65" customFormat="1">
      <c r="A71" s="248"/>
      <c r="B71" s="49" t="s">
        <v>236</v>
      </c>
      <c r="C71" s="117" t="s">
        <v>207</v>
      </c>
      <c r="D71" s="142">
        <f>'Consolidated Cust Cnt'!D144</f>
        <v>37.16667849600173</v>
      </c>
      <c r="E71" s="74">
        <f>References!$C$9</f>
        <v>13</v>
      </c>
      <c r="F71" s="73">
        <f t="shared" si="3"/>
        <v>483.16682044802246</v>
      </c>
      <c r="G71" s="73">
        <f>References!$C$36</f>
        <v>613</v>
      </c>
      <c r="H71" s="73">
        <f t="shared" si="50"/>
        <v>296181.26093463774</v>
      </c>
      <c r="I71" s="48">
        <f>$C$141*H71</f>
        <v>235693.19045381914</v>
      </c>
      <c r="J71" s="72">
        <f>(References!$D$61*I71)</f>
        <v>900.34798753358677</v>
      </c>
      <c r="K71" s="72">
        <f>J71/References!$H$64</f>
        <v>918.0432715935525</v>
      </c>
      <c r="L71" s="72">
        <f t="shared" si="31"/>
        <v>1.9000544589181132</v>
      </c>
      <c r="M71" s="72">
        <f>'Proposed Rates'!C101</f>
        <v>66.180000000000007</v>
      </c>
      <c r="N71" s="72">
        <f t="shared" si="10"/>
        <v>68.080054458918113</v>
      </c>
      <c r="O71" s="72">
        <f>'Proposed Rates'!$E$101</f>
        <v>68.080000000000013</v>
      </c>
      <c r="P71" s="72">
        <f t="shared" si="51"/>
        <v>31975.980177250131</v>
      </c>
      <c r="Q71" s="77">
        <f t="shared" si="34"/>
        <v>32894.023448843676</v>
      </c>
      <c r="R71" s="172">
        <f t="shared" si="46"/>
        <v>918.0432715935458</v>
      </c>
      <c r="S71" s="169"/>
      <c r="T71" s="129">
        <f>'Consolidated Cust Cnt'!B144</f>
        <v>37.16667849600173</v>
      </c>
      <c r="U71" s="129">
        <f t="shared" si="58"/>
        <v>918.04327159355262</v>
      </c>
      <c r="V71" s="129"/>
      <c r="W71" s="129">
        <f>'Consolidated Cust Cnt'!C144</f>
        <v>0</v>
      </c>
      <c r="X71" s="129">
        <f t="shared" si="59"/>
        <v>0</v>
      </c>
      <c r="Y71" s="129"/>
      <c r="Z71" s="129">
        <f t="shared" si="5"/>
        <v>918.04327159355262</v>
      </c>
      <c r="AA71" s="129">
        <f t="shared" si="47"/>
        <v>31975.980177250131</v>
      </c>
      <c r="AB71" s="129"/>
      <c r="AC71" s="129">
        <f t="shared" si="48"/>
        <v>0</v>
      </c>
      <c r="AE71" s="129">
        <f t="shared" si="49"/>
        <v>31975.980177250131</v>
      </c>
      <c r="AF71" s="214"/>
    </row>
    <row r="72" spans="1:32" s="65" customFormat="1">
      <c r="A72" s="248"/>
      <c r="B72" s="49" t="s">
        <v>236</v>
      </c>
      <c r="C72" s="117" t="s">
        <v>412</v>
      </c>
      <c r="D72" s="142">
        <f>'Consolidated Cust Cnt'!D145</f>
        <v>11.750002252881435</v>
      </c>
      <c r="E72" s="74">
        <f>References!C$8</f>
        <v>17.333333333333332</v>
      </c>
      <c r="F72" s="73">
        <f t="shared" ref="F72:F106" si="60">D72*E72</f>
        <v>203.66670571661152</v>
      </c>
      <c r="G72" s="73">
        <f>References!$C$36</f>
        <v>613</v>
      </c>
      <c r="H72" s="73">
        <f t="shared" ref="H72" si="61">F72*G72</f>
        <v>124847.69060428286</v>
      </c>
      <c r="I72" s="48">
        <f>$C$141*H72</f>
        <v>99350.480264882455</v>
      </c>
      <c r="J72" s="72">
        <f>(References!$D$61*I72)</f>
        <v>379.51883461184997</v>
      </c>
      <c r="K72" s="72">
        <f>J72/References!$H$64</f>
        <v>386.97783233001093</v>
      </c>
      <c r="L72" s="72">
        <f t="shared" si="31"/>
        <v>1.9000544589181134</v>
      </c>
      <c r="M72" s="72">
        <f>'Proposed Rates'!C101</f>
        <v>66.180000000000007</v>
      </c>
      <c r="N72" s="72">
        <f t="shared" ref="N72" si="62">L72+M72</f>
        <v>68.080054458918127</v>
      </c>
      <c r="O72" s="72">
        <f>'Proposed Rates'!$E$101</f>
        <v>68.080000000000013</v>
      </c>
      <c r="P72" s="72">
        <f t="shared" ref="P72" si="63">F72*M72</f>
        <v>13478.662584325351</v>
      </c>
      <c r="Q72" s="77">
        <f t="shared" si="34"/>
        <v>13865.640416655364</v>
      </c>
      <c r="R72" s="172">
        <f t="shared" si="46"/>
        <v>386.97783233001246</v>
      </c>
      <c r="S72" s="169"/>
      <c r="T72" s="129">
        <f>'Consolidated Cust Cnt'!B145</f>
        <v>11.750002252881435</v>
      </c>
      <c r="U72" s="129">
        <f t="shared" si="58"/>
        <v>386.97783233001093</v>
      </c>
      <c r="V72" s="129"/>
      <c r="W72" s="129">
        <f>'Consolidated Cust Cnt'!C145</f>
        <v>0</v>
      </c>
      <c r="X72" s="129">
        <f t="shared" si="59"/>
        <v>0</v>
      </c>
      <c r="Y72" s="129"/>
      <c r="Z72" s="129">
        <f t="shared" ref="Z72" si="64">U72+X72</f>
        <v>386.97783233001093</v>
      </c>
      <c r="AA72" s="129">
        <f t="shared" si="47"/>
        <v>13478.662584325353</v>
      </c>
      <c r="AB72" s="129"/>
      <c r="AC72" s="129">
        <f t="shared" si="48"/>
        <v>0</v>
      </c>
      <c r="AE72" s="129">
        <f t="shared" si="49"/>
        <v>13478.662584325353</v>
      </c>
      <c r="AF72" s="214"/>
    </row>
    <row r="73" spans="1:32" s="65" customFormat="1">
      <c r="A73" s="248"/>
      <c r="B73" s="49">
        <v>39</v>
      </c>
      <c r="C73" s="117" t="s">
        <v>208</v>
      </c>
      <c r="D73" s="142">
        <f>'Consolidated Cust Cnt'!D146</f>
        <v>1589.9588247306888</v>
      </c>
      <c r="E73" s="74">
        <f>References!$C$11</f>
        <v>4.333333333333333</v>
      </c>
      <c r="F73" s="73">
        <f t="shared" si="60"/>
        <v>6889.8215738329845</v>
      </c>
      <c r="G73" s="73">
        <f>References!$C$37</f>
        <v>840</v>
      </c>
      <c r="H73" s="73">
        <f t="shared" si="50"/>
        <v>5787450.1220197072</v>
      </c>
      <c r="I73" s="48">
        <f>$C$141*H73</f>
        <v>4605499.2795516374</v>
      </c>
      <c r="J73" s="72">
        <f>(References!$D$61*I73)</f>
        <v>17593.00724788721</v>
      </c>
      <c r="K73" s="72">
        <f>J73/References!$H$64</f>
        <v>17938.777177993026</v>
      </c>
      <c r="L73" s="72">
        <f t="shared" si="31"/>
        <v>2.6036635326120972</v>
      </c>
      <c r="M73" s="72">
        <f>'Proposed Rates'!C102</f>
        <v>91.51</v>
      </c>
      <c r="N73" s="72">
        <f t="shared" si="10"/>
        <v>94.113663532612108</v>
      </c>
      <c r="O73" s="72">
        <f>'Proposed Rates'!$E$102</f>
        <v>94.11</v>
      </c>
      <c r="P73" s="72">
        <f t="shared" si="51"/>
        <v>630487.57222145644</v>
      </c>
      <c r="Q73" s="77">
        <f t="shared" si="34"/>
        <v>648426.34939944954</v>
      </c>
      <c r="R73" s="172">
        <f t="shared" si="46"/>
        <v>17938.777177993092</v>
      </c>
      <c r="S73" s="169"/>
      <c r="T73" s="129">
        <f>'Consolidated Cust Cnt'!B146</f>
        <v>1099.1254531066525</v>
      </c>
      <c r="U73" s="129">
        <f t="shared" si="58"/>
        <v>12400.929060084667</v>
      </c>
      <c r="V73" s="129"/>
      <c r="W73" s="129">
        <f>'Consolidated Cust Cnt'!C146</f>
        <v>490.83337162403637</v>
      </c>
      <c r="X73" s="129">
        <f t="shared" si="59"/>
        <v>5537.8481179083601</v>
      </c>
      <c r="Y73" s="129"/>
      <c r="Z73" s="129">
        <f t="shared" si="5"/>
        <v>17938.777177993026</v>
      </c>
      <c r="AA73" s="129">
        <f t="shared" si="47"/>
        <v>435850.8709264223</v>
      </c>
      <c r="AB73" s="129"/>
      <c r="AC73" s="129">
        <f t="shared" si="48"/>
        <v>194636.70129503415</v>
      </c>
      <c r="AE73" s="129">
        <f t="shared" si="49"/>
        <v>630487.57222145644</v>
      </c>
      <c r="AF73" s="214"/>
    </row>
    <row r="74" spans="1:32" s="65" customFormat="1">
      <c r="A74" s="248"/>
      <c r="B74" s="49" t="s">
        <v>236</v>
      </c>
      <c r="C74" s="117" t="s">
        <v>209</v>
      </c>
      <c r="D74" s="142">
        <f>'Consolidated Cust Cnt'!D147</f>
        <v>1091.4445354751851</v>
      </c>
      <c r="E74" s="74">
        <f>References!$C$10</f>
        <v>8.6666666666666661</v>
      </c>
      <c r="F74" s="73">
        <f t="shared" si="60"/>
        <v>9459.1859741182707</v>
      </c>
      <c r="G74" s="73">
        <f>References!$C$37</f>
        <v>840</v>
      </c>
      <c r="H74" s="73">
        <f t="shared" si="50"/>
        <v>7945716.2182593476</v>
      </c>
      <c r="I74" s="48">
        <f>$C$141*H74</f>
        <v>6322990.1851740889</v>
      </c>
      <c r="J74" s="72">
        <f>(References!$D$61*I74)</f>
        <v>24153.822507364956</v>
      </c>
      <c r="K74" s="72">
        <f>J74/References!$H$64</f>
        <v>24628.537569007578</v>
      </c>
      <c r="L74" s="72">
        <f t="shared" si="31"/>
        <v>2.6036635326120972</v>
      </c>
      <c r="M74" s="72">
        <f>'Proposed Rates'!C102</f>
        <v>91.51</v>
      </c>
      <c r="N74" s="72">
        <f t="shared" si="10"/>
        <v>94.113663532612108</v>
      </c>
      <c r="O74" s="72">
        <f>'Proposed Rates'!$E$102</f>
        <v>94.11</v>
      </c>
      <c r="P74" s="72">
        <f t="shared" si="51"/>
        <v>865610.10849156301</v>
      </c>
      <c r="Q74" s="77">
        <f t="shared" si="34"/>
        <v>890238.64606057061</v>
      </c>
      <c r="R74" s="172">
        <f t="shared" si="46"/>
        <v>24628.537569007603</v>
      </c>
      <c r="S74" s="169"/>
      <c r="T74" s="129">
        <f>'Consolidated Cust Cnt'!B147</f>
        <v>689.69451313865659</v>
      </c>
      <c r="U74" s="129">
        <f t="shared" si="58"/>
        <v>15563.014588348715</v>
      </c>
      <c r="V74" s="129"/>
      <c r="W74" s="129">
        <f>'Consolidated Cust Cnt'!C147</f>
        <v>401.75002233652845</v>
      </c>
      <c r="X74" s="129">
        <f t="shared" si="59"/>
        <v>9065.5229806588595</v>
      </c>
      <c r="Y74" s="129"/>
      <c r="Z74" s="129">
        <f t="shared" si="5"/>
        <v>24628.537569007574</v>
      </c>
      <c r="AA74" s="129">
        <f t="shared" si="47"/>
        <v>546987.52244342666</v>
      </c>
      <c r="AB74" s="129"/>
      <c r="AC74" s="129">
        <f t="shared" si="48"/>
        <v>318622.58604813623</v>
      </c>
      <c r="AE74" s="129">
        <f t="shared" si="49"/>
        <v>865610.10849156289</v>
      </c>
      <c r="AF74" s="214"/>
    </row>
    <row r="75" spans="1:32" s="65" customFormat="1">
      <c r="A75" s="248"/>
      <c r="B75" s="49" t="s">
        <v>236</v>
      </c>
      <c r="C75" s="117" t="s">
        <v>210</v>
      </c>
      <c r="D75" s="142">
        <f>'Consolidated Cust Cnt'!D148</f>
        <v>167.4935883799491</v>
      </c>
      <c r="E75" s="74">
        <f>References!$C$9</f>
        <v>13</v>
      </c>
      <c r="F75" s="73">
        <f t="shared" si="60"/>
        <v>2177.4166489393383</v>
      </c>
      <c r="G75" s="73">
        <f>References!$C$37</f>
        <v>840</v>
      </c>
      <c r="H75" s="73">
        <f t="shared" si="50"/>
        <v>1829029.9851090442</v>
      </c>
      <c r="I75" s="48">
        <f>$C$141*H75</f>
        <v>1455493.542250758</v>
      </c>
      <c r="J75" s="72">
        <f>(References!$D$61*I75)</f>
        <v>5559.9853313978811</v>
      </c>
      <c r="K75" s="72">
        <f>J75/References!$H$64</f>
        <v>5669.2603241457919</v>
      </c>
      <c r="L75" s="72">
        <f t="shared" si="31"/>
        <v>2.6036635326120972</v>
      </c>
      <c r="M75" s="72">
        <f>'Proposed Rates'!C102</f>
        <v>91.51</v>
      </c>
      <c r="N75" s="72">
        <f t="shared" si="10"/>
        <v>94.113663532612108</v>
      </c>
      <c r="O75" s="72">
        <f>'Proposed Rates'!$E$102</f>
        <v>94.11</v>
      </c>
      <c r="P75" s="72">
        <f t="shared" si="51"/>
        <v>199255.39754443886</v>
      </c>
      <c r="Q75" s="77">
        <f t="shared" si="34"/>
        <v>204924.65786858468</v>
      </c>
      <c r="R75" s="172">
        <f t="shared" si="46"/>
        <v>5669.2603241458128</v>
      </c>
      <c r="S75" s="169"/>
      <c r="T75" s="129">
        <f>'Consolidated Cust Cnt'!B148</f>
        <v>167.4935883799491</v>
      </c>
      <c r="U75" s="129">
        <f t="shared" si="58"/>
        <v>5669.2603241457928</v>
      </c>
      <c r="V75" s="129"/>
      <c r="W75" s="129">
        <f>'Consolidated Cust Cnt'!C148</f>
        <v>0</v>
      </c>
      <c r="X75" s="129">
        <f t="shared" si="59"/>
        <v>0</v>
      </c>
      <c r="Y75" s="129"/>
      <c r="Z75" s="129">
        <f t="shared" ref="Z75:Z106" si="65">U75+X75</f>
        <v>5669.2603241457928</v>
      </c>
      <c r="AA75" s="129">
        <f t="shared" si="47"/>
        <v>199255.39754443886</v>
      </c>
      <c r="AB75" s="129"/>
      <c r="AC75" s="129">
        <f t="shared" si="48"/>
        <v>0</v>
      </c>
      <c r="AE75" s="129">
        <f t="shared" si="49"/>
        <v>199255.39754443886</v>
      </c>
      <c r="AF75" s="214"/>
    </row>
    <row r="76" spans="1:32" s="65" customFormat="1">
      <c r="A76" s="248"/>
      <c r="B76" s="49" t="s">
        <v>236</v>
      </c>
      <c r="C76" s="117" t="s">
        <v>211</v>
      </c>
      <c r="D76" s="142">
        <f>'Consolidated Cust Cnt'!D149</f>
        <v>47.375004853007525</v>
      </c>
      <c r="E76" s="74">
        <f>References!C$8</f>
        <v>17.333333333333332</v>
      </c>
      <c r="F76" s="73">
        <f t="shared" si="60"/>
        <v>821.16675078546371</v>
      </c>
      <c r="G76" s="73">
        <f>References!$C$37</f>
        <v>840</v>
      </c>
      <c r="H76" s="73">
        <f t="shared" ref="H76:H105" si="66">F76*G76</f>
        <v>689780.07065978949</v>
      </c>
      <c r="I76" s="48">
        <f>$C$141*H76</f>
        <v>548908.68197480089</v>
      </c>
      <c r="J76" s="72">
        <f>(References!$D$61*I76)</f>
        <v>2096.8311651437339</v>
      </c>
      <c r="K76" s="72">
        <f>J76/References!$H$64</f>
        <v>2138.0419232136778</v>
      </c>
      <c r="L76" s="72">
        <f t="shared" si="31"/>
        <v>2.6036635326120967</v>
      </c>
      <c r="M76" s="72">
        <f>'Proposed Rates'!C102</f>
        <v>91.51</v>
      </c>
      <c r="N76" s="72">
        <f t="shared" si="10"/>
        <v>94.113663532612108</v>
      </c>
      <c r="O76" s="72">
        <f>'Proposed Rates'!$E$102</f>
        <v>94.11</v>
      </c>
      <c r="P76" s="72">
        <f t="shared" si="51"/>
        <v>75144.969364377786</v>
      </c>
      <c r="Q76" s="77">
        <f t="shared" si="34"/>
        <v>77283.011287591464</v>
      </c>
      <c r="R76" s="172">
        <f t="shared" si="46"/>
        <v>2138.0419232136774</v>
      </c>
      <c r="S76" s="169"/>
      <c r="T76" s="129">
        <f>'Consolidated Cust Cnt'!B149</f>
        <v>47.375004853007525</v>
      </c>
      <c r="U76" s="129">
        <f t="shared" si="58"/>
        <v>2138.0419232136778</v>
      </c>
      <c r="V76" s="129"/>
      <c r="W76" s="129">
        <f>'Consolidated Cust Cnt'!C149</f>
        <v>0</v>
      </c>
      <c r="X76" s="129">
        <f t="shared" si="59"/>
        <v>0</v>
      </c>
      <c r="Y76" s="129"/>
      <c r="Z76" s="129">
        <f t="shared" si="65"/>
        <v>2138.0419232136778</v>
      </c>
      <c r="AA76" s="129">
        <f t="shared" si="47"/>
        <v>75144.969364377786</v>
      </c>
      <c r="AB76" s="129"/>
      <c r="AC76" s="129">
        <f t="shared" si="48"/>
        <v>0</v>
      </c>
      <c r="AE76" s="129">
        <f t="shared" si="49"/>
        <v>75144.969364377786</v>
      </c>
      <c r="AF76" s="214"/>
    </row>
    <row r="77" spans="1:32" s="65" customFormat="1">
      <c r="A77" s="248"/>
      <c r="B77" s="49" t="s">
        <v>236</v>
      </c>
      <c r="C77" s="117" t="s">
        <v>212</v>
      </c>
      <c r="D77" s="142">
        <f>'Consolidated Cust Cnt'!D150</f>
        <v>39.649998978904165</v>
      </c>
      <c r="E77" s="74">
        <f>References!C$7</f>
        <v>21.666666666666668</v>
      </c>
      <c r="F77" s="73">
        <f t="shared" si="60"/>
        <v>859.08331120959031</v>
      </c>
      <c r="G77" s="73">
        <f>References!$C$37</f>
        <v>840</v>
      </c>
      <c r="H77" s="73">
        <f t="shared" si="66"/>
        <v>721629.98141605582</v>
      </c>
      <c r="I77" s="48">
        <f>$C$141*H77</f>
        <v>574253.99605079996</v>
      </c>
      <c r="J77" s="72">
        <f>(References!$D$61*I77)</f>
        <v>2193.6502649140502</v>
      </c>
      <c r="K77" s="72">
        <f>J77/References!$H$64</f>
        <v>2236.7638888720594</v>
      </c>
      <c r="L77" s="72">
        <f t="shared" si="31"/>
        <v>2.6036635326120972</v>
      </c>
      <c r="M77" s="72">
        <f>'Proposed Rates'!C102</f>
        <v>91.51</v>
      </c>
      <c r="N77" s="72">
        <f t="shared" si="10"/>
        <v>94.113663532612108</v>
      </c>
      <c r="O77" s="72">
        <f>'Proposed Rates'!$E$102</f>
        <v>94.11</v>
      </c>
      <c r="P77" s="72">
        <f t="shared" si="51"/>
        <v>78614.713808789616</v>
      </c>
      <c r="Q77" s="77">
        <f t="shared" si="34"/>
        <v>80851.477697661685</v>
      </c>
      <c r="R77" s="172">
        <f t="shared" si="46"/>
        <v>2236.7638888720685</v>
      </c>
      <c r="S77" s="169"/>
      <c r="T77" s="129">
        <f>'Consolidated Cust Cnt'!B150</f>
        <v>39.649998978904165</v>
      </c>
      <c r="U77" s="129">
        <f t="shared" si="58"/>
        <v>2236.7638888720594</v>
      </c>
      <c r="V77" s="129"/>
      <c r="W77" s="129">
        <f>'Consolidated Cust Cnt'!C150</f>
        <v>0</v>
      </c>
      <c r="X77" s="129">
        <f t="shared" si="59"/>
        <v>0</v>
      </c>
      <c r="Y77" s="129"/>
      <c r="Z77" s="129">
        <f t="shared" si="65"/>
        <v>2236.7638888720594</v>
      </c>
      <c r="AA77" s="129">
        <f t="shared" si="47"/>
        <v>78614.713808789616</v>
      </c>
      <c r="AB77" s="129"/>
      <c r="AC77" s="129">
        <f t="shared" si="48"/>
        <v>0</v>
      </c>
      <c r="AE77" s="129">
        <f t="shared" si="49"/>
        <v>78614.713808789616</v>
      </c>
      <c r="AF77" s="214"/>
    </row>
    <row r="78" spans="1:32" s="65" customFormat="1">
      <c r="A78" s="248"/>
      <c r="B78" s="49">
        <v>42</v>
      </c>
      <c r="C78" s="115" t="s">
        <v>213</v>
      </c>
      <c r="D78" s="142">
        <f>'Consolidated Cust Cnt'!D151</f>
        <v>11.999999999999998</v>
      </c>
      <c r="E78" s="74">
        <f>References!$C$11</f>
        <v>4.333333333333333</v>
      </c>
      <c r="F78" s="73">
        <f t="shared" si="60"/>
        <v>51.999999999999986</v>
      </c>
      <c r="G78" s="123">
        <f>References!C40</f>
        <v>729</v>
      </c>
      <c r="H78" s="123">
        <f t="shared" si="66"/>
        <v>37907.999999999993</v>
      </c>
      <c r="I78" s="48">
        <f>$C$141*H78</f>
        <v>30166.180789186066</v>
      </c>
      <c r="J78" s="72">
        <f>(References!$D$61*I78)</f>
        <v>115.23481061469047</v>
      </c>
      <c r="K78" s="72">
        <f>J78/References!$H$64</f>
        <v>117.49961570745161</v>
      </c>
      <c r="L78" s="72">
        <f t="shared" si="31"/>
        <v>2.2596079943740701</v>
      </c>
      <c r="M78" s="72">
        <f>'Proposed Rates'!C126</f>
        <v>74.92</v>
      </c>
      <c r="N78" s="72">
        <f t="shared" si="10"/>
        <v>77.179607994374066</v>
      </c>
      <c r="O78" s="72">
        <f>'Proposed Rates'!E126</f>
        <v>77.180000000000007</v>
      </c>
      <c r="P78" s="72">
        <f t="shared" si="51"/>
        <v>3895.8399999999992</v>
      </c>
      <c r="Q78" s="77">
        <f t="shared" si="34"/>
        <v>4013.3396157074503</v>
      </c>
      <c r="R78" s="172">
        <f t="shared" si="46"/>
        <v>117.49961570745108</v>
      </c>
      <c r="S78" s="169"/>
      <c r="T78" s="129">
        <f>'Consolidated Cust Cnt'!B151</f>
        <v>11.999999999999998</v>
      </c>
      <c r="U78" s="129">
        <f t="shared" si="58"/>
        <v>117.49961570745162</v>
      </c>
      <c r="V78" s="129"/>
      <c r="W78" s="129">
        <f>'Consolidated Cust Cnt'!C151</f>
        <v>0</v>
      </c>
      <c r="X78" s="129">
        <f t="shared" si="59"/>
        <v>0</v>
      </c>
      <c r="Y78" s="129"/>
      <c r="Z78" s="129">
        <f t="shared" si="65"/>
        <v>117.49961570745162</v>
      </c>
      <c r="AA78" s="129">
        <f t="shared" si="47"/>
        <v>3895.8399999999992</v>
      </c>
      <c r="AB78" s="129"/>
      <c r="AC78" s="129">
        <f t="shared" si="48"/>
        <v>0</v>
      </c>
      <c r="AE78" s="129">
        <f t="shared" si="49"/>
        <v>3895.8399999999992</v>
      </c>
      <c r="AF78" s="214"/>
    </row>
    <row r="79" spans="1:32" s="65" customFormat="1">
      <c r="A79" s="248"/>
      <c r="B79" s="49">
        <v>45</v>
      </c>
      <c r="C79" s="115" t="s">
        <v>413</v>
      </c>
      <c r="D79" s="142">
        <f>'Consolidated Cust Cnt'!D153</f>
        <v>12.241522137619855</v>
      </c>
      <c r="E79" s="74">
        <f>References!$C$11</f>
        <v>4.333333333333333</v>
      </c>
      <c r="F79" s="73">
        <f t="shared" si="60"/>
        <v>53.046595929686035</v>
      </c>
      <c r="G79" s="123">
        <f>References!C41</f>
        <v>1379.25</v>
      </c>
      <c r="H79" s="123">
        <f t="shared" si="66"/>
        <v>73164.517436019465</v>
      </c>
      <c r="I79" s="48">
        <f>$C$141*H79</f>
        <v>58222.382091603882</v>
      </c>
      <c r="J79" s="72">
        <f>(References!$D$61*I79)</f>
        <v>222.40949958992624</v>
      </c>
      <c r="K79" s="72">
        <f>J79/References!$H$64</f>
        <v>226.78069753491167</v>
      </c>
      <c r="L79" s="72">
        <f t="shared" si="31"/>
        <v>4.2751225325657556</v>
      </c>
      <c r="M79" s="72">
        <f>'Proposed Rates'!C127</f>
        <v>135.66</v>
      </c>
      <c r="N79" s="72">
        <f t="shared" si="10"/>
        <v>139.93512253256574</v>
      </c>
      <c r="O79" s="72">
        <f>'Proposed Rates'!E127</f>
        <v>139.94</v>
      </c>
      <c r="P79" s="72">
        <f t="shared" si="51"/>
        <v>7196.3012038212073</v>
      </c>
      <c r="Q79" s="77">
        <f t="shared" si="34"/>
        <v>7423.0819013561186</v>
      </c>
      <c r="R79" s="172">
        <f t="shared" si="46"/>
        <v>226.78069753491127</v>
      </c>
      <c r="S79" s="169"/>
      <c r="T79" s="129">
        <f>'Consolidated Cust Cnt'!B153</f>
        <v>12.241522137619855</v>
      </c>
      <c r="U79" s="129">
        <f t="shared" si="58"/>
        <v>226.78069753491164</v>
      </c>
      <c r="V79" s="129"/>
      <c r="W79" s="129">
        <f>'Consolidated Cust Cnt'!C153</f>
        <v>0</v>
      </c>
      <c r="X79" s="129">
        <f t="shared" si="59"/>
        <v>0</v>
      </c>
      <c r="Y79" s="129"/>
      <c r="Z79" s="129">
        <f t="shared" si="65"/>
        <v>226.78069753491164</v>
      </c>
      <c r="AA79" s="129">
        <f t="shared" si="47"/>
        <v>7196.3012038212073</v>
      </c>
      <c r="AB79" s="129"/>
      <c r="AC79" s="129">
        <f t="shared" si="48"/>
        <v>0</v>
      </c>
      <c r="AE79" s="129">
        <f t="shared" si="49"/>
        <v>7196.3012038212073</v>
      </c>
      <c r="AF79" s="214"/>
    </row>
    <row r="80" spans="1:32" s="65" customFormat="1">
      <c r="A80" s="248"/>
      <c r="B80" s="49" t="s">
        <v>236</v>
      </c>
      <c r="C80" s="115" t="s">
        <v>422</v>
      </c>
      <c r="D80" s="142">
        <f>'Consolidated Cust Cnt'!D154</f>
        <v>11.999999999999998</v>
      </c>
      <c r="E80" s="74">
        <f>References!$C$11</f>
        <v>4.333333333333333</v>
      </c>
      <c r="F80" s="73">
        <f t="shared" si="60"/>
        <v>51.999999999999986</v>
      </c>
      <c r="G80" s="123">
        <f>References!C50</f>
        <v>2452</v>
      </c>
      <c r="H80" s="123">
        <f t="shared" ref="H80" si="67">F80*G80</f>
        <v>127503.99999999997</v>
      </c>
      <c r="I80" s="48">
        <f>$C$141*H80</f>
        <v>101464.3008163021</v>
      </c>
      <c r="J80" s="72">
        <f>(References!$D$61*I80)</f>
        <v>387.59362911827304</v>
      </c>
      <c r="K80" s="72">
        <f>J80/References!$H$64</f>
        <v>395.21132745496755</v>
      </c>
      <c r="L80" s="72">
        <f t="shared" si="31"/>
        <v>7.6002178356724546</v>
      </c>
      <c r="M80" s="72">
        <f>'Proposed Rates'!C147</f>
        <v>215.57</v>
      </c>
      <c r="N80" s="72">
        <f t="shared" ref="N80" si="68">L80+M80</f>
        <v>223.17021783567245</v>
      </c>
      <c r="O80" s="72">
        <f>'Proposed Rates'!E147</f>
        <v>223.17</v>
      </c>
      <c r="P80" s="72">
        <f t="shared" ref="P80" si="69">F80*M80</f>
        <v>11209.639999999996</v>
      </c>
      <c r="Q80" s="77">
        <f t="shared" si="34"/>
        <v>11604.851327454964</v>
      </c>
      <c r="R80" s="172">
        <f t="shared" si="46"/>
        <v>395.21132745496834</v>
      </c>
      <c r="S80" s="169"/>
      <c r="T80" s="129">
        <f>'Consolidated Cust Cnt'!B154</f>
        <v>11.999999999999998</v>
      </c>
      <c r="U80" s="129">
        <f t="shared" si="58"/>
        <v>395.2113274549676</v>
      </c>
      <c r="V80" s="129"/>
      <c r="W80" s="129">
        <f>'Consolidated Cust Cnt'!C154</f>
        <v>0</v>
      </c>
      <c r="X80" s="129">
        <f t="shared" si="59"/>
        <v>0</v>
      </c>
      <c r="Y80" s="129"/>
      <c r="Z80" s="129">
        <f t="shared" si="65"/>
        <v>395.2113274549676</v>
      </c>
      <c r="AA80" s="129">
        <f t="shared" si="47"/>
        <v>11209.639999999998</v>
      </c>
      <c r="AB80" s="129"/>
      <c r="AC80" s="129">
        <f t="shared" si="48"/>
        <v>0</v>
      </c>
      <c r="AE80" s="129">
        <f t="shared" si="49"/>
        <v>11209.639999999998</v>
      </c>
      <c r="AF80" s="214"/>
    </row>
    <row r="81" spans="1:32" s="65" customFormat="1">
      <c r="A81" s="248"/>
      <c r="B81" s="49" t="s">
        <v>236</v>
      </c>
      <c r="C81" s="115" t="s">
        <v>423</v>
      </c>
      <c r="D81" s="142">
        <f>'Consolidated Cust Cnt'!D155</f>
        <v>13</v>
      </c>
      <c r="E81" s="74">
        <f>References!$C$11</f>
        <v>4.333333333333333</v>
      </c>
      <c r="F81" s="73">
        <f t="shared" si="60"/>
        <v>56.333333333333329</v>
      </c>
      <c r="G81" s="123">
        <f>References!C53</f>
        <v>3065</v>
      </c>
      <c r="H81" s="123">
        <f t="shared" si="66"/>
        <v>172661.66666666666</v>
      </c>
      <c r="I81" s="48">
        <f>$C$141*H81</f>
        <v>137399.5740220758</v>
      </c>
      <c r="J81" s="72">
        <f>(References!$D$61*I81)</f>
        <v>524.86637276432816</v>
      </c>
      <c r="K81" s="72">
        <f>J81/References!$H$64</f>
        <v>535.18200592860194</v>
      </c>
      <c r="L81" s="72">
        <f t="shared" si="31"/>
        <v>9.5002722945905678</v>
      </c>
      <c r="M81" s="72">
        <f>'Proposed Rates'!C155</f>
        <v>241.51</v>
      </c>
      <c r="N81" s="72">
        <f t="shared" si="10"/>
        <v>251.01027229459055</v>
      </c>
      <c r="O81" s="72">
        <f>'Proposed Rates'!$E$155</f>
        <v>251.01</v>
      </c>
      <c r="P81" s="72">
        <f t="shared" si="51"/>
        <v>13605.063333333332</v>
      </c>
      <c r="Q81" s="77">
        <f t="shared" si="34"/>
        <v>14140.245339261934</v>
      </c>
      <c r="R81" s="172">
        <f t="shared" si="46"/>
        <v>535.18200592860194</v>
      </c>
      <c r="S81" s="169"/>
      <c r="T81" s="129">
        <f>'Consolidated Cust Cnt'!B155</f>
        <v>13</v>
      </c>
      <c r="U81" s="129">
        <f t="shared" si="58"/>
        <v>535.18200592860194</v>
      </c>
      <c r="V81" s="129"/>
      <c r="W81" s="129">
        <f>'Consolidated Cust Cnt'!C155</f>
        <v>0</v>
      </c>
      <c r="X81" s="129">
        <f t="shared" si="59"/>
        <v>0</v>
      </c>
      <c r="Y81" s="129"/>
      <c r="Z81" s="129">
        <f t="shared" si="65"/>
        <v>535.18200592860194</v>
      </c>
      <c r="AA81" s="129">
        <f t="shared" si="47"/>
        <v>13605.063333333334</v>
      </c>
      <c r="AB81" s="129"/>
      <c r="AC81" s="129">
        <f t="shared" si="48"/>
        <v>0</v>
      </c>
      <c r="AE81" s="129">
        <f t="shared" si="49"/>
        <v>13605.063333333334</v>
      </c>
      <c r="AF81" s="214"/>
    </row>
    <row r="82" spans="1:32" s="65" customFormat="1">
      <c r="A82" s="248"/>
      <c r="B82" s="49" t="s">
        <v>236</v>
      </c>
      <c r="C82" s="115" t="s">
        <v>426</v>
      </c>
      <c r="D82" s="142">
        <f>'Consolidated Cust Cnt'!D167</f>
        <v>11.999999999999998</v>
      </c>
      <c r="E82" s="74">
        <f>References!$C$12</f>
        <v>2.1666666666666665</v>
      </c>
      <c r="F82" s="73">
        <f t="shared" si="60"/>
        <v>25.999999999999993</v>
      </c>
      <c r="G82" s="123">
        <f>References!C53</f>
        <v>3065</v>
      </c>
      <c r="H82" s="123">
        <f t="shared" ref="H82" si="70">F82*G82</f>
        <v>79689.999999999985</v>
      </c>
      <c r="I82" s="48">
        <f>$C$141*H82</f>
        <v>63415.188010188816</v>
      </c>
      <c r="J82" s="72">
        <f>(References!$D$61*I82)</f>
        <v>242.24601819892064</v>
      </c>
      <c r="K82" s="72">
        <f>J82/References!$H$64</f>
        <v>247.0070796593547</v>
      </c>
      <c r="L82" s="72">
        <f t="shared" si="31"/>
        <v>9.5002722945905678</v>
      </c>
      <c r="M82" s="72">
        <f>'Proposed Rates'!C155</f>
        <v>241.51</v>
      </c>
      <c r="N82" s="72">
        <f t="shared" ref="N82" si="71">L82+M82</f>
        <v>251.01027229459055</v>
      </c>
      <c r="O82" s="72">
        <f>'Proposed Rates'!$E$155</f>
        <v>251.01</v>
      </c>
      <c r="P82" s="72">
        <f t="shared" ref="P82" si="72">F82*M82</f>
        <v>6279.2599999999984</v>
      </c>
      <c r="Q82" s="77">
        <f t="shared" si="34"/>
        <v>6526.2670796593529</v>
      </c>
      <c r="R82" s="172">
        <f t="shared" si="46"/>
        <v>247.00707965935453</v>
      </c>
      <c r="S82" s="169"/>
      <c r="T82" s="129">
        <f>'Consolidated Cust Cnt'!B167</f>
        <v>0</v>
      </c>
      <c r="U82" s="129">
        <f t="shared" si="58"/>
        <v>0</v>
      </c>
      <c r="V82" s="129"/>
      <c r="W82" s="129">
        <f>'Consolidated Cust Cnt'!C167</f>
        <v>11.999999999999998</v>
      </c>
      <c r="X82" s="129">
        <f t="shared" si="59"/>
        <v>247.0070796593547</v>
      </c>
      <c r="Y82" s="129"/>
      <c r="Z82" s="129">
        <f t="shared" ref="Z82:Z83" si="73">U82+X82</f>
        <v>247.0070796593547</v>
      </c>
      <c r="AA82" s="129">
        <f t="shared" si="47"/>
        <v>0</v>
      </c>
      <c r="AB82" s="129"/>
      <c r="AC82" s="129">
        <f t="shared" si="48"/>
        <v>6279.2599999999984</v>
      </c>
      <c r="AE82" s="129">
        <f t="shared" si="49"/>
        <v>6279.2599999999984</v>
      </c>
      <c r="AF82" s="214"/>
    </row>
    <row r="83" spans="1:32" s="65" customFormat="1">
      <c r="A83" s="248"/>
      <c r="B83" s="49">
        <v>45</v>
      </c>
      <c r="C83" s="115" t="s">
        <v>414</v>
      </c>
      <c r="D83" s="168">
        <f>'Consolidated Cust Cnt'!D166</f>
        <v>17.779278142352343</v>
      </c>
      <c r="E83" s="74">
        <f>References!$C$14</f>
        <v>1</v>
      </c>
      <c r="F83" s="73">
        <f t="shared" si="60"/>
        <v>17.779278142352343</v>
      </c>
      <c r="G83" s="123">
        <f>References!C53</f>
        <v>3065</v>
      </c>
      <c r="H83" s="123">
        <f t="shared" ref="H83" si="74">F83*G83</f>
        <v>54493.487506309932</v>
      </c>
      <c r="I83" s="48">
        <f>$C$141*H83</f>
        <v>43364.4717724121</v>
      </c>
      <c r="J83" s="72">
        <f>(References!$D$61*I83)</f>
        <v>165.6522821706138</v>
      </c>
      <c r="K83" s="72">
        <f>J83/References!$H$64</f>
        <v>168.90798355360963</v>
      </c>
      <c r="L83" s="72">
        <f t="shared" si="31"/>
        <v>9.5002722945905678</v>
      </c>
      <c r="M83" s="72">
        <f>'Proposed Rates'!C158</f>
        <v>247.56</v>
      </c>
      <c r="N83" s="72">
        <f t="shared" ref="N83" si="75">L83+M83</f>
        <v>257.06027229459056</v>
      </c>
      <c r="O83" s="72">
        <f>'Proposed Rates'!$E$158</f>
        <v>257.06</v>
      </c>
      <c r="P83" s="72">
        <f t="shared" ref="P83" si="76">F83*M83</f>
        <v>4401.4380969207459</v>
      </c>
      <c r="Q83" s="77">
        <f t="shared" si="34"/>
        <v>4570.3460804743554</v>
      </c>
      <c r="R83" s="172">
        <f t="shared" si="46"/>
        <v>168.90798355360948</v>
      </c>
      <c r="S83" s="169"/>
      <c r="T83" s="129">
        <f>'Consolidated Cust Cnt'!B166</f>
        <v>17.779278142352343</v>
      </c>
      <c r="U83" s="129">
        <f t="shared" si="58"/>
        <v>168.90798355360963</v>
      </c>
      <c r="V83" s="129"/>
      <c r="W83" s="129">
        <f>'Consolidated Cust Cnt'!C166</f>
        <v>0</v>
      </c>
      <c r="X83" s="129">
        <f t="shared" si="59"/>
        <v>0</v>
      </c>
      <c r="Y83" s="129"/>
      <c r="Z83" s="129">
        <f t="shared" si="73"/>
        <v>168.90798355360963</v>
      </c>
      <c r="AA83" s="129">
        <f t="shared" si="47"/>
        <v>4401.4380969207459</v>
      </c>
      <c r="AB83" s="129"/>
      <c r="AC83" s="129">
        <f t="shared" si="48"/>
        <v>0</v>
      </c>
      <c r="AE83" s="129">
        <f t="shared" si="49"/>
        <v>4401.4380969207459</v>
      </c>
      <c r="AF83" s="214"/>
    </row>
    <row r="84" spans="1:32" s="65" customFormat="1">
      <c r="A84" s="248"/>
      <c r="B84" s="49">
        <v>43</v>
      </c>
      <c r="C84" s="115" t="s">
        <v>214</v>
      </c>
      <c r="D84" s="142">
        <f>'Consolidated Cust Cnt'!D158</f>
        <v>12</v>
      </c>
      <c r="E84" s="74">
        <f>References!$C$10</f>
        <v>8.6666666666666661</v>
      </c>
      <c r="F84" s="73">
        <f t="shared" si="60"/>
        <v>104</v>
      </c>
      <c r="G84" s="123">
        <f>References!C47</f>
        <v>2520</v>
      </c>
      <c r="H84" s="123">
        <f t="shared" si="66"/>
        <v>262080</v>
      </c>
      <c r="I84" s="48">
        <f>$C$141*H84</f>
        <v>208556.31162894075</v>
      </c>
      <c r="J84" s="72">
        <f>(References!$D$61*I84)</f>
        <v>796.68511042255159</v>
      </c>
      <c r="K84" s="72">
        <f>J84/References!$H$64</f>
        <v>812.34302217497429</v>
      </c>
      <c r="L84" s="72">
        <f t="shared" si="31"/>
        <v>7.810990597836291</v>
      </c>
      <c r="M84" s="72">
        <f>'Proposed Rates'!C138</f>
        <v>239.3</v>
      </c>
      <c r="N84" s="72">
        <f t="shared" si="10"/>
        <v>247.11099059783629</v>
      </c>
      <c r="O84" s="72">
        <f>'Proposed Rates'!E138</f>
        <v>247.11</v>
      </c>
      <c r="P84" s="72">
        <f t="shared" si="51"/>
        <v>24887.200000000001</v>
      </c>
      <c r="Q84" s="77">
        <f t="shared" si="34"/>
        <v>25699.543022174974</v>
      </c>
      <c r="R84" s="172">
        <f t="shared" si="46"/>
        <v>812.34302217497316</v>
      </c>
      <c r="S84" s="169"/>
      <c r="T84" s="129">
        <f>'Consolidated Cust Cnt'!B158</f>
        <v>0</v>
      </c>
      <c r="U84" s="129">
        <f t="shared" si="58"/>
        <v>0</v>
      </c>
      <c r="V84" s="129"/>
      <c r="W84" s="129">
        <f>'Consolidated Cust Cnt'!C158</f>
        <v>12</v>
      </c>
      <c r="X84" s="129">
        <f t="shared" si="59"/>
        <v>812.34302217497418</v>
      </c>
      <c r="Y84" s="129"/>
      <c r="Z84" s="129">
        <f t="shared" si="65"/>
        <v>812.34302217497418</v>
      </c>
      <c r="AA84" s="129">
        <f t="shared" si="47"/>
        <v>0</v>
      </c>
      <c r="AB84" s="129"/>
      <c r="AC84" s="129">
        <f t="shared" si="48"/>
        <v>24887.200000000001</v>
      </c>
      <c r="AE84" s="129">
        <f t="shared" si="49"/>
        <v>24887.200000000001</v>
      </c>
      <c r="AF84" s="214"/>
    </row>
    <row r="85" spans="1:32" s="65" customFormat="1">
      <c r="A85" s="248"/>
      <c r="B85" s="49" t="s">
        <v>237</v>
      </c>
      <c r="C85" s="115" t="s">
        <v>427</v>
      </c>
      <c r="D85" s="142">
        <f>'Consolidated Cust Cnt'!D168</f>
        <v>2</v>
      </c>
      <c r="E85" s="74">
        <f>References!$C$11</f>
        <v>4.333333333333333</v>
      </c>
      <c r="F85" s="73">
        <f t="shared" si="60"/>
        <v>8.6666666666666661</v>
      </c>
      <c r="G85" s="123">
        <f>References!C51</f>
        <v>3360</v>
      </c>
      <c r="H85" s="123">
        <f t="shared" si="66"/>
        <v>29119.999999999996</v>
      </c>
      <c r="I85" s="48">
        <f>$C$141*H85</f>
        <v>23172.923514326747</v>
      </c>
      <c r="J85" s="72">
        <f>(References!$D$61*I85)</f>
        <v>88.520567824727948</v>
      </c>
      <c r="K85" s="72">
        <f>J85/References!$H$64</f>
        <v>90.260335797219355</v>
      </c>
      <c r="L85" s="72">
        <f t="shared" si="31"/>
        <v>10.414654130448389</v>
      </c>
      <c r="M85" s="72">
        <f>'Proposed Rates'!C148</f>
        <v>307.72000000000003</v>
      </c>
      <c r="N85" s="72">
        <f t="shared" si="10"/>
        <v>318.13465413044844</v>
      </c>
      <c r="O85" s="72">
        <f>'Proposed Rates'!E148</f>
        <v>318.13000000000005</v>
      </c>
      <c r="P85" s="72">
        <f t="shared" ref="P85" si="77">F85*M85</f>
        <v>2666.9066666666668</v>
      </c>
      <c r="Q85" s="77">
        <f t="shared" si="34"/>
        <v>2757.1670024638861</v>
      </c>
      <c r="R85" s="172">
        <f t="shared" si="46"/>
        <v>90.260335797219341</v>
      </c>
      <c r="S85" s="169"/>
      <c r="T85" s="129">
        <f>'Consolidated Cust Cnt'!B168</f>
        <v>2</v>
      </c>
      <c r="U85" s="129">
        <f t="shared" si="58"/>
        <v>90.260335797219355</v>
      </c>
      <c r="V85" s="129"/>
      <c r="W85" s="129">
        <f>'Consolidated Cust Cnt'!C159</f>
        <v>0</v>
      </c>
      <c r="X85" s="129">
        <f t="shared" si="59"/>
        <v>0</v>
      </c>
      <c r="Y85" s="129"/>
      <c r="Z85" s="129">
        <f t="shared" si="65"/>
        <v>90.260335797219355</v>
      </c>
      <c r="AA85" s="129">
        <f t="shared" si="47"/>
        <v>2666.9066666666668</v>
      </c>
      <c r="AB85" s="129"/>
      <c r="AC85" s="129">
        <f t="shared" si="48"/>
        <v>0</v>
      </c>
      <c r="AE85" s="129">
        <f t="shared" si="49"/>
        <v>2666.9066666666668</v>
      </c>
      <c r="AF85" s="214"/>
    </row>
    <row r="86" spans="1:32" s="65" customFormat="1">
      <c r="A86" s="248"/>
      <c r="B86" s="49">
        <v>44</v>
      </c>
      <c r="C86" s="115" t="s">
        <v>424</v>
      </c>
      <c r="D86" s="142">
        <f>'Consolidated Cust Cnt'!D160</f>
        <v>9.250001946418978</v>
      </c>
      <c r="E86" s="74">
        <f>References!$C$10</f>
        <v>8.6666666666666661</v>
      </c>
      <c r="F86" s="73">
        <f t="shared" si="60"/>
        <v>80.166683535631137</v>
      </c>
      <c r="G86" s="123">
        <f>References!C51</f>
        <v>3360</v>
      </c>
      <c r="H86" s="123">
        <f t="shared" si="66"/>
        <v>269360.05667972064</v>
      </c>
      <c r="I86" s="48">
        <f>$C$141*H86</f>
        <v>214349.58761174054</v>
      </c>
      <c r="J86" s="72">
        <f>(References!$D$61*I86)</f>
        <v>818.81542467684676</v>
      </c>
      <c r="K86" s="72">
        <f>J86/References!$H$64</f>
        <v>834.90828180870972</v>
      </c>
      <c r="L86" s="72">
        <f t="shared" si="31"/>
        <v>10.414654130448389</v>
      </c>
      <c r="M86" s="72">
        <f>'Proposed Rates'!C148</f>
        <v>307.72000000000003</v>
      </c>
      <c r="N86" s="72">
        <f t="shared" ref="N86:N105" si="78">L86+M86</f>
        <v>318.13465413044844</v>
      </c>
      <c r="O86" s="72">
        <f>'Proposed Rates'!E148</f>
        <v>318.13000000000005</v>
      </c>
      <c r="P86" s="72">
        <f t="shared" si="51"/>
        <v>24668.891857584415</v>
      </c>
      <c r="Q86" s="77">
        <f t="shared" si="34"/>
        <v>25503.800139393126</v>
      </c>
      <c r="R86" s="172">
        <f t="shared" si="46"/>
        <v>834.90828180871176</v>
      </c>
      <c r="S86" s="169"/>
      <c r="T86" s="129">
        <f>'Consolidated Cust Cnt'!B160</f>
        <v>9.250001946418978</v>
      </c>
      <c r="U86" s="129">
        <f t="shared" si="58"/>
        <v>834.9082818087096</v>
      </c>
      <c r="V86" s="129"/>
      <c r="W86" s="129">
        <f>'Consolidated Cust Cnt'!C160</f>
        <v>0</v>
      </c>
      <c r="X86" s="129">
        <f t="shared" si="59"/>
        <v>0</v>
      </c>
      <c r="Y86" s="129"/>
      <c r="Z86" s="129">
        <f t="shared" si="65"/>
        <v>834.9082818087096</v>
      </c>
      <c r="AA86" s="129">
        <f t="shared" si="47"/>
        <v>24668.891857584415</v>
      </c>
      <c r="AB86" s="129"/>
      <c r="AC86" s="129">
        <f t="shared" si="48"/>
        <v>0</v>
      </c>
      <c r="AE86" s="129">
        <f t="shared" si="49"/>
        <v>24668.891857584415</v>
      </c>
      <c r="AF86" s="214"/>
    </row>
    <row r="87" spans="1:32" s="65" customFormat="1">
      <c r="A87" s="248"/>
      <c r="B87" s="49">
        <v>43</v>
      </c>
      <c r="C87" s="115" t="s">
        <v>425</v>
      </c>
      <c r="D87" s="142">
        <f>'Consolidated Cust Cnt'!D164</f>
        <v>12</v>
      </c>
      <c r="E87" s="74">
        <f>References!$C$10</f>
        <v>8.6666666666666661</v>
      </c>
      <c r="F87" s="73">
        <f t="shared" si="60"/>
        <v>104</v>
      </c>
      <c r="G87" s="123">
        <f>References!C45</f>
        <v>1419</v>
      </c>
      <c r="H87" s="123">
        <f t="shared" si="66"/>
        <v>147576</v>
      </c>
      <c r="I87" s="48">
        <f>$C$141*H87</f>
        <v>117437.06595296306</v>
      </c>
      <c r="J87" s="72">
        <f>(References!$D$61*I87)</f>
        <v>448.60959194031773</v>
      </c>
      <c r="K87" s="72">
        <f>J87/References!$H$64</f>
        <v>457.42648748662242</v>
      </c>
      <c r="L87" s="72">
        <f t="shared" si="31"/>
        <v>4.3983316104482926</v>
      </c>
      <c r="M87" s="72">
        <f>'Proposed Rates'!C136</f>
        <v>129.38999999999999</v>
      </c>
      <c r="N87" s="72">
        <f t="shared" si="78"/>
        <v>133.78833161044827</v>
      </c>
      <c r="O87" s="72">
        <f>'Proposed Rates'!E136</f>
        <v>133.79</v>
      </c>
      <c r="P87" s="72">
        <f t="shared" si="51"/>
        <v>13456.559999999998</v>
      </c>
      <c r="Q87" s="77">
        <f t="shared" si="34"/>
        <v>13913.98648748662</v>
      </c>
      <c r="R87" s="172">
        <f t="shared" si="46"/>
        <v>457.42648748662214</v>
      </c>
      <c r="S87" s="169"/>
      <c r="T87" s="129">
        <f>'Consolidated Cust Cnt'!B164</f>
        <v>0</v>
      </c>
      <c r="U87" s="129">
        <f t="shared" si="58"/>
        <v>0</v>
      </c>
      <c r="V87" s="129"/>
      <c r="W87" s="129">
        <f>'Consolidated Cust Cnt'!C164</f>
        <v>12</v>
      </c>
      <c r="X87" s="129">
        <f t="shared" si="59"/>
        <v>457.42648748662242</v>
      </c>
      <c r="Y87" s="129"/>
      <c r="Z87" s="129">
        <f t="shared" si="65"/>
        <v>457.42648748662242</v>
      </c>
      <c r="AA87" s="129">
        <f t="shared" si="47"/>
        <v>0</v>
      </c>
      <c r="AB87" s="129"/>
      <c r="AC87" s="129">
        <f t="shared" si="48"/>
        <v>13456.559999999998</v>
      </c>
      <c r="AE87" s="129">
        <f t="shared" si="49"/>
        <v>13456.559999999998</v>
      </c>
      <c r="AF87" s="214"/>
    </row>
    <row r="88" spans="1:32" s="65" customFormat="1">
      <c r="A88" s="248"/>
      <c r="B88" s="49">
        <v>43</v>
      </c>
      <c r="C88" s="115" t="s">
        <v>215</v>
      </c>
      <c r="D88" s="142">
        <f>'Consolidated Cust Cnt'!D165</f>
        <v>0</v>
      </c>
      <c r="E88" s="74">
        <f>References!$C$14</f>
        <v>1</v>
      </c>
      <c r="F88" s="73">
        <f t="shared" si="60"/>
        <v>0</v>
      </c>
      <c r="G88" s="123">
        <f>References!C45</f>
        <v>1419</v>
      </c>
      <c r="H88" s="123">
        <f t="shared" si="66"/>
        <v>0</v>
      </c>
      <c r="I88" s="48">
        <f>$C$141*H88</f>
        <v>0</v>
      </c>
      <c r="J88" s="72">
        <f>(References!$D$61*I88)</f>
        <v>0</v>
      </c>
      <c r="K88" s="72">
        <f>J88/References!$H$64</f>
        <v>0</v>
      </c>
      <c r="L88" s="72">
        <f>L87</f>
        <v>4.3983316104482926</v>
      </c>
      <c r="M88" s="72">
        <f>'Proposed Rates'!C141</f>
        <v>135.44</v>
      </c>
      <c r="N88" s="72">
        <f t="shared" si="78"/>
        <v>139.83833161044828</v>
      </c>
      <c r="O88" s="72">
        <f>'Proposed Rates'!E141</f>
        <v>139.84</v>
      </c>
      <c r="P88" s="72">
        <f t="shared" si="51"/>
        <v>0</v>
      </c>
      <c r="Q88" s="77"/>
      <c r="R88" s="172">
        <f t="shared" si="46"/>
        <v>0</v>
      </c>
      <c r="S88" s="169"/>
      <c r="T88" s="129">
        <f>'Consolidated Cust Cnt'!B165</f>
        <v>0</v>
      </c>
      <c r="U88" s="129">
        <f t="shared" si="58"/>
        <v>0</v>
      </c>
      <c r="V88" s="129"/>
      <c r="W88" s="129">
        <f>'Consolidated Cust Cnt'!C165</f>
        <v>0</v>
      </c>
      <c r="X88" s="129">
        <f t="shared" si="59"/>
        <v>0</v>
      </c>
      <c r="Y88" s="129"/>
      <c r="Z88" s="129">
        <f t="shared" si="65"/>
        <v>0</v>
      </c>
      <c r="AA88" s="129">
        <f t="shared" si="47"/>
        <v>0</v>
      </c>
      <c r="AB88" s="129"/>
      <c r="AC88" s="129">
        <f t="shared" si="48"/>
        <v>0</v>
      </c>
      <c r="AE88" s="129">
        <f t="shared" si="49"/>
        <v>0</v>
      </c>
      <c r="AF88" s="214"/>
    </row>
    <row r="89" spans="1:32" s="65" customFormat="1">
      <c r="A89" s="248"/>
      <c r="B89" s="49">
        <v>39</v>
      </c>
      <c r="C89" s="117" t="s">
        <v>216</v>
      </c>
      <c r="D89" s="142">
        <f>'Consolidated Cust Cnt'!D170</f>
        <v>4885.7260744007044</v>
      </c>
      <c r="E89" s="74">
        <f>References!$C$11</f>
        <v>4.333333333333333</v>
      </c>
      <c r="F89" s="73">
        <f t="shared" si="60"/>
        <v>21171.479655736384</v>
      </c>
      <c r="G89" s="73">
        <f>References!$C$32</f>
        <v>175</v>
      </c>
      <c r="H89" s="73">
        <f t="shared" si="66"/>
        <v>3705008.9397538672</v>
      </c>
      <c r="I89" s="48">
        <f>$C$141*H89</f>
        <v>2948347.8290114426</v>
      </c>
      <c r="J89" s="72">
        <f>(References!$D$61*I89)</f>
        <v>11262.688706823681</v>
      </c>
      <c r="K89" s="72">
        <f>J89/References!$H$64</f>
        <v>11484.043648141611</v>
      </c>
      <c r="L89" s="72">
        <f t="shared" si="31"/>
        <v>0.54242990262752011</v>
      </c>
      <c r="M89" s="72">
        <f>'Proposed Rates'!C98</f>
        <v>20.51</v>
      </c>
      <c r="N89" s="72">
        <f t="shared" si="78"/>
        <v>21.052429902627523</v>
      </c>
      <c r="O89" s="72">
        <f>'Proposed Rates'!$E$98</f>
        <v>21.05</v>
      </c>
      <c r="P89" s="72">
        <f t="shared" si="51"/>
        <v>434227.04773915326</v>
      </c>
      <c r="Q89" s="77">
        <f t="shared" si="34"/>
        <v>445711.09138729493</v>
      </c>
      <c r="R89" s="172">
        <f t="shared" si="46"/>
        <v>11484.043648141669</v>
      </c>
      <c r="S89" s="169"/>
      <c r="T89" s="129">
        <f>'Consolidated Cust Cnt'!B170</f>
        <v>3371.9789602550964</v>
      </c>
      <c r="U89" s="129">
        <f>$L89*T89*References!$C$11</f>
        <v>7925.9362826506122</v>
      </c>
      <c r="V89" s="129"/>
      <c r="W89" s="129">
        <f>'Consolidated Cust Cnt'!C170</f>
        <v>1513.7471141456083</v>
      </c>
      <c r="X89" s="129">
        <f t="shared" si="59"/>
        <v>3558.1073654909978</v>
      </c>
      <c r="Y89" s="129"/>
      <c r="Z89" s="129">
        <f t="shared" si="65"/>
        <v>11484.043648141611</v>
      </c>
      <c r="AA89" s="129">
        <f t="shared" si="47"/>
        <v>299690.25005760544</v>
      </c>
      <c r="AB89" s="129"/>
      <c r="AC89" s="129">
        <f t="shared" si="48"/>
        <v>134536.79768154785</v>
      </c>
      <c r="AE89" s="129">
        <f t="shared" si="49"/>
        <v>434227.04773915326</v>
      </c>
      <c r="AF89" s="214"/>
    </row>
    <row r="90" spans="1:32" s="65" customFormat="1">
      <c r="A90" s="248"/>
      <c r="B90" s="49" t="s">
        <v>236</v>
      </c>
      <c r="C90" s="117" t="s">
        <v>217</v>
      </c>
      <c r="D90" s="142">
        <f>'Consolidated Cust Cnt'!D171</f>
        <v>68</v>
      </c>
      <c r="E90" s="74">
        <f>References!$C$10</f>
        <v>8.6666666666666661</v>
      </c>
      <c r="F90" s="73">
        <f t="shared" si="60"/>
        <v>589.33333333333326</v>
      </c>
      <c r="G90" s="73">
        <f>References!$C$32</f>
        <v>175</v>
      </c>
      <c r="H90" s="73">
        <f t="shared" si="66"/>
        <v>103133.33333333331</v>
      </c>
      <c r="I90" s="48">
        <f t="shared" ref="I90:I106" si="79">$C$141*H90</f>
        <v>82070.770779907223</v>
      </c>
      <c r="J90" s="72">
        <f>(References!$D$61*I90)</f>
        <v>313.51034437924477</v>
      </c>
      <c r="K90" s="72">
        <f>J90/References!$H$64</f>
        <v>319.67202261515183</v>
      </c>
      <c r="L90" s="72">
        <f t="shared" si="31"/>
        <v>0.54242990262752011</v>
      </c>
      <c r="M90" s="72">
        <f>'Proposed Rates'!C98</f>
        <v>20.51</v>
      </c>
      <c r="N90" s="72">
        <f t="shared" si="78"/>
        <v>21.052429902627523</v>
      </c>
      <c r="O90" s="72">
        <f>'Proposed Rates'!$E$98</f>
        <v>21.05</v>
      </c>
      <c r="P90" s="72">
        <f t="shared" si="51"/>
        <v>12087.226666666666</v>
      </c>
      <c r="Q90" s="77">
        <f t="shared" si="34"/>
        <v>12406.898689281819</v>
      </c>
      <c r="R90" s="172">
        <f t="shared" ref="R90:R106" si="80">Q90-P90</f>
        <v>319.67202261515376</v>
      </c>
      <c r="S90" s="169"/>
      <c r="T90" s="129">
        <f>'Consolidated Cust Cnt'!B171</f>
        <v>11</v>
      </c>
      <c r="U90" s="129">
        <f>$L90*T90*References!$D$11</f>
        <v>51.711650717156921</v>
      </c>
      <c r="V90" s="129"/>
      <c r="W90" s="129">
        <f>'Consolidated Cust Cnt'!C171</f>
        <v>57.000000000000007</v>
      </c>
      <c r="X90" s="129">
        <f t="shared" si="59"/>
        <v>267.96037189799495</v>
      </c>
      <c r="Y90" s="129"/>
      <c r="Z90" s="129">
        <f t="shared" si="65"/>
        <v>319.67202261515189</v>
      </c>
      <c r="AA90" s="129">
        <f t="shared" si="47"/>
        <v>1955.2866666666666</v>
      </c>
      <c r="AB90" s="129"/>
      <c r="AC90" s="129">
        <f t="shared" si="48"/>
        <v>10131.94</v>
      </c>
      <c r="AE90" s="129">
        <f t="shared" si="49"/>
        <v>12087.226666666667</v>
      </c>
      <c r="AF90" s="214"/>
    </row>
    <row r="91" spans="1:32" s="65" customFormat="1">
      <c r="A91" s="248"/>
      <c r="B91" s="49" t="s">
        <v>236</v>
      </c>
      <c r="C91" s="117" t="s">
        <v>218</v>
      </c>
      <c r="D91" s="142">
        <f>'Consolidated Cust Cnt'!D172</f>
        <v>72</v>
      </c>
      <c r="E91" s="74">
        <f>References!$C$9</f>
        <v>13</v>
      </c>
      <c r="F91" s="73">
        <f t="shared" si="60"/>
        <v>936</v>
      </c>
      <c r="G91" s="73">
        <f>References!$C$32</f>
        <v>175</v>
      </c>
      <c r="H91" s="73">
        <f t="shared" si="66"/>
        <v>163800</v>
      </c>
      <c r="I91" s="48">
        <f t="shared" si="79"/>
        <v>130347.69476808797</v>
      </c>
      <c r="J91" s="72">
        <f>(References!$D$61*I91)</f>
        <v>497.92819401409474</v>
      </c>
      <c r="K91" s="72">
        <f>J91/References!$H$64</f>
        <v>507.71438885935891</v>
      </c>
      <c r="L91" s="72">
        <f t="shared" si="31"/>
        <v>0.54242990262752022</v>
      </c>
      <c r="M91" s="72">
        <f>'Proposed Rates'!C98</f>
        <v>20.51</v>
      </c>
      <c r="N91" s="72">
        <f t="shared" si="78"/>
        <v>21.052429902627523</v>
      </c>
      <c r="O91" s="72">
        <f>'Proposed Rates'!$E$98</f>
        <v>21.05</v>
      </c>
      <c r="P91" s="72">
        <f t="shared" si="51"/>
        <v>19197.36</v>
      </c>
      <c r="Q91" s="77">
        <f t="shared" si="34"/>
        <v>19705.074388859361</v>
      </c>
      <c r="R91" s="172">
        <f t="shared" si="80"/>
        <v>507.71438885936004</v>
      </c>
      <c r="S91" s="169"/>
      <c r="T91" s="129">
        <f>'Consolidated Cust Cnt'!B172</f>
        <v>0</v>
      </c>
      <c r="U91" s="129">
        <f>$L91*T91*References!$E$11</f>
        <v>0</v>
      </c>
      <c r="V91" s="129"/>
      <c r="W91" s="129">
        <f>'Consolidated Cust Cnt'!C172</f>
        <v>72</v>
      </c>
      <c r="X91" s="129">
        <f t="shared" si="59"/>
        <v>507.71438885935896</v>
      </c>
      <c r="Y91" s="129"/>
      <c r="Z91" s="129">
        <f t="shared" si="65"/>
        <v>507.71438885935896</v>
      </c>
      <c r="AA91" s="129">
        <f t="shared" si="47"/>
        <v>0</v>
      </c>
      <c r="AB91" s="129"/>
      <c r="AC91" s="129">
        <f t="shared" si="48"/>
        <v>19197.36</v>
      </c>
      <c r="AE91" s="129">
        <f t="shared" si="49"/>
        <v>19197.36</v>
      </c>
      <c r="AF91" s="214"/>
    </row>
    <row r="92" spans="1:32" s="65" customFormat="1">
      <c r="A92" s="248"/>
      <c r="B92" s="49">
        <v>39</v>
      </c>
      <c r="C92" s="117" t="s">
        <v>219</v>
      </c>
      <c r="D92" s="142">
        <f>'Consolidated Cust Cnt'!D173</f>
        <v>858.78619906820734</v>
      </c>
      <c r="E92" s="74">
        <f>References!$C$11</f>
        <v>4.333333333333333</v>
      </c>
      <c r="F92" s="73">
        <f t="shared" si="60"/>
        <v>3721.4068626288981</v>
      </c>
      <c r="G92" s="73">
        <f>References!C33</f>
        <v>250</v>
      </c>
      <c r="H92" s="73">
        <f t="shared" si="66"/>
        <v>930351.71565722453</v>
      </c>
      <c r="I92" s="48">
        <f t="shared" si="79"/>
        <v>740349.21525918727</v>
      </c>
      <c r="J92" s="72">
        <f>(References!$D$61*I92)</f>
        <v>2828.1340022900881</v>
      </c>
      <c r="K92" s="72">
        <f>J92/References!$H$64</f>
        <v>2883.7176601902556</v>
      </c>
      <c r="L92" s="72">
        <f t="shared" si="31"/>
        <v>0.77489986089645757</v>
      </c>
      <c r="M92" s="72">
        <f>'Proposed Rates'!C99</f>
        <v>28.32</v>
      </c>
      <c r="N92" s="72">
        <f t="shared" si="78"/>
        <v>29.094899860896458</v>
      </c>
      <c r="O92" s="72">
        <f>'Proposed Rates'!$E$99</f>
        <v>29.09</v>
      </c>
      <c r="P92" s="72">
        <f t="shared" si="51"/>
        <v>105390.24234965039</v>
      </c>
      <c r="Q92" s="77">
        <f t="shared" si="34"/>
        <v>108273.96000984065</v>
      </c>
      <c r="R92" s="172">
        <f t="shared" si="80"/>
        <v>2883.7176601902611</v>
      </c>
      <c r="S92" s="169"/>
      <c r="T92" s="129">
        <f>'Consolidated Cust Cnt'!B173</f>
        <v>634.53619906820734</v>
      </c>
      <c r="U92" s="129">
        <f>$L92*T92*References!$C$11</f>
        <v>2130.7087203641231</v>
      </c>
      <c r="V92" s="129"/>
      <c r="W92" s="129">
        <f>'Consolidated Cust Cnt'!C173</f>
        <v>224.25000000000003</v>
      </c>
      <c r="X92" s="129">
        <f t="shared" si="59"/>
        <v>753.00893982613263</v>
      </c>
      <c r="Y92" s="129"/>
      <c r="Z92" s="129">
        <f t="shared" si="65"/>
        <v>2883.7176601902556</v>
      </c>
      <c r="AA92" s="129">
        <f t="shared" si="47"/>
        <v>77870.282349650399</v>
      </c>
      <c r="AB92" s="129"/>
      <c r="AC92" s="129">
        <f t="shared" si="48"/>
        <v>27519.960000000003</v>
      </c>
      <c r="AE92" s="129">
        <f t="shared" si="49"/>
        <v>105390.24234965041</v>
      </c>
      <c r="AF92" s="214"/>
    </row>
    <row r="93" spans="1:32" s="65" customFormat="1">
      <c r="A93" s="248"/>
      <c r="B93" s="49" t="s">
        <v>236</v>
      </c>
      <c r="C93" s="117" t="s">
        <v>220</v>
      </c>
      <c r="D93" s="142">
        <f>'Consolidated Cust Cnt'!D174</f>
        <v>92.616332885662445</v>
      </c>
      <c r="E93" s="74">
        <f>References!$C$10</f>
        <v>8.6666666666666661</v>
      </c>
      <c r="F93" s="73">
        <f t="shared" si="60"/>
        <v>802.6748850090745</v>
      </c>
      <c r="G93" s="73">
        <f>References!C33</f>
        <v>250</v>
      </c>
      <c r="H93" s="73">
        <f t="shared" si="66"/>
        <v>200668.72125226862</v>
      </c>
      <c r="I93" s="48">
        <f t="shared" si="79"/>
        <v>159686.84509947032</v>
      </c>
      <c r="J93" s="72">
        <f>(References!$D$61*I93)</f>
        <v>610.00374827997507</v>
      </c>
      <c r="K93" s="72">
        <f>J93/References!$H$64</f>
        <v>621.9926567386118</v>
      </c>
      <c r="L93" s="72">
        <f t="shared" si="31"/>
        <v>0.77489986089645746</v>
      </c>
      <c r="M93" s="72">
        <f>'Proposed Rates'!C99</f>
        <v>28.32</v>
      </c>
      <c r="N93" s="72">
        <f t="shared" si="78"/>
        <v>29.094899860896458</v>
      </c>
      <c r="O93" s="72">
        <f>'Proposed Rates'!$E$99</f>
        <v>29.09</v>
      </c>
      <c r="P93" s="72">
        <f t="shared" si="51"/>
        <v>22731.752743456989</v>
      </c>
      <c r="Q93" s="77">
        <f t="shared" si="34"/>
        <v>23353.745400195603</v>
      </c>
      <c r="R93" s="172">
        <f t="shared" si="80"/>
        <v>621.99265673861373</v>
      </c>
      <c r="S93" s="169"/>
      <c r="T93" s="129">
        <f>'Consolidated Cust Cnt'!B174</f>
        <v>44.616332885662445</v>
      </c>
      <c r="U93" s="129">
        <f>$L93*T93*References!$D$11</f>
        <v>299.63431460568552</v>
      </c>
      <c r="V93" s="129"/>
      <c r="W93" s="129">
        <f>'Consolidated Cust Cnt'!C174</f>
        <v>48</v>
      </c>
      <c r="X93" s="129">
        <f t="shared" si="59"/>
        <v>322.35834213292623</v>
      </c>
      <c r="Y93" s="129"/>
      <c r="Z93" s="129">
        <f t="shared" si="65"/>
        <v>621.99265673861169</v>
      </c>
      <c r="AA93" s="129">
        <f t="shared" si="47"/>
        <v>10950.63274345699</v>
      </c>
      <c r="AB93" s="129"/>
      <c r="AC93" s="129">
        <f t="shared" si="48"/>
        <v>11781.12</v>
      </c>
      <c r="AE93" s="129">
        <f t="shared" si="49"/>
        <v>22731.752743456993</v>
      </c>
      <c r="AF93" s="214"/>
    </row>
    <row r="94" spans="1:32" s="65" customFormat="1">
      <c r="A94" s="248"/>
      <c r="B94" s="49">
        <v>39</v>
      </c>
      <c r="C94" s="117" t="s">
        <v>221</v>
      </c>
      <c r="D94" s="142">
        <f>'Consolidated Cust Cnt'!D175</f>
        <v>5080.9149802082666</v>
      </c>
      <c r="E94" s="74">
        <f>References!$C$11</f>
        <v>4.333333333333333</v>
      </c>
      <c r="F94" s="73">
        <f t="shared" si="60"/>
        <v>22017.298247569153</v>
      </c>
      <c r="G94" s="73">
        <f>References!$C$34</f>
        <v>324</v>
      </c>
      <c r="H94" s="73">
        <f t="shared" si="66"/>
        <v>7133604.632212406</v>
      </c>
      <c r="I94" s="48">
        <f t="shared" si="79"/>
        <v>5676733.3284239387</v>
      </c>
      <c r="J94" s="72">
        <f>(References!$D$61*I94)</f>
        <v>21685.121314579388</v>
      </c>
      <c r="K94" s="72">
        <f>J94/References!$H$64</f>
        <v>22111.316948766871</v>
      </c>
      <c r="L94" s="72">
        <f t="shared" si="31"/>
        <v>1.004270219721809</v>
      </c>
      <c r="M94" s="72">
        <f>'Proposed Rates'!C100</f>
        <v>35.25</v>
      </c>
      <c r="N94" s="72">
        <f t="shared" si="78"/>
        <v>36.254270219721811</v>
      </c>
      <c r="O94" s="72">
        <f>'Proposed Rates'!$E$100</f>
        <v>36.25</v>
      </c>
      <c r="P94" s="72">
        <f t="shared" si="51"/>
        <v>776109.76322681271</v>
      </c>
      <c r="Q94" s="77">
        <f t="shared" si="34"/>
        <v>798221.08017557953</v>
      </c>
      <c r="R94" s="172">
        <f t="shared" si="80"/>
        <v>22111.31694876682</v>
      </c>
      <c r="S94" s="169"/>
      <c r="T94" s="129">
        <f>'Consolidated Cust Cnt'!B175</f>
        <v>3350.1823433880913</v>
      </c>
      <c r="U94" s="129">
        <f>$L94*T94*References!$C$11</f>
        <v>14579.449551777427</v>
      </c>
      <c r="V94" s="129"/>
      <c r="W94" s="129">
        <f>'Consolidated Cust Cnt'!C175</f>
        <v>1730.7326368201757</v>
      </c>
      <c r="X94" s="129">
        <f t="shared" si="59"/>
        <v>7531.867396989448</v>
      </c>
      <c r="Y94" s="129"/>
      <c r="Z94" s="129">
        <f t="shared" si="65"/>
        <v>22111.316948766875</v>
      </c>
      <c r="AA94" s="129">
        <f t="shared" si="47"/>
        <v>511740.35295253096</v>
      </c>
      <c r="AB94" s="129"/>
      <c r="AC94" s="129">
        <f t="shared" si="48"/>
        <v>264369.41027428181</v>
      </c>
      <c r="AE94" s="129">
        <f t="shared" si="49"/>
        <v>776109.76322681271</v>
      </c>
      <c r="AF94" s="214"/>
    </row>
    <row r="95" spans="1:32" s="65" customFormat="1">
      <c r="A95" s="248"/>
      <c r="B95" s="49" t="s">
        <v>236</v>
      </c>
      <c r="C95" s="117" t="s">
        <v>222</v>
      </c>
      <c r="D95" s="142">
        <f>'Consolidated Cust Cnt'!D176</f>
        <v>972.87513288273078</v>
      </c>
      <c r="E95" s="74">
        <f>References!$C$10</f>
        <v>8.6666666666666661</v>
      </c>
      <c r="F95" s="73">
        <f t="shared" si="60"/>
        <v>8431.5844849836667</v>
      </c>
      <c r="G95" s="73">
        <f>References!$C$34</f>
        <v>324</v>
      </c>
      <c r="H95" s="73">
        <f t="shared" si="66"/>
        <v>2731833.373134708</v>
      </c>
      <c r="I95" s="48">
        <f t="shared" si="79"/>
        <v>2173920.529173621</v>
      </c>
      <c r="J95" s="72">
        <f>(References!$D$61*I95)</f>
        <v>8304.3764214432103</v>
      </c>
      <c r="K95" s="72">
        <f>J95/References!$H$64</f>
        <v>8467.5892033375421</v>
      </c>
      <c r="L95" s="72">
        <f t="shared" si="31"/>
        <v>1.004270219721809</v>
      </c>
      <c r="M95" s="72">
        <f>'Proposed Rates'!C100</f>
        <v>35.25</v>
      </c>
      <c r="N95" s="72">
        <f t="shared" si="78"/>
        <v>36.254270219721811</v>
      </c>
      <c r="O95" s="72">
        <f>'Proposed Rates'!$E$100</f>
        <v>36.25</v>
      </c>
      <c r="P95" s="72">
        <f t="shared" si="51"/>
        <v>297213.35309567425</v>
      </c>
      <c r="Q95" s="77">
        <f t="shared" si="34"/>
        <v>305680.9422990118</v>
      </c>
      <c r="R95" s="172">
        <f t="shared" si="80"/>
        <v>8467.5892033375567</v>
      </c>
      <c r="S95" s="169"/>
      <c r="T95" s="129">
        <f>'Consolidated Cust Cnt'!B176</f>
        <v>414.87509974820455</v>
      </c>
      <c r="U95" s="129">
        <f>$L95*T95*References!$D$11</f>
        <v>3610.9381323707184</v>
      </c>
      <c r="V95" s="129"/>
      <c r="W95" s="129">
        <f>'Consolidated Cust Cnt'!C176</f>
        <v>558.00003313452623</v>
      </c>
      <c r="X95" s="129">
        <f t="shared" si="59"/>
        <v>4856.6510709668237</v>
      </c>
      <c r="Y95" s="129"/>
      <c r="Z95" s="129">
        <f t="shared" si="65"/>
        <v>8467.5892033375421</v>
      </c>
      <c r="AA95" s="129">
        <f t="shared" si="47"/>
        <v>126744.34297307648</v>
      </c>
      <c r="AB95" s="129"/>
      <c r="AC95" s="129">
        <f t="shared" si="48"/>
        <v>170469.01012259774</v>
      </c>
      <c r="AE95" s="129">
        <f t="shared" si="49"/>
        <v>297213.35309567419</v>
      </c>
      <c r="AF95" s="214"/>
    </row>
    <row r="96" spans="1:32" s="65" customFormat="1">
      <c r="A96" s="248"/>
      <c r="B96" s="49" t="s">
        <v>236</v>
      </c>
      <c r="C96" s="117" t="s">
        <v>223</v>
      </c>
      <c r="D96" s="142">
        <f>'Consolidated Cust Cnt'!D177</f>
        <v>110.24987575125498</v>
      </c>
      <c r="E96" s="74">
        <f>References!$C$9</f>
        <v>13</v>
      </c>
      <c r="F96" s="73">
        <f t="shared" si="60"/>
        <v>1433.2483847663148</v>
      </c>
      <c r="G96" s="73">
        <f>References!$C$34</f>
        <v>324</v>
      </c>
      <c r="H96" s="73">
        <f t="shared" si="66"/>
        <v>464372.47666428599</v>
      </c>
      <c r="I96" s="48">
        <f t="shared" si="79"/>
        <v>369535.29821085103</v>
      </c>
      <c r="J96" s="72">
        <f>(References!$D$61*I96)</f>
        <v>1411.6248391654474</v>
      </c>
      <c r="K96" s="72">
        <f>J96/References!$H$64</f>
        <v>1439.3686702851946</v>
      </c>
      <c r="L96" s="72">
        <f t="shared" si="31"/>
        <v>1.004270219721809</v>
      </c>
      <c r="M96" s="72">
        <f>'Proposed Rates'!C100</f>
        <v>35.25</v>
      </c>
      <c r="N96" s="72">
        <f t="shared" si="78"/>
        <v>36.254270219721811</v>
      </c>
      <c r="O96" s="72">
        <f>'Proposed Rates'!$E$100</f>
        <v>36.25</v>
      </c>
      <c r="P96" s="72">
        <f t="shared" si="51"/>
        <v>50522.005563012593</v>
      </c>
      <c r="Q96" s="77">
        <f t="shared" si="34"/>
        <v>51961.374233297793</v>
      </c>
      <c r="R96" s="172">
        <f t="shared" si="80"/>
        <v>1439.3686702851992</v>
      </c>
      <c r="S96" s="169"/>
      <c r="T96" s="129">
        <f>'Consolidated Cust Cnt'!B177</f>
        <v>62.249875751254983</v>
      </c>
      <c r="U96" s="129">
        <f>$L96*T96*References!$E$11</f>
        <v>812.7040531787859</v>
      </c>
      <c r="V96" s="129"/>
      <c r="W96" s="129">
        <f>'Consolidated Cust Cnt'!C177</f>
        <v>47.999999999999993</v>
      </c>
      <c r="X96" s="129">
        <f t="shared" si="59"/>
        <v>626.66461710640863</v>
      </c>
      <c r="Y96" s="129"/>
      <c r="Z96" s="129">
        <f t="shared" si="65"/>
        <v>1439.3686702851946</v>
      </c>
      <c r="AA96" s="129">
        <f t="shared" si="47"/>
        <v>28526.005563012593</v>
      </c>
      <c r="AB96" s="129"/>
      <c r="AC96" s="129">
        <f t="shared" si="48"/>
        <v>21995.999999999996</v>
      </c>
      <c r="AE96" s="129">
        <f t="shared" si="49"/>
        <v>50522.005563012586</v>
      </c>
      <c r="AF96" s="214"/>
    </row>
    <row r="97" spans="1:32" s="65" customFormat="1">
      <c r="A97" s="248"/>
      <c r="B97" s="49" t="s">
        <v>236</v>
      </c>
      <c r="C97" s="117" t="s">
        <v>224</v>
      </c>
      <c r="D97" s="142">
        <f>'Consolidated Cust Cnt'!D178</f>
        <v>12.000000000000002</v>
      </c>
      <c r="E97" s="74">
        <f>References!C$8</f>
        <v>17.333333333333332</v>
      </c>
      <c r="F97" s="73">
        <f t="shared" si="60"/>
        <v>208.00000000000003</v>
      </c>
      <c r="G97" s="73">
        <f>References!$C$34</f>
        <v>324</v>
      </c>
      <c r="H97" s="73">
        <f t="shared" si="66"/>
        <v>67392.000000000015</v>
      </c>
      <c r="I97" s="48">
        <f t="shared" si="79"/>
        <v>53628.765847441922</v>
      </c>
      <c r="J97" s="72">
        <f>(References!$D$61*I97)</f>
        <v>204.86188553722761</v>
      </c>
      <c r="K97" s="72">
        <f>J97/References!$H$64</f>
        <v>208.8882057021363</v>
      </c>
      <c r="L97" s="72">
        <f t="shared" si="31"/>
        <v>1.004270219721809</v>
      </c>
      <c r="M97" s="72">
        <f>'Proposed Rates'!C100</f>
        <v>35.25</v>
      </c>
      <c r="N97" s="72">
        <f t="shared" si="78"/>
        <v>36.254270219721811</v>
      </c>
      <c r="O97" s="72">
        <f>'Proposed Rates'!$E$100</f>
        <v>36.25</v>
      </c>
      <c r="P97" s="72">
        <f t="shared" si="51"/>
        <v>7332.0000000000009</v>
      </c>
      <c r="Q97" s="77">
        <f t="shared" si="34"/>
        <v>7540.8882057021374</v>
      </c>
      <c r="R97" s="172">
        <f t="shared" si="80"/>
        <v>208.88820570213647</v>
      </c>
      <c r="S97" s="169"/>
      <c r="T97" s="129">
        <f>'Consolidated Cust Cnt'!B178</f>
        <v>12.000000000000002</v>
      </c>
      <c r="U97" s="129">
        <f>$L97*T97*References!$F$11</f>
        <v>208.8882057021363</v>
      </c>
      <c r="V97" s="129"/>
      <c r="W97" s="129">
        <f>'Consolidated Cust Cnt'!C178</f>
        <v>0</v>
      </c>
      <c r="X97" s="129">
        <f t="shared" si="59"/>
        <v>0</v>
      </c>
      <c r="Y97" s="129"/>
      <c r="Z97" s="129">
        <f t="shared" si="65"/>
        <v>208.8882057021363</v>
      </c>
      <c r="AA97" s="129">
        <f t="shared" si="47"/>
        <v>7332.0000000000009</v>
      </c>
      <c r="AB97" s="129"/>
      <c r="AC97" s="129">
        <f t="shared" si="48"/>
        <v>0</v>
      </c>
      <c r="AE97" s="129">
        <f t="shared" si="49"/>
        <v>7332.0000000000009</v>
      </c>
      <c r="AF97" s="214"/>
    </row>
    <row r="98" spans="1:32" s="65" customFormat="1">
      <c r="A98" s="248"/>
      <c r="B98" s="49" t="s">
        <v>236</v>
      </c>
      <c r="C98" s="117" t="s">
        <v>225</v>
      </c>
      <c r="D98" s="142">
        <f>'Consolidated Cust Cnt'!D179</f>
        <v>36</v>
      </c>
      <c r="E98" s="74">
        <f>References!C$7</f>
        <v>21.666666666666668</v>
      </c>
      <c r="F98" s="73">
        <f t="shared" si="60"/>
        <v>780</v>
      </c>
      <c r="G98" s="73">
        <f>References!$C$34</f>
        <v>324</v>
      </c>
      <c r="H98" s="73">
        <f t="shared" si="66"/>
        <v>252720</v>
      </c>
      <c r="I98" s="48">
        <f t="shared" si="79"/>
        <v>201107.87192790717</v>
      </c>
      <c r="J98" s="72">
        <f>(References!$D$61*I98)</f>
        <v>768.23207076460335</v>
      </c>
      <c r="K98" s="72">
        <f>J98/References!$H$64</f>
        <v>783.33077138301087</v>
      </c>
      <c r="L98" s="72">
        <f t="shared" si="31"/>
        <v>1.0042702197218087</v>
      </c>
      <c r="M98" s="72">
        <f>'Proposed Rates'!C100</f>
        <v>35.25</v>
      </c>
      <c r="N98" s="72">
        <f t="shared" si="78"/>
        <v>36.254270219721811</v>
      </c>
      <c r="O98" s="72">
        <f>'Proposed Rates'!$E$100</f>
        <v>36.25</v>
      </c>
      <c r="P98" s="72">
        <f t="shared" si="51"/>
        <v>27495</v>
      </c>
      <c r="Q98" s="77">
        <f t="shared" si="34"/>
        <v>28278.330771383011</v>
      </c>
      <c r="R98" s="172">
        <f t="shared" si="80"/>
        <v>783.33077138301087</v>
      </c>
      <c r="S98" s="169"/>
      <c r="T98" s="129">
        <f>'Consolidated Cust Cnt'!B179</f>
        <v>36</v>
      </c>
      <c r="U98" s="129">
        <f>$L98*T98*References!$G$11</f>
        <v>783.33077138301076</v>
      </c>
      <c r="V98" s="129"/>
      <c r="W98" s="129">
        <f>'Consolidated Cust Cnt'!C179</f>
        <v>0</v>
      </c>
      <c r="X98" s="129">
        <f t="shared" si="59"/>
        <v>0</v>
      </c>
      <c r="Y98" s="129"/>
      <c r="Z98" s="129">
        <f t="shared" si="65"/>
        <v>783.33077138301076</v>
      </c>
      <c r="AA98" s="129">
        <f t="shared" si="47"/>
        <v>27495</v>
      </c>
      <c r="AB98" s="129"/>
      <c r="AC98" s="129">
        <f t="shared" si="48"/>
        <v>0</v>
      </c>
      <c r="AE98" s="129">
        <f t="shared" si="49"/>
        <v>27495</v>
      </c>
      <c r="AF98" s="214"/>
    </row>
    <row r="99" spans="1:32" s="65" customFormat="1">
      <c r="A99" s="248"/>
      <c r="B99" s="49">
        <v>39</v>
      </c>
      <c r="C99" s="117" t="s">
        <v>226</v>
      </c>
      <c r="D99" s="142">
        <f>'Consolidated Cust Cnt'!D181</f>
        <v>79.5435368043088</v>
      </c>
      <c r="E99" s="74">
        <f>References!$C$14</f>
        <v>1</v>
      </c>
      <c r="F99" s="73">
        <f t="shared" si="60"/>
        <v>79.5435368043088</v>
      </c>
      <c r="G99" s="73">
        <f>References!C32</f>
        <v>175</v>
      </c>
      <c r="H99" s="73">
        <f t="shared" si="66"/>
        <v>13920.118940754041</v>
      </c>
      <c r="I99" s="48">
        <f t="shared" si="79"/>
        <v>11077.261384767324</v>
      </c>
      <c r="J99" s="72">
        <f>(References!$D$61*I99)</f>
        <v>42.315138489811069</v>
      </c>
      <c r="K99" s="72">
        <f>J99/References!$H$64</f>
        <v>43.146792923409798</v>
      </c>
      <c r="L99" s="72">
        <f t="shared" si="31"/>
        <v>0.54242990262752022</v>
      </c>
      <c r="M99" s="72">
        <f>'Proposed Rates'!C112</f>
        <v>22.52</v>
      </c>
      <c r="N99" s="72">
        <f t="shared" si="78"/>
        <v>23.062429902627521</v>
      </c>
      <c r="O99" s="72">
        <f>'Proposed Rates'!E112</f>
        <v>23.06</v>
      </c>
      <c r="P99" s="72">
        <f t="shared" si="51"/>
        <v>1791.3204488330341</v>
      </c>
      <c r="Q99" s="77">
        <f t="shared" si="34"/>
        <v>1834.4672417564441</v>
      </c>
      <c r="R99" s="172">
        <f t="shared" si="80"/>
        <v>43.146792923409976</v>
      </c>
      <c r="S99" s="169"/>
      <c r="T99" s="129">
        <f>'Consolidated Cust Cnt'!B181</f>
        <v>32.5435368043088</v>
      </c>
      <c r="U99" s="129">
        <f>$L99*T99</f>
        <v>17.652587499916343</v>
      </c>
      <c r="V99" s="129"/>
      <c r="W99" s="129">
        <f>'Consolidated Cust Cnt'!C181</f>
        <v>47</v>
      </c>
      <c r="X99" s="129">
        <f t="shared" si="59"/>
        <v>25.494205423493451</v>
      </c>
      <c r="Y99" s="129"/>
      <c r="Z99" s="129">
        <f t="shared" si="65"/>
        <v>43.146792923409791</v>
      </c>
      <c r="AA99" s="129">
        <f t="shared" si="47"/>
        <v>732.88044883303417</v>
      </c>
      <c r="AB99" s="129"/>
      <c r="AC99" s="129">
        <f t="shared" si="48"/>
        <v>1058.44</v>
      </c>
      <c r="AE99" s="129">
        <f t="shared" si="49"/>
        <v>1791.3204488330343</v>
      </c>
      <c r="AF99" s="214"/>
    </row>
    <row r="100" spans="1:32" s="65" customFormat="1">
      <c r="A100" s="248"/>
      <c r="B100" s="49">
        <v>39</v>
      </c>
      <c r="C100" s="117" t="s">
        <v>227</v>
      </c>
      <c r="D100" s="142">
        <f>'Consolidated Cust Cnt'!D182</f>
        <v>14</v>
      </c>
      <c r="E100" s="74">
        <f>References!$C$14</f>
        <v>1</v>
      </c>
      <c r="F100" s="73">
        <f t="shared" si="60"/>
        <v>14</v>
      </c>
      <c r="G100" s="73">
        <f>References!C33</f>
        <v>250</v>
      </c>
      <c r="H100" s="73">
        <f t="shared" ref="H100" si="81">F100*G100</f>
        <v>3500</v>
      </c>
      <c r="I100" s="48">
        <f t="shared" si="79"/>
        <v>2785.2071531642728</v>
      </c>
      <c r="J100" s="72">
        <f>(References!$D$61*I100)</f>
        <v>10.639491325087494</v>
      </c>
      <c r="K100" s="72">
        <f>J100/References!$H$64</f>
        <v>10.848598052550404</v>
      </c>
      <c r="L100" s="72">
        <f t="shared" si="31"/>
        <v>0.77489986089645746</v>
      </c>
      <c r="M100" s="72">
        <f>'Proposed Rates'!C113</f>
        <v>30.34</v>
      </c>
      <c r="N100" s="72">
        <f t="shared" ref="N100" si="82">L100+M100</f>
        <v>31.114899860896458</v>
      </c>
      <c r="O100" s="72">
        <f>'Proposed Rates'!E113</f>
        <v>31.11</v>
      </c>
      <c r="P100" s="72">
        <f t="shared" ref="P100" si="83">F100*M100</f>
        <v>424.76</v>
      </c>
      <c r="Q100" s="77">
        <f t="shared" si="34"/>
        <v>435.60859805255041</v>
      </c>
      <c r="R100" s="172">
        <f t="shared" si="80"/>
        <v>10.848598052550415</v>
      </c>
      <c r="S100" s="169"/>
      <c r="T100" s="129">
        <f>'Consolidated Cust Cnt'!B182</f>
        <v>14</v>
      </c>
      <c r="U100" s="129">
        <f>$L100*T100</f>
        <v>10.848598052550404</v>
      </c>
      <c r="V100" s="129"/>
      <c r="W100" s="129">
        <f>'Consolidated Cust Cnt'!C182</f>
        <v>0</v>
      </c>
      <c r="X100" s="129">
        <f t="shared" si="59"/>
        <v>0</v>
      </c>
      <c r="Y100" s="129"/>
      <c r="Z100" s="129">
        <f t="shared" ref="Z100" si="84">U100+X100</f>
        <v>10.848598052550404</v>
      </c>
      <c r="AA100" s="129">
        <f t="shared" si="47"/>
        <v>424.76</v>
      </c>
      <c r="AB100" s="129"/>
      <c r="AC100" s="129">
        <f t="shared" si="48"/>
        <v>0</v>
      </c>
      <c r="AE100" s="129">
        <f t="shared" si="49"/>
        <v>424.76</v>
      </c>
      <c r="AF100" s="214"/>
    </row>
    <row r="101" spans="1:32" s="65" customFormat="1">
      <c r="A101" s="248"/>
      <c r="B101" s="49">
        <v>39</v>
      </c>
      <c r="C101" s="117" t="s">
        <v>228</v>
      </c>
      <c r="D101" s="142">
        <f>'Consolidated Cust Cnt'!D183</f>
        <v>514.63663500678422</v>
      </c>
      <c r="E101" s="74">
        <f>References!$C$14</f>
        <v>1</v>
      </c>
      <c r="F101" s="73">
        <f t="shared" si="60"/>
        <v>514.63663500678422</v>
      </c>
      <c r="G101" s="73">
        <f>References!C34</f>
        <v>324</v>
      </c>
      <c r="H101" s="73">
        <f t="shared" si="66"/>
        <v>166742.26974219808</v>
      </c>
      <c r="I101" s="48">
        <f t="shared" si="79"/>
        <v>132689.07497737624</v>
      </c>
      <c r="J101" s="72">
        <f>(References!$D$61*I101)</f>
        <v>506.87226641357591</v>
      </c>
      <c r="K101" s="72">
        <f>J101/References!$H$64</f>
        <v>516.83424651515554</v>
      </c>
      <c r="L101" s="72">
        <f t="shared" si="31"/>
        <v>1.004270219721809</v>
      </c>
      <c r="M101" s="72">
        <f>'Proposed Rates'!C114</f>
        <v>37.26</v>
      </c>
      <c r="N101" s="72">
        <f t="shared" si="78"/>
        <v>38.264270219721809</v>
      </c>
      <c r="O101" s="72">
        <f>'Proposed Rates'!E114</f>
        <v>38.26</v>
      </c>
      <c r="P101" s="72">
        <f t="shared" si="51"/>
        <v>19175.361020352779</v>
      </c>
      <c r="Q101" s="77">
        <f t="shared" si="34"/>
        <v>19692.195266867937</v>
      </c>
      <c r="R101" s="172">
        <f t="shared" si="80"/>
        <v>516.83424651515816</v>
      </c>
      <c r="S101" s="169"/>
      <c r="T101" s="129">
        <f>'Consolidated Cust Cnt'!B183</f>
        <v>342.84531886024422</v>
      </c>
      <c r="U101" s="129">
        <f t="shared" ref="U101:U106" si="85">$L101*T101</f>
        <v>344.30934370237111</v>
      </c>
      <c r="V101" s="129"/>
      <c r="W101" s="129">
        <f>'Consolidated Cust Cnt'!C183</f>
        <v>171.79131614654005</v>
      </c>
      <c r="X101" s="129">
        <f t="shared" si="59"/>
        <v>172.52490281278452</v>
      </c>
      <c r="Y101" s="129"/>
      <c r="Z101" s="129">
        <f t="shared" si="65"/>
        <v>516.83424651515566</v>
      </c>
      <c r="AA101" s="129">
        <f t="shared" si="47"/>
        <v>12774.416580732699</v>
      </c>
      <c r="AB101" s="129"/>
      <c r="AC101" s="129">
        <f t="shared" si="48"/>
        <v>6400.9444396200824</v>
      </c>
      <c r="AE101" s="129">
        <f t="shared" si="49"/>
        <v>19175.361020352782</v>
      </c>
      <c r="AF101" s="214"/>
    </row>
    <row r="102" spans="1:32" s="65" customFormat="1">
      <c r="A102" s="248"/>
      <c r="B102" s="49">
        <v>39</v>
      </c>
      <c r="C102" s="117" t="s">
        <v>229</v>
      </c>
      <c r="D102" s="142">
        <f>'Consolidated Cust Cnt'!D186+'Consolidated Cust Cnt'!D185</f>
        <v>26.999999999999996</v>
      </c>
      <c r="E102" s="74">
        <f>References!$C$14</f>
        <v>1</v>
      </c>
      <c r="F102" s="73">
        <f t="shared" si="60"/>
        <v>26.999999999999996</v>
      </c>
      <c r="G102" s="73">
        <f>References!C32</f>
        <v>175</v>
      </c>
      <c r="H102" s="73">
        <f t="shared" si="66"/>
        <v>4724.9999999999991</v>
      </c>
      <c r="I102" s="48">
        <f t="shared" si="79"/>
        <v>3760.0296567717678</v>
      </c>
      <c r="J102" s="72">
        <f>(References!$D$61*I102)</f>
        <v>14.363313288868115</v>
      </c>
      <c r="K102" s="72">
        <f>J102/References!$H$64</f>
        <v>14.645607370943043</v>
      </c>
      <c r="L102" s="72">
        <f t="shared" ref="L102:L106" si="86">K102/F102</f>
        <v>0.54242990262752022</v>
      </c>
      <c r="M102" s="72">
        <f>'Proposed Rates'!C105</f>
        <v>22.52</v>
      </c>
      <c r="N102" s="72">
        <f t="shared" si="78"/>
        <v>23.062429902627521</v>
      </c>
      <c r="O102" s="72">
        <f>'Proposed Rates'!E105</f>
        <v>23.06</v>
      </c>
      <c r="P102" s="72">
        <f t="shared" si="51"/>
        <v>608.04</v>
      </c>
      <c r="Q102" s="77">
        <f t="shared" si="34"/>
        <v>622.68560737094299</v>
      </c>
      <c r="R102" s="172">
        <f t="shared" si="80"/>
        <v>14.645607370943026</v>
      </c>
      <c r="S102" s="169"/>
      <c r="T102" s="129">
        <f>'Consolidated Cust Cnt'!B185+'Consolidated Cust Cnt'!B186</f>
        <v>19.999999999999996</v>
      </c>
      <c r="U102" s="129">
        <f t="shared" si="85"/>
        <v>10.848598052550402</v>
      </c>
      <c r="V102" s="129"/>
      <c r="W102" s="129">
        <f>'Consolidated Cust Cnt'!C185+'Consolidated Cust Cnt'!C186</f>
        <v>7</v>
      </c>
      <c r="X102" s="129">
        <f t="shared" si="59"/>
        <v>3.7970093183926417</v>
      </c>
      <c r="Y102" s="129"/>
      <c r="Z102" s="129">
        <f t="shared" si="65"/>
        <v>14.645607370943043</v>
      </c>
      <c r="AA102" s="129">
        <f t="shared" si="47"/>
        <v>450.39999999999992</v>
      </c>
      <c r="AB102" s="129"/>
      <c r="AC102" s="129">
        <f t="shared" si="48"/>
        <v>157.63999999999999</v>
      </c>
      <c r="AE102" s="129">
        <f t="shared" si="49"/>
        <v>608.04</v>
      </c>
      <c r="AF102" s="214"/>
    </row>
    <row r="103" spans="1:32" s="65" customFormat="1">
      <c r="A103" s="248"/>
      <c r="B103" s="49">
        <v>39</v>
      </c>
      <c r="C103" s="117" t="s">
        <v>230</v>
      </c>
      <c r="D103" s="142">
        <f>'Consolidated Cust Cnt'!D187</f>
        <v>4</v>
      </c>
      <c r="E103" s="74">
        <f>References!$C$14</f>
        <v>1</v>
      </c>
      <c r="F103" s="73">
        <f t="shared" si="60"/>
        <v>4</v>
      </c>
      <c r="G103" s="73">
        <f>References!C33</f>
        <v>250</v>
      </c>
      <c r="H103" s="73">
        <f t="shared" si="66"/>
        <v>1000</v>
      </c>
      <c r="I103" s="48">
        <f t="shared" si="79"/>
        <v>795.77347233264936</v>
      </c>
      <c r="J103" s="72">
        <f>(References!$D$61*I103)</f>
        <v>3.0398546643107127</v>
      </c>
      <c r="K103" s="72">
        <f>J103/References!$H$64</f>
        <v>3.0995994435858298</v>
      </c>
      <c r="L103" s="72">
        <f t="shared" si="86"/>
        <v>0.77489986089645746</v>
      </c>
      <c r="M103" s="72">
        <f>'Proposed Rates'!C106</f>
        <v>30.34</v>
      </c>
      <c r="N103" s="72">
        <f t="shared" si="78"/>
        <v>31.114899860896458</v>
      </c>
      <c r="O103" s="72">
        <f>'Proposed Rates'!E106</f>
        <v>31.11</v>
      </c>
      <c r="P103" s="72">
        <f t="shared" si="51"/>
        <v>121.36</v>
      </c>
      <c r="Q103" s="77">
        <f t="shared" si="34"/>
        <v>124.45959944358583</v>
      </c>
      <c r="R103" s="172">
        <f t="shared" si="80"/>
        <v>3.0995994435858307</v>
      </c>
      <c r="S103" s="169"/>
      <c r="T103" s="129">
        <f>'Consolidated Cust Cnt'!B187</f>
        <v>4</v>
      </c>
      <c r="U103" s="129">
        <f t="shared" si="85"/>
        <v>3.0995994435858298</v>
      </c>
      <c r="V103" s="129"/>
      <c r="W103" s="129">
        <f>'Consolidated Cust Cnt'!C187</f>
        <v>0</v>
      </c>
      <c r="X103" s="129">
        <f t="shared" si="59"/>
        <v>0</v>
      </c>
      <c r="Y103" s="129"/>
      <c r="Z103" s="129">
        <f t="shared" si="65"/>
        <v>3.0995994435858298</v>
      </c>
      <c r="AA103" s="129">
        <f t="shared" si="47"/>
        <v>121.36</v>
      </c>
      <c r="AB103" s="129"/>
      <c r="AC103" s="129">
        <f t="shared" si="48"/>
        <v>0</v>
      </c>
      <c r="AE103" s="129">
        <f t="shared" si="49"/>
        <v>121.36</v>
      </c>
      <c r="AF103" s="214"/>
    </row>
    <row r="104" spans="1:32" s="65" customFormat="1">
      <c r="A104" s="248"/>
      <c r="B104" s="49">
        <v>39</v>
      </c>
      <c r="C104" s="117" t="s">
        <v>231</v>
      </c>
      <c r="D104" s="142">
        <f>'Consolidated Cust Cnt'!D188+'Consolidated Cust Cnt'!D189</f>
        <v>83</v>
      </c>
      <c r="E104" s="74">
        <f>References!$C$14</f>
        <v>1</v>
      </c>
      <c r="F104" s="73">
        <f t="shared" si="60"/>
        <v>83</v>
      </c>
      <c r="G104" s="73">
        <f>References!C34</f>
        <v>324</v>
      </c>
      <c r="H104" s="73">
        <f t="shared" si="66"/>
        <v>26892</v>
      </c>
      <c r="I104" s="48">
        <f t="shared" si="79"/>
        <v>21399.940217969608</v>
      </c>
      <c r="J104" s="72">
        <f>(References!$D$61*I104)</f>
        <v>81.747771632643691</v>
      </c>
      <c r="K104" s="72">
        <f>J104/References!$H$64</f>
        <v>83.354428236910138</v>
      </c>
      <c r="L104" s="72">
        <f t="shared" si="86"/>
        <v>1.004270219721809</v>
      </c>
      <c r="M104" s="72">
        <f>'Proposed Rates'!C107</f>
        <v>37.26</v>
      </c>
      <c r="N104" s="72">
        <f t="shared" si="78"/>
        <v>38.264270219721809</v>
      </c>
      <c r="O104" s="72">
        <f>'Proposed Rates'!E107</f>
        <v>38.26</v>
      </c>
      <c r="P104" s="72">
        <f t="shared" si="51"/>
        <v>3092.58</v>
      </c>
      <c r="Q104" s="77">
        <f t="shared" si="34"/>
        <v>3175.9344282369102</v>
      </c>
      <c r="R104" s="172">
        <f t="shared" si="80"/>
        <v>83.35442823691028</v>
      </c>
      <c r="S104" s="169"/>
      <c r="T104" s="129">
        <f>'Consolidated Cust Cnt'!B188+'Consolidated Cust Cnt'!B189</f>
        <v>51</v>
      </c>
      <c r="U104" s="129">
        <f t="shared" si="85"/>
        <v>51.217781205812258</v>
      </c>
      <c r="V104" s="129"/>
      <c r="W104" s="129">
        <f>'Consolidated Cust Cnt'!C188+'Consolidated Cust Cnt'!C189</f>
        <v>31.999999999999996</v>
      </c>
      <c r="X104" s="129">
        <f t="shared" si="59"/>
        <v>32.13664703109788</v>
      </c>
      <c r="Y104" s="129"/>
      <c r="Z104" s="129">
        <f t="shared" si="65"/>
        <v>83.354428236910138</v>
      </c>
      <c r="AA104" s="129">
        <f t="shared" si="47"/>
        <v>1900.26</v>
      </c>
      <c r="AB104" s="129"/>
      <c r="AC104" s="129">
        <f t="shared" si="48"/>
        <v>1192.3199999999997</v>
      </c>
      <c r="AE104" s="129">
        <f t="shared" si="49"/>
        <v>3092.58</v>
      </c>
      <c r="AF104" s="214"/>
    </row>
    <row r="105" spans="1:32" s="65" customFormat="1">
      <c r="A105" s="248"/>
      <c r="B105" s="49">
        <v>39</v>
      </c>
      <c r="C105" s="117" t="s">
        <v>232</v>
      </c>
      <c r="D105" s="142">
        <f>'Consolidated Cust Cnt'!D190</f>
        <v>49.979976268169686</v>
      </c>
      <c r="E105" s="74">
        <f>References!$C$14</f>
        <v>1</v>
      </c>
      <c r="F105" s="73">
        <f t="shared" si="60"/>
        <v>49.979976268169686</v>
      </c>
      <c r="G105" s="73">
        <f>References!C36</f>
        <v>613</v>
      </c>
      <c r="H105" s="73">
        <f t="shared" si="66"/>
        <v>30637.725452388018</v>
      </c>
      <c r="I105" s="48">
        <f t="shared" si="79"/>
        <v>24380.689167621204</v>
      </c>
      <c r="J105" s="72">
        <f>(References!$D$61*I105)</f>
        <v>93.134232620312758</v>
      </c>
      <c r="K105" s="72">
        <f>J105/References!$H$64</f>
        <v>94.964676764957318</v>
      </c>
      <c r="L105" s="72">
        <f t="shared" si="86"/>
        <v>1.9000544589181136</v>
      </c>
      <c r="M105" s="72">
        <f>'Proposed Rates'!C108</f>
        <v>68.19</v>
      </c>
      <c r="N105" s="72">
        <f t="shared" si="78"/>
        <v>70.090054458918118</v>
      </c>
      <c r="O105" s="72">
        <f>'Proposed Rates'!E108</f>
        <v>70.09</v>
      </c>
      <c r="P105" s="72">
        <f t="shared" si="51"/>
        <v>3408.134581726491</v>
      </c>
      <c r="Q105" s="77">
        <f t="shared" ref="Q105:Q106" si="87">F105*N105</f>
        <v>3503.0992584914484</v>
      </c>
      <c r="R105" s="172">
        <f t="shared" si="80"/>
        <v>94.964676764957403</v>
      </c>
      <c r="S105" s="169"/>
      <c r="T105" s="129">
        <f>'Consolidated Cust Cnt'!B190</f>
        <v>41.979976268169686</v>
      </c>
      <c r="U105" s="129">
        <f t="shared" si="85"/>
        <v>79.764241093612398</v>
      </c>
      <c r="V105" s="129"/>
      <c r="W105" s="129">
        <f>'Consolidated Cust Cnt'!C190</f>
        <v>8</v>
      </c>
      <c r="X105" s="129">
        <f t="shared" si="59"/>
        <v>15.200435671344909</v>
      </c>
      <c r="Y105" s="129"/>
      <c r="Z105" s="129">
        <f t="shared" si="65"/>
        <v>94.964676764957304</v>
      </c>
      <c r="AA105" s="129">
        <f t="shared" si="47"/>
        <v>2862.614581726491</v>
      </c>
      <c r="AB105" s="129"/>
      <c r="AC105" s="129">
        <f t="shared" si="48"/>
        <v>545.52</v>
      </c>
      <c r="AE105" s="129">
        <f t="shared" si="49"/>
        <v>3408.134581726491</v>
      </c>
      <c r="AF105" s="214"/>
    </row>
    <row r="106" spans="1:32" s="65" customFormat="1">
      <c r="A106" s="248"/>
      <c r="B106" s="49">
        <v>39</v>
      </c>
      <c r="C106" s="117" t="s">
        <v>233</v>
      </c>
      <c r="D106" s="142">
        <f>'Consolidated Cust Cnt'!D191</f>
        <v>123.09289499297068</v>
      </c>
      <c r="E106" s="74">
        <f>References!$C$14</f>
        <v>1</v>
      </c>
      <c r="F106" s="73">
        <f t="shared" si="60"/>
        <v>123.09289499297068</v>
      </c>
      <c r="G106" s="73">
        <f>References!C37</f>
        <v>840</v>
      </c>
      <c r="H106" s="73">
        <f t="shared" ref="H106" si="88">F106*G106</f>
        <v>103398.03179409537</v>
      </c>
      <c r="I106" s="48">
        <f t="shared" si="79"/>
        <v>82281.410793148956</v>
      </c>
      <c r="J106" s="72">
        <f>(References!$D$61*I106)</f>
        <v>314.3149892298282</v>
      </c>
      <c r="K106" s="72">
        <f>J106/References!$H$64</f>
        <v>320.49248181684794</v>
      </c>
      <c r="L106" s="72">
        <f t="shared" si="86"/>
        <v>2.6036635326120967</v>
      </c>
      <c r="M106" s="72">
        <f>'Proposed Rates'!C109</f>
        <v>93.53</v>
      </c>
      <c r="N106" s="72">
        <f t="shared" ref="N106" si="89">L106+M106</f>
        <v>96.133663532612104</v>
      </c>
      <c r="O106" s="72">
        <f>'Proposed Rates'!E109</f>
        <v>96.13</v>
      </c>
      <c r="P106" s="72">
        <f t="shared" ref="P106" si="90">F106*M106</f>
        <v>11512.878468692548</v>
      </c>
      <c r="Q106" s="77">
        <f t="shared" si="87"/>
        <v>11833.370950509398</v>
      </c>
      <c r="R106" s="172">
        <f t="shared" si="80"/>
        <v>320.49248181684925</v>
      </c>
      <c r="S106" s="169"/>
      <c r="T106" s="129">
        <f>'Consolidated Cust Cnt'!B191</f>
        <v>118.09289499297068</v>
      </c>
      <c r="U106" s="129">
        <f t="shared" si="85"/>
        <v>307.47416415378746</v>
      </c>
      <c r="V106" s="129"/>
      <c r="W106" s="129">
        <f>'Consolidated Cust Cnt'!C191</f>
        <v>5</v>
      </c>
      <c r="X106" s="129">
        <f t="shared" si="59"/>
        <v>13.018317663060483</v>
      </c>
      <c r="Y106" s="129"/>
      <c r="Z106" s="129">
        <f t="shared" si="65"/>
        <v>320.49248181684794</v>
      </c>
      <c r="AA106" s="129">
        <f t="shared" si="47"/>
        <v>11045.228468692549</v>
      </c>
      <c r="AB106" s="129"/>
      <c r="AC106" s="129">
        <f t="shared" si="48"/>
        <v>467.65</v>
      </c>
      <c r="AE106" s="129">
        <f t="shared" si="49"/>
        <v>11512.878468692548</v>
      </c>
      <c r="AF106" s="214"/>
    </row>
    <row r="107" spans="1:32" s="65" customFormat="1">
      <c r="A107" s="248"/>
      <c r="B107" s="49"/>
      <c r="C107" s="117"/>
      <c r="D107" s="142"/>
      <c r="E107" s="74"/>
      <c r="F107" s="114"/>
      <c r="G107" s="123"/>
      <c r="H107" s="123"/>
      <c r="I107" s="48"/>
      <c r="J107" s="72"/>
      <c r="K107" s="72"/>
      <c r="L107" s="72"/>
      <c r="M107" s="72"/>
      <c r="N107" s="72"/>
      <c r="O107" s="72"/>
      <c r="P107" s="72"/>
      <c r="Q107" s="77"/>
      <c r="R107" s="172"/>
      <c r="S107" s="169"/>
      <c r="T107" s="129"/>
      <c r="U107" s="129"/>
      <c r="V107" s="129"/>
      <c r="W107" s="129"/>
      <c r="X107" s="129"/>
      <c r="Y107" s="129"/>
      <c r="Z107" s="129"/>
      <c r="AA107" s="129"/>
      <c r="AC107" s="129"/>
      <c r="AE107" s="189"/>
    </row>
    <row r="108" spans="1:32" s="65" customFormat="1">
      <c r="A108" s="52"/>
      <c r="B108" s="50"/>
      <c r="C108" s="54" t="s">
        <v>16</v>
      </c>
      <c r="D108" s="55">
        <f>SUM(D58:D106)</f>
        <v>29678.408901016923</v>
      </c>
      <c r="E108" s="56"/>
      <c r="F108" s="57">
        <f>SUM(F58:F106)</f>
        <v>120474.9811736437</v>
      </c>
      <c r="G108" s="58"/>
      <c r="H108" s="57">
        <f>SUM(H58:H106)</f>
        <v>44701223.942983441</v>
      </c>
      <c r="I108" s="57">
        <f>SUM(I58:I106)</f>
        <v>35572048.194627322</v>
      </c>
      <c r="J108" s="57"/>
      <c r="K108" s="80"/>
      <c r="L108" s="80"/>
      <c r="M108" s="80"/>
      <c r="N108" s="80"/>
      <c r="O108" s="80"/>
      <c r="P108" s="176">
        <f>SUM(P58:P106)</f>
        <v>4911025.9515772443</v>
      </c>
      <c r="Q108" s="176">
        <f>SUM(Q58:Q106)</f>
        <v>5049582.5035126414</v>
      </c>
      <c r="R108" s="176">
        <f>SUM(R58:R106)</f>
        <v>138556.55193539476</v>
      </c>
      <c r="S108" s="169"/>
      <c r="T108" s="129"/>
      <c r="U108" s="176">
        <f>SUM(U58:U106)</f>
        <v>95389.422529575386</v>
      </c>
      <c r="V108" s="131"/>
      <c r="W108" s="131"/>
      <c r="X108" s="176">
        <f>SUM(X58:X106)</f>
        <v>43166.466331701653</v>
      </c>
      <c r="Y108" s="131"/>
      <c r="Z108" s="176">
        <f>SUM(Z58:Z106)</f>
        <v>138555.888861277</v>
      </c>
      <c r="AA108" s="176">
        <f>SUM(AA58:AA106)</f>
        <v>3378906.8767002122</v>
      </c>
      <c r="AB108"/>
      <c r="AC108" s="176">
        <f>SUM(AC58:AC106)</f>
        <v>1532119.0748770335</v>
      </c>
      <c r="AD108"/>
      <c r="AE108" s="176">
        <f>SUM(AE58:AE106)</f>
        <v>4911025.9515772443</v>
      </c>
      <c r="AF108" s="214"/>
    </row>
    <row r="109" spans="1:32">
      <c r="C109" s="69" t="s">
        <v>3</v>
      </c>
      <c r="D109" s="143">
        <f>D23+D57+D108</f>
        <v>882838.60679606127</v>
      </c>
      <c r="E109" s="70"/>
      <c r="F109" s="99">
        <f>F23+F57+F108</f>
        <v>3024813.0828138771</v>
      </c>
      <c r="G109" s="70"/>
      <c r="H109" s="70">
        <f>H23+H57+H108</f>
        <v>163943040.05537242</v>
      </c>
      <c r="I109" s="70">
        <f>I23+I57+I108</f>
        <v>130461522.24963436</v>
      </c>
      <c r="J109" s="72">
        <f>SUM(J7:J106)</f>
        <v>498363.01499360177</v>
      </c>
      <c r="K109" s="72">
        <f>SUM(K7:K106)</f>
        <v>508157.75573540165</v>
      </c>
      <c r="L109" s="82"/>
      <c r="M109" s="82"/>
      <c r="N109" s="82"/>
      <c r="O109" s="82"/>
      <c r="P109" s="174">
        <f>P23+P57+P108</f>
        <v>19004963.276480194</v>
      </c>
      <c r="Q109" s="174">
        <f>Q23+Q57+Q108</f>
        <v>19513121.695289716</v>
      </c>
      <c r="R109" s="132">
        <f>R23+R57+R108</f>
        <v>508158.41880951903</v>
      </c>
      <c r="T109" s="130"/>
      <c r="U109" s="120">
        <f>U23+U57+U108</f>
        <v>341420.33679212793</v>
      </c>
      <c r="V109" s="120"/>
      <c r="W109" s="120"/>
      <c r="X109" s="120">
        <f>X23+X57+X108</f>
        <v>166737.41894327378</v>
      </c>
      <c r="Y109" s="120"/>
      <c r="Z109" s="120">
        <f>Z23+Z57+Z108</f>
        <v>508157.75573540153</v>
      </c>
      <c r="AA109" s="174">
        <f>AA23+AA57+AA108</f>
        <v>12801541.517334398</v>
      </c>
      <c r="AB109"/>
      <c r="AC109" s="174">
        <f>AC23+AC57+AC108</f>
        <v>6203421.7591458019</v>
      </c>
      <c r="AD109"/>
      <c r="AE109" s="174">
        <f>AE23+AE57+AE108</f>
        <v>19004963.276480194</v>
      </c>
      <c r="AF109" s="66"/>
    </row>
    <row r="110" spans="1:32">
      <c r="D110" s="134"/>
      <c r="H110" s="130"/>
      <c r="J110" s="61"/>
      <c r="K110" s="43"/>
      <c r="T110" s="130"/>
      <c r="U110" s="130"/>
      <c r="V110" s="130"/>
      <c r="W110" s="130"/>
      <c r="X110" s="130"/>
      <c r="Y110" s="130"/>
      <c r="AC110" s="189"/>
    </row>
    <row r="111" spans="1:32">
      <c r="D111" s="134"/>
      <c r="J111" s="61"/>
      <c r="P111" s="43"/>
      <c r="Q111" s="43"/>
      <c r="T111" s="130"/>
      <c r="U111" s="212" t="s">
        <v>418</v>
      </c>
      <c r="V111" s="213"/>
      <c r="W111" s="213"/>
      <c r="X111" s="212" t="s">
        <v>416</v>
      </c>
      <c r="Y111" s="130"/>
      <c r="AC111" s="187"/>
    </row>
    <row r="112" spans="1:32">
      <c r="A112" s="83"/>
      <c r="B112" s="84"/>
      <c r="C112" s="87" t="s">
        <v>88</v>
      </c>
      <c r="D112" s="144"/>
      <c r="E112" s="83"/>
      <c r="F112" s="83"/>
      <c r="G112" s="83"/>
      <c r="H112" s="83"/>
      <c r="I112" s="85"/>
      <c r="J112" s="86"/>
      <c r="K112" s="83"/>
      <c r="L112" s="83"/>
      <c r="M112" s="83"/>
      <c r="N112" s="83"/>
      <c r="O112" s="83"/>
      <c r="P112" s="65"/>
      <c r="Q112" s="65"/>
      <c r="R112" s="129"/>
      <c r="T112" s="134" t="s">
        <v>246</v>
      </c>
      <c r="U112" s="130">
        <f>U23</f>
        <v>212765.73290813976</v>
      </c>
      <c r="V112" s="190"/>
      <c r="W112" s="217">
        <f>U112/AA23</f>
        <v>2.692895037189641E-2</v>
      </c>
      <c r="X112" s="130">
        <f>X23</f>
        <v>113219.06677580465</v>
      </c>
      <c r="Y112" s="130"/>
      <c r="Z112" s="217">
        <f>X112/AC23</f>
        <v>2.6922351398009498E-2</v>
      </c>
      <c r="AA112" s="189"/>
      <c r="AC112" s="187"/>
    </row>
    <row r="113" spans="1:29" s="65" customFormat="1">
      <c r="A113" s="248" t="s">
        <v>49</v>
      </c>
      <c r="B113" s="49"/>
      <c r="C113" s="117" t="s">
        <v>156</v>
      </c>
      <c r="D113" s="145">
        <v>0</v>
      </c>
      <c r="E113" s="74">
        <f>References!$C$11</f>
        <v>4.333333333333333</v>
      </c>
      <c r="F113" s="73">
        <f>E113*12</f>
        <v>52</v>
      </c>
      <c r="G113" s="73">
        <f>References!$C$22</f>
        <v>117</v>
      </c>
      <c r="H113" s="73">
        <f t="shared" ref="H113:H132" si="91">F113*G113</f>
        <v>6084</v>
      </c>
      <c r="I113" s="48">
        <f t="shared" ref="I113:I132" si="92">$C$141*H113</f>
        <v>4841.4858056718385</v>
      </c>
      <c r="J113" s="72">
        <f>(References!$D$61*I113)</f>
        <v>18.494475777666374</v>
      </c>
      <c r="K113" s="72">
        <f>J113/References!$H$64</f>
        <v>18.857963014776185</v>
      </c>
      <c r="L113" s="72">
        <f t="shared" ref="L113:L118" si="93">K113/F113*E113</f>
        <v>1.5714969178980154</v>
      </c>
      <c r="M113" s="72">
        <f>'Proposed Rates'!C22</f>
        <v>59.75</v>
      </c>
      <c r="N113" s="72">
        <f t="shared" ref="N113:N132" si="94">L113+M113</f>
        <v>61.321496917898017</v>
      </c>
      <c r="O113" s="72">
        <f>'Proposed Rates'!E22</f>
        <v>61.32</v>
      </c>
      <c r="P113" s="72"/>
      <c r="Q113" s="72"/>
      <c r="R113" s="133"/>
      <c r="S113" s="169"/>
      <c r="T113" s="135" t="s">
        <v>247</v>
      </c>
      <c r="U113" s="129">
        <f>U57</f>
        <v>33265.181354412765</v>
      </c>
      <c r="V113" s="189"/>
      <c r="W113" s="218">
        <f>U113/AA57</f>
        <v>2.1861528659451675E-2</v>
      </c>
      <c r="X113" s="129">
        <f>X57</f>
        <v>10351.885835767469</v>
      </c>
      <c r="Y113" s="129"/>
      <c r="Z113" s="218">
        <f>X113/AC57</f>
        <v>2.2218651129067336E-2</v>
      </c>
      <c r="AA113" s="189"/>
      <c r="AC113" s="187"/>
    </row>
    <row r="114" spans="1:29" s="65" customFormat="1">
      <c r="A114" s="248"/>
      <c r="B114" s="49"/>
      <c r="C114" s="117" t="s">
        <v>158</v>
      </c>
      <c r="D114" s="145">
        <v>0</v>
      </c>
      <c r="E114" s="74">
        <f>References!$C$11</f>
        <v>4.333333333333333</v>
      </c>
      <c r="F114" s="73">
        <f t="shared" ref="F114:F132" si="95">E114*12</f>
        <v>52</v>
      </c>
      <c r="G114" s="73">
        <f>References!$C$23</f>
        <v>137</v>
      </c>
      <c r="H114" s="73">
        <f t="shared" si="91"/>
        <v>7124</v>
      </c>
      <c r="I114" s="48">
        <f t="shared" si="92"/>
        <v>5669.0902168977946</v>
      </c>
      <c r="J114" s="72">
        <f>(References!$D$61*I114)</f>
        <v>21.655924628549521</v>
      </c>
      <c r="K114" s="72">
        <f>J114/References!$H$64</f>
        <v>22.081546436105455</v>
      </c>
      <c r="L114" s="72">
        <f t="shared" si="93"/>
        <v>1.8401288696754543</v>
      </c>
      <c r="M114" s="72">
        <f>'Proposed Rates'!C24</f>
        <v>66.36</v>
      </c>
      <c r="N114" s="72">
        <f t="shared" si="94"/>
        <v>68.200128869675453</v>
      </c>
      <c r="O114" s="72">
        <f>'Proposed Rates'!E24</f>
        <v>68.2</v>
      </c>
      <c r="P114" s="72"/>
      <c r="Q114" s="72"/>
      <c r="R114" s="133"/>
      <c r="S114" s="169"/>
      <c r="T114" s="135" t="s">
        <v>248</v>
      </c>
      <c r="U114" s="129">
        <f>U108</f>
        <v>95389.422529575386</v>
      </c>
      <c r="V114" s="189"/>
      <c r="W114" s="218">
        <f>U114/AA108</f>
        <v>2.8230852761095094E-2</v>
      </c>
      <c r="X114" s="129">
        <f>X108</f>
        <v>43166.466331701653</v>
      </c>
      <c r="Y114" s="129"/>
      <c r="Z114" s="218">
        <f>X114/AC108</f>
        <v>2.8174354747959884E-2</v>
      </c>
      <c r="AA114" s="189"/>
      <c r="AC114" s="187"/>
    </row>
    <row r="115" spans="1:29" s="65" customFormat="1">
      <c r="A115" s="153"/>
      <c r="B115" s="53"/>
      <c r="C115" s="126" t="s">
        <v>156</v>
      </c>
      <c r="D115" s="160">
        <v>0</v>
      </c>
      <c r="E115" s="76">
        <f>References!$C$11</f>
        <v>4.333333333333333</v>
      </c>
      <c r="F115" s="75">
        <f>E115*12</f>
        <v>52</v>
      </c>
      <c r="G115" s="75">
        <f>References!$C$22</f>
        <v>117</v>
      </c>
      <c r="H115" s="75">
        <f t="shared" ref="H115:H118" si="96">F115*G115</f>
        <v>6084</v>
      </c>
      <c r="I115" s="125">
        <f t="shared" si="92"/>
        <v>4841.4858056718385</v>
      </c>
      <c r="J115" s="78">
        <f>(References!$D$61*I115)</f>
        <v>18.494475777666374</v>
      </c>
      <c r="K115" s="78">
        <f>J115/References!$H$64</f>
        <v>18.857963014776185</v>
      </c>
      <c r="L115" s="78">
        <f t="shared" si="93"/>
        <v>1.5714969178980154</v>
      </c>
      <c r="M115" s="78">
        <f>'Proposed Rates'!C45</f>
        <v>71.19</v>
      </c>
      <c r="N115" s="78">
        <f t="shared" ref="N115:N118" si="97">L115+M115</f>
        <v>72.761496917898015</v>
      </c>
      <c r="O115" s="78">
        <f>'Proposed Rates'!E45</f>
        <v>72.759999999999991</v>
      </c>
      <c r="P115" s="72"/>
      <c r="Q115" s="72"/>
      <c r="R115" s="133"/>
      <c r="S115" s="169"/>
      <c r="T115" s="196" t="s">
        <v>442</v>
      </c>
      <c r="U115" s="131">
        <f>SUM(U112:U114)</f>
        <v>341420.33679212793</v>
      </c>
      <c r="V115" s="131"/>
      <c r="W115" s="131"/>
      <c r="X115" s="131">
        <f>SUM(X112:X114)</f>
        <v>166737.41894327378</v>
      </c>
      <c r="Y115" s="129"/>
      <c r="Z115" s="131">
        <f>SUM(U115:X115)</f>
        <v>508157.7557354017</v>
      </c>
      <c r="AA115" s="189"/>
      <c r="AC115" s="187"/>
    </row>
    <row r="116" spans="1:29" s="65" customFormat="1">
      <c r="A116" s="152"/>
      <c r="B116" s="49"/>
      <c r="C116" s="117" t="s">
        <v>251</v>
      </c>
      <c r="D116" s="158">
        <v>0</v>
      </c>
      <c r="E116" s="74">
        <f>References!$C$11</f>
        <v>4.333333333333333</v>
      </c>
      <c r="F116" s="73">
        <f t="shared" ref="F116:F118" si="98">E116*12</f>
        <v>52</v>
      </c>
      <c r="G116" s="73">
        <f>G115</f>
        <v>117</v>
      </c>
      <c r="H116" s="73">
        <f t="shared" si="96"/>
        <v>6084</v>
      </c>
      <c r="I116" s="48">
        <f t="shared" si="92"/>
        <v>4841.4858056718385</v>
      </c>
      <c r="J116" s="72">
        <f>(References!$D$61*I116)</f>
        <v>18.494475777666374</v>
      </c>
      <c r="K116" s="72">
        <f>J116/References!$H$64</f>
        <v>18.857963014776185</v>
      </c>
      <c r="L116" s="72">
        <f t="shared" si="93"/>
        <v>1.5714969178980154</v>
      </c>
      <c r="M116" s="72">
        <f>'Proposed Rates'!C44</f>
        <v>70.44</v>
      </c>
      <c r="N116" s="72">
        <f t="shared" si="97"/>
        <v>72.011496917898015</v>
      </c>
      <c r="O116" s="72">
        <f>'Proposed Rates'!E44</f>
        <v>72.009999999999991</v>
      </c>
      <c r="P116" s="72"/>
      <c r="Q116" s="72"/>
      <c r="R116" s="133"/>
      <c r="S116" s="169"/>
      <c r="T116" s="129"/>
      <c r="U116" s="131"/>
      <c r="V116" s="131"/>
      <c r="W116" s="131"/>
      <c r="X116" s="131"/>
      <c r="Y116" s="129"/>
      <c r="Z116" s="131"/>
      <c r="AA116" s="189"/>
      <c r="AC116" s="187"/>
    </row>
    <row r="117" spans="1:29" s="65" customFormat="1">
      <c r="A117" s="152"/>
      <c r="B117" s="49"/>
      <c r="C117" s="117" t="s">
        <v>158</v>
      </c>
      <c r="D117" s="145">
        <v>0</v>
      </c>
      <c r="E117" s="74">
        <f>References!$C$11</f>
        <v>4.333333333333333</v>
      </c>
      <c r="F117" s="73">
        <f t="shared" si="98"/>
        <v>52</v>
      </c>
      <c r="G117" s="73">
        <f>References!$C$23</f>
        <v>137</v>
      </c>
      <c r="H117" s="73">
        <f t="shared" si="96"/>
        <v>7124</v>
      </c>
      <c r="I117" s="48">
        <f t="shared" si="92"/>
        <v>5669.0902168977946</v>
      </c>
      <c r="J117" s="72">
        <f>(References!$D$61*I117)</f>
        <v>21.655924628549521</v>
      </c>
      <c r="K117" s="72">
        <f>J117/References!$H$64</f>
        <v>22.081546436105455</v>
      </c>
      <c r="L117" s="72">
        <f t="shared" si="93"/>
        <v>1.8401288696754543</v>
      </c>
      <c r="M117" s="72">
        <f>'Proposed Rates'!C47</f>
        <v>84.83</v>
      </c>
      <c r="N117" s="72">
        <f t="shared" si="97"/>
        <v>86.670128869675452</v>
      </c>
      <c r="O117" s="72">
        <f>'Proposed Rates'!E47</f>
        <v>86.67</v>
      </c>
      <c r="P117" s="72"/>
      <c r="Q117" s="72"/>
      <c r="R117" s="133"/>
      <c r="S117" s="169"/>
      <c r="T117" s="129"/>
      <c r="U117" s="167">
        <f>U115/Z115</f>
        <v>0.67187863008806636</v>
      </c>
      <c r="V117" s="167"/>
      <c r="W117" s="167"/>
      <c r="X117" s="167">
        <f>X115/Z115</f>
        <v>0.32812136991193369</v>
      </c>
      <c r="Y117" s="129"/>
      <c r="Z117" s="131"/>
      <c r="AC117" s="187"/>
    </row>
    <row r="118" spans="1:29" s="65" customFormat="1">
      <c r="A118" s="248" t="s">
        <v>235</v>
      </c>
      <c r="B118" s="49"/>
      <c r="C118" s="124" t="s">
        <v>172</v>
      </c>
      <c r="D118" s="146">
        <v>0</v>
      </c>
      <c r="E118" s="100">
        <f>References!$C$11</f>
        <v>4.333333333333333</v>
      </c>
      <c r="F118" s="88">
        <f t="shared" si="98"/>
        <v>52</v>
      </c>
      <c r="G118" s="88">
        <f>References!C23</f>
        <v>137</v>
      </c>
      <c r="H118" s="88">
        <f t="shared" si="96"/>
        <v>7124</v>
      </c>
      <c r="I118" s="101">
        <f t="shared" si="92"/>
        <v>5669.0902168977946</v>
      </c>
      <c r="J118" s="95">
        <f>(References!$D$61*I118)</f>
        <v>21.655924628549521</v>
      </c>
      <c r="K118" s="95">
        <f>J118/References!$H$64</f>
        <v>22.081546436105455</v>
      </c>
      <c r="L118" s="95">
        <f t="shared" si="93"/>
        <v>1.8401288696754543</v>
      </c>
      <c r="M118" s="95">
        <f>'Proposed Rates'!C46</f>
        <v>84.08</v>
      </c>
      <c r="N118" s="95">
        <f t="shared" si="97"/>
        <v>85.920128869675452</v>
      </c>
      <c r="O118" s="95">
        <f>'Proposed Rates'!E46</f>
        <v>85.92</v>
      </c>
      <c r="P118" s="72"/>
      <c r="Q118" s="72"/>
      <c r="R118" s="133"/>
      <c r="S118" s="169"/>
      <c r="T118" s="129"/>
      <c r="U118" s="129"/>
      <c r="V118" s="129"/>
      <c r="W118" s="129"/>
      <c r="X118" s="129"/>
      <c r="Y118" s="129"/>
      <c r="Z118" s="129"/>
      <c r="AC118" s="187"/>
    </row>
    <row r="119" spans="1:29" s="65" customFormat="1">
      <c r="A119" s="248"/>
      <c r="B119" s="49"/>
      <c r="C119" s="117" t="s">
        <v>185</v>
      </c>
      <c r="D119" s="142">
        <v>0</v>
      </c>
      <c r="E119" s="74">
        <f>References!$C$11</f>
        <v>4.333333333333333</v>
      </c>
      <c r="F119" s="73">
        <f t="shared" si="95"/>
        <v>52</v>
      </c>
      <c r="G119" s="73">
        <f>References!$C$36</f>
        <v>613</v>
      </c>
      <c r="H119" s="73">
        <f t="shared" si="91"/>
        <v>31876</v>
      </c>
      <c r="I119" s="48">
        <f t="shared" si="92"/>
        <v>25366.075204075532</v>
      </c>
      <c r="J119" s="72">
        <f>(References!$D$61*I119)</f>
        <v>96.898407279568275</v>
      </c>
      <c r="K119" s="72">
        <f>J119/References!$H$64</f>
        <v>98.802831863741901</v>
      </c>
      <c r="L119" s="72">
        <f t="shared" ref="L119:L132" si="99">K119/F119</f>
        <v>1.9000544589181134</v>
      </c>
      <c r="M119" s="72">
        <f>'Proposed Rates'!C65</f>
        <v>83.82</v>
      </c>
      <c r="N119" s="72">
        <f t="shared" si="94"/>
        <v>85.720054458918113</v>
      </c>
      <c r="O119" s="72">
        <f>'Proposed Rates'!E65</f>
        <v>85.72</v>
      </c>
      <c r="P119" s="72"/>
      <c r="Q119" s="72"/>
      <c r="R119" s="133"/>
      <c r="S119" s="169"/>
      <c r="T119" s="135" t="s">
        <v>440</v>
      </c>
      <c r="U119" s="129">
        <v>24487.20942726158</v>
      </c>
      <c r="V119" s="129"/>
      <c r="W119" s="129"/>
      <c r="X119" s="129">
        <v>4340.6840883541909</v>
      </c>
      <c r="Y119" s="129"/>
      <c r="Z119" s="129"/>
      <c r="AC119" s="187"/>
    </row>
    <row r="120" spans="1:29" s="65" customFormat="1">
      <c r="A120" s="248"/>
      <c r="B120" s="49"/>
      <c r="C120" s="117" t="s">
        <v>189</v>
      </c>
      <c r="D120" s="142">
        <v>0</v>
      </c>
      <c r="E120" s="74">
        <f>References!$C$11</f>
        <v>4.333333333333333</v>
      </c>
      <c r="F120" s="73">
        <f t="shared" si="95"/>
        <v>52</v>
      </c>
      <c r="G120" s="73">
        <f>References!$C$37</f>
        <v>840</v>
      </c>
      <c r="H120" s="73">
        <f t="shared" si="91"/>
        <v>43680</v>
      </c>
      <c r="I120" s="48">
        <f t="shared" si="92"/>
        <v>34759.385271490122</v>
      </c>
      <c r="J120" s="72">
        <f>(References!$D$61*I120)</f>
        <v>132.78085173709192</v>
      </c>
      <c r="K120" s="72">
        <f>J120/References!$H$64</f>
        <v>135.39050369582904</v>
      </c>
      <c r="L120" s="72">
        <f t="shared" si="99"/>
        <v>2.6036635326120967</v>
      </c>
      <c r="M120" s="72">
        <f>'Proposed Rates'!C66</f>
        <v>117.97</v>
      </c>
      <c r="N120" s="72">
        <f t="shared" si="94"/>
        <v>120.5736635326121</v>
      </c>
      <c r="O120" s="72">
        <f>'Proposed Rates'!E66</f>
        <v>120.57</v>
      </c>
      <c r="P120" s="72"/>
      <c r="Q120" s="72"/>
      <c r="R120" s="133"/>
      <c r="S120" s="169"/>
      <c r="T120" s="129"/>
      <c r="U120" s="129"/>
      <c r="V120" s="129"/>
      <c r="W120" s="129"/>
      <c r="X120" s="129"/>
      <c r="Y120" s="129"/>
      <c r="Z120" s="129"/>
      <c r="AC120" s="187"/>
    </row>
    <row r="121" spans="1:29" s="65" customFormat="1">
      <c r="A121" s="248"/>
      <c r="B121" s="49"/>
      <c r="C121" s="117" t="s">
        <v>191</v>
      </c>
      <c r="D121" s="142">
        <v>0</v>
      </c>
      <c r="E121" s="74">
        <f>References!C13</f>
        <v>1</v>
      </c>
      <c r="F121" s="73">
        <f t="shared" si="95"/>
        <v>12</v>
      </c>
      <c r="G121" s="73">
        <f>References!$C$33</f>
        <v>250</v>
      </c>
      <c r="H121" s="73">
        <f t="shared" si="91"/>
        <v>3000</v>
      </c>
      <c r="I121" s="48">
        <f t="shared" si="92"/>
        <v>2387.3204169979481</v>
      </c>
      <c r="J121" s="72">
        <f>(References!$D$61*I121)</f>
        <v>9.1195639929321377</v>
      </c>
      <c r="K121" s="72">
        <f>J121/References!$H$64</f>
        <v>9.2987983307574886</v>
      </c>
      <c r="L121" s="72">
        <f t="shared" si="99"/>
        <v>0.77489986089645735</v>
      </c>
      <c r="M121" s="72">
        <f>'Proposed Rates'!C77</f>
        <v>36.96</v>
      </c>
      <c r="N121" s="72">
        <f t="shared" si="94"/>
        <v>37.734899860896455</v>
      </c>
      <c r="O121" s="72">
        <f>'Proposed Rates'!E77</f>
        <v>37.730000000000004</v>
      </c>
      <c r="P121" s="72"/>
      <c r="Q121" s="72"/>
      <c r="R121" s="133"/>
      <c r="S121" s="171"/>
      <c r="T121" s="196" t="s">
        <v>441</v>
      </c>
      <c r="U121" s="131">
        <f>U119*References!C61</f>
        <v>187082.28002427812</v>
      </c>
      <c r="V121" s="129"/>
      <c r="W121" s="129"/>
      <c r="X121" s="131">
        <f>X119*References!C61</f>
        <v>33162.826435025956</v>
      </c>
      <c r="Y121" s="129"/>
      <c r="Z121" s="129"/>
      <c r="AC121" s="187"/>
    </row>
    <row r="122" spans="1:29" s="65" customFormat="1">
      <c r="A122" s="249"/>
      <c r="B122" s="122"/>
      <c r="C122" s="124" t="s">
        <v>196</v>
      </c>
      <c r="D122" s="148">
        <v>0</v>
      </c>
      <c r="E122" s="100">
        <f>References!C13</f>
        <v>1</v>
      </c>
      <c r="F122" s="88">
        <f t="shared" si="95"/>
        <v>12</v>
      </c>
      <c r="G122" s="88">
        <f>References!$C$36</f>
        <v>613</v>
      </c>
      <c r="H122" s="88">
        <f t="shared" si="91"/>
        <v>7356</v>
      </c>
      <c r="I122" s="101">
        <f t="shared" si="92"/>
        <v>5853.7096624789692</v>
      </c>
      <c r="J122" s="95">
        <f>(References!$D$61*I122)</f>
        <v>22.361170910669603</v>
      </c>
      <c r="K122" s="95">
        <f>J122/References!$H$64</f>
        <v>22.800653507017365</v>
      </c>
      <c r="L122" s="95">
        <f t="shared" si="99"/>
        <v>1.9000544589181139</v>
      </c>
      <c r="M122" s="95">
        <f>'Proposed Rates'!C72</f>
        <v>85.83</v>
      </c>
      <c r="N122" s="95">
        <f t="shared" si="94"/>
        <v>87.730054458918119</v>
      </c>
      <c r="O122" s="95">
        <f>'Proposed Rates'!E72</f>
        <v>87.73</v>
      </c>
      <c r="P122" s="72"/>
      <c r="Q122" s="72"/>
      <c r="R122" s="133"/>
      <c r="S122" s="169"/>
      <c r="T122" s="129"/>
      <c r="U122" s="129"/>
      <c r="V122" s="129"/>
      <c r="W122" s="129"/>
      <c r="X122" s="129"/>
      <c r="Y122" s="129"/>
      <c r="Z122" s="129"/>
      <c r="AC122" s="187"/>
    </row>
    <row r="123" spans="1:29" s="65" customFormat="1">
      <c r="A123" s="250" t="s">
        <v>14</v>
      </c>
      <c r="B123" s="53"/>
      <c r="C123" s="126" t="s">
        <v>203</v>
      </c>
      <c r="D123" s="147">
        <v>0</v>
      </c>
      <c r="E123" s="76">
        <v>4.33</v>
      </c>
      <c r="F123" s="75">
        <f t="shared" si="95"/>
        <v>51.96</v>
      </c>
      <c r="G123" s="75">
        <f>References!C30*5</f>
        <v>145</v>
      </c>
      <c r="H123" s="75">
        <f t="shared" si="91"/>
        <v>7534.2</v>
      </c>
      <c r="I123" s="125">
        <f t="shared" si="92"/>
        <v>5995.5164952486466</v>
      </c>
      <c r="J123" s="78">
        <f>(References!$D$61*I123)</f>
        <v>22.902873011849771</v>
      </c>
      <c r="K123" s="78">
        <f>J123/References!$H$64</f>
        <v>23.353002127864357</v>
      </c>
      <c r="L123" s="78">
        <f t="shared" si="99"/>
        <v>0.44944191931994526</v>
      </c>
      <c r="M123" s="78">
        <f>'Proposed Rates'!C119*5</f>
        <v>19.75</v>
      </c>
      <c r="N123" s="78">
        <f t="shared" si="94"/>
        <v>20.199441919319945</v>
      </c>
      <c r="O123" s="78">
        <f>'Proposed Rates'!E119*5</f>
        <v>20.2</v>
      </c>
      <c r="P123" s="72"/>
      <c r="Q123" s="72"/>
      <c r="R123" s="133"/>
      <c r="S123" s="169"/>
      <c r="T123" s="129"/>
      <c r="U123" s="129"/>
      <c r="V123" s="129"/>
      <c r="W123" s="129"/>
      <c r="X123" s="129"/>
      <c r="Y123" s="129"/>
      <c r="Z123" s="129"/>
      <c r="AC123" s="187"/>
    </row>
    <row r="124" spans="1:29" s="65" customFormat="1">
      <c r="A124" s="248"/>
      <c r="B124" s="49"/>
      <c r="C124" s="117" t="s">
        <v>126</v>
      </c>
      <c r="D124" s="142">
        <v>0</v>
      </c>
      <c r="E124" s="74">
        <f>References!$C$13</f>
        <v>1</v>
      </c>
      <c r="F124" s="73">
        <f t="shared" si="95"/>
        <v>12</v>
      </c>
      <c r="G124" s="73">
        <f>References!C26</f>
        <v>68</v>
      </c>
      <c r="H124" s="73">
        <f t="shared" si="91"/>
        <v>816</v>
      </c>
      <c r="I124" s="48">
        <f t="shared" si="92"/>
        <v>649.35115342344193</v>
      </c>
      <c r="J124" s="72">
        <f>(References!$D$61*I124)</f>
        <v>2.4805214060775418</v>
      </c>
      <c r="K124" s="72">
        <f>J124/References!$H$64</f>
        <v>2.5292731459660374</v>
      </c>
      <c r="L124" s="72">
        <f t="shared" si="99"/>
        <v>0.21077276216383645</v>
      </c>
      <c r="M124" s="72">
        <f>'Proposed Rates'!C83</f>
        <v>23.17</v>
      </c>
      <c r="N124" s="72">
        <f t="shared" si="94"/>
        <v>23.380772762163836</v>
      </c>
      <c r="O124" s="72">
        <f>'Proposed Rates'!E83</f>
        <v>23.380000000000003</v>
      </c>
      <c r="P124" s="72"/>
      <c r="Q124" s="72"/>
      <c r="R124" s="133"/>
      <c r="S124" s="169"/>
      <c r="T124" s="129"/>
      <c r="U124" s="129"/>
      <c r="V124" s="129"/>
      <c r="W124" s="129"/>
      <c r="X124" s="129"/>
      <c r="Y124" s="129"/>
      <c r="Z124" s="129"/>
      <c r="AC124" s="187"/>
    </row>
    <row r="125" spans="1:29" s="65" customFormat="1">
      <c r="A125" s="248"/>
      <c r="B125" s="49"/>
      <c r="C125" s="115" t="s">
        <v>238</v>
      </c>
      <c r="D125" s="168">
        <v>0</v>
      </c>
      <c r="E125" s="74">
        <v>1</v>
      </c>
      <c r="F125" s="73">
        <v>12</v>
      </c>
      <c r="G125" s="73">
        <f>References!C37*2.25</f>
        <v>1890</v>
      </c>
      <c r="H125" s="123">
        <f t="shared" si="91"/>
        <v>22680</v>
      </c>
      <c r="I125" s="48">
        <f t="shared" si="92"/>
        <v>18048.142352504488</v>
      </c>
      <c r="J125" s="72">
        <f>(References!$D$61*I125)</f>
        <v>68.943903786566963</v>
      </c>
      <c r="K125" s="72">
        <f>J125/References!$H$64</f>
        <v>70.298915380526623</v>
      </c>
      <c r="L125" s="72">
        <f t="shared" ref="L125" si="100">K125/F125</f>
        <v>5.8582429483772183</v>
      </c>
      <c r="M125" s="72">
        <f>'Proposed Rates'!C128</f>
        <v>190.97</v>
      </c>
      <c r="N125" s="72">
        <f t="shared" ref="N125" si="101">L125+M125</f>
        <v>196.82824294837721</v>
      </c>
      <c r="O125" s="72">
        <f>'Proposed Rates'!E128</f>
        <v>196.83</v>
      </c>
      <c r="P125" s="72"/>
      <c r="Q125" s="72"/>
      <c r="R125" s="133"/>
      <c r="S125" s="169"/>
      <c r="T125" s="129"/>
      <c r="U125" s="129"/>
      <c r="V125" s="129"/>
      <c r="W125" s="129"/>
      <c r="X125" s="129"/>
      <c r="Y125" s="129"/>
      <c r="Z125" s="129"/>
      <c r="AC125" s="187"/>
    </row>
    <row r="126" spans="1:29" s="65" customFormat="1">
      <c r="A126" s="248"/>
      <c r="B126" s="49"/>
      <c r="C126" s="115" t="s">
        <v>240</v>
      </c>
      <c r="D126" s="168">
        <v>0</v>
      </c>
      <c r="E126" s="74">
        <v>1</v>
      </c>
      <c r="F126" s="73">
        <v>12</v>
      </c>
      <c r="G126" s="73">
        <f>References!C34*3</f>
        <v>972</v>
      </c>
      <c r="H126" s="123">
        <f t="shared" ref="H126" si="102">F126*G126</f>
        <v>11664</v>
      </c>
      <c r="I126" s="48">
        <f t="shared" si="92"/>
        <v>9281.9017812880229</v>
      </c>
      <c r="J126" s="72">
        <f>(References!$D$61*I126)</f>
        <v>35.456864804520158</v>
      </c>
      <c r="K126" s="72">
        <f>J126/References!$H$64</f>
        <v>36.153727909985122</v>
      </c>
      <c r="L126" s="72">
        <f t="shared" ref="L126" si="103">K126/F126</f>
        <v>3.0128106591654267</v>
      </c>
      <c r="M126" s="72">
        <f>'Proposed Rates'!C135</f>
        <v>95.13</v>
      </c>
      <c r="N126" s="72">
        <f t="shared" ref="N126" si="104">L126+M126</f>
        <v>98.14281065916542</v>
      </c>
      <c r="O126" s="72">
        <f>'Proposed Rates'!E135</f>
        <v>98.14</v>
      </c>
      <c r="P126" s="72"/>
      <c r="Q126" s="72"/>
      <c r="R126" s="133"/>
      <c r="S126" s="169"/>
      <c r="T126" s="129"/>
      <c r="U126" s="129"/>
      <c r="V126" s="129"/>
      <c r="W126" s="129"/>
      <c r="X126" s="129"/>
      <c r="Y126" s="129"/>
      <c r="Z126" s="129"/>
      <c r="AC126" s="187"/>
    </row>
    <row r="127" spans="1:29" s="65" customFormat="1">
      <c r="A127" s="248"/>
      <c r="B127" s="49"/>
      <c r="C127" s="115" t="s">
        <v>239</v>
      </c>
      <c r="D127" s="168">
        <v>0</v>
      </c>
      <c r="E127" s="74">
        <v>1</v>
      </c>
      <c r="F127" s="73">
        <v>12</v>
      </c>
      <c r="G127" s="73">
        <f>References!C36*3</f>
        <v>1839</v>
      </c>
      <c r="H127" s="123">
        <f t="shared" ref="H127" si="105">F127*G127</f>
        <v>22068</v>
      </c>
      <c r="I127" s="48">
        <f t="shared" si="92"/>
        <v>17561.128987436907</v>
      </c>
      <c r="J127" s="72">
        <f>(References!$D$61*I127)</f>
        <v>67.083512732008813</v>
      </c>
      <c r="K127" s="72">
        <f>J127/References!$H$64</f>
        <v>68.401960521052089</v>
      </c>
      <c r="L127" s="72">
        <f t="shared" ref="L127" si="106">K127/F127</f>
        <v>5.7001633767543405</v>
      </c>
      <c r="M127" s="72">
        <f>'Proposed Rates'!C137</f>
        <v>160.1</v>
      </c>
      <c r="N127" s="72">
        <f t="shared" ref="N127" si="107">L127+M127</f>
        <v>165.80016337675434</v>
      </c>
      <c r="O127" s="72">
        <f>'Proposed Rates'!E137</f>
        <v>165.79999999999998</v>
      </c>
      <c r="P127" s="72"/>
      <c r="Q127" s="72"/>
      <c r="R127" s="133"/>
      <c r="S127" s="169"/>
      <c r="T127" s="129"/>
      <c r="U127" s="129"/>
      <c r="V127" s="129"/>
      <c r="W127" s="129"/>
      <c r="X127" s="129"/>
      <c r="Y127" s="129"/>
      <c r="Z127" s="129"/>
      <c r="AC127" s="187"/>
    </row>
    <row r="128" spans="1:29" s="65" customFormat="1">
      <c r="A128" s="248"/>
      <c r="B128" s="49"/>
      <c r="C128" s="115" t="s">
        <v>241</v>
      </c>
      <c r="D128" s="168">
        <v>0</v>
      </c>
      <c r="E128" s="74">
        <v>1</v>
      </c>
      <c r="F128" s="73">
        <v>12</v>
      </c>
      <c r="G128" s="73">
        <f>References!C35*4</f>
        <v>1892</v>
      </c>
      <c r="H128" s="123">
        <f t="shared" ref="H128" si="108">F128*G128</f>
        <v>22704</v>
      </c>
      <c r="I128" s="48">
        <f t="shared" si="92"/>
        <v>18067.240915840473</v>
      </c>
      <c r="J128" s="72">
        <f>(References!$D$61*I128)</f>
        <v>69.016860298510423</v>
      </c>
      <c r="K128" s="72">
        <f>J128/References!$H$64</f>
        <v>70.373305767172681</v>
      </c>
      <c r="L128" s="72">
        <f t="shared" ref="L128" si="109">K128/F128</f>
        <v>5.8644421472643904</v>
      </c>
      <c r="M128" s="72">
        <f>'Proposed Rates'!C146</f>
        <v>163.77000000000001</v>
      </c>
      <c r="N128" s="72">
        <f t="shared" ref="N128" si="110">L128+M128</f>
        <v>169.63444214726439</v>
      </c>
      <c r="O128" s="72">
        <f>'Proposed Rates'!E146</f>
        <v>169.63000000000002</v>
      </c>
      <c r="P128" s="72"/>
      <c r="Q128" s="72"/>
      <c r="R128" s="133"/>
      <c r="S128" s="169"/>
      <c r="T128" s="129"/>
      <c r="U128" s="129"/>
      <c r="V128" s="129"/>
      <c r="W128" s="129"/>
      <c r="X128" s="129"/>
      <c r="Y128" s="129"/>
      <c r="Z128" s="129"/>
      <c r="AC128" s="187"/>
    </row>
    <row r="129" spans="1:29" s="65" customFormat="1">
      <c r="A129" s="248"/>
      <c r="B129" s="49"/>
      <c r="C129" s="115" t="s">
        <v>431</v>
      </c>
      <c r="D129" s="168">
        <v>0</v>
      </c>
      <c r="E129" s="74">
        <f>References!$C$13</f>
        <v>1</v>
      </c>
      <c r="F129" s="73">
        <f t="shared" si="95"/>
        <v>12</v>
      </c>
      <c r="G129" s="73">
        <f>References!C37*5</f>
        <v>4200</v>
      </c>
      <c r="H129" s="123">
        <f t="shared" si="91"/>
        <v>50400</v>
      </c>
      <c r="I129" s="48">
        <f t="shared" si="92"/>
        <v>40106.983005565526</v>
      </c>
      <c r="J129" s="72">
        <f>(References!$D$61*I129)</f>
        <v>153.20867508125991</v>
      </c>
      <c r="K129" s="72">
        <f>J129/References!$H$64</f>
        <v>156.21981195672581</v>
      </c>
      <c r="L129" s="72">
        <f t="shared" si="99"/>
        <v>13.018317663060484</v>
      </c>
      <c r="M129" s="72">
        <v>340.44</v>
      </c>
      <c r="N129" s="72">
        <f t="shared" si="94"/>
        <v>353.45831766306048</v>
      </c>
      <c r="O129" s="72">
        <f>'Proposed Rates'!E159</f>
        <v>363.78999999999996</v>
      </c>
      <c r="P129" s="72"/>
      <c r="Q129" s="72"/>
      <c r="R129" s="133"/>
      <c r="S129" s="169"/>
      <c r="T129" s="129"/>
      <c r="U129" s="129"/>
      <c r="V129" s="129"/>
      <c r="W129" s="129"/>
      <c r="X129" s="129"/>
      <c r="Y129" s="129"/>
      <c r="Z129" s="129"/>
      <c r="AC129" s="187"/>
    </row>
    <row r="130" spans="1:29" s="65" customFormat="1">
      <c r="A130" s="248"/>
      <c r="B130" s="49"/>
      <c r="C130" s="115" t="s">
        <v>227</v>
      </c>
      <c r="D130" s="168">
        <v>0</v>
      </c>
      <c r="E130" s="74">
        <f>References!$C$13</f>
        <v>1</v>
      </c>
      <c r="F130" s="73">
        <f t="shared" si="95"/>
        <v>12</v>
      </c>
      <c r="G130" s="73">
        <f>References!C33</f>
        <v>250</v>
      </c>
      <c r="H130" s="123">
        <f t="shared" si="91"/>
        <v>3000</v>
      </c>
      <c r="I130" s="48">
        <f t="shared" si="92"/>
        <v>2387.3204169979481</v>
      </c>
      <c r="J130" s="72">
        <f>(References!$D$61*I130)</f>
        <v>9.1195639929321377</v>
      </c>
      <c r="K130" s="72">
        <f>J130/References!$H$64</f>
        <v>9.2987983307574886</v>
      </c>
      <c r="L130" s="72">
        <f t="shared" si="99"/>
        <v>0.77489986089645735</v>
      </c>
      <c r="M130" s="72">
        <f>'Proposed Rates'!C113</f>
        <v>30.34</v>
      </c>
      <c r="N130" s="72">
        <f t="shared" si="94"/>
        <v>31.114899860896458</v>
      </c>
      <c r="O130" s="72">
        <f>'Proposed Rates'!E113</f>
        <v>31.11</v>
      </c>
      <c r="P130" s="72"/>
      <c r="Q130" s="72"/>
      <c r="R130" s="133"/>
      <c r="S130" s="169"/>
      <c r="T130" s="129"/>
      <c r="U130" s="129"/>
      <c r="V130" s="129"/>
      <c r="W130" s="129"/>
      <c r="X130" s="129"/>
      <c r="Y130" s="129"/>
      <c r="Z130" s="129"/>
      <c r="AC130" s="187"/>
    </row>
    <row r="131" spans="1:29" s="65" customFormat="1">
      <c r="A131" s="248"/>
      <c r="B131" s="49"/>
      <c r="C131" s="117" t="s">
        <v>229</v>
      </c>
      <c r="D131" s="142">
        <v>0</v>
      </c>
      <c r="E131" s="74">
        <f>References!$C$13</f>
        <v>1</v>
      </c>
      <c r="F131" s="73">
        <f t="shared" si="95"/>
        <v>12</v>
      </c>
      <c r="G131" s="73">
        <f>References!C32</f>
        <v>175</v>
      </c>
      <c r="H131" s="123">
        <f t="shared" si="91"/>
        <v>2100</v>
      </c>
      <c r="I131" s="48">
        <f t="shared" si="92"/>
        <v>1671.1242918985638</v>
      </c>
      <c r="J131" s="72">
        <f>(References!$D$61*I131)</f>
        <v>6.3836947950524969</v>
      </c>
      <c r="K131" s="72">
        <f>J131/References!$H$64</f>
        <v>6.5091588315302422</v>
      </c>
      <c r="L131" s="72">
        <f t="shared" si="99"/>
        <v>0.54242990262752022</v>
      </c>
      <c r="M131" s="72">
        <f>'Proposed Rates'!C105</f>
        <v>22.52</v>
      </c>
      <c r="N131" s="72">
        <f t="shared" si="94"/>
        <v>23.062429902627521</v>
      </c>
      <c r="O131" s="72">
        <f>'Proposed Rates'!E105</f>
        <v>23.06</v>
      </c>
      <c r="P131" s="72"/>
      <c r="Q131" s="72"/>
      <c r="R131" s="133"/>
      <c r="S131" s="169"/>
      <c r="T131" s="129"/>
      <c r="U131" s="129"/>
      <c r="V131" s="129"/>
      <c r="W131" s="129"/>
      <c r="X131" s="129"/>
      <c r="Y131" s="129"/>
      <c r="Z131" s="129"/>
      <c r="AC131" s="187"/>
    </row>
    <row r="132" spans="1:29" s="65" customFormat="1">
      <c r="A132" s="249"/>
      <c r="B132" s="122"/>
      <c r="C132" s="124" t="s">
        <v>231</v>
      </c>
      <c r="D132" s="148">
        <v>0</v>
      </c>
      <c r="E132" s="100">
        <f>References!$C$13</f>
        <v>1</v>
      </c>
      <c r="F132" s="88">
        <f t="shared" si="95"/>
        <v>12</v>
      </c>
      <c r="G132" s="88">
        <f>References!C34</f>
        <v>324</v>
      </c>
      <c r="H132" s="88">
        <f t="shared" si="91"/>
        <v>3888</v>
      </c>
      <c r="I132" s="101">
        <f t="shared" si="92"/>
        <v>3093.967260429341</v>
      </c>
      <c r="J132" s="95">
        <f>(References!$D$61*I132)</f>
        <v>11.818954934840052</v>
      </c>
      <c r="K132" s="95">
        <f>J132/References!$H$64</f>
        <v>12.051242636661707</v>
      </c>
      <c r="L132" s="95">
        <f t="shared" si="99"/>
        <v>1.004270219721809</v>
      </c>
      <c r="M132" s="95">
        <f>'Proposed Rates'!C107</f>
        <v>37.26</v>
      </c>
      <c r="N132" s="95">
        <f t="shared" si="94"/>
        <v>38.264270219721809</v>
      </c>
      <c r="O132" s="95">
        <f>'Proposed Rates'!E107</f>
        <v>38.26</v>
      </c>
      <c r="P132" s="72"/>
      <c r="Q132" s="72"/>
      <c r="R132" s="133"/>
      <c r="S132" s="169"/>
      <c r="T132" s="129"/>
      <c r="U132" s="129"/>
      <c r="V132" s="129"/>
      <c r="W132" s="129"/>
      <c r="X132" s="129"/>
      <c r="Y132" s="129"/>
      <c r="Z132" s="129"/>
      <c r="AC132" s="187"/>
    </row>
    <row r="133" spans="1:29">
      <c r="A133" s="68"/>
      <c r="C133" s="93"/>
      <c r="D133" s="149"/>
      <c r="E133" s="31"/>
      <c r="F133" s="62"/>
      <c r="G133" s="73"/>
      <c r="H133" s="62"/>
      <c r="J133" s="72"/>
      <c r="K133" s="96"/>
      <c r="L133" s="96"/>
      <c r="M133" s="96"/>
      <c r="N133" s="96"/>
      <c r="O133" s="72"/>
      <c r="T133" s="130"/>
      <c r="U133" s="130"/>
      <c r="V133" s="130"/>
      <c r="W133" s="130"/>
      <c r="X133" s="130"/>
      <c r="Y133" s="130"/>
      <c r="AC133" s="187"/>
    </row>
    <row r="134" spans="1:29">
      <c r="A134" s="68"/>
      <c r="C134" s="71"/>
      <c r="T134" s="130"/>
      <c r="U134" s="130"/>
      <c r="V134" s="130"/>
      <c r="W134" s="130"/>
      <c r="X134" s="130"/>
      <c r="Y134" s="130"/>
      <c r="AC134" s="187"/>
    </row>
    <row r="135" spans="1:29">
      <c r="A135" s="68"/>
      <c r="C135" s="71"/>
      <c r="T135" s="130"/>
      <c r="U135" s="130"/>
      <c r="V135" s="130"/>
      <c r="W135" s="130"/>
      <c r="X135" s="130"/>
      <c r="Y135" s="130"/>
      <c r="AC135" s="187"/>
    </row>
    <row r="136" spans="1:29">
      <c r="B136" s="247" t="s">
        <v>86</v>
      </c>
      <c r="C136" s="247"/>
      <c r="D136" s="92"/>
      <c r="F136" s="92"/>
      <c r="H136" s="177"/>
      <c r="I136" s="73"/>
      <c r="J136" s="65"/>
      <c r="T136" s="130"/>
      <c r="U136" s="130"/>
      <c r="V136" s="130"/>
      <c r="W136" s="130"/>
      <c r="X136" s="130"/>
      <c r="Y136" s="130"/>
      <c r="AC136" s="187"/>
    </row>
    <row r="137" spans="1:29">
      <c r="B137" s="63"/>
      <c r="C137" s="60" t="s">
        <v>16</v>
      </c>
      <c r="D137" s="38"/>
      <c r="F137" s="38"/>
      <c r="H137" s="177"/>
      <c r="I137" s="73"/>
      <c r="J137" s="178"/>
      <c r="P137" s="64"/>
      <c r="T137" s="130"/>
      <c r="U137" s="130"/>
      <c r="V137" s="130"/>
      <c r="W137" s="130"/>
      <c r="X137" s="130"/>
      <c r="Y137" s="130"/>
      <c r="AC137" s="187"/>
    </row>
    <row r="138" spans="1:29">
      <c r="B138" s="63" t="s">
        <v>32</v>
      </c>
      <c r="C138" s="211">
        <v>65230.76112481716</v>
      </c>
      <c r="D138" s="62" t="s">
        <v>439</v>
      </c>
      <c r="F138" s="62"/>
      <c r="G138" s="45"/>
      <c r="H138" s="94"/>
      <c r="I138" s="73"/>
      <c r="J138" s="178"/>
      <c r="P138" s="64"/>
      <c r="T138" s="130"/>
      <c r="U138" s="130"/>
      <c r="V138" s="130"/>
      <c r="W138" s="130"/>
      <c r="X138" s="130"/>
      <c r="Y138" s="130"/>
      <c r="AC138" s="187"/>
    </row>
    <row r="139" spans="1:29">
      <c r="B139" s="63" t="s">
        <v>33</v>
      </c>
      <c r="C139" s="36">
        <f>C138*References!$H$20</f>
        <v>130461522.24963433</v>
      </c>
      <c r="D139" s="36"/>
      <c r="F139" s="36"/>
      <c r="G139" s="36"/>
      <c r="H139" s="179"/>
      <c r="I139" s="73"/>
      <c r="J139" s="178"/>
      <c r="T139" s="130"/>
      <c r="U139" s="130"/>
      <c r="V139" s="130"/>
      <c r="W139" s="130"/>
      <c r="X139" s="130"/>
      <c r="Y139" s="130"/>
      <c r="AC139" s="187"/>
    </row>
    <row r="140" spans="1:29">
      <c r="B140" s="63" t="s">
        <v>5</v>
      </c>
      <c r="C140" s="36">
        <f>F23+F57+F108</f>
        <v>3024813.0828138771</v>
      </c>
      <c r="D140" s="62"/>
      <c r="F140" s="62"/>
      <c r="G140" s="62"/>
      <c r="H140" s="180"/>
      <c r="I140" s="73"/>
      <c r="J140" s="178"/>
      <c r="P140" s="64"/>
      <c r="T140" s="130"/>
      <c r="U140" s="130"/>
      <c r="V140" s="130"/>
      <c r="W140" s="130"/>
      <c r="X140" s="130"/>
      <c r="Y140" s="130"/>
      <c r="AC140" s="187"/>
    </row>
    <row r="141" spans="1:29">
      <c r="B141" s="42" t="s">
        <v>12</v>
      </c>
      <c r="C141" s="35">
        <f>C139/$H$109</f>
        <v>0.79577347233264939</v>
      </c>
      <c r="D141" s="35"/>
      <c r="F141" s="35"/>
      <c r="G141" s="35"/>
      <c r="H141" s="181"/>
      <c r="I141" s="73"/>
      <c r="J141" s="178"/>
      <c r="M141" s="40"/>
      <c r="N141" s="40"/>
      <c r="O141" s="40"/>
      <c r="P141" s="39"/>
      <c r="T141" s="130"/>
      <c r="U141" s="130"/>
      <c r="V141" s="130"/>
      <c r="W141" s="130"/>
      <c r="X141" s="130"/>
      <c r="Y141" s="130"/>
      <c r="AC141" s="187"/>
    </row>
    <row r="142" spans="1:29">
      <c r="G142" s="44"/>
      <c r="H142" s="31"/>
      <c r="I142" s="73"/>
      <c r="J142" s="178"/>
      <c r="M142" s="43"/>
      <c r="N142" s="30"/>
      <c r="O142" s="30"/>
      <c r="P142" s="66"/>
      <c r="T142" s="130"/>
      <c r="U142" s="130"/>
      <c r="V142" s="130"/>
      <c r="W142" s="130"/>
      <c r="X142" s="130"/>
      <c r="Y142" s="130"/>
      <c r="AC142" s="187"/>
    </row>
    <row r="143" spans="1:29">
      <c r="D143" s="34"/>
      <c r="E143" s="33"/>
      <c r="G143" s="44"/>
      <c r="H143" s="31"/>
      <c r="I143" s="73"/>
      <c r="J143" s="178"/>
      <c r="M143" s="43"/>
      <c r="N143" s="30"/>
      <c r="O143" s="30"/>
      <c r="P143" s="66"/>
      <c r="T143" s="130"/>
      <c r="U143" s="130"/>
      <c r="V143" s="130"/>
      <c r="W143" s="130"/>
      <c r="X143" s="130"/>
      <c r="Y143" s="130"/>
      <c r="AC143" s="187"/>
    </row>
    <row r="144" spans="1:29">
      <c r="D144" s="34"/>
      <c r="E144" s="33"/>
      <c r="G144" s="44"/>
      <c r="H144" s="32"/>
      <c r="J144" s="41"/>
      <c r="M144" s="43"/>
      <c r="N144" s="30"/>
      <c r="O144" s="30"/>
      <c r="P144" s="66"/>
      <c r="T144" s="130"/>
      <c r="U144" s="130"/>
      <c r="V144" s="130"/>
      <c r="W144" s="130"/>
      <c r="X144" s="130"/>
      <c r="Y144" s="130"/>
    </row>
    <row r="145" spans="4:25">
      <c r="D145" s="63"/>
      <c r="I145" s="63"/>
      <c r="T145" s="130"/>
      <c r="U145" s="130"/>
      <c r="V145" s="130"/>
      <c r="W145" s="130"/>
      <c r="X145" s="130"/>
      <c r="Y145" s="130"/>
    </row>
    <row r="146" spans="4:25">
      <c r="D146" s="63"/>
      <c r="E146" s="41"/>
      <c r="I146" s="63"/>
      <c r="T146" s="130"/>
      <c r="U146" s="130"/>
      <c r="V146" s="130"/>
      <c r="W146" s="130"/>
      <c r="X146" s="130"/>
      <c r="Y146" s="130"/>
    </row>
    <row r="147" spans="4:25">
      <c r="D147" s="63"/>
      <c r="I147" s="63"/>
      <c r="T147" s="130"/>
      <c r="U147" s="130"/>
      <c r="V147" s="130"/>
      <c r="W147" s="130"/>
      <c r="X147" s="130"/>
      <c r="Y147" s="130"/>
    </row>
    <row r="148" spans="4:25">
      <c r="D148" s="63"/>
      <c r="I148" s="63"/>
      <c r="T148" s="130"/>
      <c r="U148" s="130"/>
      <c r="V148" s="130"/>
      <c r="W148" s="130"/>
      <c r="X148" s="130"/>
      <c r="Y148" s="130"/>
    </row>
    <row r="149" spans="4:25">
      <c r="D149" s="63"/>
    </row>
  </sheetData>
  <mergeCells count="7">
    <mergeCell ref="B136:C136"/>
    <mergeCell ref="A7:A22"/>
    <mergeCell ref="A24:A56"/>
    <mergeCell ref="A58:A107"/>
    <mergeCell ref="A118:A122"/>
    <mergeCell ref="A113:A114"/>
    <mergeCell ref="A123:A132"/>
  </mergeCells>
  <pageMargins left="0.7" right="0.7" top="0.75" bottom="0.75" header="0.3" footer="0.3"/>
  <pageSetup scale="41" fitToWidth="2" fitToHeight="2" pageOrder="overThenDown" orientation="landscape" r:id="rId1"/>
  <headerFooter>
    <oddFooter>&amp;L&amp;F - &amp;A&amp;R&amp;P of &amp;N</oddFooter>
  </headerFooter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opLeftCell="A13" zoomScale="85" zoomScaleNormal="85" zoomScalePageLayoutView="85" workbookViewId="0">
      <selection activeCell="F122" sqref="F122"/>
    </sheetView>
  </sheetViews>
  <sheetFormatPr defaultRowHeight="15"/>
  <cols>
    <col min="1" max="1" width="28.28515625" customWidth="1"/>
    <col min="2" max="2" width="8.140625" bestFit="1" customWidth="1"/>
    <col min="3" max="3" width="10.140625" style="141" customWidth="1"/>
    <col min="4" max="4" width="12" customWidth="1"/>
    <col min="5" max="5" width="8.7109375" bestFit="1" customWidth="1"/>
    <col min="7" max="7" width="20.5703125" bestFit="1" customWidth="1"/>
  </cols>
  <sheetData>
    <row r="1" spans="1:11">
      <c r="A1" s="111" t="s">
        <v>95</v>
      </c>
      <c r="B1" s="102"/>
      <c r="C1" s="139"/>
      <c r="D1" s="103"/>
      <c r="E1" s="103"/>
      <c r="F1" s="103"/>
      <c r="G1" s="103"/>
      <c r="H1" s="103"/>
      <c r="I1" s="103"/>
      <c r="J1" s="103"/>
      <c r="K1" s="103"/>
    </row>
    <row r="2" spans="1:11">
      <c r="A2" s="111" t="s">
        <v>96</v>
      </c>
      <c r="B2" s="102"/>
      <c r="C2" s="139"/>
      <c r="D2" s="103"/>
      <c r="E2" s="103"/>
      <c r="F2" s="103"/>
      <c r="G2" s="103"/>
      <c r="H2" s="103"/>
      <c r="I2" s="103"/>
      <c r="J2" s="103"/>
      <c r="K2" s="103"/>
    </row>
    <row r="3" spans="1:11">
      <c r="A3" s="107" t="s">
        <v>467</v>
      </c>
      <c r="B3" s="103"/>
      <c r="C3" s="127"/>
      <c r="D3" s="103"/>
      <c r="E3" s="103"/>
      <c r="F3" s="103"/>
      <c r="G3" s="103"/>
      <c r="H3" s="103"/>
      <c r="I3" s="105"/>
      <c r="J3" s="103"/>
      <c r="K3" s="103"/>
    </row>
    <row r="4" spans="1:11">
      <c r="A4" s="103"/>
      <c r="B4" s="103"/>
      <c r="C4" s="220" t="s">
        <v>97</v>
      </c>
      <c r="D4" s="221"/>
      <c r="E4" s="222" t="s">
        <v>98</v>
      </c>
      <c r="F4" s="103"/>
      <c r="G4" s="112"/>
      <c r="H4" s="105"/>
      <c r="I4" s="106"/>
      <c r="J4" s="103"/>
      <c r="K4" s="103"/>
    </row>
    <row r="5" spans="1:11">
      <c r="A5" s="103"/>
      <c r="B5" s="103"/>
      <c r="C5" s="220" t="s">
        <v>99</v>
      </c>
      <c r="D5" s="222" t="s">
        <v>100</v>
      </c>
      <c r="E5" s="223">
        <v>42795</v>
      </c>
      <c r="F5" s="103"/>
      <c r="G5" s="113"/>
      <c r="H5" s="105"/>
      <c r="I5" s="105"/>
      <c r="J5" s="103"/>
      <c r="K5" s="103"/>
    </row>
    <row r="6" spans="1:11">
      <c r="A6" s="103"/>
      <c r="B6" s="103"/>
      <c r="C6" s="220" t="s">
        <v>101</v>
      </c>
      <c r="D6" s="222" t="s">
        <v>10</v>
      </c>
      <c r="E6" s="222" t="s">
        <v>101</v>
      </c>
      <c r="F6" s="105"/>
      <c r="G6" s="112"/>
      <c r="H6" s="105"/>
      <c r="I6" s="105"/>
      <c r="J6" s="103"/>
      <c r="K6" s="103"/>
    </row>
    <row r="7" spans="1:11">
      <c r="A7" s="107" t="s">
        <v>447</v>
      </c>
      <c r="B7" s="107"/>
      <c r="C7" s="127"/>
      <c r="D7" s="103"/>
      <c r="E7" s="103"/>
      <c r="F7" s="103"/>
      <c r="G7" s="103"/>
      <c r="H7" s="105"/>
      <c r="I7" s="103"/>
      <c r="J7" s="103"/>
      <c r="K7" s="103"/>
    </row>
    <row r="8" spans="1:11">
      <c r="A8" s="103" t="s">
        <v>102</v>
      </c>
      <c r="B8" s="103" t="s">
        <v>103</v>
      </c>
      <c r="C8" s="127">
        <v>7.64</v>
      </c>
      <c r="D8" s="108">
        <f>ROUND('DF Calculation'!L21/References!C11,2)</f>
        <v>0.12</v>
      </c>
      <c r="E8" s="109">
        <f>SUM(C8:D8)</f>
        <v>7.76</v>
      </c>
      <c r="F8" s="109"/>
      <c r="G8" s="109"/>
      <c r="H8" s="109"/>
      <c r="I8" s="109"/>
      <c r="J8" s="103"/>
      <c r="K8" s="103"/>
    </row>
    <row r="9" spans="1:11">
      <c r="A9" s="103"/>
      <c r="B9" s="103"/>
      <c r="C9" s="140"/>
      <c r="D9" s="103"/>
      <c r="E9" s="103"/>
      <c r="F9" s="103"/>
      <c r="G9" s="103"/>
      <c r="H9" s="109"/>
      <c r="I9" s="103"/>
      <c r="J9" s="103"/>
      <c r="K9" s="103"/>
    </row>
    <row r="10" spans="1:11">
      <c r="A10" s="107" t="s">
        <v>448</v>
      </c>
      <c r="B10" s="107"/>
      <c r="C10" s="127"/>
      <c r="D10" s="103"/>
      <c r="E10" s="103"/>
      <c r="F10" s="103"/>
      <c r="G10" s="103"/>
      <c r="H10" s="109"/>
      <c r="I10" s="103"/>
      <c r="J10" s="103"/>
      <c r="K10" s="103"/>
    </row>
    <row r="11" spans="1:11">
      <c r="A11" s="103" t="s">
        <v>104</v>
      </c>
      <c r="B11" s="103" t="s">
        <v>103</v>
      </c>
      <c r="C11" s="140">
        <v>13.44</v>
      </c>
      <c r="D11" s="109">
        <f>ROUND('DF Calculation'!L8,2)</f>
        <v>0.27</v>
      </c>
      <c r="E11" s="109">
        <f t="shared" ref="E11:E29" si="0">SUM(C11:D11)</f>
        <v>13.709999999999999</v>
      </c>
      <c r="F11" s="103"/>
      <c r="G11" s="109"/>
      <c r="H11" s="109"/>
      <c r="I11" s="109"/>
      <c r="J11" s="103"/>
      <c r="K11" s="103"/>
    </row>
    <row r="12" spans="1:11">
      <c r="A12" s="103" t="s">
        <v>105</v>
      </c>
      <c r="B12" s="103" t="s">
        <v>106</v>
      </c>
      <c r="C12" s="140">
        <f>C11+1</f>
        <v>14.44</v>
      </c>
      <c r="D12" s="109">
        <f>ROUND('DF Calculation'!L9,2)</f>
        <v>0.27</v>
      </c>
      <c r="E12" s="109">
        <f t="shared" si="0"/>
        <v>14.709999999999999</v>
      </c>
      <c r="F12" s="103"/>
      <c r="G12" s="109"/>
      <c r="H12" s="109"/>
      <c r="I12" s="109"/>
      <c r="J12" s="103"/>
      <c r="K12" s="103"/>
    </row>
    <row r="13" spans="1:11">
      <c r="A13" s="103" t="s">
        <v>107</v>
      </c>
      <c r="B13" s="103" t="s">
        <v>103</v>
      </c>
      <c r="C13" s="140">
        <v>16.809999999999999</v>
      </c>
      <c r="D13" s="109">
        <f>ROUND('DF Calculation'!L11,2)</f>
        <v>0.46</v>
      </c>
      <c r="E13" s="109">
        <f t="shared" si="0"/>
        <v>17.27</v>
      </c>
      <c r="F13" s="103"/>
      <c r="G13" s="109"/>
      <c r="H13" s="109"/>
      <c r="I13" s="109"/>
      <c r="J13" s="103"/>
      <c r="K13" s="103"/>
    </row>
    <row r="14" spans="1:11">
      <c r="A14" s="103" t="s">
        <v>107</v>
      </c>
      <c r="B14" s="103" t="s">
        <v>106</v>
      </c>
      <c r="C14" s="140">
        <f>C13+1</f>
        <v>17.809999999999999</v>
      </c>
      <c r="D14" s="109">
        <f>ROUND('DF Calculation'!L12,2)</f>
        <v>0.46</v>
      </c>
      <c r="E14" s="109">
        <f t="shared" si="0"/>
        <v>18.27</v>
      </c>
      <c r="F14" s="103"/>
      <c r="G14" s="109"/>
      <c r="H14" s="109"/>
      <c r="I14" s="109"/>
      <c r="J14" s="103"/>
      <c r="K14" s="103"/>
    </row>
    <row r="15" spans="1:11">
      <c r="A15" s="103" t="s">
        <v>108</v>
      </c>
      <c r="B15" s="103" t="s">
        <v>103</v>
      </c>
      <c r="C15" s="140">
        <v>24.71</v>
      </c>
      <c r="D15" s="109">
        <f>ROUND('DF Calculation'!L13,2)</f>
        <v>0.69</v>
      </c>
      <c r="E15" s="109">
        <f t="shared" si="0"/>
        <v>25.400000000000002</v>
      </c>
      <c r="F15" s="103"/>
      <c r="G15" s="109"/>
      <c r="H15" s="109"/>
      <c r="I15" s="109"/>
      <c r="J15" s="103"/>
      <c r="K15" s="103"/>
    </row>
    <row r="16" spans="1:11">
      <c r="A16" s="103" t="s">
        <v>108</v>
      </c>
      <c r="B16" s="103" t="s">
        <v>106</v>
      </c>
      <c r="C16" s="140">
        <f>C15+2</f>
        <v>26.71</v>
      </c>
      <c r="D16" s="109">
        <f>ROUND('DF Calculation'!L14,2)</f>
        <v>0.69</v>
      </c>
      <c r="E16" s="109">
        <f t="shared" si="0"/>
        <v>27.400000000000002</v>
      </c>
      <c r="F16" s="103"/>
      <c r="G16" s="109"/>
      <c r="H16" s="109"/>
      <c r="I16" s="109"/>
      <c r="J16" s="103"/>
      <c r="K16" s="103"/>
    </row>
    <row r="17" spans="1:11">
      <c r="A17" s="103" t="s">
        <v>109</v>
      </c>
      <c r="B17" s="103" t="s">
        <v>103</v>
      </c>
      <c r="C17" s="140">
        <v>34.299999999999997</v>
      </c>
      <c r="D17" s="109">
        <f>ROUND('DF Calculation'!L15,2)</f>
        <v>1.03</v>
      </c>
      <c r="E17" s="109">
        <f t="shared" si="0"/>
        <v>35.33</v>
      </c>
      <c r="F17" s="103"/>
      <c r="G17" s="109"/>
      <c r="H17" s="109"/>
      <c r="I17" s="109"/>
      <c r="J17" s="103"/>
      <c r="K17" s="103"/>
    </row>
    <row r="18" spans="1:11">
      <c r="A18" s="103" t="s">
        <v>109</v>
      </c>
      <c r="B18" s="103" t="s">
        <v>106</v>
      </c>
      <c r="C18" s="140">
        <f>C17+3</f>
        <v>37.299999999999997</v>
      </c>
      <c r="D18" s="109">
        <f>ROUND('DF Calculation'!L16,2)</f>
        <v>1.03</v>
      </c>
      <c r="E18" s="109">
        <f t="shared" si="0"/>
        <v>38.33</v>
      </c>
      <c r="F18" s="103"/>
      <c r="G18" s="109"/>
      <c r="H18" s="109"/>
      <c r="I18" s="109"/>
      <c r="J18" s="103"/>
      <c r="K18" s="103"/>
    </row>
    <row r="19" spans="1:11">
      <c r="A19" s="103" t="s">
        <v>110</v>
      </c>
      <c r="B19" s="103" t="s">
        <v>103</v>
      </c>
      <c r="C19" s="140">
        <v>45.09</v>
      </c>
      <c r="D19" s="109">
        <f>ROUND('DF Calculation'!L17,2)</f>
        <v>1.3</v>
      </c>
      <c r="E19" s="109">
        <f t="shared" si="0"/>
        <v>46.39</v>
      </c>
      <c r="F19" s="103"/>
      <c r="G19" s="109"/>
      <c r="H19" s="109"/>
      <c r="I19" s="109"/>
      <c r="J19" s="103"/>
      <c r="K19" s="103"/>
    </row>
    <row r="20" spans="1:11">
      <c r="A20" s="103" t="s">
        <v>110</v>
      </c>
      <c r="B20" s="103" t="s">
        <v>106</v>
      </c>
      <c r="C20" s="140">
        <v>49.09</v>
      </c>
      <c r="D20" s="109">
        <f>ROUND('DF Calculation'!L18,2)</f>
        <v>1.3</v>
      </c>
      <c r="E20" s="109">
        <f t="shared" si="0"/>
        <v>50.39</v>
      </c>
      <c r="F20" s="103"/>
      <c r="G20" s="109"/>
      <c r="H20" s="109"/>
      <c r="I20" s="109"/>
      <c r="J20" s="103"/>
      <c r="K20" s="103"/>
    </row>
    <row r="21" spans="1:11">
      <c r="A21" s="103" t="s">
        <v>111</v>
      </c>
      <c r="B21" s="103" t="s">
        <v>103</v>
      </c>
      <c r="C21" s="140">
        <v>54.75</v>
      </c>
      <c r="D21" s="109">
        <f>ROUND('DF Calculation'!L19,2)</f>
        <v>1.57</v>
      </c>
      <c r="E21" s="109">
        <f t="shared" si="0"/>
        <v>56.32</v>
      </c>
      <c r="F21" s="103"/>
      <c r="G21" s="109"/>
      <c r="H21" s="109"/>
      <c r="I21" s="109"/>
      <c r="J21" s="103"/>
      <c r="K21" s="103"/>
    </row>
    <row r="22" spans="1:11">
      <c r="A22" s="103" t="s">
        <v>111</v>
      </c>
      <c r="B22" s="103" t="s">
        <v>106</v>
      </c>
      <c r="C22" s="140">
        <v>59.75</v>
      </c>
      <c r="D22" s="109">
        <f>D21</f>
        <v>1.57</v>
      </c>
      <c r="E22" s="109">
        <f t="shared" si="0"/>
        <v>61.32</v>
      </c>
      <c r="F22" s="103"/>
      <c r="G22" s="109"/>
      <c r="H22" s="109"/>
      <c r="I22" s="109"/>
      <c r="J22" s="103"/>
      <c r="K22" s="103"/>
    </row>
    <row r="23" spans="1:11">
      <c r="A23" s="103" t="s">
        <v>112</v>
      </c>
      <c r="B23" s="103" t="s">
        <v>103</v>
      </c>
      <c r="C23" s="140">
        <v>60.36</v>
      </c>
      <c r="D23" s="109">
        <f>ROUND('DF Calculation'!L20,2)</f>
        <v>1.84</v>
      </c>
      <c r="E23" s="109">
        <f t="shared" si="0"/>
        <v>62.2</v>
      </c>
      <c r="F23" s="103"/>
      <c r="G23" s="109"/>
      <c r="H23" s="109"/>
      <c r="I23" s="109"/>
      <c r="J23" s="103"/>
      <c r="K23" s="103"/>
    </row>
    <row r="24" spans="1:11">
      <c r="A24" s="103" t="s">
        <v>112</v>
      </c>
      <c r="B24" s="103" t="s">
        <v>106</v>
      </c>
      <c r="C24" s="140">
        <v>66.36</v>
      </c>
      <c r="D24" s="109">
        <f>D23</f>
        <v>1.84</v>
      </c>
      <c r="E24" s="109">
        <f t="shared" si="0"/>
        <v>68.2</v>
      </c>
      <c r="F24" s="103"/>
      <c r="G24" s="109"/>
      <c r="H24" s="109"/>
      <c r="I24" s="109"/>
      <c r="J24" s="103"/>
      <c r="K24" s="103"/>
    </row>
    <row r="25" spans="1:11">
      <c r="A25" s="103" t="s">
        <v>107</v>
      </c>
      <c r="B25" s="103" t="s">
        <v>113</v>
      </c>
      <c r="C25" s="140">
        <v>10.39</v>
      </c>
      <c r="D25" s="109">
        <f>ROUND('DF Calculation'!L10,2)</f>
        <v>0.11</v>
      </c>
      <c r="E25" s="109">
        <f t="shared" si="0"/>
        <v>10.5</v>
      </c>
      <c r="F25" s="103"/>
      <c r="G25" s="109"/>
      <c r="H25" s="109"/>
      <c r="I25" s="109"/>
      <c r="J25" s="103"/>
      <c r="K25" s="103"/>
    </row>
    <row r="26" spans="1:11">
      <c r="A26" s="103" t="s">
        <v>434</v>
      </c>
      <c r="B26" s="103" t="s">
        <v>103</v>
      </c>
      <c r="C26" s="140">
        <v>33.090000000000003</v>
      </c>
      <c r="D26" s="109">
        <f>ROUND('DF Calculation'!L21,2)</f>
        <v>0.54</v>
      </c>
      <c r="E26" s="109">
        <f t="shared" si="0"/>
        <v>33.630000000000003</v>
      </c>
      <c r="F26" s="103"/>
      <c r="G26" s="109"/>
      <c r="H26" s="109"/>
      <c r="I26" s="109"/>
      <c r="J26" s="103"/>
      <c r="K26" s="103"/>
    </row>
    <row r="27" spans="1:11">
      <c r="A27" s="103" t="s">
        <v>434</v>
      </c>
      <c r="B27" s="103" t="s">
        <v>106</v>
      </c>
      <c r="C27" s="140">
        <v>34.090000000000003</v>
      </c>
      <c r="D27" s="109">
        <f>D26</f>
        <v>0.54</v>
      </c>
      <c r="E27" s="109">
        <f t="shared" si="0"/>
        <v>34.630000000000003</v>
      </c>
      <c r="F27" s="103"/>
      <c r="G27" s="109"/>
      <c r="H27" s="109"/>
      <c r="I27" s="109"/>
      <c r="J27" s="103"/>
      <c r="K27" s="103"/>
    </row>
    <row r="28" spans="1:11">
      <c r="A28" s="103" t="s">
        <v>435</v>
      </c>
      <c r="B28" s="103" t="s">
        <v>103</v>
      </c>
      <c r="C28" s="140">
        <v>66.180000000000007</v>
      </c>
      <c r="D28" s="109">
        <f>ROUND('DF Calculation'!L22,2)</f>
        <v>1.07</v>
      </c>
      <c r="E28" s="109">
        <f t="shared" si="0"/>
        <v>67.25</v>
      </c>
      <c r="F28" s="103"/>
      <c r="G28" s="109"/>
      <c r="H28" s="109"/>
      <c r="I28" s="109"/>
      <c r="J28" s="103"/>
      <c r="K28" s="103"/>
    </row>
    <row r="29" spans="1:11">
      <c r="A29" s="103" t="s">
        <v>435</v>
      </c>
      <c r="B29" s="103" t="s">
        <v>106</v>
      </c>
      <c r="C29" s="140">
        <v>68.180000000000007</v>
      </c>
      <c r="D29" s="109">
        <f>D28</f>
        <v>1.07</v>
      </c>
      <c r="E29" s="109">
        <f t="shared" si="0"/>
        <v>69.25</v>
      </c>
      <c r="F29" s="103"/>
      <c r="G29" s="109"/>
      <c r="H29" s="109"/>
      <c r="I29" s="109"/>
      <c r="J29" s="103"/>
      <c r="K29" s="103"/>
    </row>
    <row r="30" spans="1:11">
      <c r="A30" s="103"/>
      <c r="B30" s="103"/>
      <c r="C30" s="127"/>
      <c r="D30" s="103"/>
      <c r="E30" s="103"/>
      <c r="F30" s="103"/>
      <c r="G30" s="103"/>
      <c r="H30" s="109"/>
      <c r="I30" s="109"/>
      <c r="J30" s="103"/>
      <c r="K30" s="103"/>
    </row>
    <row r="31" spans="1:11">
      <c r="A31" s="107" t="s">
        <v>449</v>
      </c>
      <c r="B31" s="103"/>
      <c r="C31" s="127"/>
      <c r="D31" s="103"/>
      <c r="E31" s="103"/>
      <c r="F31" s="103"/>
      <c r="G31" s="103"/>
      <c r="H31" s="109"/>
      <c r="I31" s="109"/>
      <c r="J31" s="103"/>
      <c r="K31" s="103"/>
    </row>
    <row r="32" spans="1:11">
      <c r="A32" s="103" t="s">
        <v>114</v>
      </c>
      <c r="B32" s="103" t="s">
        <v>115</v>
      </c>
      <c r="C32" s="127">
        <v>4.18</v>
      </c>
      <c r="D32" s="109">
        <f>ROUND('DF Calculation'!L7,2)</f>
        <v>0.11</v>
      </c>
      <c r="E32" s="109">
        <f t="shared" ref="E32:E33" si="1">SUM(C32:D32)</f>
        <v>4.29</v>
      </c>
      <c r="F32" s="103"/>
      <c r="G32" s="109"/>
      <c r="H32" s="109"/>
      <c r="I32" s="109"/>
      <c r="J32" s="103"/>
      <c r="K32" s="103"/>
    </row>
    <row r="33" spans="1:11">
      <c r="A33" s="103" t="s">
        <v>116</v>
      </c>
      <c r="B33" s="103" t="s">
        <v>115</v>
      </c>
      <c r="C33" s="127">
        <v>12.7</v>
      </c>
      <c r="D33" s="109">
        <f>'DF Calculation'!L7</f>
        <v>0.10538638108191821</v>
      </c>
      <c r="E33" s="109">
        <f t="shared" si="1"/>
        <v>12.805386381081917</v>
      </c>
      <c r="F33" s="103"/>
      <c r="G33" s="109"/>
      <c r="H33" s="109"/>
      <c r="I33" s="109"/>
      <c r="J33" s="103"/>
      <c r="K33" s="103"/>
    </row>
    <row r="34" spans="1:11">
      <c r="A34" s="103"/>
      <c r="B34" s="103"/>
      <c r="C34" s="127"/>
      <c r="D34" s="103"/>
      <c r="E34" s="103"/>
      <c r="F34" s="103"/>
      <c r="G34" s="103"/>
      <c r="H34" s="109"/>
      <c r="I34" s="109"/>
      <c r="J34" s="103"/>
      <c r="K34" s="103"/>
    </row>
    <row r="35" spans="1:11">
      <c r="A35" s="107" t="s">
        <v>117</v>
      </c>
      <c r="B35" s="103"/>
      <c r="C35" s="127"/>
      <c r="D35" s="103"/>
      <c r="E35" s="103"/>
      <c r="F35" s="103"/>
      <c r="G35" s="103"/>
      <c r="H35" s="109"/>
      <c r="I35" s="109"/>
      <c r="J35" s="103"/>
      <c r="K35" s="103"/>
    </row>
    <row r="36" spans="1:11">
      <c r="A36" s="103" t="s">
        <v>107</v>
      </c>
      <c r="B36" s="103" t="s">
        <v>103</v>
      </c>
      <c r="C36" s="127">
        <v>18.309999999999999</v>
      </c>
      <c r="D36" s="109">
        <f>ROUND('DF Calculation'!L26,2)</f>
        <v>0.46</v>
      </c>
      <c r="E36" s="109">
        <f t="shared" ref="E36:E48" si="2">SUM(C36:D36)</f>
        <v>18.77</v>
      </c>
      <c r="F36" s="103"/>
      <c r="G36" s="109"/>
      <c r="H36" s="109"/>
      <c r="I36" s="109"/>
      <c r="J36" s="103"/>
      <c r="K36" s="103"/>
    </row>
    <row r="37" spans="1:11">
      <c r="A37" s="103" t="s">
        <v>107</v>
      </c>
      <c r="B37" s="103" t="s">
        <v>106</v>
      </c>
      <c r="C37" s="127">
        <v>19.059999999999999</v>
      </c>
      <c r="D37" s="109">
        <f>ROUND('DF Calculation'!L27,2)</f>
        <v>0.46</v>
      </c>
      <c r="E37" s="109">
        <f t="shared" si="2"/>
        <v>19.52</v>
      </c>
      <c r="F37" s="103"/>
      <c r="G37" s="109"/>
      <c r="H37" s="109"/>
      <c r="I37" s="109"/>
      <c r="J37" s="103"/>
      <c r="K37" s="103"/>
    </row>
    <row r="38" spans="1:11">
      <c r="A38" s="103" t="s">
        <v>108</v>
      </c>
      <c r="B38" s="103" t="s">
        <v>103</v>
      </c>
      <c r="C38" s="127">
        <v>28.77</v>
      </c>
      <c r="D38" s="109">
        <f>ROUND('DF Calculation'!L28,2)</f>
        <v>0.69</v>
      </c>
      <c r="E38" s="109">
        <f t="shared" si="2"/>
        <v>29.46</v>
      </c>
      <c r="F38" s="103"/>
      <c r="G38" s="109"/>
      <c r="H38" s="109"/>
      <c r="I38" s="109"/>
      <c r="J38" s="103"/>
      <c r="K38" s="103"/>
    </row>
    <row r="39" spans="1:11">
      <c r="A39" s="103" t="s">
        <v>108</v>
      </c>
      <c r="B39" s="103" t="s">
        <v>106</v>
      </c>
      <c r="C39" s="127">
        <v>29.52</v>
      </c>
      <c r="D39" s="109">
        <f>ROUND('DF Calculation'!L29,2)</f>
        <v>0.69</v>
      </c>
      <c r="E39" s="109">
        <f t="shared" si="2"/>
        <v>30.21</v>
      </c>
      <c r="F39" s="103"/>
      <c r="G39" s="109"/>
      <c r="H39" s="109"/>
      <c r="I39" s="109"/>
      <c r="J39" s="103"/>
      <c r="K39" s="103"/>
    </row>
    <row r="40" spans="1:11">
      <c r="A40" s="103" t="s">
        <v>109</v>
      </c>
      <c r="B40" s="103" t="s">
        <v>103</v>
      </c>
      <c r="C40" s="127">
        <v>42.34</v>
      </c>
      <c r="D40" s="109">
        <f>ROUND('DF Calculation'!L30,2)</f>
        <v>1.03</v>
      </c>
      <c r="E40" s="109">
        <f t="shared" si="2"/>
        <v>43.370000000000005</v>
      </c>
      <c r="F40" s="103"/>
      <c r="G40" s="109"/>
      <c r="H40" s="109"/>
      <c r="I40" s="109"/>
      <c r="J40" s="103"/>
      <c r="K40" s="103"/>
    </row>
    <row r="41" spans="1:11">
      <c r="A41" s="103" t="s">
        <v>109</v>
      </c>
      <c r="B41" s="103" t="s">
        <v>106</v>
      </c>
      <c r="C41" s="127">
        <v>43.09</v>
      </c>
      <c r="D41" s="109">
        <f>ROUND('DF Calculation'!L31,2)</f>
        <v>1.03</v>
      </c>
      <c r="E41" s="109">
        <f t="shared" si="2"/>
        <v>44.120000000000005</v>
      </c>
      <c r="F41" s="103"/>
      <c r="G41" s="109"/>
      <c r="H41" s="109"/>
      <c r="I41" s="109"/>
      <c r="J41" s="103"/>
      <c r="K41" s="103"/>
    </row>
    <row r="42" spans="1:11">
      <c r="A42" s="103" t="s">
        <v>110</v>
      </c>
      <c r="B42" s="103" t="s">
        <v>103</v>
      </c>
      <c r="C42" s="127">
        <v>55.99</v>
      </c>
      <c r="D42" s="109">
        <f>ROUND('DF Calculation'!L32,2)</f>
        <v>1.3</v>
      </c>
      <c r="E42" s="109">
        <f t="shared" si="2"/>
        <v>57.29</v>
      </c>
      <c r="F42" s="103"/>
      <c r="G42" s="109"/>
      <c r="H42" s="109"/>
      <c r="I42" s="109"/>
      <c r="J42" s="103"/>
      <c r="K42" s="103"/>
    </row>
    <row r="43" spans="1:11">
      <c r="A43" s="103" t="s">
        <v>110</v>
      </c>
      <c r="B43" s="103" t="s">
        <v>106</v>
      </c>
      <c r="C43" s="127">
        <v>56.74</v>
      </c>
      <c r="D43" s="109">
        <f>ROUND('DF Calculation'!L33,2)</f>
        <v>1.3</v>
      </c>
      <c r="E43" s="109">
        <f t="shared" si="2"/>
        <v>58.04</v>
      </c>
      <c r="F43" s="103"/>
      <c r="G43" s="109"/>
      <c r="H43" s="109"/>
      <c r="I43" s="109"/>
      <c r="J43" s="103"/>
      <c r="K43" s="103"/>
    </row>
    <row r="44" spans="1:11">
      <c r="A44" s="103" t="s">
        <v>111</v>
      </c>
      <c r="B44" s="103" t="s">
        <v>103</v>
      </c>
      <c r="C44" s="127">
        <v>70.44</v>
      </c>
      <c r="D44" s="109">
        <f>ROUND('DF Calculation'!L113,2)</f>
        <v>1.57</v>
      </c>
      <c r="E44" s="109">
        <f t="shared" si="2"/>
        <v>72.009999999999991</v>
      </c>
      <c r="F44" s="103"/>
      <c r="G44" s="109"/>
      <c r="H44" s="109"/>
      <c r="I44" s="109"/>
      <c r="J44" s="103"/>
      <c r="K44" s="103"/>
    </row>
    <row r="45" spans="1:11">
      <c r="A45" s="103" t="s">
        <v>111</v>
      </c>
      <c r="B45" s="103" t="s">
        <v>106</v>
      </c>
      <c r="C45" s="127">
        <v>71.19</v>
      </c>
      <c r="D45" s="109">
        <f>D44</f>
        <v>1.57</v>
      </c>
      <c r="E45" s="109">
        <f t="shared" si="2"/>
        <v>72.759999999999991</v>
      </c>
      <c r="F45" s="103"/>
      <c r="G45" s="109"/>
      <c r="H45" s="109"/>
      <c r="I45" s="109"/>
      <c r="J45" s="103"/>
      <c r="K45" s="103"/>
    </row>
    <row r="46" spans="1:11">
      <c r="A46" s="103" t="s">
        <v>112</v>
      </c>
      <c r="B46" s="103" t="s">
        <v>103</v>
      </c>
      <c r="C46" s="127">
        <v>84.08</v>
      </c>
      <c r="D46" s="109">
        <f>ROUND('DF Calculation'!L114,2)</f>
        <v>1.84</v>
      </c>
      <c r="E46" s="109">
        <f t="shared" si="2"/>
        <v>85.92</v>
      </c>
      <c r="F46" s="103"/>
      <c r="G46" s="109"/>
      <c r="H46" s="109"/>
      <c r="I46" s="109"/>
      <c r="J46" s="103"/>
      <c r="K46" s="103"/>
    </row>
    <row r="47" spans="1:11">
      <c r="A47" s="103" t="s">
        <v>112</v>
      </c>
      <c r="B47" s="103" t="s">
        <v>106</v>
      </c>
      <c r="C47" s="127">
        <v>84.83</v>
      </c>
      <c r="D47" s="109">
        <f>D46</f>
        <v>1.84</v>
      </c>
      <c r="E47" s="109">
        <f t="shared" si="2"/>
        <v>86.67</v>
      </c>
      <c r="F47" s="103"/>
      <c r="G47" s="109"/>
      <c r="H47" s="109"/>
      <c r="I47" s="109"/>
      <c r="J47" s="103"/>
      <c r="K47" s="103"/>
    </row>
    <row r="48" spans="1:11">
      <c r="A48" s="103" t="s">
        <v>434</v>
      </c>
      <c r="B48" s="103" t="s">
        <v>103</v>
      </c>
      <c r="C48" s="140">
        <v>33.090000000000003</v>
      </c>
      <c r="D48" s="109">
        <f>D26</f>
        <v>0.54</v>
      </c>
      <c r="E48" s="109">
        <f t="shared" si="2"/>
        <v>33.630000000000003</v>
      </c>
      <c r="F48" s="103"/>
      <c r="G48" s="109"/>
      <c r="H48" s="109"/>
      <c r="I48" s="109"/>
      <c r="J48" s="103"/>
      <c r="K48" s="103"/>
    </row>
    <row r="49" spans="1:11">
      <c r="A49" s="103" t="s">
        <v>434</v>
      </c>
      <c r="B49" s="103" t="s">
        <v>106</v>
      </c>
      <c r="C49" s="140">
        <v>33.840000000000003</v>
      </c>
      <c r="D49" s="109">
        <f>D48</f>
        <v>0.54</v>
      </c>
      <c r="E49" s="109">
        <f t="shared" ref="E49" si="3">SUM(C49:D49)</f>
        <v>34.380000000000003</v>
      </c>
      <c r="F49" s="103"/>
      <c r="G49" s="109"/>
      <c r="H49" s="109"/>
      <c r="I49" s="109"/>
      <c r="J49" s="103"/>
      <c r="K49" s="103"/>
    </row>
    <row r="50" spans="1:11">
      <c r="A50" s="103"/>
      <c r="B50" s="103"/>
      <c r="C50" s="140"/>
      <c r="D50" s="103"/>
      <c r="E50" s="103"/>
      <c r="F50" s="103"/>
      <c r="G50" s="103"/>
      <c r="H50" s="109"/>
      <c r="I50" s="109"/>
      <c r="J50" s="103"/>
      <c r="K50" s="103"/>
    </row>
    <row r="51" spans="1:11">
      <c r="A51" s="107" t="s">
        <v>118</v>
      </c>
      <c r="B51" s="103"/>
      <c r="C51" s="127"/>
      <c r="D51" s="103"/>
      <c r="E51" s="103"/>
      <c r="F51" s="103"/>
      <c r="G51" s="103"/>
      <c r="H51" s="109"/>
      <c r="I51" s="109"/>
      <c r="J51" s="103"/>
      <c r="K51" s="103"/>
    </row>
    <row r="52" spans="1:11">
      <c r="A52" s="103" t="s">
        <v>114</v>
      </c>
      <c r="B52" s="103" t="s">
        <v>115</v>
      </c>
      <c r="C52" s="127">
        <v>4.18</v>
      </c>
      <c r="D52" s="109">
        <f>ROUND('DF Calculation'!L24,2)</f>
        <v>0.11</v>
      </c>
      <c r="E52" s="109">
        <f t="shared" ref="E52:E53" si="4">SUM(C52:D52)</f>
        <v>4.29</v>
      </c>
      <c r="F52" s="103"/>
      <c r="G52" s="109"/>
      <c r="H52" s="109"/>
      <c r="I52" s="109"/>
      <c r="J52" s="103"/>
      <c r="K52" s="103"/>
    </row>
    <row r="53" spans="1:11">
      <c r="A53" s="103" t="s">
        <v>116</v>
      </c>
      <c r="B53" s="103" t="s">
        <v>115</v>
      </c>
      <c r="C53" s="127">
        <v>17.95</v>
      </c>
      <c r="D53" s="109">
        <f>D52</f>
        <v>0.11</v>
      </c>
      <c r="E53" s="109">
        <f t="shared" si="4"/>
        <v>18.059999999999999</v>
      </c>
      <c r="F53" s="103"/>
      <c r="G53" s="109"/>
      <c r="H53" s="109"/>
      <c r="I53" s="109"/>
      <c r="J53" s="103"/>
      <c r="K53" s="103"/>
    </row>
    <row r="54" spans="1:11">
      <c r="A54" s="103"/>
      <c r="B54" s="103"/>
      <c r="C54" s="140"/>
      <c r="D54" s="103"/>
      <c r="E54" s="103"/>
      <c r="F54" s="103"/>
      <c r="G54" s="103"/>
      <c r="H54" s="109"/>
      <c r="I54" s="109"/>
      <c r="J54" s="103"/>
      <c r="K54" s="103"/>
    </row>
    <row r="55" spans="1:11">
      <c r="A55" s="107" t="s">
        <v>450</v>
      </c>
      <c r="B55" s="103"/>
      <c r="C55" s="127"/>
      <c r="D55" s="103"/>
      <c r="E55" s="103"/>
      <c r="F55" s="103"/>
      <c r="G55" s="103"/>
      <c r="H55" s="109"/>
      <c r="I55" s="109"/>
      <c r="J55" s="103"/>
      <c r="K55" s="103"/>
    </row>
    <row r="56" spans="1:11">
      <c r="A56" s="103" t="s">
        <v>437</v>
      </c>
      <c r="B56" s="103" t="s">
        <v>115</v>
      </c>
      <c r="C56" s="127">
        <v>10.28</v>
      </c>
      <c r="D56" s="202">
        <f>'DF Calculation'!L8/References!C11</f>
        <v>6.19919888717166E-2</v>
      </c>
      <c r="E56" s="109">
        <f t="shared" ref="E56:E57" si="5">SUM(C56:D56)</f>
        <v>10.341991988871715</v>
      </c>
      <c r="F56" s="103"/>
      <c r="G56" s="103"/>
      <c r="H56" s="109"/>
      <c r="I56" s="109"/>
      <c r="J56" s="103"/>
      <c r="K56" s="103"/>
    </row>
    <row r="57" spans="1:11">
      <c r="A57" s="103" t="s">
        <v>438</v>
      </c>
      <c r="B57" s="103" t="s">
        <v>115</v>
      </c>
      <c r="C57" s="127">
        <v>3.08</v>
      </c>
      <c r="D57" s="109">
        <f>D56</f>
        <v>6.19919888717166E-2</v>
      </c>
      <c r="E57" s="109">
        <f t="shared" si="5"/>
        <v>3.1419919888717165</v>
      </c>
      <c r="F57" s="103"/>
      <c r="G57" s="109"/>
      <c r="H57" s="109"/>
      <c r="I57" s="109"/>
      <c r="J57" s="103"/>
      <c r="K57" s="103"/>
    </row>
    <row r="58" spans="1:11">
      <c r="A58" s="103" t="s">
        <v>436</v>
      </c>
      <c r="B58" s="103" t="s">
        <v>115</v>
      </c>
      <c r="C58" s="127">
        <v>11.06</v>
      </c>
      <c r="D58" s="109">
        <f>ROUND('DF Calculation'!L35,2)</f>
        <v>0.11</v>
      </c>
      <c r="E58" s="109">
        <f t="shared" ref="E58:E59" si="6">SUM(C58:D58)</f>
        <v>11.17</v>
      </c>
      <c r="F58" s="103"/>
      <c r="G58" s="109"/>
      <c r="H58" s="109"/>
      <c r="I58" s="109"/>
      <c r="J58" s="103"/>
      <c r="K58" s="103"/>
    </row>
    <row r="59" spans="1:11">
      <c r="A59" s="103" t="s">
        <v>438</v>
      </c>
      <c r="B59" s="103" t="s">
        <v>115</v>
      </c>
      <c r="C59" s="127">
        <v>3.86</v>
      </c>
      <c r="D59" s="109">
        <f>ROUND('DF Calculation'!L36,2)</f>
        <v>0.11</v>
      </c>
      <c r="E59" s="109">
        <f t="shared" si="6"/>
        <v>3.9699999999999998</v>
      </c>
      <c r="F59" s="103"/>
      <c r="G59" s="109"/>
      <c r="H59" s="109"/>
      <c r="I59" s="109"/>
      <c r="J59" s="103"/>
      <c r="K59" s="103"/>
    </row>
    <row r="60" spans="1:11">
      <c r="A60" s="103"/>
      <c r="B60" s="103"/>
      <c r="C60" s="140"/>
      <c r="D60" s="103"/>
      <c r="E60" s="103"/>
      <c r="F60" s="103"/>
      <c r="G60" s="103"/>
      <c r="H60" s="109"/>
      <c r="I60" s="109"/>
      <c r="J60" s="103"/>
      <c r="K60" s="103"/>
    </row>
    <row r="61" spans="1:11">
      <c r="A61" s="107" t="s">
        <v>451</v>
      </c>
      <c r="B61" s="103"/>
      <c r="C61" s="127"/>
      <c r="D61" s="103"/>
      <c r="E61" s="103"/>
      <c r="F61" s="103"/>
      <c r="G61" s="103"/>
      <c r="H61" s="109"/>
      <c r="I61" s="109"/>
      <c r="J61" s="103"/>
      <c r="K61" s="103"/>
    </row>
    <row r="62" spans="1:11">
      <c r="A62" s="103" t="s">
        <v>119</v>
      </c>
      <c r="B62" s="103" t="s">
        <v>115</v>
      </c>
      <c r="C62" s="127">
        <v>24.92</v>
      </c>
      <c r="D62" s="109">
        <f>ROUND('DF Calculation'!L37,2)</f>
        <v>0.54</v>
      </c>
      <c r="E62" s="109">
        <f t="shared" ref="E62:E66" si="7">SUM(C62:D62)</f>
        <v>25.46</v>
      </c>
      <c r="F62" s="103"/>
      <c r="G62" s="109"/>
      <c r="H62" s="109"/>
      <c r="I62" s="109"/>
      <c r="J62" s="103"/>
      <c r="K62" s="110"/>
    </row>
    <row r="63" spans="1:11">
      <c r="A63" s="103" t="s">
        <v>120</v>
      </c>
      <c r="B63" s="103" t="s">
        <v>115</v>
      </c>
      <c r="C63" s="127">
        <v>34.94</v>
      </c>
      <c r="D63" s="109">
        <f>ROUND('DF Calculation'!L38,2)</f>
        <v>0.77</v>
      </c>
      <c r="E63" s="109">
        <f t="shared" si="7"/>
        <v>35.71</v>
      </c>
      <c r="F63" s="103"/>
      <c r="G63" s="109"/>
      <c r="H63" s="109"/>
      <c r="I63" s="109"/>
      <c r="J63" s="103"/>
      <c r="K63" s="103"/>
    </row>
    <row r="64" spans="1:11">
      <c r="A64" s="103" t="s">
        <v>121</v>
      </c>
      <c r="B64" s="103" t="s">
        <v>115</v>
      </c>
      <c r="C64" s="127">
        <v>44.07</v>
      </c>
      <c r="D64" s="109">
        <f>ROUND('DF Calculation'!L41,2)</f>
        <v>1</v>
      </c>
      <c r="E64" s="109">
        <f t="shared" si="7"/>
        <v>45.07</v>
      </c>
      <c r="F64" s="103"/>
      <c r="G64" s="109"/>
      <c r="H64" s="109"/>
      <c r="I64" s="109"/>
      <c r="J64" s="103"/>
      <c r="K64" s="103"/>
    </row>
    <row r="65" spans="1:11">
      <c r="A65" s="103" t="s">
        <v>122</v>
      </c>
      <c r="B65" s="103" t="s">
        <v>115</v>
      </c>
      <c r="C65" s="127">
        <v>83.82</v>
      </c>
      <c r="D65" s="109">
        <f>ROUND('DF Calculation'!L44,2)</f>
        <v>1.9</v>
      </c>
      <c r="E65" s="109">
        <f t="shared" si="7"/>
        <v>85.72</v>
      </c>
      <c r="F65" s="103"/>
      <c r="G65" s="109"/>
      <c r="H65" s="109"/>
      <c r="I65" s="109"/>
      <c r="J65" s="103"/>
      <c r="K65" s="103"/>
    </row>
    <row r="66" spans="1:11">
      <c r="A66" s="103" t="s">
        <v>123</v>
      </c>
      <c r="B66" s="103" t="s">
        <v>115</v>
      </c>
      <c r="C66" s="127">
        <v>117.97</v>
      </c>
      <c r="D66" s="109">
        <f>ROUND('DF Calculation'!L46,2)</f>
        <v>2.6</v>
      </c>
      <c r="E66" s="109">
        <f t="shared" si="7"/>
        <v>120.57</v>
      </c>
      <c r="F66" s="103"/>
      <c r="G66" s="109"/>
      <c r="H66" s="109"/>
      <c r="I66" s="109"/>
      <c r="J66" s="103"/>
      <c r="K66" s="103"/>
    </row>
    <row r="67" spans="1:11">
      <c r="A67" s="103"/>
      <c r="B67" s="103"/>
      <c r="C67" s="140"/>
      <c r="D67" s="103"/>
      <c r="E67" s="103"/>
      <c r="F67" s="103"/>
      <c r="G67" s="103"/>
      <c r="H67" s="109"/>
      <c r="I67" s="109"/>
      <c r="J67" s="103"/>
      <c r="K67" s="103"/>
    </row>
    <row r="68" spans="1:11">
      <c r="A68" s="103" t="s">
        <v>124</v>
      </c>
      <c r="B68" s="103"/>
      <c r="C68" s="127"/>
      <c r="D68" s="103"/>
      <c r="E68" s="103"/>
      <c r="F68" s="103"/>
      <c r="G68" s="103"/>
      <c r="H68" s="109"/>
      <c r="I68" s="109"/>
      <c r="J68" s="103"/>
      <c r="K68" s="103"/>
    </row>
    <row r="69" spans="1:11">
      <c r="A69" s="103" t="s">
        <v>119</v>
      </c>
      <c r="B69" s="103" t="s">
        <v>115</v>
      </c>
      <c r="C69" s="127">
        <v>26.93</v>
      </c>
      <c r="D69" s="109">
        <f>D62</f>
        <v>0.54</v>
      </c>
      <c r="E69" s="109">
        <f t="shared" ref="E69:E73" si="8">SUM(C69:D69)</f>
        <v>27.47</v>
      </c>
      <c r="F69" s="103"/>
      <c r="G69" s="109"/>
      <c r="H69" s="109"/>
      <c r="I69" s="109"/>
      <c r="J69" s="103"/>
      <c r="K69" s="103"/>
    </row>
    <row r="70" spans="1:11">
      <c r="A70" s="103" t="s">
        <v>120</v>
      </c>
      <c r="B70" s="103" t="s">
        <v>115</v>
      </c>
      <c r="C70" s="127">
        <v>36.96</v>
      </c>
      <c r="D70" s="109">
        <f t="shared" ref="D70:D73" si="9">D63</f>
        <v>0.77</v>
      </c>
      <c r="E70" s="109">
        <f t="shared" si="8"/>
        <v>37.730000000000004</v>
      </c>
      <c r="F70" s="103"/>
      <c r="G70" s="109"/>
      <c r="H70" s="109"/>
      <c r="I70" s="109"/>
      <c r="J70" s="103"/>
      <c r="K70" s="103"/>
    </row>
    <row r="71" spans="1:11">
      <c r="A71" s="103" t="s">
        <v>121</v>
      </c>
      <c r="B71" s="103" t="s">
        <v>115</v>
      </c>
      <c r="C71" s="127">
        <v>46.08</v>
      </c>
      <c r="D71" s="109">
        <f t="shared" si="9"/>
        <v>1</v>
      </c>
      <c r="E71" s="109">
        <f t="shared" si="8"/>
        <v>47.08</v>
      </c>
      <c r="F71" s="103"/>
      <c r="G71" s="109"/>
      <c r="H71" s="109"/>
      <c r="I71" s="109"/>
      <c r="J71" s="103"/>
      <c r="K71" s="103"/>
    </row>
    <row r="72" spans="1:11">
      <c r="A72" s="103" t="s">
        <v>122</v>
      </c>
      <c r="B72" s="103" t="s">
        <v>115</v>
      </c>
      <c r="C72" s="127">
        <v>85.83</v>
      </c>
      <c r="D72" s="109">
        <f t="shared" si="9"/>
        <v>1.9</v>
      </c>
      <c r="E72" s="109">
        <f t="shared" si="8"/>
        <v>87.73</v>
      </c>
      <c r="F72" s="103"/>
      <c r="G72" s="109"/>
      <c r="H72" s="109"/>
      <c r="I72" s="109"/>
      <c r="J72" s="103"/>
      <c r="K72" s="103"/>
    </row>
    <row r="73" spans="1:11">
      <c r="A73" s="103" t="s">
        <v>123</v>
      </c>
      <c r="B73" s="103" t="s">
        <v>115</v>
      </c>
      <c r="C73" s="127">
        <v>119.99</v>
      </c>
      <c r="D73" s="109">
        <f t="shared" si="9"/>
        <v>2.6</v>
      </c>
      <c r="E73" s="109">
        <f t="shared" si="8"/>
        <v>122.58999999999999</v>
      </c>
      <c r="F73" s="103"/>
      <c r="G73" s="109"/>
      <c r="H73" s="109"/>
      <c r="I73" s="109"/>
      <c r="J73" s="103"/>
      <c r="K73" s="103"/>
    </row>
    <row r="74" spans="1:11">
      <c r="A74" s="103"/>
      <c r="B74" s="103"/>
      <c r="C74" s="140"/>
      <c r="D74" s="103"/>
      <c r="E74" s="103"/>
      <c r="F74" s="103"/>
      <c r="G74" s="103"/>
      <c r="H74" s="109"/>
      <c r="I74" s="109"/>
      <c r="J74" s="103"/>
      <c r="K74" s="103"/>
    </row>
    <row r="75" spans="1:11">
      <c r="A75" s="103" t="s">
        <v>125</v>
      </c>
      <c r="B75" s="103"/>
      <c r="C75" s="127"/>
      <c r="D75" s="103"/>
      <c r="E75" s="103"/>
      <c r="F75" s="103"/>
      <c r="G75" s="103"/>
      <c r="H75" s="109"/>
      <c r="I75" s="109"/>
      <c r="J75" s="103"/>
      <c r="K75" s="103"/>
    </row>
    <row r="76" spans="1:11">
      <c r="A76" s="103" t="s">
        <v>119</v>
      </c>
      <c r="B76" s="103" t="s">
        <v>115</v>
      </c>
      <c r="C76" s="127">
        <f>C69</f>
        <v>26.93</v>
      </c>
      <c r="D76" s="109">
        <f>D69</f>
        <v>0.54</v>
      </c>
      <c r="E76" s="109">
        <f t="shared" ref="E76:E80" si="10">SUM(C76:D76)</f>
        <v>27.47</v>
      </c>
      <c r="F76" s="103"/>
      <c r="G76" s="109"/>
      <c r="H76" s="109"/>
      <c r="I76" s="109"/>
      <c r="J76" s="103"/>
      <c r="K76" s="103"/>
    </row>
    <row r="77" spans="1:11">
      <c r="A77" s="103" t="s">
        <v>120</v>
      </c>
      <c r="B77" s="103" t="s">
        <v>115</v>
      </c>
      <c r="C77" s="127">
        <f t="shared" ref="C77:C80" si="11">C70</f>
        <v>36.96</v>
      </c>
      <c r="D77" s="109">
        <f t="shared" ref="D77:D80" si="12">D70</f>
        <v>0.77</v>
      </c>
      <c r="E77" s="109">
        <f t="shared" si="10"/>
        <v>37.730000000000004</v>
      </c>
      <c r="F77" s="103"/>
      <c r="G77" s="109"/>
      <c r="H77" s="109"/>
      <c r="I77" s="109"/>
      <c r="J77" s="103"/>
      <c r="K77" s="103"/>
    </row>
    <row r="78" spans="1:11">
      <c r="A78" s="103" t="s">
        <v>121</v>
      </c>
      <c r="B78" s="103" t="s">
        <v>115</v>
      </c>
      <c r="C78" s="127">
        <f t="shared" si="11"/>
        <v>46.08</v>
      </c>
      <c r="D78" s="109">
        <f t="shared" si="12"/>
        <v>1</v>
      </c>
      <c r="E78" s="109">
        <f t="shared" si="10"/>
        <v>47.08</v>
      </c>
      <c r="F78" s="103"/>
      <c r="G78" s="109"/>
      <c r="H78" s="109"/>
      <c r="I78" s="109"/>
      <c r="J78" s="103"/>
      <c r="K78" s="103"/>
    </row>
    <row r="79" spans="1:11">
      <c r="A79" s="103" t="s">
        <v>122</v>
      </c>
      <c r="B79" s="103" t="s">
        <v>115</v>
      </c>
      <c r="C79" s="127">
        <f t="shared" si="11"/>
        <v>85.83</v>
      </c>
      <c r="D79" s="109">
        <f t="shared" si="12"/>
        <v>1.9</v>
      </c>
      <c r="E79" s="109">
        <f t="shared" si="10"/>
        <v>87.73</v>
      </c>
      <c r="F79" s="103"/>
      <c r="G79" s="109"/>
      <c r="H79" s="109"/>
      <c r="I79" s="109"/>
      <c r="J79" s="103"/>
      <c r="K79" s="103"/>
    </row>
    <row r="80" spans="1:11">
      <c r="A80" s="103" t="s">
        <v>123</v>
      </c>
      <c r="B80" s="103" t="s">
        <v>115</v>
      </c>
      <c r="C80" s="127">
        <f t="shared" si="11"/>
        <v>119.99</v>
      </c>
      <c r="D80" s="109">
        <f t="shared" si="12"/>
        <v>2.6</v>
      </c>
      <c r="E80" s="109">
        <f t="shared" si="10"/>
        <v>122.58999999999999</v>
      </c>
      <c r="F80" s="103"/>
      <c r="G80" s="109"/>
      <c r="H80" s="109"/>
      <c r="I80" s="109"/>
      <c r="J80" s="103"/>
      <c r="K80" s="103"/>
    </row>
    <row r="81" spans="1:11">
      <c r="A81" s="103"/>
      <c r="B81" s="103"/>
      <c r="C81" s="140"/>
      <c r="D81" s="103"/>
      <c r="E81" s="103"/>
      <c r="F81" s="103"/>
      <c r="G81" s="103"/>
      <c r="H81" s="109"/>
      <c r="I81" s="109"/>
      <c r="J81" s="103"/>
      <c r="K81" s="103"/>
    </row>
    <row r="82" spans="1:11">
      <c r="A82" s="107" t="s">
        <v>452</v>
      </c>
      <c r="B82" s="103"/>
      <c r="C82" s="127"/>
      <c r="D82" s="103"/>
      <c r="E82" s="103"/>
      <c r="F82" s="103"/>
      <c r="G82" s="103"/>
      <c r="H82" s="109"/>
      <c r="I82" s="109"/>
      <c r="J82" s="103"/>
      <c r="K82" s="103"/>
    </row>
    <row r="83" spans="1:11">
      <c r="A83" s="103" t="s">
        <v>126</v>
      </c>
      <c r="B83" s="103" t="s">
        <v>115</v>
      </c>
      <c r="C83" s="127">
        <v>23.17</v>
      </c>
      <c r="D83" s="108">
        <f>ROUND('DF Calculation'!L124,2)</f>
        <v>0.21</v>
      </c>
      <c r="E83" s="109">
        <f t="shared" ref="E83:E84" si="13">SUM(C83:D83)</f>
        <v>23.380000000000003</v>
      </c>
      <c r="F83" s="103"/>
      <c r="G83" s="109"/>
      <c r="H83" s="109"/>
      <c r="I83" s="109"/>
      <c r="J83" s="110"/>
      <c r="K83" s="103"/>
    </row>
    <row r="84" spans="1:11">
      <c r="A84" s="103" t="s">
        <v>127</v>
      </c>
      <c r="B84" s="103" t="s">
        <v>115</v>
      </c>
      <c r="C84" s="127">
        <v>28.21</v>
      </c>
      <c r="D84" s="108">
        <f>D83</f>
        <v>0.21</v>
      </c>
      <c r="E84" s="109">
        <f t="shared" si="13"/>
        <v>28.42</v>
      </c>
      <c r="F84" s="103"/>
      <c r="G84" s="109"/>
      <c r="H84" s="109"/>
      <c r="I84" s="109"/>
      <c r="J84" s="110"/>
      <c r="K84" s="103"/>
    </row>
    <row r="85" spans="1:11">
      <c r="A85" s="103"/>
      <c r="B85" s="103"/>
      <c r="C85" s="140"/>
      <c r="D85" s="103"/>
      <c r="E85" s="103"/>
      <c r="F85" s="103"/>
      <c r="G85" s="103"/>
      <c r="H85" s="109"/>
      <c r="I85" s="109"/>
      <c r="J85" s="103"/>
      <c r="K85" s="103"/>
    </row>
    <row r="86" spans="1:11">
      <c r="A86" s="107" t="s">
        <v>464</v>
      </c>
      <c r="B86" s="103"/>
      <c r="C86" s="127"/>
      <c r="D86" s="103"/>
      <c r="E86" s="103"/>
      <c r="F86" s="103"/>
      <c r="G86" s="103"/>
      <c r="H86" s="109"/>
      <c r="I86" s="109"/>
      <c r="J86" s="103"/>
      <c r="K86" s="103"/>
    </row>
    <row r="87" spans="1:11">
      <c r="A87" s="103" t="s">
        <v>128</v>
      </c>
      <c r="B87" s="103" t="s">
        <v>115</v>
      </c>
      <c r="C87" s="140">
        <v>22.71</v>
      </c>
      <c r="D87" s="109">
        <f>ROUND('DF Calculation'!L59,2)</f>
        <v>0.39</v>
      </c>
      <c r="E87" s="109">
        <f t="shared" ref="E87:E92" si="14">SUM(C87:D87)</f>
        <v>23.1</v>
      </c>
      <c r="F87" s="103"/>
      <c r="G87" s="109"/>
      <c r="H87" s="109"/>
      <c r="I87" s="109"/>
      <c r="J87" s="110"/>
      <c r="K87" s="103"/>
    </row>
    <row r="88" spans="1:11">
      <c r="A88" s="103" t="s">
        <v>129</v>
      </c>
      <c r="B88" s="103" t="s">
        <v>115</v>
      </c>
      <c r="C88" s="140">
        <v>22.71</v>
      </c>
      <c r="D88" s="109">
        <f>D87</f>
        <v>0.39</v>
      </c>
      <c r="E88" s="109">
        <f t="shared" si="14"/>
        <v>23.1</v>
      </c>
      <c r="F88" s="103"/>
      <c r="G88" s="109"/>
      <c r="H88" s="109"/>
      <c r="I88" s="109"/>
      <c r="J88" s="110"/>
      <c r="K88" s="103"/>
    </row>
    <row r="89" spans="1:11">
      <c r="A89" s="103" t="s">
        <v>130</v>
      </c>
      <c r="B89" s="103" t="s">
        <v>115</v>
      </c>
      <c r="C89" s="140">
        <v>22.71</v>
      </c>
      <c r="D89" s="109">
        <f>D88</f>
        <v>0.39</v>
      </c>
      <c r="E89" s="109">
        <f t="shared" si="14"/>
        <v>23.1</v>
      </c>
      <c r="F89" s="103"/>
      <c r="G89" s="109"/>
      <c r="H89" s="109"/>
      <c r="I89" s="109"/>
      <c r="J89" s="110"/>
      <c r="K89" s="103"/>
    </row>
    <row r="90" spans="1:11">
      <c r="A90" s="103" t="s">
        <v>130</v>
      </c>
      <c r="B90" s="103" t="s">
        <v>115</v>
      </c>
      <c r="C90" s="140">
        <v>22.71</v>
      </c>
      <c r="D90" s="109">
        <f>D89</f>
        <v>0.39</v>
      </c>
      <c r="E90" s="109">
        <f t="shared" si="14"/>
        <v>23.1</v>
      </c>
      <c r="F90" s="103"/>
      <c r="G90" s="109"/>
      <c r="H90" s="109"/>
      <c r="I90" s="109"/>
      <c r="J90" s="110"/>
      <c r="K90" s="103"/>
    </row>
    <row r="91" spans="1:11">
      <c r="A91" s="103" t="s">
        <v>131</v>
      </c>
      <c r="B91" s="103" t="s">
        <v>115</v>
      </c>
      <c r="C91" s="140">
        <v>22.71</v>
      </c>
      <c r="D91" s="109">
        <f>D90</f>
        <v>0.39</v>
      </c>
      <c r="E91" s="109">
        <f t="shared" si="14"/>
        <v>23.1</v>
      </c>
      <c r="F91" s="103"/>
      <c r="G91" s="109"/>
      <c r="H91" s="109"/>
      <c r="I91" s="109"/>
      <c r="J91" s="110"/>
      <c r="K91" s="103"/>
    </row>
    <row r="92" spans="1:11">
      <c r="A92" s="103" t="s">
        <v>131</v>
      </c>
      <c r="B92" s="103" t="s">
        <v>115</v>
      </c>
      <c r="C92" s="140">
        <v>22.71</v>
      </c>
      <c r="D92" s="109">
        <f>D91</f>
        <v>0.39</v>
      </c>
      <c r="E92" s="109">
        <f t="shared" si="14"/>
        <v>23.1</v>
      </c>
      <c r="F92" s="103"/>
      <c r="G92" s="109"/>
      <c r="H92" s="109"/>
      <c r="I92" s="109"/>
      <c r="J92" s="110"/>
      <c r="K92" s="103"/>
    </row>
    <row r="93" spans="1:11">
      <c r="A93" s="103"/>
      <c r="B93" s="103"/>
      <c r="C93" s="140"/>
      <c r="D93" s="103"/>
      <c r="E93" s="103"/>
      <c r="F93" s="103"/>
      <c r="G93" s="103"/>
      <c r="H93" s="109"/>
      <c r="I93" s="109"/>
      <c r="J93" s="103"/>
      <c r="K93" s="103"/>
    </row>
    <row r="94" spans="1:11">
      <c r="A94" s="107" t="s">
        <v>453</v>
      </c>
      <c r="B94" s="103"/>
      <c r="C94" s="127"/>
      <c r="D94" s="103"/>
      <c r="E94" s="103"/>
      <c r="F94" s="103"/>
      <c r="G94" s="103"/>
      <c r="H94" s="109"/>
      <c r="I94" s="109"/>
      <c r="J94" s="103"/>
      <c r="K94" s="103"/>
    </row>
    <row r="95" spans="1:11">
      <c r="A95" s="103" t="s">
        <v>132</v>
      </c>
      <c r="B95" s="103" t="s">
        <v>133</v>
      </c>
      <c r="C95" s="127">
        <v>145.84</v>
      </c>
      <c r="D95" s="110">
        <f>References!C61</f>
        <v>7.6399999999999864</v>
      </c>
      <c r="E95" s="109">
        <f t="shared" ref="E95" si="15">SUM(C95:D95)</f>
        <v>153.47999999999999</v>
      </c>
      <c r="F95" s="103"/>
      <c r="G95" s="110"/>
      <c r="H95" s="109"/>
      <c r="I95" s="109"/>
      <c r="J95" s="103"/>
      <c r="K95" s="103"/>
    </row>
    <row r="96" spans="1:11">
      <c r="A96" s="103"/>
      <c r="B96" s="103"/>
      <c r="C96" s="140"/>
      <c r="D96" s="103"/>
      <c r="E96" s="103"/>
      <c r="F96" s="103"/>
      <c r="G96" s="103"/>
      <c r="H96" s="109"/>
      <c r="I96" s="109"/>
      <c r="J96" s="103"/>
      <c r="K96" s="103"/>
    </row>
    <row r="97" spans="1:11">
      <c r="A97" s="107" t="s">
        <v>454</v>
      </c>
      <c r="B97" s="103"/>
      <c r="C97" s="127"/>
      <c r="D97" s="103"/>
      <c r="E97" s="103"/>
      <c r="F97" s="103"/>
      <c r="G97" s="103"/>
      <c r="H97" s="109"/>
      <c r="I97" s="109"/>
      <c r="J97" s="103"/>
      <c r="K97" s="103"/>
    </row>
    <row r="98" spans="1:11">
      <c r="A98" s="103" t="s">
        <v>119</v>
      </c>
      <c r="B98" s="103" t="s">
        <v>115</v>
      </c>
      <c r="C98" s="127">
        <v>20.51</v>
      </c>
      <c r="D98" s="109">
        <f>ROUND('DF Calculation'!L64,2)</f>
        <v>0.54</v>
      </c>
      <c r="E98" s="109">
        <f t="shared" ref="E98:E102" si="16">SUM(C98:D98)</f>
        <v>21.05</v>
      </c>
      <c r="F98" s="103"/>
      <c r="G98" s="109"/>
      <c r="H98" s="109"/>
      <c r="I98" s="109"/>
      <c r="J98" s="110"/>
      <c r="K98" s="103"/>
    </row>
    <row r="99" spans="1:11">
      <c r="A99" s="103" t="s">
        <v>120</v>
      </c>
      <c r="B99" s="103" t="s">
        <v>115</v>
      </c>
      <c r="C99" s="127">
        <v>28.32</v>
      </c>
      <c r="D99" s="109">
        <f>ROUND('DF Calculation'!L65,2)</f>
        <v>0.77</v>
      </c>
      <c r="E99" s="109">
        <f t="shared" si="16"/>
        <v>29.09</v>
      </c>
      <c r="F99" s="103"/>
      <c r="G99" s="109"/>
      <c r="H99" s="109"/>
      <c r="I99" s="109"/>
      <c r="J99" s="110"/>
      <c r="K99" s="103"/>
    </row>
    <row r="100" spans="1:11">
      <c r="A100" s="103" t="s">
        <v>121</v>
      </c>
      <c r="B100" s="103" t="s">
        <v>115</v>
      </c>
      <c r="C100" s="127">
        <v>35.25</v>
      </c>
      <c r="D100" s="109">
        <f>ROUND('DF Calculation'!L66,2)</f>
        <v>1</v>
      </c>
      <c r="E100" s="109">
        <f t="shared" si="16"/>
        <v>36.25</v>
      </c>
      <c r="F100" s="109"/>
      <c r="G100" s="109"/>
      <c r="H100" s="109"/>
      <c r="I100" s="109"/>
      <c r="J100" s="110"/>
      <c r="K100" s="103"/>
    </row>
    <row r="101" spans="1:11">
      <c r="A101" s="103" t="s">
        <v>122</v>
      </c>
      <c r="B101" s="103" t="s">
        <v>115</v>
      </c>
      <c r="C101" s="127">
        <v>66.180000000000007</v>
      </c>
      <c r="D101" s="109">
        <f>ROUND('DF Calculation'!L69,2)</f>
        <v>1.9</v>
      </c>
      <c r="E101" s="109">
        <f t="shared" si="16"/>
        <v>68.080000000000013</v>
      </c>
      <c r="F101" s="103"/>
      <c r="G101" s="109"/>
      <c r="H101" s="109"/>
      <c r="I101" s="109"/>
      <c r="J101" s="110"/>
      <c r="K101" s="103"/>
    </row>
    <row r="102" spans="1:11">
      <c r="A102" s="103" t="s">
        <v>123</v>
      </c>
      <c r="B102" s="103" t="s">
        <v>115</v>
      </c>
      <c r="C102" s="127">
        <v>91.51</v>
      </c>
      <c r="D102" s="109">
        <f>ROUND('DF Calculation'!L73,2)</f>
        <v>2.6</v>
      </c>
      <c r="E102" s="109">
        <f t="shared" si="16"/>
        <v>94.11</v>
      </c>
      <c r="F102" s="103"/>
      <c r="G102" s="109"/>
      <c r="H102" s="109"/>
      <c r="I102" s="109"/>
      <c r="J102" s="110"/>
      <c r="K102" s="103"/>
    </row>
    <row r="103" spans="1:11">
      <c r="A103" s="103"/>
      <c r="B103" s="103"/>
      <c r="C103" s="140"/>
      <c r="D103" s="103"/>
      <c r="E103" s="103"/>
      <c r="F103" s="103"/>
      <c r="G103" s="103"/>
      <c r="H103" s="109"/>
      <c r="I103" s="109"/>
      <c r="J103" s="103"/>
      <c r="K103" s="103"/>
    </row>
    <row r="104" spans="1:11">
      <c r="A104" s="103" t="s">
        <v>124</v>
      </c>
      <c r="B104" s="103"/>
      <c r="C104" s="127"/>
      <c r="D104" s="103"/>
      <c r="E104" s="103"/>
      <c r="F104" s="103"/>
      <c r="G104" s="103"/>
      <c r="H104" s="109"/>
      <c r="I104" s="109"/>
      <c r="J104" s="103"/>
      <c r="K104" s="103"/>
    </row>
    <row r="105" spans="1:11">
      <c r="A105" s="103" t="s">
        <v>119</v>
      </c>
      <c r="B105" s="103" t="s">
        <v>115</v>
      </c>
      <c r="C105" s="127">
        <v>22.52</v>
      </c>
      <c r="D105" s="109">
        <f>D98</f>
        <v>0.54</v>
      </c>
      <c r="E105" s="109">
        <f t="shared" ref="E105:E109" si="17">SUM(C105:D105)</f>
        <v>23.06</v>
      </c>
      <c r="F105" s="103"/>
      <c r="G105" s="109"/>
      <c r="H105" s="109"/>
      <c r="I105" s="109"/>
      <c r="J105" s="110"/>
      <c r="K105" s="103"/>
    </row>
    <row r="106" spans="1:11">
      <c r="A106" s="103" t="s">
        <v>120</v>
      </c>
      <c r="B106" s="103" t="s">
        <v>115</v>
      </c>
      <c r="C106" s="127">
        <v>30.34</v>
      </c>
      <c r="D106" s="109">
        <f t="shared" ref="D106:D109" si="18">D99</f>
        <v>0.77</v>
      </c>
      <c r="E106" s="109">
        <f t="shared" si="17"/>
        <v>31.11</v>
      </c>
      <c r="F106" s="103"/>
      <c r="G106" s="109"/>
      <c r="H106" s="109"/>
      <c r="I106" s="109"/>
      <c r="J106" s="110"/>
      <c r="K106" s="103"/>
    </row>
    <row r="107" spans="1:11">
      <c r="A107" s="103" t="s">
        <v>121</v>
      </c>
      <c r="B107" s="103" t="s">
        <v>115</v>
      </c>
      <c r="C107" s="127">
        <v>37.26</v>
      </c>
      <c r="D107" s="109">
        <f t="shared" si="18"/>
        <v>1</v>
      </c>
      <c r="E107" s="109">
        <f t="shared" si="17"/>
        <v>38.26</v>
      </c>
      <c r="F107" s="103"/>
      <c r="G107" s="109"/>
      <c r="H107" s="109"/>
      <c r="I107" s="109"/>
      <c r="J107" s="110"/>
      <c r="K107" s="103"/>
    </row>
    <row r="108" spans="1:11">
      <c r="A108" s="103" t="s">
        <v>122</v>
      </c>
      <c r="B108" s="103" t="s">
        <v>115</v>
      </c>
      <c r="C108" s="127">
        <v>68.19</v>
      </c>
      <c r="D108" s="109">
        <f t="shared" si="18"/>
        <v>1.9</v>
      </c>
      <c r="E108" s="109">
        <f t="shared" si="17"/>
        <v>70.09</v>
      </c>
      <c r="F108" s="103"/>
      <c r="G108" s="109"/>
      <c r="H108" s="109"/>
      <c r="I108" s="109"/>
      <c r="J108" s="110"/>
      <c r="K108" s="103"/>
    </row>
    <row r="109" spans="1:11">
      <c r="A109" s="103" t="s">
        <v>123</v>
      </c>
      <c r="B109" s="103" t="s">
        <v>115</v>
      </c>
      <c r="C109" s="127">
        <v>93.53</v>
      </c>
      <c r="D109" s="109">
        <f t="shared" si="18"/>
        <v>2.6</v>
      </c>
      <c r="E109" s="109">
        <f t="shared" si="17"/>
        <v>96.13</v>
      </c>
      <c r="F109" s="103"/>
      <c r="G109" s="109"/>
      <c r="H109" s="109"/>
      <c r="I109" s="109"/>
      <c r="J109" s="110"/>
      <c r="K109" s="103"/>
    </row>
    <row r="110" spans="1:11">
      <c r="A110" s="103"/>
      <c r="B110" s="103"/>
      <c r="C110" s="140"/>
      <c r="D110" s="103"/>
      <c r="E110" s="103"/>
      <c r="F110" s="103"/>
      <c r="G110" s="103"/>
      <c r="H110" s="109"/>
      <c r="I110" s="109"/>
      <c r="J110" s="103"/>
      <c r="K110" s="103"/>
    </row>
    <row r="111" spans="1:11">
      <c r="A111" s="103" t="s">
        <v>125</v>
      </c>
      <c r="B111" s="103"/>
      <c r="C111" s="127"/>
      <c r="D111" s="103"/>
      <c r="E111" s="103"/>
      <c r="F111" s="103"/>
      <c r="G111" s="103"/>
      <c r="H111" s="109"/>
      <c r="I111" s="109"/>
      <c r="J111" s="103"/>
      <c r="K111" s="103"/>
    </row>
    <row r="112" spans="1:11">
      <c r="A112" s="103" t="s">
        <v>119</v>
      </c>
      <c r="B112" s="103" t="s">
        <v>115</v>
      </c>
      <c r="C112" s="127">
        <v>22.52</v>
      </c>
      <c r="D112" s="109">
        <f>D105</f>
        <v>0.54</v>
      </c>
      <c r="E112" s="109">
        <f t="shared" ref="E112:E116" si="19">SUM(C112:D112)</f>
        <v>23.06</v>
      </c>
      <c r="F112" s="103"/>
      <c r="G112" s="109"/>
      <c r="H112" s="109"/>
      <c r="I112" s="109"/>
      <c r="J112" s="103"/>
      <c r="K112" s="103"/>
    </row>
    <row r="113" spans="1:11">
      <c r="A113" s="103" t="s">
        <v>120</v>
      </c>
      <c r="B113" s="103" t="s">
        <v>115</v>
      </c>
      <c r="C113" s="127">
        <v>30.34</v>
      </c>
      <c r="D113" s="109">
        <f t="shared" ref="D113:D116" si="20">D106</f>
        <v>0.77</v>
      </c>
      <c r="E113" s="109">
        <f t="shared" si="19"/>
        <v>31.11</v>
      </c>
      <c r="F113" s="103"/>
      <c r="G113" s="109"/>
      <c r="H113" s="109"/>
      <c r="I113" s="109"/>
      <c r="J113" s="103"/>
      <c r="K113" s="103"/>
    </row>
    <row r="114" spans="1:11">
      <c r="A114" s="103" t="s">
        <v>121</v>
      </c>
      <c r="B114" s="103" t="s">
        <v>115</v>
      </c>
      <c r="C114" s="127">
        <v>37.26</v>
      </c>
      <c r="D114" s="109">
        <f t="shared" si="20"/>
        <v>1</v>
      </c>
      <c r="E114" s="109">
        <f t="shared" si="19"/>
        <v>38.26</v>
      </c>
      <c r="F114" s="103"/>
      <c r="G114" s="109"/>
      <c r="H114" s="109"/>
      <c r="I114" s="109"/>
      <c r="J114" s="103"/>
      <c r="K114" s="103"/>
    </row>
    <row r="115" spans="1:11">
      <c r="A115" s="103" t="s">
        <v>122</v>
      </c>
      <c r="B115" s="103" t="s">
        <v>115</v>
      </c>
      <c r="C115" s="127">
        <v>68.19</v>
      </c>
      <c r="D115" s="109">
        <f t="shared" si="20"/>
        <v>1.9</v>
      </c>
      <c r="E115" s="109">
        <f t="shared" si="19"/>
        <v>70.09</v>
      </c>
      <c r="F115" s="103"/>
      <c r="G115" s="109"/>
      <c r="H115" s="109"/>
      <c r="I115" s="109"/>
      <c r="J115" s="103"/>
      <c r="K115" s="103"/>
    </row>
    <row r="116" spans="1:11">
      <c r="A116" s="103" t="s">
        <v>123</v>
      </c>
      <c r="B116" s="103" t="s">
        <v>115</v>
      </c>
      <c r="C116" s="127">
        <v>93.53</v>
      </c>
      <c r="D116" s="109">
        <f t="shared" si="20"/>
        <v>2.6</v>
      </c>
      <c r="E116" s="109">
        <f t="shared" si="19"/>
        <v>96.13</v>
      </c>
      <c r="F116" s="103"/>
      <c r="G116" s="109"/>
      <c r="H116" s="109"/>
      <c r="I116" s="109"/>
      <c r="J116" s="103"/>
      <c r="K116" s="103"/>
    </row>
    <row r="117" spans="1:11">
      <c r="A117" s="103"/>
      <c r="B117" s="103"/>
      <c r="C117" s="140"/>
      <c r="D117" s="103"/>
      <c r="E117" s="103"/>
      <c r="F117" s="103"/>
      <c r="G117" s="103"/>
      <c r="H117" s="109"/>
      <c r="I117" s="109"/>
      <c r="J117" s="103"/>
      <c r="K117" s="103"/>
    </row>
    <row r="118" spans="1:11">
      <c r="A118" s="107" t="s">
        <v>455</v>
      </c>
      <c r="B118" s="103"/>
      <c r="C118" s="127"/>
      <c r="D118" s="103"/>
      <c r="E118" s="103"/>
      <c r="F118" s="103"/>
      <c r="G118" s="103"/>
      <c r="H118" s="109"/>
      <c r="I118" s="109"/>
      <c r="J118" s="103"/>
      <c r="K118" s="103"/>
    </row>
    <row r="119" spans="1:11">
      <c r="A119" s="103" t="s">
        <v>134</v>
      </c>
      <c r="B119" s="103" t="s">
        <v>115</v>
      </c>
      <c r="C119" s="127">
        <v>3.95</v>
      </c>
      <c r="D119" s="108">
        <f>ROUND('DF Calculation'!L58,2)</f>
        <v>0.09</v>
      </c>
      <c r="E119" s="109">
        <f t="shared" ref="E119:E123" si="21">SUM(C119:D119)</f>
        <v>4.04</v>
      </c>
      <c r="F119" s="110"/>
      <c r="G119" s="109"/>
      <c r="H119" s="109"/>
      <c r="I119" s="109"/>
      <c r="J119" s="103"/>
      <c r="K119" s="103"/>
    </row>
    <row r="120" spans="1:11">
      <c r="A120" s="103" t="s">
        <v>135</v>
      </c>
      <c r="B120" s="103" t="s">
        <v>115</v>
      </c>
      <c r="C120" s="127">
        <f>C119</f>
        <v>3.95</v>
      </c>
      <c r="D120" s="108">
        <f>D119</f>
        <v>0.09</v>
      </c>
      <c r="E120" s="109">
        <f t="shared" si="21"/>
        <v>4.04</v>
      </c>
      <c r="F120" s="103"/>
      <c r="G120" s="109"/>
      <c r="H120" s="109"/>
      <c r="I120" s="109"/>
      <c r="J120" s="103"/>
      <c r="K120" s="103"/>
    </row>
    <row r="121" spans="1:11">
      <c r="A121" s="103" t="s">
        <v>136</v>
      </c>
      <c r="B121" s="103" t="s">
        <v>115</v>
      </c>
      <c r="C121" s="127">
        <f>C119</f>
        <v>3.95</v>
      </c>
      <c r="D121" s="108">
        <f>D119</f>
        <v>0.09</v>
      </c>
      <c r="E121" s="109">
        <f t="shared" si="21"/>
        <v>4.04</v>
      </c>
      <c r="F121" s="103"/>
      <c r="G121" s="109"/>
      <c r="H121" s="109"/>
      <c r="I121" s="109"/>
      <c r="J121" s="103"/>
      <c r="K121" s="103"/>
    </row>
    <row r="122" spans="1:11">
      <c r="A122" s="103" t="s">
        <v>137</v>
      </c>
      <c r="B122" s="103" t="s">
        <v>430</v>
      </c>
      <c r="C122" s="127">
        <v>17.649999999999999</v>
      </c>
      <c r="D122" s="109">
        <f>ROUND('DF Calculation'!L60,2)</f>
        <v>0.39</v>
      </c>
      <c r="E122" s="109">
        <f t="shared" si="21"/>
        <v>18.04</v>
      </c>
      <c r="F122" s="110"/>
      <c r="G122" s="109"/>
      <c r="H122" s="109"/>
      <c r="I122" s="109"/>
      <c r="J122" s="103"/>
      <c r="K122" s="103"/>
    </row>
    <row r="123" spans="1:11">
      <c r="A123" s="103" t="s">
        <v>114</v>
      </c>
      <c r="B123" s="103" t="s">
        <v>115</v>
      </c>
      <c r="C123" s="127">
        <v>4.17</v>
      </c>
      <c r="D123" s="110">
        <f>ROUND('DF Calculation'!L58,2)</f>
        <v>0.09</v>
      </c>
      <c r="E123" s="109">
        <f t="shared" si="21"/>
        <v>4.26</v>
      </c>
      <c r="F123" s="103"/>
      <c r="G123" s="109"/>
      <c r="H123" s="251"/>
      <c r="I123" s="109"/>
      <c r="J123" s="110"/>
      <c r="K123" s="103"/>
    </row>
    <row r="124" spans="1:11">
      <c r="A124" s="103"/>
      <c r="B124" s="103"/>
      <c r="C124" s="127"/>
      <c r="D124" s="103"/>
      <c r="E124" s="110"/>
      <c r="F124" s="103"/>
      <c r="G124" s="110"/>
      <c r="H124" s="109"/>
      <c r="I124" s="109"/>
      <c r="J124" s="103"/>
      <c r="K124" s="103"/>
    </row>
    <row r="125" spans="1:11">
      <c r="A125" s="107" t="s">
        <v>456</v>
      </c>
      <c r="B125" s="103"/>
      <c r="C125" s="127"/>
      <c r="D125" s="103"/>
      <c r="E125" s="103"/>
      <c r="F125" s="103"/>
      <c r="G125" s="103"/>
      <c r="H125" s="109"/>
      <c r="I125" s="109"/>
      <c r="J125" s="103"/>
      <c r="K125" s="103"/>
    </row>
    <row r="126" spans="1:11">
      <c r="A126" s="103" t="s">
        <v>121</v>
      </c>
      <c r="B126" s="105">
        <v>2.25</v>
      </c>
      <c r="C126" s="127">
        <v>74.92</v>
      </c>
      <c r="D126" s="109">
        <f>ROUND('DF Calculation'!L78,2)</f>
        <v>2.2599999999999998</v>
      </c>
      <c r="E126" s="109">
        <f t="shared" ref="E126:E132" si="22">SUM(C126:D126)</f>
        <v>77.180000000000007</v>
      </c>
      <c r="F126" s="103"/>
      <c r="G126" s="109"/>
      <c r="H126" s="109"/>
      <c r="I126" s="109"/>
      <c r="J126" s="110"/>
      <c r="K126" s="103"/>
    </row>
    <row r="127" spans="1:11">
      <c r="A127" s="103" t="s">
        <v>122</v>
      </c>
      <c r="B127" s="105">
        <v>2.25</v>
      </c>
      <c r="C127" s="127">
        <v>135.66</v>
      </c>
      <c r="D127" s="109">
        <f>ROUND('DF Calculation'!L79,2)</f>
        <v>4.28</v>
      </c>
      <c r="E127" s="109">
        <f>ROUND(C127+D127,2)</f>
        <v>139.94</v>
      </c>
      <c r="F127" s="103"/>
      <c r="G127" s="109"/>
      <c r="H127" s="109"/>
      <c r="I127" s="109"/>
      <c r="J127" s="110"/>
      <c r="K127" s="103"/>
    </row>
    <row r="128" spans="1:11">
      <c r="A128" s="103" t="s">
        <v>123</v>
      </c>
      <c r="B128" s="105">
        <v>2.25</v>
      </c>
      <c r="C128" s="127">
        <v>190.97</v>
      </c>
      <c r="D128" s="109">
        <f>ROUND('DF Calculation'!L125,2)</f>
        <v>5.86</v>
      </c>
      <c r="E128" s="109">
        <f t="shared" si="22"/>
        <v>196.83</v>
      </c>
      <c r="F128" s="104"/>
      <c r="G128" s="108"/>
      <c r="H128" s="109"/>
      <c r="I128" s="109"/>
      <c r="J128" s="110"/>
      <c r="K128" s="103"/>
    </row>
    <row r="129" spans="1:11">
      <c r="A129" s="103" t="s">
        <v>138</v>
      </c>
      <c r="B129" s="105"/>
      <c r="C129" s="127"/>
      <c r="D129" s="109"/>
      <c r="E129" s="104"/>
      <c r="F129" s="104"/>
      <c r="G129" s="104"/>
      <c r="H129" s="109"/>
      <c r="I129" s="109"/>
      <c r="J129" s="103"/>
      <c r="K129" s="103"/>
    </row>
    <row r="130" spans="1:11">
      <c r="A130" s="103" t="s">
        <v>121</v>
      </c>
      <c r="B130" s="105">
        <v>2.25</v>
      </c>
      <c r="C130" s="127">
        <v>80.97</v>
      </c>
      <c r="D130" s="109">
        <f>D126</f>
        <v>2.2599999999999998</v>
      </c>
      <c r="E130" s="109">
        <f t="shared" si="22"/>
        <v>83.23</v>
      </c>
      <c r="F130" s="104"/>
      <c r="G130" s="108"/>
      <c r="H130" s="109"/>
      <c r="I130" s="109"/>
      <c r="J130" s="110"/>
      <c r="K130" s="103"/>
    </row>
    <row r="131" spans="1:11">
      <c r="A131" s="103" t="s">
        <v>122</v>
      </c>
      <c r="B131" s="105">
        <v>2.25</v>
      </c>
      <c r="C131" s="127">
        <v>141.71</v>
      </c>
      <c r="D131" s="109">
        <f t="shared" ref="D131:D132" si="23">D127</f>
        <v>4.28</v>
      </c>
      <c r="E131" s="109">
        <f t="shared" si="22"/>
        <v>145.99</v>
      </c>
      <c r="F131" s="104"/>
      <c r="G131" s="108"/>
      <c r="H131" s="109"/>
      <c r="I131" s="109"/>
      <c r="J131" s="110"/>
      <c r="K131" s="103"/>
    </row>
    <row r="132" spans="1:11">
      <c r="A132" s="103" t="s">
        <v>123</v>
      </c>
      <c r="B132" s="105">
        <v>2.25</v>
      </c>
      <c r="C132" s="127">
        <v>197.02</v>
      </c>
      <c r="D132" s="109">
        <f t="shared" si="23"/>
        <v>5.86</v>
      </c>
      <c r="E132" s="109">
        <f t="shared" si="22"/>
        <v>202.88000000000002</v>
      </c>
      <c r="F132" s="104"/>
      <c r="G132" s="108"/>
      <c r="H132" s="109"/>
      <c r="I132" s="109"/>
      <c r="J132" s="110"/>
      <c r="K132" s="103"/>
    </row>
    <row r="133" spans="1:11">
      <c r="A133" s="103"/>
      <c r="B133" s="103"/>
      <c r="C133" s="140"/>
      <c r="D133" s="103"/>
      <c r="E133" s="104"/>
      <c r="F133" s="104"/>
      <c r="G133" s="104"/>
      <c r="H133" s="109"/>
      <c r="I133" s="109"/>
      <c r="J133" s="103"/>
      <c r="K133" s="103"/>
    </row>
    <row r="134" spans="1:11">
      <c r="A134" s="107" t="s">
        <v>457</v>
      </c>
      <c r="B134" s="103"/>
      <c r="C134" s="127"/>
      <c r="D134" s="103"/>
      <c r="E134" s="104"/>
      <c r="F134" s="104"/>
      <c r="G134" s="104"/>
      <c r="H134" s="109"/>
      <c r="I134" s="109"/>
      <c r="J134" s="103"/>
      <c r="K134" s="103"/>
    </row>
    <row r="135" spans="1:11">
      <c r="A135" s="103" t="s">
        <v>121</v>
      </c>
      <c r="B135" s="105">
        <v>3</v>
      </c>
      <c r="C135" s="127">
        <v>95.13</v>
      </c>
      <c r="D135" s="108">
        <f>ROUND('DF Calculation'!L126,2)</f>
        <v>3.01</v>
      </c>
      <c r="E135" s="109">
        <f t="shared" ref="E135:E143" si="24">SUM(C135:D135)</f>
        <v>98.14</v>
      </c>
      <c r="F135" s="104"/>
      <c r="G135" s="108"/>
      <c r="H135" s="109"/>
      <c r="I135" s="109"/>
      <c r="J135" s="110"/>
      <c r="K135" s="103"/>
    </row>
    <row r="136" spans="1:11">
      <c r="A136" s="103" t="s">
        <v>139</v>
      </c>
      <c r="B136" s="105">
        <v>3</v>
      </c>
      <c r="C136" s="127">
        <v>129.38999999999999</v>
      </c>
      <c r="D136" s="108">
        <f>ROUND('DF Calculation'!L87,2)</f>
        <v>4.4000000000000004</v>
      </c>
      <c r="E136" s="109">
        <f t="shared" si="24"/>
        <v>133.79</v>
      </c>
      <c r="F136" s="104"/>
      <c r="G136" s="108"/>
      <c r="H136" s="109"/>
      <c r="I136" s="109"/>
      <c r="J136" s="110"/>
      <c r="K136" s="103"/>
    </row>
    <row r="137" spans="1:11">
      <c r="A137" s="103" t="s">
        <v>122</v>
      </c>
      <c r="B137" s="105">
        <v>3</v>
      </c>
      <c r="C137" s="127">
        <v>160.1</v>
      </c>
      <c r="D137" s="108">
        <f>ROUND('DF Calculation'!L127,2)</f>
        <v>5.7</v>
      </c>
      <c r="E137" s="109">
        <f t="shared" si="24"/>
        <v>165.79999999999998</v>
      </c>
      <c r="F137" s="104"/>
      <c r="G137" s="108"/>
      <c r="H137" s="109"/>
      <c r="I137" s="109"/>
      <c r="J137" s="110"/>
      <c r="K137" s="103"/>
    </row>
    <row r="138" spans="1:11">
      <c r="A138" s="103" t="s">
        <v>123</v>
      </c>
      <c r="B138" s="105">
        <v>3</v>
      </c>
      <c r="C138" s="127">
        <v>239.3</v>
      </c>
      <c r="D138" s="108">
        <f>ROUND('DF Calculation'!L84,2)</f>
        <v>7.81</v>
      </c>
      <c r="E138" s="109">
        <f t="shared" si="24"/>
        <v>247.11</v>
      </c>
      <c r="F138" s="104"/>
      <c r="G138" s="108"/>
      <c r="H138" s="109"/>
      <c r="I138" s="109"/>
      <c r="J138" s="110"/>
      <c r="K138" s="103"/>
    </row>
    <row r="139" spans="1:11">
      <c r="A139" s="107" t="s">
        <v>138</v>
      </c>
      <c r="B139" s="105"/>
      <c r="C139" s="127"/>
      <c r="D139" s="109"/>
      <c r="E139" s="104"/>
      <c r="F139" s="104"/>
      <c r="G139" s="104"/>
      <c r="H139" s="109"/>
      <c r="I139" s="109"/>
      <c r="J139" s="110"/>
      <c r="K139" s="103"/>
    </row>
    <row r="140" spans="1:11">
      <c r="A140" s="103" t="s">
        <v>121</v>
      </c>
      <c r="B140" s="105">
        <v>3</v>
      </c>
      <c r="C140" s="127">
        <v>101.18</v>
      </c>
      <c r="D140" s="109">
        <f>D135</f>
        <v>3.01</v>
      </c>
      <c r="E140" s="109">
        <f t="shared" si="24"/>
        <v>104.19000000000001</v>
      </c>
      <c r="F140" s="104"/>
      <c r="G140" s="108"/>
      <c r="H140" s="109"/>
      <c r="I140" s="109"/>
      <c r="J140" s="110"/>
      <c r="K140" s="103"/>
    </row>
    <row r="141" spans="1:11">
      <c r="A141" s="103" t="s">
        <v>139</v>
      </c>
      <c r="B141" s="105">
        <v>3</v>
      </c>
      <c r="C141" s="127">
        <v>135.44</v>
      </c>
      <c r="D141" s="109">
        <f t="shared" ref="D141:D143" si="25">D136</f>
        <v>4.4000000000000004</v>
      </c>
      <c r="E141" s="109">
        <f t="shared" si="24"/>
        <v>139.84</v>
      </c>
      <c r="F141" s="104"/>
      <c r="G141" s="108"/>
      <c r="H141" s="109"/>
      <c r="I141" s="109"/>
      <c r="J141" s="110"/>
      <c r="K141" s="103"/>
    </row>
    <row r="142" spans="1:11">
      <c r="A142" s="103" t="s">
        <v>122</v>
      </c>
      <c r="B142" s="105">
        <v>3</v>
      </c>
      <c r="C142" s="127">
        <v>166.15</v>
      </c>
      <c r="D142" s="109">
        <f t="shared" si="25"/>
        <v>5.7</v>
      </c>
      <c r="E142" s="109">
        <f t="shared" si="24"/>
        <v>171.85</v>
      </c>
      <c r="F142" s="104"/>
      <c r="G142" s="108"/>
      <c r="H142" s="109"/>
      <c r="I142" s="109"/>
      <c r="J142" s="110"/>
      <c r="K142" s="103"/>
    </row>
    <row r="143" spans="1:11">
      <c r="A143" s="103" t="s">
        <v>123</v>
      </c>
      <c r="B143" s="105">
        <v>3</v>
      </c>
      <c r="C143" s="127">
        <v>245.35</v>
      </c>
      <c r="D143" s="109">
        <f t="shared" si="25"/>
        <v>7.81</v>
      </c>
      <c r="E143" s="109">
        <f t="shared" si="24"/>
        <v>253.16</v>
      </c>
      <c r="F143" s="104"/>
      <c r="G143" s="108"/>
      <c r="H143" s="109"/>
      <c r="I143" s="109"/>
      <c r="J143" s="110"/>
      <c r="K143" s="103"/>
    </row>
    <row r="144" spans="1:11">
      <c r="A144" s="103"/>
      <c r="B144" s="103"/>
      <c r="C144" s="140"/>
      <c r="D144" s="103"/>
      <c r="E144" s="104"/>
      <c r="F144" s="104"/>
      <c r="G144" s="104"/>
      <c r="H144" s="109"/>
      <c r="I144" s="109"/>
      <c r="J144" s="103"/>
      <c r="K144" s="103"/>
    </row>
    <row r="145" spans="1:11">
      <c r="A145" s="107" t="s">
        <v>458</v>
      </c>
      <c r="B145" s="103"/>
      <c r="C145" s="127"/>
      <c r="D145" s="103"/>
      <c r="E145" s="104"/>
      <c r="F145" s="104"/>
      <c r="G145" s="104"/>
      <c r="H145" s="109"/>
      <c r="I145" s="109"/>
      <c r="J145" s="103"/>
      <c r="K145" s="103"/>
    </row>
    <row r="146" spans="1:11">
      <c r="A146" s="103" t="s">
        <v>139</v>
      </c>
      <c r="B146" s="105">
        <v>4</v>
      </c>
      <c r="C146" s="127">
        <v>163.77000000000001</v>
      </c>
      <c r="D146" s="109">
        <f>ROUND('DF Calculation'!L128,2)</f>
        <v>5.86</v>
      </c>
      <c r="E146" s="109">
        <f t="shared" ref="E146:E152" si="26">SUM(C146:D146)</f>
        <v>169.63000000000002</v>
      </c>
      <c r="F146" s="104"/>
      <c r="G146" s="108"/>
      <c r="H146" s="109"/>
      <c r="I146" s="109"/>
      <c r="J146" s="110"/>
      <c r="K146" s="103"/>
    </row>
    <row r="147" spans="1:11">
      <c r="A147" s="103" t="s">
        <v>122</v>
      </c>
      <c r="B147" s="105">
        <v>4</v>
      </c>
      <c r="C147" s="127">
        <v>215.57</v>
      </c>
      <c r="D147" s="109">
        <f>ROUND('DF Calculation'!L80,2)</f>
        <v>7.6</v>
      </c>
      <c r="E147" s="109">
        <f t="shared" si="26"/>
        <v>223.17</v>
      </c>
      <c r="F147" s="108"/>
      <c r="G147" s="108"/>
      <c r="H147" s="109"/>
      <c r="I147" s="109"/>
      <c r="J147" s="110"/>
      <c r="K147" s="103"/>
    </row>
    <row r="148" spans="1:11">
      <c r="A148" s="103" t="s">
        <v>123</v>
      </c>
      <c r="B148" s="105">
        <v>4</v>
      </c>
      <c r="C148" s="127">
        <v>307.72000000000003</v>
      </c>
      <c r="D148" s="108">
        <f>ROUND('DF Calculation'!L86,2)</f>
        <v>10.41</v>
      </c>
      <c r="E148" s="109">
        <f t="shared" si="26"/>
        <v>318.13000000000005</v>
      </c>
      <c r="F148" s="104"/>
      <c r="G148" s="108"/>
      <c r="H148" s="109"/>
      <c r="I148" s="109"/>
      <c r="J148" s="110"/>
      <c r="K148" s="103"/>
    </row>
    <row r="149" spans="1:11">
      <c r="A149" s="103" t="s">
        <v>138</v>
      </c>
      <c r="B149" s="105"/>
      <c r="C149" s="127"/>
      <c r="D149" s="109"/>
      <c r="E149" s="104"/>
      <c r="F149" s="104"/>
      <c r="G149" s="104"/>
      <c r="H149" s="109"/>
      <c r="I149" s="109"/>
      <c r="J149" s="110"/>
      <c r="K149" s="103"/>
    </row>
    <row r="150" spans="1:11">
      <c r="A150" s="103" t="s">
        <v>139</v>
      </c>
      <c r="B150" s="105">
        <v>4</v>
      </c>
      <c r="C150" s="127">
        <v>169.82</v>
      </c>
      <c r="D150" s="109">
        <f>D146</f>
        <v>5.86</v>
      </c>
      <c r="E150" s="109">
        <f t="shared" si="26"/>
        <v>175.68</v>
      </c>
      <c r="F150" s="104"/>
      <c r="G150" s="108"/>
      <c r="H150" s="109"/>
      <c r="I150" s="109"/>
      <c r="J150" s="110"/>
      <c r="K150" s="103"/>
    </row>
    <row r="151" spans="1:11">
      <c r="A151" s="103" t="s">
        <v>122</v>
      </c>
      <c r="B151" s="105">
        <v>4</v>
      </c>
      <c r="C151" s="127">
        <v>221.62</v>
      </c>
      <c r="D151" s="109">
        <f t="shared" ref="D151:D152" si="27">D147</f>
        <v>7.6</v>
      </c>
      <c r="E151" s="109">
        <f t="shared" si="26"/>
        <v>229.22</v>
      </c>
      <c r="F151" s="104"/>
      <c r="G151" s="108"/>
      <c r="H151" s="109"/>
      <c r="I151" s="109"/>
      <c r="J151" s="110"/>
      <c r="K151" s="103"/>
    </row>
    <row r="152" spans="1:11">
      <c r="A152" s="103" t="s">
        <v>123</v>
      </c>
      <c r="B152" s="105">
        <v>4</v>
      </c>
      <c r="C152" s="127">
        <v>313.77</v>
      </c>
      <c r="D152" s="108">
        <f t="shared" si="27"/>
        <v>10.41</v>
      </c>
      <c r="E152" s="109">
        <f t="shared" si="26"/>
        <v>324.18</v>
      </c>
      <c r="F152" s="104"/>
      <c r="G152" s="108"/>
      <c r="H152" s="109"/>
      <c r="I152" s="109"/>
      <c r="J152" s="110"/>
      <c r="K152" s="103"/>
    </row>
    <row r="153" spans="1:11">
      <c r="A153" s="103"/>
      <c r="B153" s="103"/>
      <c r="C153" s="140"/>
      <c r="D153" s="103"/>
      <c r="E153" s="104"/>
      <c r="F153" s="104"/>
      <c r="G153" s="104"/>
      <c r="H153" s="109"/>
      <c r="I153" s="109"/>
      <c r="J153" s="103"/>
      <c r="K153" s="103"/>
    </row>
    <row r="154" spans="1:11">
      <c r="A154" s="107" t="s">
        <v>459</v>
      </c>
      <c r="B154" s="103"/>
      <c r="C154" s="127"/>
      <c r="D154" s="103"/>
      <c r="E154" s="104"/>
      <c r="F154" s="104"/>
      <c r="G154" s="104"/>
      <c r="H154" s="109"/>
      <c r="I154" s="109"/>
      <c r="J154" s="103"/>
      <c r="K154" s="103"/>
    </row>
    <row r="155" spans="1:11">
      <c r="A155" s="103" t="s">
        <v>122</v>
      </c>
      <c r="B155" s="105">
        <v>5</v>
      </c>
      <c r="C155" s="127">
        <v>241.51</v>
      </c>
      <c r="D155" s="109">
        <f>ROUND('DF Calculation'!L81,2)</f>
        <v>9.5</v>
      </c>
      <c r="E155" s="109">
        <f t="shared" ref="E155:E156" si="28">SUM(C155:D155)</f>
        <v>251.01</v>
      </c>
      <c r="F155" s="104"/>
      <c r="G155" s="108"/>
      <c r="H155" s="109"/>
      <c r="I155" s="109"/>
      <c r="J155" s="110"/>
      <c r="K155" s="103"/>
    </row>
    <row r="156" spans="1:11">
      <c r="A156" s="103" t="s">
        <v>123</v>
      </c>
      <c r="B156" s="105">
        <v>5</v>
      </c>
      <c r="C156" s="127">
        <v>344.72</v>
      </c>
      <c r="D156" s="108">
        <f>ROUND('DF Calculation'!L129,2)</f>
        <v>13.02</v>
      </c>
      <c r="E156" s="109">
        <f t="shared" si="28"/>
        <v>357.74</v>
      </c>
      <c r="F156" s="104"/>
      <c r="G156" s="108"/>
      <c r="H156" s="109"/>
      <c r="I156" s="109"/>
      <c r="J156" s="110"/>
      <c r="K156" s="103"/>
    </row>
    <row r="157" spans="1:11">
      <c r="A157" s="103" t="s">
        <v>138</v>
      </c>
      <c r="B157" s="105"/>
      <c r="C157" s="127"/>
      <c r="D157" s="109"/>
      <c r="E157" s="104"/>
      <c r="F157" s="104"/>
      <c r="G157" s="104"/>
      <c r="H157" s="109"/>
      <c r="I157" s="109"/>
      <c r="J157" s="110"/>
      <c r="K157" s="103"/>
    </row>
    <row r="158" spans="1:11">
      <c r="A158" s="103" t="s">
        <v>122</v>
      </c>
      <c r="B158" s="105">
        <v>5</v>
      </c>
      <c r="C158" s="127">
        <v>247.56</v>
      </c>
      <c r="D158" s="109">
        <f>D155</f>
        <v>9.5</v>
      </c>
      <c r="E158" s="109">
        <f t="shared" ref="E158:E159" si="29">SUM(C158:D158)</f>
        <v>257.06</v>
      </c>
      <c r="F158" s="104"/>
      <c r="G158" s="108"/>
      <c r="H158" s="109"/>
      <c r="I158" s="109"/>
      <c r="J158" s="110"/>
      <c r="K158" s="103"/>
    </row>
    <row r="159" spans="1:11">
      <c r="A159" s="103" t="s">
        <v>123</v>
      </c>
      <c r="B159" s="105">
        <v>5</v>
      </c>
      <c r="C159" s="127">
        <v>350.77</v>
      </c>
      <c r="D159" s="109">
        <f>D156</f>
        <v>13.02</v>
      </c>
      <c r="E159" s="109">
        <f t="shared" si="29"/>
        <v>363.78999999999996</v>
      </c>
      <c r="F159" s="104"/>
      <c r="G159" s="108"/>
      <c r="H159" s="109"/>
      <c r="I159" s="109"/>
      <c r="J159" s="110"/>
      <c r="K159" s="103"/>
    </row>
    <row r="160" spans="1:11">
      <c r="A160" s="103"/>
      <c r="B160" s="103"/>
      <c r="C160" s="140"/>
      <c r="D160" s="103"/>
      <c r="E160" s="104"/>
      <c r="F160" s="104"/>
      <c r="G160" s="104"/>
      <c r="H160" s="109"/>
      <c r="I160" s="109"/>
      <c r="J160" s="103"/>
      <c r="K160" s="103"/>
    </row>
    <row r="161" spans="1:11">
      <c r="A161" s="107" t="s">
        <v>460</v>
      </c>
      <c r="B161" s="103"/>
      <c r="C161" s="127"/>
      <c r="D161" s="103"/>
      <c r="E161" s="104"/>
      <c r="F161" s="104"/>
      <c r="G161" s="104"/>
      <c r="H161" s="109"/>
      <c r="I161" s="109"/>
      <c r="J161" s="103"/>
      <c r="K161" s="103"/>
    </row>
    <row r="162" spans="1:11">
      <c r="A162" s="103" t="s">
        <v>121</v>
      </c>
      <c r="B162" s="105">
        <v>2.25</v>
      </c>
      <c r="C162" s="127">
        <v>94.77</v>
      </c>
      <c r="D162" s="109">
        <f>D126</f>
        <v>2.2599999999999998</v>
      </c>
      <c r="E162" s="109">
        <f t="shared" ref="E162:E168" si="30">SUM(C162:D162)</f>
        <v>97.03</v>
      </c>
      <c r="F162" s="104"/>
      <c r="G162" s="108"/>
      <c r="H162" s="109"/>
      <c r="I162" s="109"/>
      <c r="J162" s="109"/>
      <c r="K162" s="109"/>
    </row>
    <row r="163" spans="1:11">
      <c r="A163" s="103" t="s">
        <v>122</v>
      </c>
      <c r="B163" s="105">
        <v>2.25</v>
      </c>
      <c r="C163" s="127">
        <v>175.35</v>
      </c>
      <c r="D163" s="109">
        <f t="shared" ref="D163:D164" si="31">D127</f>
        <v>4.28</v>
      </c>
      <c r="E163" s="109">
        <f t="shared" si="30"/>
        <v>179.63</v>
      </c>
      <c r="F163" s="104"/>
      <c r="G163" s="108"/>
      <c r="H163" s="109"/>
      <c r="I163" s="109"/>
      <c r="J163" s="109"/>
      <c r="K163" s="109"/>
    </row>
    <row r="164" spans="1:11">
      <c r="A164" s="103" t="s">
        <v>123</v>
      </c>
      <c r="B164" s="105">
        <v>2.25</v>
      </c>
      <c r="C164" s="127">
        <v>250.51</v>
      </c>
      <c r="D164" s="109">
        <f t="shared" si="31"/>
        <v>5.86</v>
      </c>
      <c r="E164" s="109">
        <f t="shared" si="30"/>
        <v>256.37</v>
      </c>
      <c r="F164" s="104"/>
      <c r="G164" s="108"/>
      <c r="H164" s="109"/>
      <c r="I164" s="109"/>
      <c r="J164" s="109"/>
      <c r="K164" s="109"/>
    </row>
    <row r="165" spans="1:11">
      <c r="A165" s="103" t="s">
        <v>138</v>
      </c>
      <c r="B165" s="105"/>
      <c r="C165" s="127"/>
      <c r="D165" s="109"/>
      <c r="E165" s="104"/>
      <c r="F165" s="104"/>
      <c r="G165" s="104"/>
      <c r="H165" s="109"/>
      <c r="I165" s="109"/>
      <c r="J165" s="103"/>
      <c r="K165" s="103"/>
    </row>
    <row r="166" spans="1:11">
      <c r="A166" s="103" t="s">
        <v>121</v>
      </c>
      <c r="B166" s="105">
        <v>2.25</v>
      </c>
      <c r="C166" s="127">
        <v>100.82</v>
      </c>
      <c r="D166" s="109">
        <f>D162</f>
        <v>2.2599999999999998</v>
      </c>
      <c r="E166" s="109">
        <f t="shared" si="30"/>
        <v>103.08</v>
      </c>
      <c r="F166" s="104"/>
      <c r="G166" s="108"/>
      <c r="H166" s="109"/>
      <c r="I166" s="109"/>
      <c r="J166" s="109"/>
      <c r="K166" s="109"/>
    </row>
    <row r="167" spans="1:11">
      <c r="A167" s="103" t="s">
        <v>122</v>
      </c>
      <c r="B167" s="105">
        <v>2.25</v>
      </c>
      <c r="C167" s="127">
        <v>181.4</v>
      </c>
      <c r="D167" s="109">
        <f t="shared" ref="D167:D168" si="32">D163</f>
        <v>4.28</v>
      </c>
      <c r="E167" s="109">
        <f t="shared" si="30"/>
        <v>185.68</v>
      </c>
      <c r="F167" s="104"/>
      <c r="G167" s="108"/>
      <c r="H167" s="109"/>
      <c r="I167" s="109"/>
      <c r="J167" s="109"/>
      <c r="K167" s="109"/>
    </row>
    <row r="168" spans="1:11">
      <c r="A168" s="103" t="s">
        <v>123</v>
      </c>
      <c r="B168" s="105">
        <v>2.25</v>
      </c>
      <c r="C168" s="127">
        <v>256.56</v>
      </c>
      <c r="D168" s="109">
        <f t="shared" si="32"/>
        <v>5.86</v>
      </c>
      <c r="E168" s="109">
        <f t="shared" si="30"/>
        <v>262.42</v>
      </c>
      <c r="F168" s="104"/>
      <c r="G168" s="108"/>
      <c r="H168" s="109"/>
      <c r="I168" s="109"/>
      <c r="J168" s="109"/>
      <c r="K168" s="109"/>
    </row>
    <row r="169" spans="1:11">
      <c r="A169" s="103"/>
      <c r="B169" s="103"/>
      <c r="C169" s="140"/>
      <c r="D169" s="103"/>
      <c r="E169" s="104"/>
      <c r="F169" s="104"/>
      <c r="G169" s="104"/>
      <c r="H169" s="109"/>
      <c r="I169" s="109"/>
      <c r="J169" s="103"/>
      <c r="K169" s="103"/>
    </row>
    <row r="170" spans="1:11">
      <c r="A170" s="107" t="s">
        <v>461</v>
      </c>
      <c r="B170" s="103"/>
      <c r="C170" s="127"/>
      <c r="D170" s="103"/>
      <c r="E170" s="104"/>
      <c r="F170" s="104"/>
      <c r="G170" s="104"/>
      <c r="H170" s="109"/>
      <c r="I170" s="109"/>
      <c r="J170" s="103"/>
      <c r="K170" s="103"/>
    </row>
    <row r="171" spans="1:11">
      <c r="A171" s="103" t="s">
        <v>121</v>
      </c>
      <c r="B171" s="105">
        <v>3</v>
      </c>
      <c r="C171" s="127">
        <v>121.59</v>
      </c>
      <c r="D171" s="109">
        <f>D135</f>
        <v>3.01</v>
      </c>
      <c r="E171" s="109">
        <f t="shared" ref="E171:E174" si="33">SUM(C171:D171)</f>
        <v>124.60000000000001</v>
      </c>
      <c r="F171" s="104"/>
      <c r="G171" s="108"/>
      <c r="H171" s="109"/>
      <c r="I171" s="109"/>
      <c r="J171" s="109"/>
      <c r="K171" s="109"/>
    </row>
    <row r="172" spans="1:11">
      <c r="A172" s="103" t="s">
        <v>139</v>
      </c>
      <c r="B172" s="105">
        <v>3</v>
      </c>
      <c r="C172" s="127">
        <v>169.08</v>
      </c>
      <c r="D172" s="109">
        <f t="shared" ref="D172:D174" si="34">D136</f>
        <v>4.4000000000000004</v>
      </c>
      <c r="E172" s="109">
        <f t="shared" si="33"/>
        <v>173.48000000000002</v>
      </c>
      <c r="F172" s="104"/>
      <c r="G172" s="108"/>
      <c r="H172" s="109"/>
      <c r="I172" s="109"/>
      <c r="J172" s="109"/>
      <c r="K172" s="109"/>
    </row>
    <row r="173" spans="1:11">
      <c r="A173" s="103" t="s">
        <v>122</v>
      </c>
      <c r="B173" s="105">
        <v>3</v>
      </c>
      <c r="C173" s="127">
        <v>213.02</v>
      </c>
      <c r="D173" s="109">
        <f t="shared" si="34"/>
        <v>5.7</v>
      </c>
      <c r="E173" s="109">
        <f t="shared" si="33"/>
        <v>218.72</v>
      </c>
      <c r="F173" s="104"/>
      <c r="G173" s="108"/>
      <c r="H173" s="109"/>
      <c r="I173" s="109"/>
      <c r="J173" s="109"/>
      <c r="K173" s="109"/>
    </row>
    <row r="174" spans="1:11">
      <c r="A174" s="103" t="s">
        <v>123</v>
      </c>
      <c r="B174" s="105">
        <v>3</v>
      </c>
      <c r="C174" s="127">
        <v>318.68</v>
      </c>
      <c r="D174" s="109">
        <f t="shared" si="34"/>
        <v>7.81</v>
      </c>
      <c r="E174" s="109">
        <f t="shared" si="33"/>
        <v>326.49</v>
      </c>
      <c r="F174" s="104"/>
      <c r="G174" s="108"/>
      <c r="H174" s="109"/>
      <c r="I174" s="109"/>
      <c r="J174" s="109"/>
      <c r="K174" s="109"/>
    </row>
    <row r="175" spans="1:11">
      <c r="A175" s="107" t="s">
        <v>138</v>
      </c>
      <c r="B175" s="105"/>
      <c r="C175" s="127"/>
      <c r="D175" s="109"/>
      <c r="E175" s="104"/>
      <c r="F175" s="104"/>
      <c r="G175" s="104"/>
      <c r="H175" s="109"/>
      <c r="I175" s="109"/>
      <c r="J175" s="103"/>
      <c r="K175" s="103"/>
    </row>
    <row r="176" spans="1:11">
      <c r="A176" s="103" t="s">
        <v>121</v>
      </c>
      <c r="B176" s="105">
        <v>3</v>
      </c>
      <c r="C176" s="127">
        <v>127.64</v>
      </c>
      <c r="D176" s="109">
        <f>D171</f>
        <v>3.01</v>
      </c>
      <c r="E176" s="109">
        <f t="shared" ref="E176:E179" si="35">SUM(C176:D176)</f>
        <v>130.65</v>
      </c>
      <c r="F176" s="104"/>
      <c r="G176" s="108"/>
      <c r="H176" s="109"/>
      <c r="I176" s="109"/>
      <c r="J176" s="103"/>
      <c r="K176" s="103"/>
    </row>
    <row r="177" spans="1:11">
      <c r="A177" s="103" t="s">
        <v>139</v>
      </c>
      <c r="B177" s="105">
        <v>3</v>
      </c>
      <c r="C177" s="127">
        <v>175.13</v>
      </c>
      <c r="D177" s="109">
        <f t="shared" ref="D177:D179" si="36">D172</f>
        <v>4.4000000000000004</v>
      </c>
      <c r="E177" s="109">
        <f t="shared" si="35"/>
        <v>179.53</v>
      </c>
      <c r="F177" s="104"/>
      <c r="G177" s="108"/>
      <c r="H177" s="109"/>
      <c r="I177" s="109"/>
      <c r="J177" s="103"/>
      <c r="K177" s="103"/>
    </row>
    <row r="178" spans="1:11">
      <c r="A178" s="103" t="s">
        <v>122</v>
      </c>
      <c r="B178" s="105">
        <v>3</v>
      </c>
      <c r="C178" s="127">
        <v>219.07</v>
      </c>
      <c r="D178" s="109">
        <f t="shared" si="36"/>
        <v>5.7</v>
      </c>
      <c r="E178" s="109">
        <f t="shared" si="35"/>
        <v>224.76999999999998</v>
      </c>
      <c r="F178" s="104"/>
      <c r="G178" s="108"/>
      <c r="H178" s="109"/>
      <c r="I178" s="109"/>
      <c r="J178" s="103"/>
      <c r="K178" s="103"/>
    </row>
    <row r="179" spans="1:11">
      <c r="A179" s="103" t="s">
        <v>123</v>
      </c>
      <c r="B179" s="105">
        <v>3</v>
      </c>
      <c r="C179" s="127">
        <v>324.73</v>
      </c>
      <c r="D179" s="109">
        <f t="shared" si="36"/>
        <v>7.81</v>
      </c>
      <c r="E179" s="109">
        <f t="shared" si="35"/>
        <v>332.54</v>
      </c>
      <c r="F179" s="104"/>
      <c r="G179" s="108"/>
      <c r="H179" s="109"/>
      <c r="I179" s="109"/>
      <c r="J179" s="103"/>
      <c r="K179" s="103"/>
    </row>
    <row r="180" spans="1:11">
      <c r="A180" s="103"/>
      <c r="B180" s="103"/>
      <c r="C180" s="140"/>
      <c r="D180" s="103"/>
      <c r="E180" s="104"/>
      <c r="F180" s="104"/>
      <c r="G180" s="104"/>
      <c r="H180" s="109"/>
      <c r="I180" s="109"/>
      <c r="J180" s="103"/>
      <c r="K180" s="103"/>
    </row>
    <row r="181" spans="1:11">
      <c r="A181" s="107" t="s">
        <v>462</v>
      </c>
      <c r="B181" s="103"/>
      <c r="C181" s="127"/>
      <c r="D181" s="103"/>
      <c r="E181" s="104"/>
      <c r="F181" s="104"/>
      <c r="G181" s="104"/>
      <c r="H181" s="109"/>
      <c r="I181" s="109"/>
      <c r="J181" s="103"/>
      <c r="K181" s="103"/>
    </row>
    <row r="182" spans="1:11">
      <c r="A182" s="103" t="s">
        <v>139</v>
      </c>
      <c r="B182" s="105">
        <v>4</v>
      </c>
      <c r="C182" s="127">
        <v>216.69</v>
      </c>
      <c r="D182" s="108">
        <f>D146</f>
        <v>5.86</v>
      </c>
      <c r="E182" s="109">
        <f t="shared" ref="E182:E184" si="37">SUM(C182:D182)</f>
        <v>222.55</v>
      </c>
      <c r="F182" s="104"/>
      <c r="G182" s="108"/>
      <c r="H182" s="109"/>
      <c r="I182" s="109"/>
      <c r="J182" s="103"/>
      <c r="K182" s="103"/>
    </row>
    <row r="183" spans="1:11">
      <c r="A183" s="103" t="s">
        <v>122</v>
      </c>
      <c r="B183" s="105">
        <v>4</v>
      </c>
      <c r="C183" s="127">
        <v>286.13</v>
      </c>
      <c r="D183" s="108">
        <f t="shared" ref="D183:D184" si="38">D147</f>
        <v>7.6</v>
      </c>
      <c r="E183" s="109">
        <f t="shared" si="37"/>
        <v>293.73</v>
      </c>
      <c r="F183" s="104"/>
      <c r="G183" s="108"/>
      <c r="H183" s="109"/>
      <c r="I183" s="109"/>
      <c r="J183" s="103"/>
      <c r="K183" s="103"/>
    </row>
    <row r="184" spans="1:11">
      <c r="A184" s="103" t="s">
        <v>123</v>
      </c>
      <c r="B184" s="105">
        <v>4</v>
      </c>
      <c r="C184" s="127">
        <v>413.56</v>
      </c>
      <c r="D184" s="108">
        <f t="shared" si="38"/>
        <v>10.41</v>
      </c>
      <c r="E184" s="109">
        <f t="shared" si="37"/>
        <v>423.97</v>
      </c>
      <c r="F184" s="104"/>
      <c r="G184" s="108"/>
      <c r="H184" s="109"/>
      <c r="I184" s="109"/>
      <c r="J184" s="103"/>
      <c r="K184" s="103"/>
    </row>
    <row r="185" spans="1:11">
      <c r="A185" s="103" t="s">
        <v>138</v>
      </c>
      <c r="B185" s="105"/>
      <c r="C185" s="127"/>
      <c r="D185" s="108"/>
      <c r="E185" s="108"/>
      <c r="F185" s="104"/>
      <c r="G185" s="108"/>
      <c r="H185" s="109"/>
      <c r="I185" s="109"/>
      <c r="J185" s="103"/>
      <c r="K185" s="103"/>
    </row>
    <row r="186" spans="1:11">
      <c r="A186" s="103" t="s">
        <v>139</v>
      </c>
      <c r="B186" s="105">
        <v>4</v>
      </c>
      <c r="C186" s="127">
        <v>222.74</v>
      </c>
      <c r="D186" s="108">
        <f>D182</f>
        <v>5.86</v>
      </c>
      <c r="E186" s="109">
        <f t="shared" ref="E186:E188" si="39">SUM(C186:D186)</f>
        <v>228.60000000000002</v>
      </c>
      <c r="F186" s="104"/>
      <c r="G186" s="108"/>
      <c r="H186" s="109"/>
      <c r="I186" s="109"/>
      <c r="J186" s="103"/>
      <c r="K186" s="103"/>
    </row>
    <row r="187" spans="1:11">
      <c r="A187" s="103" t="s">
        <v>122</v>
      </c>
      <c r="B187" s="105">
        <v>4</v>
      </c>
      <c r="C187" s="127">
        <v>292.18</v>
      </c>
      <c r="D187" s="108">
        <f t="shared" ref="D187:D188" si="40">D183</f>
        <v>7.6</v>
      </c>
      <c r="E187" s="109">
        <f t="shared" si="39"/>
        <v>299.78000000000003</v>
      </c>
      <c r="F187" s="104"/>
      <c r="G187" s="108"/>
      <c r="H187" s="109"/>
      <c r="I187" s="109"/>
      <c r="J187" s="103"/>
      <c r="K187" s="103"/>
    </row>
    <row r="188" spans="1:11">
      <c r="A188" s="103" t="s">
        <v>123</v>
      </c>
      <c r="B188" s="105">
        <v>4</v>
      </c>
      <c r="C188" s="127">
        <v>419.61</v>
      </c>
      <c r="D188" s="108">
        <f t="shared" si="40"/>
        <v>10.41</v>
      </c>
      <c r="E188" s="109">
        <f t="shared" si="39"/>
        <v>430.02000000000004</v>
      </c>
      <c r="F188" s="104"/>
      <c r="G188" s="108"/>
      <c r="H188" s="109"/>
      <c r="I188" s="109"/>
      <c r="J188" s="103"/>
      <c r="K188" s="103"/>
    </row>
    <row r="189" spans="1:11">
      <c r="A189" s="103"/>
      <c r="B189" s="103"/>
      <c r="C189" s="140"/>
      <c r="D189" s="103"/>
      <c r="E189" s="108"/>
      <c r="F189" s="104"/>
      <c r="G189" s="108"/>
      <c r="H189" s="109"/>
      <c r="I189" s="109"/>
      <c r="J189" s="103"/>
      <c r="K189" s="103"/>
    </row>
    <row r="190" spans="1:11">
      <c r="A190" s="107" t="s">
        <v>463</v>
      </c>
      <c r="B190" s="103"/>
      <c r="C190" s="127"/>
      <c r="D190" s="103"/>
      <c r="E190" s="108"/>
      <c r="F190" s="104"/>
      <c r="G190" s="108"/>
      <c r="H190" s="109"/>
      <c r="I190" s="109"/>
      <c r="J190" s="103"/>
      <c r="K190" s="103"/>
    </row>
    <row r="191" spans="1:11">
      <c r="A191" s="103" t="s">
        <v>122</v>
      </c>
      <c r="B191" s="105">
        <v>5</v>
      </c>
      <c r="C191" s="127">
        <v>329.71</v>
      </c>
      <c r="D191" s="109">
        <f>D155</f>
        <v>9.5</v>
      </c>
      <c r="E191" s="109">
        <f t="shared" ref="E191:E192" si="41">SUM(C191:D191)</f>
        <v>339.21</v>
      </c>
      <c r="F191" s="104"/>
      <c r="G191" s="108"/>
      <c r="H191" s="109"/>
      <c r="I191" s="109"/>
      <c r="J191" s="103"/>
      <c r="K191" s="103"/>
    </row>
    <row r="192" spans="1:11">
      <c r="A192" s="103" t="s">
        <v>123</v>
      </c>
      <c r="B192" s="105">
        <v>5</v>
      </c>
      <c r="C192" s="127">
        <v>477.02</v>
      </c>
      <c r="D192" s="109">
        <f>D156</f>
        <v>13.02</v>
      </c>
      <c r="E192" s="109">
        <f t="shared" si="41"/>
        <v>490.03999999999996</v>
      </c>
      <c r="F192" s="104"/>
      <c r="G192" s="108"/>
      <c r="H192" s="109"/>
      <c r="I192" s="109"/>
      <c r="J192" s="103"/>
      <c r="K192" s="103"/>
    </row>
    <row r="193" spans="1:11">
      <c r="A193" s="103" t="s">
        <v>138</v>
      </c>
      <c r="B193" s="105"/>
      <c r="C193" s="127"/>
      <c r="D193" s="109"/>
      <c r="E193" s="108"/>
      <c r="F193" s="104"/>
      <c r="G193" s="108"/>
      <c r="H193" s="109"/>
      <c r="I193" s="109"/>
      <c r="J193" s="103"/>
      <c r="K193" s="103"/>
    </row>
    <row r="194" spans="1:11">
      <c r="A194" s="103" t="s">
        <v>122</v>
      </c>
      <c r="B194" s="105">
        <v>5</v>
      </c>
      <c r="C194" s="127">
        <v>335.76</v>
      </c>
      <c r="D194" s="109">
        <f>D191</f>
        <v>9.5</v>
      </c>
      <c r="E194" s="109">
        <f t="shared" ref="E194:E195" si="42">SUM(C194:D194)</f>
        <v>345.26</v>
      </c>
      <c r="F194" s="104"/>
      <c r="G194" s="108"/>
      <c r="H194" s="109"/>
      <c r="I194" s="109"/>
      <c r="J194" s="103"/>
      <c r="K194" s="103"/>
    </row>
    <row r="195" spans="1:11">
      <c r="A195" s="103" t="s">
        <v>123</v>
      </c>
      <c r="B195" s="105">
        <v>5</v>
      </c>
      <c r="C195" s="127">
        <v>483.07</v>
      </c>
      <c r="D195" s="109">
        <f>D192</f>
        <v>13.02</v>
      </c>
      <c r="E195" s="109">
        <f t="shared" si="42"/>
        <v>496.09</v>
      </c>
      <c r="F195" s="104"/>
      <c r="G195" s="108"/>
      <c r="H195" s="109"/>
      <c r="I195" s="109"/>
      <c r="J195" s="103"/>
      <c r="K195" s="103"/>
    </row>
    <row r="196" spans="1:11">
      <c r="A196" s="103"/>
      <c r="B196" s="103"/>
      <c r="C196" s="140"/>
      <c r="D196" s="103"/>
      <c r="E196" s="104"/>
      <c r="F196" s="104"/>
      <c r="G196" s="104"/>
      <c r="H196" s="103"/>
      <c r="I196" s="109"/>
      <c r="J196" s="103"/>
      <c r="K196" s="103"/>
    </row>
    <row r="197" spans="1:11">
      <c r="A197" s="103"/>
      <c r="B197" s="103"/>
      <c r="C197" s="127"/>
      <c r="D197" s="103"/>
      <c r="E197" s="104"/>
      <c r="F197" s="104"/>
      <c r="G197" s="104"/>
      <c r="H197" s="103"/>
      <c r="I197" s="109"/>
      <c r="J197" s="103"/>
      <c r="K197" s="103"/>
    </row>
    <row r="198" spans="1:11">
      <c r="A198" s="103"/>
      <c r="B198" s="103"/>
      <c r="C198" s="127"/>
      <c r="D198" s="103"/>
      <c r="E198" s="104"/>
      <c r="F198" s="104"/>
      <c r="G198" s="104"/>
      <c r="H198" s="103"/>
      <c r="I198" s="109"/>
      <c r="J198" s="103"/>
      <c r="K198" s="103"/>
    </row>
    <row r="199" spans="1:11">
      <c r="A199" s="103"/>
      <c r="B199" s="103"/>
      <c r="C199" s="140"/>
      <c r="D199" s="103"/>
      <c r="E199" s="104"/>
      <c r="F199" s="104"/>
      <c r="G199" s="104"/>
      <c r="H199" s="103"/>
      <c r="I199" s="109"/>
      <c r="J199" s="103"/>
      <c r="K199" s="103"/>
    </row>
    <row r="200" spans="1:11">
      <c r="A200" s="104"/>
      <c r="B200" s="104"/>
      <c r="C200" s="140"/>
      <c r="D200" s="103"/>
      <c r="E200" s="104"/>
      <c r="F200" s="104"/>
      <c r="G200" s="104"/>
      <c r="H200" s="103"/>
      <c r="I200" s="109"/>
      <c r="J200" s="103"/>
      <c r="K200" s="103"/>
    </row>
    <row r="201" spans="1:11">
      <c r="A201" s="103"/>
      <c r="B201" s="103"/>
      <c r="C201" s="140"/>
      <c r="D201" s="103"/>
      <c r="E201" s="104"/>
      <c r="F201" s="104"/>
      <c r="G201" s="104"/>
      <c r="H201" s="103"/>
      <c r="I201" s="109"/>
      <c r="J201" s="103"/>
      <c r="K201" s="103"/>
    </row>
    <row r="202" spans="1:11">
      <c r="A202" s="107"/>
      <c r="B202" s="103"/>
      <c r="C202" s="140"/>
      <c r="D202" s="103"/>
      <c r="E202" s="104"/>
      <c r="F202" s="104"/>
      <c r="G202" s="104"/>
      <c r="H202" s="103"/>
      <c r="I202" s="109"/>
      <c r="J202" s="103"/>
      <c r="K202" s="103"/>
    </row>
    <row r="203" spans="1:11">
      <c r="A203" s="107"/>
      <c r="B203" s="103"/>
      <c r="C203" s="140"/>
      <c r="D203" s="103"/>
      <c r="E203" s="104"/>
      <c r="F203" s="104"/>
      <c r="G203" s="104"/>
      <c r="H203" s="103"/>
      <c r="I203" s="109"/>
      <c r="J203" s="103"/>
      <c r="K203" s="103"/>
    </row>
  </sheetData>
  <pageMargins left="0.7" right="0.7" top="0.75" bottom="0.75" header="0.3" footer="0.3"/>
  <pageSetup scale="87" orientation="portrait" r:id="rId1"/>
  <headerFooter>
    <oddFooter>&amp;L&amp;F - &amp;A&amp;R&amp;P of &amp;N</oddFooter>
  </headerFooter>
  <rowBreaks count="3" manualBreakCount="3">
    <brk id="50" max="16383" man="1"/>
    <brk id="96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9"/>
  <sheetViews>
    <sheetView zoomScale="85" zoomScaleNormal="85" zoomScalePageLayoutView="85" workbookViewId="0"/>
  </sheetViews>
  <sheetFormatPr defaultRowHeight="15"/>
  <cols>
    <col min="1" max="1" width="32.5703125" style="233" customWidth="1"/>
    <col min="2" max="2" width="17.5703125" style="233" customWidth="1"/>
    <col min="3" max="3" width="15.85546875" style="233" bestFit="1" customWidth="1"/>
    <col min="4" max="5" width="15.85546875" style="233" customWidth="1"/>
    <col min="6" max="6" width="2.28515625" style="233" customWidth="1"/>
    <col min="7" max="7" width="15.5703125" style="233" customWidth="1"/>
    <col min="8" max="8" width="13.85546875" style="233" customWidth="1"/>
    <col min="9" max="16384" width="9.140625" style="233"/>
  </cols>
  <sheetData>
    <row r="1" spans="1:5">
      <c r="A1" s="237" t="s">
        <v>95</v>
      </c>
      <c r="E1" s="121"/>
    </row>
    <row r="2" spans="1:5">
      <c r="A2" s="237" t="s">
        <v>96</v>
      </c>
    </row>
    <row r="3" spans="1:5">
      <c r="A3" s="121" t="s">
        <v>410</v>
      </c>
      <c r="B3" s="191" t="s">
        <v>418</v>
      </c>
      <c r="C3" s="192" t="s">
        <v>416</v>
      </c>
      <c r="D3" s="192" t="s">
        <v>16</v>
      </c>
      <c r="E3" s="121"/>
    </row>
    <row r="4" spans="1:5">
      <c r="A4" s="232" t="s">
        <v>469</v>
      </c>
      <c r="B4" s="119" t="s">
        <v>81</v>
      </c>
      <c r="C4" s="119" t="s">
        <v>81</v>
      </c>
      <c r="D4" s="119" t="s">
        <v>81</v>
      </c>
      <c r="E4" s="119" t="s">
        <v>250</v>
      </c>
    </row>
    <row r="5" spans="1:5">
      <c r="B5" s="119" t="s">
        <v>140</v>
      </c>
      <c r="C5" s="119" t="s">
        <v>140</v>
      </c>
      <c r="D5" s="119" t="s">
        <v>140</v>
      </c>
      <c r="E5" s="119" t="s">
        <v>140</v>
      </c>
    </row>
    <row r="6" spans="1:5">
      <c r="A6" s="118" t="s">
        <v>89</v>
      </c>
      <c r="B6" s="119" t="s">
        <v>82</v>
      </c>
      <c r="C6" s="119" t="s">
        <v>82</v>
      </c>
      <c r="D6" s="119" t="s">
        <v>82</v>
      </c>
      <c r="E6" s="119" t="s">
        <v>82</v>
      </c>
    </row>
    <row r="7" spans="1:5">
      <c r="A7" s="238" t="s">
        <v>141</v>
      </c>
    </row>
    <row r="8" spans="1:5">
      <c r="A8" s="115" t="s">
        <v>256</v>
      </c>
      <c r="B8" s="224">
        <v>345593.61428571423</v>
      </c>
      <c r="C8" s="225">
        <v>186093.68516674964</v>
      </c>
      <c r="D8" s="225">
        <f>SUM(B8:C8)</f>
        <v>531687.29945246386</v>
      </c>
      <c r="E8" s="226">
        <f>ROUND(D8/References!$H$23,0)</f>
        <v>44307</v>
      </c>
    </row>
    <row r="9" spans="1:5">
      <c r="A9" s="115" t="s">
        <v>257</v>
      </c>
      <c r="B9" s="224">
        <v>389729.47887323948</v>
      </c>
      <c r="C9" s="225">
        <v>208994.31267605635</v>
      </c>
      <c r="D9" s="225">
        <f t="shared" ref="D9:D50" si="0">SUM(B9:C9)</f>
        <v>598723.79154929589</v>
      </c>
      <c r="E9" s="226">
        <f>ROUND(D9/References!$H$23,0)</f>
        <v>49894</v>
      </c>
    </row>
    <row r="10" spans="1:5">
      <c r="A10" s="115" t="s">
        <v>258</v>
      </c>
      <c r="B10" s="224">
        <v>8522.1690140845076</v>
      </c>
      <c r="C10" s="225">
        <v>4954.4471830985922</v>
      </c>
      <c r="D10" s="225">
        <f t="shared" si="0"/>
        <v>13476.616197183099</v>
      </c>
      <c r="E10" s="226">
        <f>ROUND(D10/References!$H$23,0)</f>
        <v>1123</v>
      </c>
    </row>
    <row r="11" spans="1:5">
      <c r="A11" s="115"/>
      <c r="B11" s="224"/>
      <c r="C11" s="225"/>
      <c r="D11" s="225"/>
      <c r="E11" s="226"/>
    </row>
    <row r="12" spans="1:5">
      <c r="A12" s="115" t="s">
        <v>259</v>
      </c>
      <c r="B12" s="224">
        <v>2049.029126213592</v>
      </c>
      <c r="C12" s="225">
        <v>957.99999999999989</v>
      </c>
      <c r="D12" s="225">
        <f t="shared" si="0"/>
        <v>3007.029126213592</v>
      </c>
      <c r="E12" s="226">
        <f>ROUND(D12/References!$H$23,0)</f>
        <v>251</v>
      </c>
    </row>
    <row r="13" spans="1:5">
      <c r="A13" s="115"/>
      <c r="B13" s="224"/>
      <c r="C13" s="225"/>
      <c r="D13" s="225"/>
      <c r="E13" s="225"/>
    </row>
    <row r="14" spans="1:5">
      <c r="A14" s="115" t="s">
        <v>260</v>
      </c>
      <c r="B14" s="224">
        <v>109702.44284798634</v>
      </c>
      <c r="C14" s="225">
        <v>53254.84063312324</v>
      </c>
      <c r="D14" s="225">
        <f t="shared" si="0"/>
        <v>162957.2834811096</v>
      </c>
      <c r="E14" s="226">
        <f>ROUND(D14/References!$H$23,0)</f>
        <v>13580</v>
      </c>
    </row>
    <row r="15" spans="1:5">
      <c r="A15" s="115" t="s">
        <v>261</v>
      </c>
      <c r="B15" s="224">
        <v>274.86666666666667</v>
      </c>
      <c r="C15" s="225">
        <v>164</v>
      </c>
      <c r="D15" s="225">
        <f t="shared" si="0"/>
        <v>438.86666666666667</v>
      </c>
      <c r="E15" s="226">
        <f>ROUND(D15/References!$H$23,0)</f>
        <v>37</v>
      </c>
    </row>
    <row r="16" spans="1:5" s="234" customFormat="1">
      <c r="A16" s="115" t="s">
        <v>262</v>
      </c>
      <c r="B16" s="224">
        <v>1985.566017316017</v>
      </c>
      <c r="C16" s="225">
        <v>1766.3062770562772</v>
      </c>
      <c r="D16" s="225">
        <f t="shared" si="0"/>
        <v>3751.8722943722942</v>
      </c>
      <c r="E16" s="226">
        <f>ROUND(D16/References!$H$23,0)</f>
        <v>313</v>
      </c>
    </row>
    <row r="17" spans="1:5" s="234" customFormat="1">
      <c r="A17" s="115" t="s">
        <v>263</v>
      </c>
      <c r="B17" s="224">
        <v>717.22330097087365</v>
      </c>
      <c r="C17" s="225">
        <v>446.99029126213594</v>
      </c>
      <c r="D17" s="225">
        <f t="shared" si="0"/>
        <v>1164.2135922330096</v>
      </c>
      <c r="E17" s="226">
        <f>ROUND(D17/References!$H$23,0)</f>
        <v>97</v>
      </c>
    </row>
    <row r="18" spans="1:5" s="234" customFormat="1">
      <c r="A18" s="115" t="s">
        <v>264</v>
      </c>
      <c r="B18" s="224">
        <v>48</v>
      </c>
      <c r="C18" s="225">
        <v>31.000000000000004</v>
      </c>
      <c r="D18" s="225">
        <f t="shared" si="0"/>
        <v>79</v>
      </c>
      <c r="E18" s="226">
        <f>ROUND(D18/References!$H$23,0)</f>
        <v>7</v>
      </c>
    </row>
    <row r="19" spans="1:5">
      <c r="A19" s="115" t="s">
        <v>265</v>
      </c>
      <c r="B19" s="224">
        <v>0</v>
      </c>
      <c r="C19" s="225">
        <v>0</v>
      </c>
      <c r="D19" s="225">
        <f t="shared" si="0"/>
        <v>0</v>
      </c>
      <c r="E19" s="226">
        <f>ROUND(D19/References!$H$23,0)</f>
        <v>0</v>
      </c>
    </row>
    <row r="20" spans="1:5">
      <c r="A20" s="115" t="s">
        <v>266</v>
      </c>
      <c r="B20" s="224">
        <v>33</v>
      </c>
      <c r="C20" s="225">
        <v>7.7532467532467528</v>
      </c>
      <c r="D20" s="225">
        <f t="shared" si="0"/>
        <v>40.753246753246756</v>
      </c>
      <c r="E20" s="226">
        <f>ROUND(D20/References!$H$23,0)</f>
        <v>3</v>
      </c>
    </row>
    <row r="21" spans="1:5">
      <c r="A21" s="115" t="s">
        <v>267</v>
      </c>
      <c r="B21" s="224">
        <v>99.739436619718319</v>
      </c>
      <c r="C21" s="225">
        <v>79.544174135723438</v>
      </c>
      <c r="D21" s="225"/>
      <c r="E21" s="226"/>
    </row>
    <row r="22" spans="1:5">
      <c r="A22" s="115"/>
      <c r="B22" s="224"/>
      <c r="C22" s="225"/>
      <c r="D22" s="225"/>
      <c r="E22" s="226"/>
    </row>
    <row r="23" spans="1:5">
      <c r="A23" s="115" t="s">
        <v>268</v>
      </c>
      <c r="B23" s="224">
        <v>2647.5830206378987</v>
      </c>
      <c r="C23" s="225">
        <v>1086.3287992495309</v>
      </c>
      <c r="D23" s="225">
        <f t="shared" si="0"/>
        <v>3733.9118198874294</v>
      </c>
      <c r="E23" s="226">
        <f>ROUND(D23/References!$H$23,0)</f>
        <v>311</v>
      </c>
    </row>
    <row r="24" spans="1:5">
      <c r="A24" s="115" t="s">
        <v>269</v>
      </c>
      <c r="B24" s="224">
        <v>67.887065637065646</v>
      </c>
      <c r="C24" s="225">
        <v>22.999999999999996</v>
      </c>
      <c r="D24" s="225">
        <f t="shared" si="0"/>
        <v>90.887065637065646</v>
      </c>
      <c r="E24" s="226">
        <f>ROUND(D24/References!$H$23,0)</f>
        <v>8</v>
      </c>
    </row>
    <row r="25" spans="1:5">
      <c r="A25" s="115" t="s">
        <v>143</v>
      </c>
      <c r="B25" s="224">
        <v>39.933226065969436</v>
      </c>
      <c r="C25" s="225">
        <v>36</v>
      </c>
      <c r="D25" s="225">
        <f t="shared" si="0"/>
        <v>75.933226065969436</v>
      </c>
      <c r="E25" s="226">
        <f>ROUND(D25/References!$H$23,0)</f>
        <v>6</v>
      </c>
    </row>
    <row r="26" spans="1:5">
      <c r="A26" s="115" t="s">
        <v>270</v>
      </c>
      <c r="B26" s="224">
        <v>910.7894144144143</v>
      </c>
      <c r="C26" s="225">
        <v>818.04054054054029</v>
      </c>
      <c r="D26" s="225">
        <f t="shared" si="0"/>
        <v>1728.8299549549547</v>
      </c>
      <c r="E26" s="226">
        <f>ROUND(D26/References!$H$23,0)</f>
        <v>144</v>
      </c>
    </row>
    <row r="27" spans="1:5">
      <c r="A27" s="115"/>
      <c r="B27" s="224"/>
      <c r="C27" s="225"/>
      <c r="D27" s="225"/>
      <c r="E27" s="226"/>
    </row>
    <row r="28" spans="1:5">
      <c r="A28" s="115" t="s">
        <v>271</v>
      </c>
      <c r="B28" s="224">
        <v>98.96255506607929</v>
      </c>
      <c r="C28" s="225">
        <v>42.654185022026425</v>
      </c>
      <c r="D28" s="225">
        <f t="shared" si="0"/>
        <v>141.6167400881057</v>
      </c>
      <c r="E28" s="226">
        <f>ROUND(D28/References!$H$23,0)</f>
        <v>12</v>
      </c>
    </row>
    <row r="29" spans="1:5">
      <c r="A29" s="115" t="s">
        <v>272</v>
      </c>
      <c r="B29" s="224">
        <v>15</v>
      </c>
      <c r="C29" s="225">
        <v>10</v>
      </c>
      <c r="D29" s="225">
        <f t="shared" si="0"/>
        <v>25</v>
      </c>
      <c r="E29" s="226">
        <f>ROUND(D29/References!$H$23,0)</f>
        <v>2</v>
      </c>
    </row>
    <row r="30" spans="1:5">
      <c r="A30" s="115" t="s">
        <v>273</v>
      </c>
      <c r="B30" s="224">
        <v>236389.22970903522</v>
      </c>
      <c r="C30" s="225">
        <v>100992.11026033689</v>
      </c>
      <c r="D30" s="225">
        <f t="shared" si="0"/>
        <v>337381.33996937214</v>
      </c>
      <c r="E30" s="226">
        <f>ROUND(D30/References!$H$23,0)</f>
        <v>28115</v>
      </c>
    </row>
    <row r="31" spans="1:5">
      <c r="A31" s="115" t="s">
        <v>274</v>
      </c>
      <c r="B31" s="224">
        <v>47</v>
      </c>
      <c r="C31" s="225">
        <v>15.000000000000002</v>
      </c>
      <c r="D31" s="225"/>
      <c r="E31" s="226">
        <f>ROUND(D31/References!$H$23,0)</f>
        <v>0</v>
      </c>
    </row>
    <row r="32" spans="1:5">
      <c r="A32" s="115" t="s">
        <v>275</v>
      </c>
      <c r="B32" s="224">
        <v>412</v>
      </c>
      <c r="C32" s="225">
        <v>303.99999999999994</v>
      </c>
      <c r="D32" s="225"/>
      <c r="E32" s="226">
        <f>ROUND(D32/References!$H$23,0)</f>
        <v>0</v>
      </c>
    </row>
    <row r="33" spans="1:8">
      <c r="A33" s="115"/>
      <c r="B33" s="224"/>
      <c r="C33" s="225"/>
      <c r="D33" s="225"/>
      <c r="E33" s="226"/>
    </row>
    <row r="34" spans="1:8">
      <c r="A34" s="115" t="s">
        <v>276</v>
      </c>
      <c r="B34" s="224">
        <v>10328.246284188732</v>
      </c>
      <c r="C34" s="225">
        <v>6371.5252642475753</v>
      </c>
      <c r="D34" s="225">
        <f t="shared" si="0"/>
        <v>16699.771548436307</v>
      </c>
      <c r="E34" s="226">
        <f>ROUND(D34/References!$H$23,0)</f>
        <v>1392</v>
      </c>
      <c r="G34" s="116"/>
      <c r="H34" s="116"/>
    </row>
    <row r="35" spans="1:8">
      <c r="A35" s="115" t="s">
        <v>277</v>
      </c>
      <c r="B35" s="224">
        <v>144.60717489455971</v>
      </c>
      <c r="C35" s="225">
        <v>65.704808869373011</v>
      </c>
      <c r="D35" s="225">
        <f t="shared" si="0"/>
        <v>210.31198376393272</v>
      </c>
      <c r="E35" s="226">
        <f>ROUND(D35/References!$H$23,0)</f>
        <v>18</v>
      </c>
      <c r="G35" s="116"/>
      <c r="H35" s="116"/>
    </row>
    <row r="36" spans="1:8">
      <c r="A36" s="115" t="s">
        <v>278</v>
      </c>
      <c r="B36" s="224">
        <v>5449.462982945648</v>
      </c>
      <c r="C36" s="225">
        <v>3282.85543660849</v>
      </c>
      <c r="D36" s="225">
        <f t="shared" si="0"/>
        <v>8732.318419554138</v>
      </c>
      <c r="E36" s="226">
        <f>ROUND(D36/References!$H$23,0)</f>
        <v>728</v>
      </c>
      <c r="G36" s="116"/>
      <c r="H36" s="116"/>
    </row>
    <row r="37" spans="1:8">
      <c r="A37" s="115" t="s">
        <v>279</v>
      </c>
      <c r="B37" s="224">
        <v>277734.7579097547</v>
      </c>
      <c r="C37" s="225">
        <v>150061.2662750179</v>
      </c>
      <c r="D37" s="225">
        <f t="shared" si="0"/>
        <v>427796.02418477263</v>
      </c>
      <c r="E37" s="226">
        <f>ROUND(D37/References!$H$23,0)</f>
        <v>35650</v>
      </c>
      <c r="G37" s="116"/>
      <c r="H37" s="116"/>
    </row>
    <row r="38" spans="1:8">
      <c r="A38" s="115" t="s">
        <v>280</v>
      </c>
      <c r="B38" s="224">
        <v>4464.3257530525607</v>
      </c>
      <c r="C38" s="225">
        <v>2465.9006862931637</v>
      </c>
      <c r="D38" s="225">
        <f t="shared" si="0"/>
        <v>6930.2264393457244</v>
      </c>
      <c r="E38" s="226">
        <f>ROUND(D38/References!$H$23,0)</f>
        <v>578</v>
      </c>
      <c r="G38" s="116"/>
      <c r="H38" s="116"/>
    </row>
    <row r="39" spans="1:8">
      <c r="A39" s="115" t="s">
        <v>281</v>
      </c>
      <c r="B39" s="224">
        <v>89485.74259909564</v>
      </c>
      <c r="C39" s="225">
        <v>45486.718695018353</v>
      </c>
      <c r="D39" s="225">
        <f t="shared" si="0"/>
        <v>134972.46129411401</v>
      </c>
      <c r="E39" s="226">
        <f>ROUND(D39/References!$H$23,0)</f>
        <v>11248</v>
      </c>
      <c r="G39" s="116"/>
      <c r="H39" s="116"/>
    </row>
    <row r="40" spans="1:8">
      <c r="A40" s="115" t="s">
        <v>282</v>
      </c>
      <c r="B40" s="224">
        <v>1640.1721073486328</v>
      </c>
      <c r="C40" s="225">
        <v>660.92286049094332</v>
      </c>
      <c r="D40" s="225">
        <f t="shared" si="0"/>
        <v>2301.0949678395764</v>
      </c>
      <c r="E40" s="226">
        <f>ROUND(D40/References!$H$23,0)</f>
        <v>192</v>
      </c>
      <c r="G40" s="116"/>
      <c r="H40" s="116"/>
    </row>
    <row r="41" spans="1:8">
      <c r="A41" s="115" t="s">
        <v>283</v>
      </c>
      <c r="B41" s="224">
        <v>4569.9710863748123</v>
      </c>
      <c r="C41" s="225">
        <v>3185.8465404172498</v>
      </c>
      <c r="D41" s="225">
        <f t="shared" si="0"/>
        <v>7755.8176267920626</v>
      </c>
      <c r="E41" s="226">
        <f>ROUND(D41/References!$H$23,0)</f>
        <v>646</v>
      </c>
      <c r="G41" s="116"/>
      <c r="H41" s="116"/>
    </row>
    <row r="42" spans="1:8">
      <c r="A42" s="115" t="s">
        <v>284</v>
      </c>
      <c r="B42" s="224">
        <v>68.64505420054202</v>
      </c>
      <c r="C42" s="225">
        <v>53.244986449864491</v>
      </c>
      <c r="D42" s="225">
        <f t="shared" si="0"/>
        <v>121.89004065040652</v>
      </c>
      <c r="E42" s="226">
        <f>ROUND(D42/References!$H$23,0)</f>
        <v>10</v>
      </c>
      <c r="G42" s="116"/>
      <c r="H42" s="116"/>
    </row>
    <row r="43" spans="1:8">
      <c r="A43" s="115" t="s">
        <v>285</v>
      </c>
      <c r="B43" s="224">
        <v>522.7403242091093</v>
      </c>
      <c r="C43" s="225">
        <v>309.76449966345075</v>
      </c>
      <c r="D43" s="225">
        <f t="shared" si="0"/>
        <v>832.50482387256011</v>
      </c>
      <c r="E43" s="226">
        <f>ROUND(D43/References!$H$23,0)</f>
        <v>69</v>
      </c>
      <c r="G43" s="116"/>
      <c r="H43" s="116"/>
    </row>
    <row r="44" spans="1:8">
      <c r="A44" s="115" t="s">
        <v>286</v>
      </c>
      <c r="B44" s="224">
        <v>12</v>
      </c>
      <c r="C44" s="225">
        <v>13.773934527486102</v>
      </c>
      <c r="D44" s="225">
        <f t="shared" si="0"/>
        <v>25.773934527486102</v>
      </c>
      <c r="E44" s="226">
        <f>ROUND(D44/References!$H$23,0)</f>
        <v>2</v>
      </c>
      <c r="G44" s="116"/>
      <c r="H44" s="116"/>
    </row>
    <row r="45" spans="1:8">
      <c r="A45" s="115" t="s">
        <v>287</v>
      </c>
      <c r="B45" s="224">
        <v>60.335920177383599</v>
      </c>
      <c r="C45" s="225">
        <v>28.500000000000004</v>
      </c>
      <c r="D45" s="225">
        <f t="shared" si="0"/>
        <v>88.835920177383599</v>
      </c>
      <c r="E45" s="226">
        <f>ROUND(D45/References!$H$23,0)</f>
        <v>7</v>
      </c>
      <c r="G45" s="116"/>
      <c r="H45" s="116"/>
    </row>
    <row r="46" spans="1:8">
      <c r="A46" s="115" t="s">
        <v>288</v>
      </c>
      <c r="B46" s="224">
        <v>0</v>
      </c>
      <c r="C46" s="225">
        <v>0</v>
      </c>
      <c r="D46" s="225">
        <f t="shared" si="0"/>
        <v>0</v>
      </c>
      <c r="E46" s="226">
        <f>ROUND(D46/References!$H$23,0)</f>
        <v>0</v>
      </c>
      <c r="G46" s="116"/>
      <c r="H46" s="116"/>
    </row>
    <row r="47" spans="1:8">
      <c r="A47" s="115" t="s">
        <v>289</v>
      </c>
      <c r="B47" s="224">
        <v>47.575595038551789</v>
      </c>
      <c r="C47" s="225">
        <v>19.962286288970837</v>
      </c>
      <c r="D47" s="225">
        <f t="shared" si="0"/>
        <v>67.537881327522626</v>
      </c>
      <c r="E47" s="226">
        <f>ROUND(D47/References!$H$23,0)</f>
        <v>6</v>
      </c>
      <c r="G47" s="116"/>
      <c r="H47" s="116"/>
    </row>
    <row r="48" spans="1:8">
      <c r="A48" s="115" t="s">
        <v>290</v>
      </c>
      <c r="B48" s="224">
        <v>0</v>
      </c>
      <c r="C48" s="225">
        <v>0</v>
      </c>
      <c r="D48" s="225">
        <f t="shared" si="0"/>
        <v>0</v>
      </c>
      <c r="E48" s="226">
        <f>ROUND(D48/References!$H$23,0)</f>
        <v>0</v>
      </c>
      <c r="G48" s="116"/>
      <c r="H48" s="116"/>
    </row>
    <row r="49" spans="1:8">
      <c r="A49" s="115" t="s">
        <v>291</v>
      </c>
      <c r="B49" s="224">
        <v>1437.4892706736705</v>
      </c>
      <c r="C49" s="225">
        <v>678.58168365789049</v>
      </c>
      <c r="D49" s="225">
        <f t="shared" si="0"/>
        <v>2116.0709543315611</v>
      </c>
      <c r="E49" s="226">
        <f>ROUND(D49/References!$H$23,0)</f>
        <v>176</v>
      </c>
      <c r="G49" s="116"/>
      <c r="H49" s="116"/>
    </row>
    <row r="50" spans="1:8">
      <c r="A50" s="115" t="s">
        <v>292</v>
      </c>
      <c r="B50" s="224">
        <v>67.748160432616444</v>
      </c>
      <c r="C50" s="225">
        <v>43.752509432121215</v>
      </c>
      <c r="D50" s="225">
        <f t="shared" si="0"/>
        <v>111.50066986473766</v>
      </c>
      <c r="E50" s="226">
        <f>ROUND(D50/References!$H$23,0)</f>
        <v>9</v>
      </c>
      <c r="G50" s="116"/>
      <c r="H50" s="116"/>
    </row>
    <row r="51" spans="1:8">
      <c r="A51" s="239" t="s">
        <v>16</v>
      </c>
      <c r="B51" s="227"/>
      <c r="C51" s="228">
        <v>265983.16110010608</v>
      </c>
      <c r="D51" s="228">
        <f t="shared" ref="D51" si="1">SUM(D34:D50)+D14</f>
        <v>771719.42417047964</v>
      </c>
      <c r="E51" s="228">
        <f>SUM(E34:E50)+E14</f>
        <v>64311</v>
      </c>
      <c r="G51" s="116"/>
      <c r="H51" s="116"/>
    </row>
    <row r="52" spans="1:8">
      <c r="A52" s="239"/>
      <c r="B52" s="224"/>
      <c r="C52" s="225"/>
      <c r="D52" s="225"/>
      <c r="E52" s="226"/>
    </row>
    <row r="53" spans="1:8">
      <c r="A53" s="238" t="s">
        <v>161</v>
      </c>
      <c r="B53" s="224"/>
      <c r="C53" s="225"/>
      <c r="D53" s="225"/>
      <c r="E53" s="226"/>
    </row>
    <row r="54" spans="1:8">
      <c r="A54" s="115" t="s">
        <v>293</v>
      </c>
      <c r="B54" s="224">
        <v>5953.3081134892991</v>
      </c>
      <c r="C54" s="225">
        <v>1250.7755102040815</v>
      </c>
      <c r="D54" s="225">
        <f t="shared" ref="D54:D56" si="2">SUM(B54:C54)</f>
        <v>7204.083623693381</v>
      </c>
      <c r="E54" s="226">
        <f>ROUND(D54/References!$H$23,0)</f>
        <v>600</v>
      </c>
    </row>
    <row r="55" spans="1:8">
      <c r="A55" s="115" t="s">
        <v>258</v>
      </c>
      <c r="B55" s="224">
        <v>5946.0492957746474</v>
      </c>
      <c r="C55" s="225">
        <v>1244.4802816901408</v>
      </c>
      <c r="D55" s="225">
        <f t="shared" si="2"/>
        <v>7190.5295774647884</v>
      </c>
      <c r="E55" s="226">
        <f>ROUND(D55/References!$H$23,0)</f>
        <v>599</v>
      </c>
    </row>
    <row r="56" spans="1:8">
      <c r="A56" s="115" t="s">
        <v>258</v>
      </c>
      <c r="B56" s="224">
        <v>0</v>
      </c>
      <c r="C56" s="225">
        <v>0</v>
      </c>
      <c r="D56" s="225">
        <f t="shared" si="2"/>
        <v>0</v>
      </c>
      <c r="E56" s="226">
        <f>ROUND(D56/References!$H$23,0)</f>
        <v>0</v>
      </c>
    </row>
    <row r="57" spans="1:8">
      <c r="A57" s="239"/>
      <c r="B57" s="224"/>
      <c r="C57" s="225"/>
      <c r="D57" s="225"/>
      <c r="E57" s="226"/>
    </row>
    <row r="58" spans="1:8">
      <c r="A58" s="115" t="s">
        <v>260</v>
      </c>
      <c r="B58" s="224">
        <v>5522.7063466628688</v>
      </c>
      <c r="C58" s="225">
        <v>756.66294555424997</v>
      </c>
      <c r="D58" s="225">
        <f t="shared" ref="D58" si="3">SUM(B58:C58)</f>
        <v>6279.3692922171185</v>
      </c>
      <c r="E58" s="226">
        <f>ROUND(D58/References!$H$23,0)</f>
        <v>523</v>
      </c>
    </row>
    <row r="59" spans="1:8">
      <c r="A59" s="115"/>
      <c r="B59" s="224"/>
      <c r="C59" s="225"/>
      <c r="D59" s="225"/>
      <c r="E59" s="226"/>
    </row>
    <row r="60" spans="1:8">
      <c r="A60" s="115" t="s">
        <v>294</v>
      </c>
      <c r="B60" s="224">
        <v>128</v>
      </c>
      <c r="C60" s="225">
        <v>58.668167492120666</v>
      </c>
      <c r="D60" s="225">
        <f t="shared" ref="D60:D61" si="4">SUM(B60:C60)</f>
        <v>186.66816749212066</v>
      </c>
      <c r="E60" s="226">
        <f>ROUND(D60/References!$H$23,0)</f>
        <v>16</v>
      </c>
    </row>
    <row r="61" spans="1:8">
      <c r="A61" s="115" t="s">
        <v>295</v>
      </c>
      <c r="B61" s="224">
        <v>172.00025575447569</v>
      </c>
      <c r="C61" s="225">
        <v>96.999999999999986</v>
      </c>
      <c r="D61" s="225">
        <f t="shared" si="4"/>
        <v>269.00025575447569</v>
      </c>
      <c r="E61" s="226">
        <f>ROUND(D61/References!$H$23,0)</f>
        <v>22</v>
      </c>
    </row>
    <row r="62" spans="1:8">
      <c r="A62" s="115"/>
      <c r="B62" s="224"/>
      <c r="C62" s="225"/>
      <c r="D62" s="225"/>
      <c r="E62" s="226"/>
    </row>
    <row r="63" spans="1:8">
      <c r="A63" s="115" t="s">
        <v>296</v>
      </c>
      <c r="B63" s="224">
        <v>12062.0466779736</v>
      </c>
      <c r="C63" s="225">
        <v>4156.4880761005825</v>
      </c>
      <c r="D63" s="225">
        <f t="shared" ref="D63:D64" si="5">SUM(B63:C63)</f>
        <v>16218.534754074182</v>
      </c>
      <c r="E63" s="226">
        <f>ROUND(D63/References!$H$23,0)</f>
        <v>1352</v>
      </c>
    </row>
    <row r="64" spans="1:8">
      <c r="A64" s="115" t="s">
        <v>297</v>
      </c>
      <c r="B64" s="224">
        <v>4238</v>
      </c>
      <c r="C64" s="225">
        <v>1688</v>
      </c>
      <c r="D64" s="225">
        <f t="shared" si="5"/>
        <v>5926</v>
      </c>
      <c r="E64" s="226">
        <f>ROUND(D64/References!$H$23,0)</f>
        <v>494</v>
      </c>
    </row>
    <row r="65" spans="1:8">
      <c r="A65" s="115"/>
      <c r="B65" s="224"/>
      <c r="C65" s="225"/>
      <c r="D65" s="225"/>
      <c r="E65" s="226"/>
    </row>
    <row r="66" spans="1:8">
      <c r="A66" s="115" t="s">
        <v>262</v>
      </c>
      <c r="B66" s="224">
        <v>125.85064935064932</v>
      </c>
      <c r="C66" s="225">
        <v>97.688311688311714</v>
      </c>
      <c r="D66" s="225">
        <f t="shared" ref="D66:D70" si="6">SUM(B66:C66)</f>
        <v>223.53896103896102</v>
      </c>
      <c r="E66" s="226">
        <f>ROUND(D66/References!$H$23,0)</f>
        <v>19</v>
      </c>
    </row>
    <row r="67" spans="1:8">
      <c r="A67" s="115" t="s">
        <v>263</v>
      </c>
      <c r="B67" s="224">
        <v>36</v>
      </c>
      <c r="C67" s="225">
        <v>306.61165048543694</v>
      </c>
      <c r="D67" s="225">
        <f t="shared" si="6"/>
        <v>342.61165048543694</v>
      </c>
      <c r="E67" s="226">
        <f>ROUND(D67/References!$H$23,0)</f>
        <v>29</v>
      </c>
    </row>
    <row r="68" spans="1:8">
      <c r="A68" s="115" t="s">
        <v>298</v>
      </c>
      <c r="B68" s="224">
        <v>47.938461538461546</v>
      </c>
      <c r="C68" s="225">
        <v>111.42820512820514</v>
      </c>
      <c r="D68" s="225">
        <f t="shared" si="6"/>
        <v>159.36666666666667</v>
      </c>
      <c r="E68" s="226">
        <f>ROUND(D68/References!$H$23,0)</f>
        <v>13</v>
      </c>
    </row>
    <row r="69" spans="1:8">
      <c r="A69" s="115" t="s">
        <v>266</v>
      </c>
      <c r="B69" s="224">
        <v>0</v>
      </c>
      <c r="C69" s="225">
        <v>0</v>
      </c>
      <c r="D69" s="225">
        <f t="shared" si="6"/>
        <v>0</v>
      </c>
      <c r="E69" s="226">
        <f>ROUND(D69/References!$H$23,0)</f>
        <v>0</v>
      </c>
    </row>
    <row r="70" spans="1:8">
      <c r="A70" s="115" t="s">
        <v>264</v>
      </c>
      <c r="B70" s="224">
        <v>0</v>
      </c>
      <c r="C70" s="225">
        <v>0</v>
      </c>
      <c r="D70" s="225">
        <f t="shared" si="6"/>
        <v>0</v>
      </c>
      <c r="E70" s="226">
        <f>ROUND(D70/References!$H$23,0)</f>
        <v>0</v>
      </c>
    </row>
    <row r="71" spans="1:8">
      <c r="A71" s="115"/>
      <c r="B71" s="224"/>
      <c r="C71" s="225"/>
      <c r="D71" s="225"/>
      <c r="E71" s="226"/>
    </row>
    <row r="72" spans="1:8">
      <c r="A72" s="115" t="s">
        <v>273</v>
      </c>
      <c r="B72" s="224">
        <v>4385.8728943338429</v>
      </c>
      <c r="C72" s="225">
        <v>534.30321592649318</v>
      </c>
      <c r="D72" s="225">
        <f t="shared" ref="D72:D74" si="7">SUM(B72:C72)</f>
        <v>4920.1761102603359</v>
      </c>
      <c r="E72" s="226">
        <f>ROUND(D72/References!$H$23,0)</f>
        <v>410</v>
      </c>
    </row>
    <row r="73" spans="1:8">
      <c r="A73" s="115" t="s">
        <v>299</v>
      </c>
      <c r="B73" s="224">
        <v>0</v>
      </c>
      <c r="C73" s="225">
        <v>0</v>
      </c>
      <c r="D73" s="225">
        <f t="shared" si="7"/>
        <v>0</v>
      </c>
      <c r="E73" s="226">
        <f>ROUND(D73/References!$H$23,0)</f>
        <v>0</v>
      </c>
    </row>
    <row r="74" spans="1:8">
      <c r="A74" s="115" t="s">
        <v>275</v>
      </c>
      <c r="B74" s="224">
        <v>0</v>
      </c>
      <c r="C74" s="225">
        <v>0</v>
      </c>
      <c r="D74" s="225">
        <f t="shared" si="7"/>
        <v>0</v>
      </c>
      <c r="E74" s="226">
        <f>ROUND(D74/References!$H$23,0)</f>
        <v>0</v>
      </c>
    </row>
    <row r="75" spans="1:8">
      <c r="A75" s="115"/>
      <c r="B75" s="224"/>
      <c r="C75" s="225"/>
      <c r="D75" s="225"/>
      <c r="E75" s="226"/>
    </row>
    <row r="76" spans="1:8">
      <c r="A76" s="115" t="s">
        <v>279</v>
      </c>
      <c r="B76" s="224">
        <v>5273.5292601673182</v>
      </c>
      <c r="C76" s="225">
        <v>1172.7399226946436</v>
      </c>
      <c r="D76" s="225">
        <f t="shared" ref="D76:D85" si="8">SUM(B76:C76)</f>
        <v>6446.2691828619618</v>
      </c>
      <c r="E76" s="226">
        <f>ROUND(D76/References!$H$23,0)</f>
        <v>537</v>
      </c>
      <c r="G76" s="116"/>
      <c r="H76" s="116"/>
    </row>
    <row r="77" spans="1:8">
      <c r="A77" s="115" t="s">
        <v>280</v>
      </c>
      <c r="B77" s="224">
        <v>25</v>
      </c>
      <c r="C77" s="225">
        <v>0</v>
      </c>
      <c r="D77" s="225">
        <f t="shared" si="8"/>
        <v>25</v>
      </c>
      <c r="E77" s="226">
        <f>ROUND(D77/References!$H$23,0)</f>
        <v>2</v>
      </c>
      <c r="G77" s="116"/>
      <c r="H77" s="116"/>
    </row>
    <row r="78" spans="1:8">
      <c r="A78" s="115" t="s">
        <v>281</v>
      </c>
      <c r="B78" s="224">
        <v>670.58381910042658</v>
      </c>
      <c r="C78" s="225">
        <v>43.750175685172174</v>
      </c>
      <c r="D78" s="225">
        <f t="shared" si="8"/>
        <v>714.33399478559875</v>
      </c>
      <c r="E78" s="226">
        <f>ROUND(D78/References!$H$23,0)</f>
        <v>60</v>
      </c>
      <c r="G78" s="116"/>
      <c r="H78" s="116"/>
    </row>
    <row r="79" spans="1:8">
      <c r="A79" s="115" t="s">
        <v>282</v>
      </c>
      <c r="B79" s="224">
        <v>0</v>
      </c>
      <c r="C79" s="225">
        <v>0</v>
      </c>
      <c r="D79" s="225">
        <f t="shared" si="8"/>
        <v>0</v>
      </c>
      <c r="E79" s="226">
        <f>ROUND(D79/References!$H$23,0)</f>
        <v>0</v>
      </c>
      <c r="G79" s="116"/>
      <c r="H79" s="116"/>
    </row>
    <row r="80" spans="1:8">
      <c r="A80" s="115" t="s">
        <v>283</v>
      </c>
      <c r="B80" s="224">
        <v>83.499999999999986</v>
      </c>
      <c r="C80" s="225">
        <v>24</v>
      </c>
      <c r="D80" s="225">
        <f t="shared" si="8"/>
        <v>107.49999999999999</v>
      </c>
      <c r="E80" s="226">
        <f>ROUND(D80/References!$H$23,0)</f>
        <v>9</v>
      </c>
      <c r="G80" s="116"/>
      <c r="H80" s="116"/>
    </row>
    <row r="81" spans="1:8">
      <c r="A81" s="115" t="s">
        <v>284</v>
      </c>
      <c r="B81" s="224">
        <v>12</v>
      </c>
      <c r="C81" s="225">
        <v>0</v>
      </c>
      <c r="D81" s="225">
        <f t="shared" si="8"/>
        <v>12</v>
      </c>
      <c r="E81" s="226">
        <f>ROUND(D81/References!$H$23,0)</f>
        <v>1</v>
      </c>
      <c r="G81" s="116"/>
      <c r="H81" s="116"/>
    </row>
    <row r="82" spans="1:8">
      <c r="A82" s="115" t="s">
        <v>285</v>
      </c>
      <c r="B82" s="224">
        <v>45</v>
      </c>
      <c r="C82" s="225">
        <v>12</v>
      </c>
      <c r="D82" s="225">
        <f t="shared" si="8"/>
        <v>57</v>
      </c>
      <c r="E82" s="226">
        <f>ROUND(D82/References!$H$23,0)</f>
        <v>5</v>
      </c>
      <c r="G82" s="116"/>
      <c r="H82" s="116"/>
    </row>
    <row r="83" spans="1:8">
      <c r="A83" s="115" t="s">
        <v>286</v>
      </c>
      <c r="B83" s="224">
        <v>12</v>
      </c>
      <c r="C83" s="225">
        <v>0</v>
      </c>
      <c r="D83" s="225">
        <f t="shared" si="8"/>
        <v>12</v>
      </c>
      <c r="E83" s="226">
        <f>ROUND(D83/References!$H$23,0)</f>
        <v>1</v>
      </c>
      <c r="G83" s="116"/>
      <c r="H83" s="116"/>
    </row>
    <row r="84" spans="1:8">
      <c r="A84" s="115" t="s">
        <v>289</v>
      </c>
      <c r="B84" s="224">
        <v>0</v>
      </c>
      <c r="C84" s="225">
        <v>0</v>
      </c>
      <c r="D84" s="225">
        <f t="shared" si="8"/>
        <v>0</v>
      </c>
      <c r="E84" s="226">
        <f>ROUND(D84/References!$H$23,0)</f>
        <v>0</v>
      </c>
      <c r="G84" s="116"/>
      <c r="H84" s="116"/>
    </row>
    <row r="85" spans="1:8">
      <c r="A85" s="115" t="s">
        <v>291</v>
      </c>
      <c r="B85" s="224">
        <v>11</v>
      </c>
      <c r="C85" s="225">
        <v>0</v>
      </c>
      <c r="D85" s="225">
        <f t="shared" si="8"/>
        <v>11</v>
      </c>
      <c r="E85" s="226">
        <f>ROUND(D85/References!$H$23,0)</f>
        <v>1</v>
      </c>
      <c r="G85" s="116"/>
      <c r="H85" s="116"/>
    </row>
    <row r="86" spans="1:8">
      <c r="A86" s="115"/>
      <c r="B86" s="224"/>
      <c r="C86" s="225"/>
      <c r="D86" s="225"/>
      <c r="E86" s="226"/>
      <c r="G86" s="116"/>
      <c r="H86" s="116"/>
    </row>
    <row r="87" spans="1:8">
      <c r="A87" s="239" t="s">
        <v>300</v>
      </c>
      <c r="B87" s="224"/>
      <c r="C87" s="225"/>
      <c r="D87" s="225"/>
      <c r="E87" s="226"/>
      <c r="G87" s="116"/>
      <c r="H87" s="116"/>
    </row>
    <row r="88" spans="1:8">
      <c r="A88" s="115" t="s">
        <v>301</v>
      </c>
      <c r="B88" s="224">
        <v>3119.6526536042479</v>
      </c>
      <c r="C88" s="225">
        <v>568.23442555875363</v>
      </c>
      <c r="D88" s="225">
        <f t="shared" ref="D88:D111" si="9">SUM(B88:C88)</f>
        <v>3687.8870791630015</v>
      </c>
      <c r="E88" s="226">
        <f>ROUND(D88/References!$H$23,0)</f>
        <v>307</v>
      </c>
      <c r="G88" s="116"/>
      <c r="H88" s="116"/>
    </row>
    <row r="89" spans="1:8">
      <c r="A89" s="115" t="s">
        <v>302</v>
      </c>
      <c r="B89" s="224">
        <v>0</v>
      </c>
      <c r="C89" s="225">
        <v>0</v>
      </c>
      <c r="D89" s="225">
        <f t="shared" si="9"/>
        <v>0</v>
      </c>
      <c r="E89" s="226">
        <f>ROUND(D89/References!$H$23,0)</f>
        <v>0</v>
      </c>
      <c r="G89" s="116"/>
      <c r="H89" s="116"/>
    </row>
    <row r="90" spans="1:8">
      <c r="A90" s="115" t="s">
        <v>303</v>
      </c>
      <c r="B90" s="224">
        <v>475.49450112179204</v>
      </c>
      <c r="C90" s="225">
        <v>191.24998329881757</v>
      </c>
      <c r="D90" s="225">
        <f t="shared" si="9"/>
        <v>666.74448442060964</v>
      </c>
      <c r="E90" s="226">
        <f>ROUND(D90/References!$H$23,0)</f>
        <v>56</v>
      </c>
      <c r="G90" s="116"/>
      <c r="H90" s="116"/>
    </row>
    <row r="91" spans="1:8">
      <c r="A91" s="115" t="s">
        <v>304</v>
      </c>
      <c r="B91" s="224">
        <v>0</v>
      </c>
      <c r="C91" s="225">
        <v>24.000000000000004</v>
      </c>
      <c r="D91" s="225">
        <f t="shared" si="9"/>
        <v>24.000000000000004</v>
      </c>
      <c r="E91" s="226">
        <f>ROUND(D91/References!$H$23,0)</f>
        <v>2</v>
      </c>
      <c r="G91" s="116"/>
      <c r="H91" s="116"/>
    </row>
    <row r="92" spans="1:8">
      <c r="A92" s="115" t="s">
        <v>305</v>
      </c>
      <c r="B92" s="224">
        <v>0</v>
      </c>
      <c r="C92" s="225">
        <v>0</v>
      </c>
      <c r="D92" s="225">
        <f t="shared" si="9"/>
        <v>0</v>
      </c>
      <c r="E92" s="226">
        <f>ROUND(D92/References!$H$23,0)</f>
        <v>0</v>
      </c>
      <c r="G92" s="116"/>
      <c r="H92" s="116"/>
    </row>
    <row r="93" spans="1:8">
      <c r="A93" s="115" t="s">
        <v>306</v>
      </c>
      <c r="B93" s="224">
        <v>937.74179118926463</v>
      </c>
      <c r="C93" s="225">
        <v>806.0498814204401</v>
      </c>
      <c r="D93" s="225">
        <f t="shared" si="9"/>
        <v>1743.7916726097046</v>
      </c>
      <c r="E93" s="226">
        <f>ROUND(D93/References!$H$23,0)</f>
        <v>145</v>
      </c>
      <c r="G93" s="116"/>
      <c r="H93" s="116"/>
    </row>
    <row r="94" spans="1:8">
      <c r="A94" s="115" t="s">
        <v>307</v>
      </c>
      <c r="B94" s="224">
        <v>50.750013468013471</v>
      </c>
      <c r="C94" s="225">
        <v>72</v>
      </c>
      <c r="D94" s="225">
        <f t="shared" si="9"/>
        <v>122.75001346801346</v>
      </c>
      <c r="E94" s="226">
        <f>ROUND(D94/References!$H$23,0)</f>
        <v>10</v>
      </c>
      <c r="G94" s="116"/>
      <c r="H94" s="116"/>
    </row>
    <row r="95" spans="1:8">
      <c r="A95" s="115" t="s">
        <v>308</v>
      </c>
      <c r="B95" s="224">
        <v>22.58066369774458</v>
      </c>
      <c r="C95" s="225">
        <v>0</v>
      </c>
      <c r="D95" s="225">
        <f t="shared" si="9"/>
        <v>22.58066369774458</v>
      </c>
      <c r="E95" s="226">
        <f>ROUND(D95/References!$H$23,0)</f>
        <v>2</v>
      </c>
      <c r="G95" s="116"/>
      <c r="H95" s="116"/>
    </row>
    <row r="96" spans="1:8">
      <c r="A96" s="115" t="s">
        <v>309</v>
      </c>
      <c r="B96" s="224">
        <v>230.49893765724232</v>
      </c>
      <c r="C96" s="225">
        <v>40.999999999999993</v>
      </c>
      <c r="D96" s="225">
        <f t="shared" si="9"/>
        <v>271.49893765724232</v>
      </c>
      <c r="E96" s="226">
        <f>ROUND(D96/References!$H$23,0)</f>
        <v>23</v>
      </c>
      <c r="G96" s="116"/>
      <c r="H96" s="116"/>
    </row>
    <row r="97" spans="1:8">
      <c r="A97" s="115" t="s">
        <v>310</v>
      </c>
      <c r="B97" s="224">
        <v>11.999971677004559</v>
      </c>
      <c r="C97" s="225">
        <v>12</v>
      </c>
      <c r="D97" s="225">
        <f t="shared" si="9"/>
        <v>23.999971677004559</v>
      </c>
      <c r="E97" s="226">
        <f>ROUND(D97/References!$H$23,0)</f>
        <v>2</v>
      </c>
      <c r="G97" s="116"/>
      <c r="H97" s="116"/>
    </row>
    <row r="98" spans="1:8">
      <c r="A98" s="115" t="s">
        <v>311</v>
      </c>
      <c r="B98" s="224">
        <v>0</v>
      </c>
      <c r="C98" s="225">
        <v>0</v>
      </c>
      <c r="D98" s="225">
        <f t="shared" si="9"/>
        <v>0</v>
      </c>
      <c r="E98" s="226">
        <f>ROUND(D98/References!$H$23,0)</f>
        <v>0</v>
      </c>
      <c r="G98" s="116"/>
      <c r="H98" s="116"/>
    </row>
    <row r="99" spans="1:8">
      <c r="A99" s="115" t="s">
        <v>312</v>
      </c>
      <c r="B99" s="224">
        <v>266.99915505263021</v>
      </c>
      <c r="C99" s="225">
        <v>84</v>
      </c>
      <c r="D99" s="225">
        <f t="shared" si="9"/>
        <v>350.99915505263021</v>
      </c>
      <c r="E99" s="226">
        <f>ROUND(D99/References!$H$23,0)</f>
        <v>29</v>
      </c>
      <c r="G99" s="116"/>
      <c r="H99" s="116"/>
    </row>
    <row r="100" spans="1:8">
      <c r="A100" s="115" t="s">
        <v>313</v>
      </c>
      <c r="B100" s="224">
        <v>174.67744400898127</v>
      </c>
      <c r="C100" s="225">
        <v>48.000000000000007</v>
      </c>
      <c r="D100" s="225">
        <f t="shared" si="9"/>
        <v>222.67744400898127</v>
      </c>
      <c r="E100" s="226">
        <f>ROUND(D100/References!$H$23,0)</f>
        <v>19</v>
      </c>
      <c r="G100" s="116"/>
      <c r="H100" s="116"/>
    </row>
    <row r="101" spans="1:8">
      <c r="A101" s="115" t="s">
        <v>314</v>
      </c>
      <c r="B101" s="224">
        <v>23.999999999999996</v>
      </c>
      <c r="C101" s="225">
        <v>0</v>
      </c>
      <c r="D101" s="225">
        <f t="shared" si="9"/>
        <v>23.999999999999996</v>
      </c>
      <c r="E101" s="226">
        <f>ROUND(D101/References!$H$23,0)</f>
        <v>2</v>
      </c>
      <c r="G101" s="116"/>
      <c r="H101" s="116"/>
    </row>
    <row r="102" spans="1:8">
      <c r="A102" s="115" t="s">
        <v>315</v>
      </c>
      <c r="B102" s="224">
        <v>0</v>
      </c>
      <c r="C102" s="225">
        <v>0</v>
      </c>
      <c r="D102" s="225">
        <f t="shared" si="9"/>
        <v>0</v>
      </c>
      <c r="E102" s="226">
        <f>ROUND(D102/References!$H$23,0)</f>
        <v>0</v>
      </c>
      <c r="G102" s="116"/>
      <c r="H102" s="116"/>
    </row>
    <row r="103" spans="1:8">
      <c r="A103" s="115" t="s">
        <v>316</v>
      </c>
      <c r="B103" s="224">
        <v>101.95609756097561</v>
      </c>
      <c r="C103" s="225">
        <v>44.672045028142598</v>
      </c>
      <c r="D103" s="225">
        <f t="shared" si="9"/>
        <v>146.6281425891182</v>
      </c>
      <c r="E103" s="226">
        <f>ROUND(D103/References!$H$23,0)</f>
        <v>12</v>
      </c>
      <c r="G103" s="116"/>
      <c r="H103" s="116"/>
    </row>
    <row r="104" spans="1:8">
      <c r="A104" s="115" t="s">
        <v>317</v>
      </c>
      <c r="B104" s="224">
        <v>4</v>
      </c>
      <c r="C104" s="225">
        <v>0</v>
      </c>
      <c r="D104" s="225">
        <f t="shared" si="9"/>
        <v>4</v>
      </c>
      <c r="E104" s="226">
        <f>ROUND(D104/References!$H$23,0)</f>
        <v>0</v>
      </c>
    </row>
    <row r="105" spans="1:8">
      <c r="A105" s="115" t="s">
        <v>318</v>
      </c>
      <c r="B105" s="224">
        <v>240.24221149627033</v>
      </c>
      <c r="C105" s="225">
        <v>71.765508138033795</v>
      </c>
      <c r="D105" s="225">
        <f t="shared" si="9"/>
        <v>312.00771963430412</v>
      </c>
      <c r="E105" s="226">
        <f>ROUND(D105/References!$H$23,0)</f>
        <v>26</v>
      </c>
    </row>
    <row r="106" spans="1:8">
      <c r="A106" s="115"/>
      <c r="B106" s="224"/>
      <c r="C106" s="225"/>
      <c r="D106" s="225"/>
      <c r="E106" s="226"/>
    </row>
    <row r="107" spans="1:8">
      <c r="A107" s="115" t="s">
        <v>319</v>
      </c>
      <c r="B107" s="224">
        <v>15</v>
      </c>
      <c r="C107" s="225">
        <v>7.0000000000000009</v>
      </c>
      <c r="D107" s="225">
        <f t="shared" si="9"/>
        <v>22</v>
      </c>
      <c r="E107" s="226">
        <f>ROUND(D107/References!$H$23,0)</f>
        <v>2</v>
      </c>
    </row>
    <row r="108" spans="1:8">
      <c r="A108" s="115" t="s">
        <v>320</v>
      </c>
      <c r="B108" s="224">
        <v>1</v>
      </c>
      <c r="C108" s="225">
        <v>0</v>
      </c>
      <c r="D108" s="225">
        <f t="shared" si="9"/>
        <v>1</v>
      </c>
      <c r="E108" s="226">
        <f>ROUND(D108/References!$H$23,0)</f>
        <v>0</v>
      </c>
    </row>
    <row r="109" spans="1:8">
      <c r="A109" s="115" t="s">
        <v>321</v>
      </c>
      <c r="B109" s="224">
        <v>13</v>
      </c>
      <c r="C109" s="225">
        <v>15.031154014918826</v>
      </c>
      <c r="D109" s="225">
        <f t="shared" si="9"/>
        <v>28.031154014918826</v>
      </c>
      <c r="E109" s="226">
        <f>ROUND(D109/References!$H$23,0)</f>
        <v>2</v>
      </c>
    </row>
    <row r="110" spans="1:8">
      <c r="A110" s="115" t="s">
        <v>322</v>
      </c>
      <c r="B110" s="224">
        <v>4</v>
      </c>
      <c r="C110" s="225">
        <v>0</v>
      </c>
      <c r="D110" s="225">
        <f t="shared" si="9"/>
        <v>4</v>
      </c>
      <c r="E110" s="226">
        <f>ROUND(D110/References!$H$23,0)</f>
        <v>0</v>
      </c>
    </row>
    <row r="111" spans="1:8">
      <c r="A111" s="115" t="s">
        <v>323</v>
      </c>
      <c r="B111" s="224">
        <v>5.0000000000000009</v>
      </c>
      <c r="C111" s="225">
        <v>0</v>
      </c>
      <c r="D111" s="225">
        <f t="shared" si="9"/>
        <v>5.0000000000000009</v>
      </c>
      <c r="E111" s="226">
        <f>ROUND(D111/References!$H$23,0)</f>
        <v>0</v>
      </c>
    </row>
    <row r="112" spans="1:8">
      <c r="A112" s="239"/>
      <c r="B112" s="224"/>
      <c r="C112" s="225"/>
      <c r="D112" s="225"/>
      <c r="E112" s="226"/>
    </row>
    <row r="113" spans="1:5">
      <c r="A113" s="238" t="s">
        <v>324</v>
      </c>
      <c r="B113" s="224"/>
      <c r="C113" s="229"/>
      <c r="D113" s="229"/>
      <c r="E113" s="226"/>
    </row>
    <row r="114" spans="1:5">
      <c r="A114" s="115" t="s">
        <v>325</v>
      </c>
      <c r="B114" s="224">
        <v>4373.3961604131091</v>
      </c>
      <c r="C114" s="225">
        <v>1567.2692410658515</v>
      </c>
      <c r="D114" s="225">
        <f t="shared" ref="D114:D125" si="10">SUM(B114:C114)</f>
        <v>5940.6654014789601</v>
      </c>
      <c r="E114" s="226">
        <f>ROUND(D114/References!$H$23,0)</f>
        <v>495</v>
      </c>
    </row>
    <row r="115" spans="1:5">
      <c r="A115" s="115"/>
      <c r="B115" s="224"/>
      <c r="C115" s="225"/>
      <c r="D115" s="225"/>
      <c r="E115" s="226"/>
    </row>
    <row r="116" spans="1:5">
      <c r="A116" s="115" t="s">
        <v>326</v>
      </c>
      <c r="B116" s="224">
        <v>1292.6460649177413</v>
      </c>
      <c r="C116" s="225">
        <v>630.50022232103163</v>
      </c>
      <c r="D116" s="225">
        <f t="shared" si="10"/>
        <v>1923.1462872387729</v>
      </c>
      <c r="E116" s="226">
        <f>ROUND(D116/References!$H$23,0)</f>
        <v>160</v>
      </c>
    </row>
    <row r="117" spans="1:5">
      <c r="A117" s="115" t="s">
        <v>327</v>
      </c>
      <c r="B117" s="224">
        <v>173.21410256410255</v>
      </c>
      <c r="C117" s="225">
        <v>296.82179487179485</v>
      </c>
      <c r="D117" s="225">
        <f t="shared" si="10"/>
        <v>470.03589743589737</v>
      </c>
      <c r="E117" s="226">
        <f>ROUND(D117/References!$H$23,0)</f>
        <v>39</v>
      </c>
    </row>
    <row r="118" spans="1:5">
      <c r="A118" s="115" t="s">
        <v>328</v>
      </c>
      <c r="B118" s="224">
        <v>57.691558441558435</v>
      </c>
      <c r="C118" s="225">
        <v>38.311688311688314</v>
      </c>
      <c r="D118" s="225">
        <f t="shared" si="10"/>
        <v>96.003246753246742</v>
      </c>
      <c r="E118" s="226">
        <f>ROUND(D118/References!$H$23,0)</f>
        <v>8</v>
      </c>
    </row>
    <row r="119" spans="1:5">
      <c r="A119" s="115"/>
      <c r="B119" s="224"/>
      <c r="C119" s="225"/>
      <c r="D119" s="225"/>
      <c r="E119" s="226"/>
    </row>
    <row r="120" spans="1:5">
      <c r="A120" s="115" t="s">
        <v>262</v>
      </c>
      <c r="B120" s="224">
        <v>151.96320346320343</v>
      </c>
      <c r="C120" s="225">
        <v>127.59523809523809</v>
      </c>
      <c r="D120" s="225">
        <f t="shared" si="10"/>
        <v>279.55844155844153</v>
      </c>
      <c r="E120" s="226">
        <f>ROUND(D120/References!$H$23,0)</f>
        <v>23</v>
      </c>
    </row>
    <row r="121" spans="1:5">
      <c r="A121" s="115" t="s">
        <v>263</v>
      </c>
      <c r="B121" s="224">
        <v>76.999999999999986</v>
      </c>
      <c r="C121" s="225">
        <v>67.582524271844648</v>
      </c>
      <c r="D121" s="225">
        <f t="shared" si="10"/>
        <v>144.58252427184465</v>
      </c>
      <c r="E121" s="226">
        <f>ROUND(D121/References!$H$23,0)</f>
        <v>12</v>
      </c>
    </row>
    <row r="122" spans="1:5">
      <c r="A122" s="115" t="s">
        <v>265</v>
      </c>
      <c r="B122" s="224">
        <v>0</v>
      </c>
      <c r="C122" s="225">
        <v>0</v>
      </c>
      <c r="D122" s="225">
        <f t="shared" si="10"/>
        <v>0</v>
      </c>
      <c r="E122" s="226">
        <f>ROUND(D122/References!$H$23,0)</f>
        <v>0</v>
      </c>
    </row>
    <row r="123" spans="1:5">
      <c r="A123" s="115" t="s">
        <v>329</v>
      </c>
      <c r="B123" s="224">
        <v>4.5066666666666668</v>
      </c>
      <c r="C123" s="225">
        <v>0</v>
      </c>
      <c r="D123" s="225">
        <f t="shared" si="10"/>
        <v>4.5066666666666668</v>
      </c>
      <c r="E123" s="226">
        <f>ROUND(D123/References!$H$23,0)</f>
        <v>0</v>
      </c>
    </row>
    <row r="124" spans="1:5">
      <c r="A124" s="115" t="s">
        <v>330</v>
      </c>
      <c r="B124" s="224">
        <v>52.190624999999997</v>
      </c>
      <c r="C124" s="225">
        <v>0.29062500000000002</v>
      </c>
      <c r="D124" s="225">
        <f t="shared" si="10"/>
        <v>52.481249999999996</v>
      </c>
      <c r="E124" s="226">
        <f>ROUND(D124/References!$H$23,0)</f>
        <v>4</v>
      </c>
    </row>
    <row r="125" spans="1:5">
      <c r="A125" s="115" t="s">
        <v>331</v>
      </c>
      <c r="B125" s="224">
        <v>73.999999999999986</v>
      </c>
      <c r="C125" s="225">
        <v>27</v>
      </c>
      <c r="D125" s="225">
        <f t="shared" si="10"/>
        <v>100.99999999999999</v>
      </c>
      <c r="E125" s="226">
        <f>ROUND(D125/References!$H$23,0)</f>
        <v>8</v>
      </c>
    </row>
    <row r="126" spans="1:5">
      <c r="A126" s="115"/>
      <c r="B126" s="224"/>
      <c r="C126" s="225"/>
      <c r="D126" s="225"/>
      <c r="E126" s="226"/>
    </row>
    <row r="127" spans="1:5">
      <c r="A127" s="115" t="s">
        <v>268</v>
      </c>
      <c r="B127" s="224">
        <v>0</v>
      </c>
      <c r="C127" s="225">
        <v>0</v>
      </c>
      <c r="D127" s="225"/>
      <c r="E127" s="226"/>
    </row>
    <row r="128" spans="1:5">
      <c r="A128" s="115"/>
      <c r="B128" s="224"/>
      <c r="C128" s="225"/>
      <c r="D128" s="225"/>
      <c r="E128" s="226"/>
    </row>
    <row r="129" spans="1:8">
      <c r="A129" s="115" t="s">
        <v>332</v>
      </c>
      <c r="B129" s="224">
        <v>848.97596111742132</v>
      </c>
      <c r="C129" s="225">
        <v>665.50142636275336</v>
      </c>
      <c r="D129" s="225">
        <f t="shared" ref="D129:D134" si="11">SUM(B129:C129)</f>
        <v>1514.4773874801747</v>
      </c>
      <c r="E129" s="226">
        <f>ROUND(D129/References!$H$23,0)</f>
        <v>126</v>
      </c>
      <c r="G129" s="116"/>
      <c r="H129" s="116"/>
    </row>
    <row r="130" spans="1:8">
      <c r="A130" s="115" t="s">
        <v>333</v>
      </c>
      <c r="B130" s="224">
        <v>331.23951795583002</v>
      </c>
      <c r="C130" s="225">
        <v>274.23508794992335</v>
      </c>
      <c r="D130" s="225">
        <f t="shared" si="11"/>
        <v>605.47460590575338</v>
      </c>
      <c r="E130" s="226">
        <f>ROUND(D130/References!$H$23,0)</f>
        <v>50</v>
      </c>
      <c r="G130" s="116"/>
      <c r="H130" s="116"/>
    </row>
    <row r="131" spans="1:8">
      <c r="A131" s="115" t="s">
        <v>334</v>
      </c>
      <c r="B131" s="224">
        <v>57</v>
      </c>
      <c r="C131" s="225">
        <v>48.250049222287856</v>
      </c>
      <c r="D131" s="225">
        <f t="shared" si="11"/>
        <v>105.25004922228786</v>
      </c>
      <c r="E131" s="226">
        <f>ROUND(D131/References!$H$23,0)</f>
        <v>9</v>
      </c>
      <c r="G131" s="116"/>
      <c r="H131" s="116"/>
    </row>
    <row r="132" spans="1:8">
      <c r="A132" s="115" t="s">
        <v>335</v>
      </c>
      <c r="B132" s="224">
        <v>0</v>
      </c>
      <c r="C132" s="225">
        <v>12.000000000000002</v>
      </c>
      <c r="D132" s="225">
        <f t="shared" si="11"/>
        <v>12.000000000000002</v>
      </c>
      <c r="E132" s="226">
        <f>ROUND(D132/References!$H$23,0)</f>
        <v>1</v>
      </c>
      <c r="G132" s="116"/>
      <c r="H132" s="116"/>
    </row>
    <row r="133" spans="1:8">
      <c r="A133" s="115" t="s">
        <v>336</v>
      </c>
      <c r="B133" s="224">
        <v>0</v>
      </c>
      <c r="C133" s="225">
        <v>0</v>
      </c>
      <c r="D133" s="225">
        <f t="shared" si="11"/>
        <v>0</v>
      </c>
      <c r="E133" s="226">
        <f>ROUND(D133/References!$H$23,0)</f>
        <v>0</v>
      </c>
      <c r="G133" s="116"/>
      <c r="H133" s="116"/>
    </row>
    <row r="134" spans="1:8">
      <c r="A134" s="115" t="s">
        <v>337</v>
      </c>
      <c r="B134" s="224">
        <v>1</v>
      </c>
      <c r="C134" s="225">
        <v>2</v>
      </c>
      <c r="D134" s="225">
        <f t="shared" si="11"/>
        <v>3</v>
      </c>
      <c r="E134" s="226">
        <f>ROUND(D134/References!$H$23,0)</f>
        <v>0</v>
      </c>
      <c r="G134" s="116"/>
      <c r="H134" s="116"/>
    </row>
    <row r="135" spans="1:8">
      <c r="A135" s="115"/>
      <c r="B135" s="224"/>
      <c r="C135" s="225"/>
      <c r="D135" s="225"/>
      <c r="E135" s="226"/>
      <c r="G135" s="116"/>
      <c r="H135" s="116"/>
    </row>
    <row r="136" spans="1:8">
      <c r="A136" s="115" t="s">
        <v>338</v>
      </c>
      <c r="B136" s="224">
        <v>100.49997152943854</v>
      </c>
      <c r="C136" s="225">
        <v>36</v>
      </c>
      <c r="D136" s="225">
        <f t="shared" ref="D136:D168" si="12">SUM(B136:C136)</f>
        <v>136.49997152943854</v>
      </c>
      <c r="E136" s="226">
        <f>ROUND(D136/References!$H$23,0)</f>
        <v>11</v>
      </c>
      <c r="G136" s="116"/>
      <c r="H136" s="116"/>
    </row>
    <row r="137" spans="1:8">
      <c r="A137" s="115" t="s">
        <v>339</v>
      </c>
      <c r="B137" s="224">
        <v>25.242659188386668</v>
      </c>
      <c r="C137" s="225">
        <v>12</v>
      </c>
      <c r="D137" s="225">
        <f t="shared" si="12"/>
        <v>37.242659188386668</v>
      </c>
      <c r="E137" s="226">
        <f>ROUND(D137/References!$H$23,0)</f>
        <v>3</v>
      </c>
      <c r="G137" s="116"/>
      <c r="H137" s="116"/>
    </row>
    <row r="138" spans="1:8">
      <c r="A138" s="115" t="s">
        <v>305</v>
      </c>
      <c r="B138" s="224">
        <v>0</v>
      </c>
      <c r="C138" s="225">
        <v>0</v>
      </c>
      <c r="D138" s="225">
        <f t="shared" si="12"/>
        <v>0</v>
      </c>
      <c r="E138" s="226">
        <f>ROUND(D138/References!$H$23,0)</f>
        <v>0</v>
      </c>
      <c r="G138" s="116"/>
      <c r="H138" s="116"/>
    </row>
    <row r="139" spans="1:8">
      <c r="A139" s="115" t="s">
        <v>340</v>
      </c>
      <c r="B139" s="224">
        <v>398.91441420699459</v>
      </c>
      <c r="C139" s="225">
        <v>108.5</v>
      </c>
      <c r="D139" s="225">
        <f t="shared" si="12"/>
        <v>507.41441420699459</v>
      </c>
      <c r="E139" s="226">
        <f>ROUND(D139/References!$H$23,0)</f>
        <v>42</v>
      </c>
      <c r="G139" s="116"/>
      <c r="H139" s="116"/>
    </row>
    <row r="140" spans="1:8">
      <c r="A140" s="115" t="s">
        <v>341</v>
      </c>
      <c r="B140" s="224">
        <v>40.375033479152137</v>
      </c>
      <c r="C140" s="225">
        <v>0</v>
      </c>
      <c r="D140" s="225">
        <f t="shared" si="12"/>
        <v>40.375033479152137</v>
      </c>
      <c r="E140" s="226">
        <f>ROUND(D140/References!$H$23,0)</f>
        <v>3</v>
      </c>
      <c r="G140" s="116"/>
      <c r="H140" s="116"/>
    </row>
    <row r="141" spans="1:8">
      <c r="A141" s="115" t="s">
        <v>308</v>
      </c>
      <c r="B141" s="224">
        <v>23.999999999999996</v>
      </c>
      <c r="C141" s="225">
        <v>0</v>
      </c>
      <c r="D141" s="225">
        <f t="shared" si="12"/>
        <v>23.999999999999996</v>
      </c>
      <c r="E141" s="226">
        <f>ROUND(D141/References!$H$23,0)</f>
        <v>2</v>
      </c>
      <c r="G141" s="116"/>
      <c r="H141" s="116"/>
    </row>
    <row r="142" spans="1:8">
      <c r="A142" s="115" t="s">
        <v>342</v>
      </c>
      <c r="B142" s="224">
        <v>1687.0002140453096</v>
      </c>
      <c r="C142" s="225">
        <v>568.73454654569855</v>
      </c>
      <c r="D142" s="225">
        <f t="shared" si="12"/>
        <v>2255.7347605910081</v>
      </c>
      <c r="E142" s="226">
        <f>ROUND(D142/References!$H$23,0)</f>
        <v>188</v>
      </c>
      <c r="G142" s="116"/>
      <c r="H142" s="116"/>
    </row>
    <row r="143" spans="1:8">
      <c r="A143" s="115" t="s">
        <v>343</v>
      </c>
      <c r="B143" s="224">
        <v>262.22224379567194</v>
      </c>
      <c r="C143" s="225">
        <v>130.37501323825325</v>
      </c>
      <c r="D143" s="225">
        <f t="shared" si="12"/>
        <v>392.59725703392519</v>
      </c>
      <c r="E143" s="226">
        <f>ROUND(D143/References!$H$23,0)</f>
        <v>33</v>
      </c>
      <c r="G143" s="116"/>
      <c r="H143" s="116"/>
    </row>
    <row r="144" spans="1:8">
      <c r="A144" s="115" t="s">
        <v>311</v>
      </c>
      <c r="B144" s="224">
        <v>37.16667849600173</v>
      </c>
      <c r="C144" s="225">
        <v>0</v>
      </c>
      <c r="D144" s="225">
        <f t="shared" si="12"/>
        <v>37.16667849600173</v>
      </c>
      <c r="E144" s="226">
        <f>ROUND(D144/References!$H$23,0)</f>
        <v>3</v>
      </c>
      <c r="G144" s="116"/>
      <c r="H144" s="116"/>
    </row>
    <row r="145" spans="1:8">
      <c r="A145" s="115" t="s">
        <v>417</v>
      </c>
      <c r="B145" s="224">
        <v>11.750002252881435</v>
      </c>
      <c r="C145" s="225">
        <v>0</v>
      </c>
      <c r="D145" s="225">
        <f t="shared" si="12"/>
        <v>11.750002252881435</v>
      </c>
      <c r="E145" s="226">
        <f>ROUND(D145/References!$H$23,0)</f>
        <v>1</v>
      </c>
      <c r="G145" s="116"/>
      <c r="H145" s="116"/>
    </row>
    <row r="146" spans="1:8">
      <c r="A146" s="115" t="s">
        <v>344</v>
      </c>
      <c r="B146" s="224">
        <v>1099.1254531066525</v>
      </c>
      <c r="C146" s="225">
        <v>490.83337162403637</v>
      </c>
      <c r="D146" s="225">
        <f t="shared" si="12"/>
        <v>1589.9588247306888</v>
      </c>
      <c r="E146" s="226">
        <f>ROUND(D146/References!$H$23,0)</f>
        <v>132</v>
      </c>
      <c r="G146" s="116"/>
      <c r="H146" s="116"/>
    </row>
    <row r="147" spans="1:8">
      <c r="A147" s="115" t="s">
        <v>345</v>
      </c>
      <c r="B147" s="224">
        <v>689.69451313865659</v>
      </c>
      <c r="C147" s="225">
        <v>401.75002233652845</v>
      </c>
      <c r="D147" s="225">
        <f t="shared" si="12"/>
        <v>1091.4445354751851</v>
      </c>
      <c r="E147" s="226">
        <f>ROUND(D147/References!$H$23,0)</f>
        <v>91</v>
      </c>
      <c r="G147" s="116"/>
      <c r="H147" s="116"/>
    </row>
    <row r="148" spans="1:8">
      <c r="A148" s="115" t="s">
        <v>314</v>
      </c>
      <c r="B148" s="224">
        <v>167.4935883799491</v>
      </c>
      <c r="C148" s="225">
        <v>0</v>
      </c>
      <c r="D148" s="225">
        <f t="shared" si="12"/>
        <v>167.4935883799491</v>
      </c>
      <c r="E148" s="226">
        <f>ROUND(D148/References!$H$23,0)</f>
        <v>14</v>
      </c>
      <c r="G148" s="116"/>
      <c r="H148" s="116"/>
    </row>
    <row r="149" spans="1:8">
      <c r="A149" s="115" t="s">
        <v>315</v>
      </c>
      <c r="B149" s="224">
        <v>47.375004853007525</v>
      </c>
      <c r="C149" s="225">
        <v>0</v>
      </c>
      <c r="D149" s="225">
        <f t="shared" si="12"/>
        <v>47.375004853007525</v>
      </c>
      <c r="E149" s="226">
        <f>ROUND(D149/References!$H$23,0)</f>
        <v>4</v>
      </c>
      <c r="G149" s="116"/>
      <c r="H149" s="116"/>
    </row>
    <row r="150" spans="1:8">
      <c r="A150" s="115" t="s">
        <v>346</v>
      </c>
      <c r="B150" s="224">
        <v>39.649998978904165</v>
      </c>
      <c r="C150" s="225">
        <v>0</v>
      </c>
      <c r="D150" s="225">
        <f t="shared" si="12"/>
        <v>39.649998978904165</v>
      </c>
      <c r="E150" s="226">
        <f>D150/References!H23</f>
        <v>3.3041665815753469</v>
      </c>
      <c r="G150" s="116"/>
      <c r="H150" s="116"/>
    </row>
    <row r="151" spans="1:8">
      <c r="A151" s="115" t="s">
        <v>347</v>
      </c>
      <c r="B151" s="224">
        <v>11.999999999999998</v>
      </c>
      <c r="C151" s="225">
        <v>0</v>
      </c>
      <c r="D151" s="225">
        <f t="shared" si="12"/>
        <v>11.999999999999998</v>
      </c>
      <c r="E151" s="226">
        <f>ROUND(D151/References!$H$23,0)</f>
        <v>1</v>
      </c>
      <c r="G151" s="116"/>
      <c r="H151" s="116"/>
    </row>
    <row r="152" spans="1:8">
      <c r="A152" s="115" t="s">
        <v>348</v>
      </c>
      <c r="B152" s="224">
        <v>0</v>
      </c>
      <c r="C152" s="225">
        <v>0</v>
      </c>
      <c r="D152" s="225">
        <f t="shared" si="12"/>
        <v>0</v>
      </c>
      <c r="E152" s="226">
        <f>ROUND(D152/References!$H$23,0)</f>
        <v>0</v>
      </c>
      <c r="G152" s="116"/>
      <c r="H152" s="116"/>
    </row>
    <row r="153" spans="1:8">
      <c r="A153" s="115" t="s">
        <v>349</v>
      </c>
      <c r="B153" s="224">
        <v>12.241522137619855</v>
      </c>
      <c r="C153" s="225">
        <v>0</v>
      </c>
      <c r="D153" s="225">
        <f t="shared" si="12"/>
        <v>12.241522137619855</v>
      </c>
      <c r="E153" s="226">
        <f>ROUND(D153/References!$H$23,0)</f>
        <v>1</v>
      </c>
      <c r="G153" s="116"/>
      <c r="H153" s="116"/>
    </row>
    <row r="154" spans="1:8">
      <c r="A154" s="115" t="s">
        <v>350</v>
      </c>
      <c r="B154" s="224">
        <v>11.999999999999998</v>
      </c>
      <c r="C154" s="225">
        <v>0</v>
      </c>
      <c r="D154" s="225">
        <f t="shared" si="12"/>
        <v>11.999999999999998</v>
      </c>
      <c r="E154" s="226">
        <f>ROUND(D154/References!$H$23,0)</f>
        <v>1</v>
      </c>
      <c r="G154" s="116"/>
      <c r="H154" s="116"/>
    </row>
    <row r="155" spans="1:8">
      <c r="A155" s="115" t="s">
        <v>351</v>
      </c>
      <c r="B155" s="224">
        <v>13</v>
      </c>
      <c r="C155" s="225">
        <v>0</v>
      </c>
      <c r="D155" s="225">
        <f t="shared" si="12"/>
        <v>13</v>
      </c>
      <c r="E155" s="226">
        <f>ROUND(D155/References!$H$23,0)</f>
        <v>1</v>
      </c>
      <c r="G155" s="116"/>
      <c r="H155" s="116"/>
    </row>
    <row r="156" spans="1:8">
      <c r="A156" s="115" t="s">
        <v>352</v>
      </c>
      <c r="B156" s="224">
        <v>0</v>
      </c>
      <c r="C156" s="225">
        <v>0</v>
      </c>
      <c r="D156" s="225">
        <f t="shared" si="12"/>
        <v>0</v>
      </c>
      <c r="E156" s="226">
        <f>ROUND(D156/References!$H$23,0)</f>
        <v>0</v>
      </c>
      <c r="G156" s="116"/>
      <c r="H156" s="116"/>
    </row>
    <row r="157" spans="1:8">
      <c r="A157" s="115" t="s">
        <v>353</v>
      </c>
      <c r="B157" s="224">
        <v>0</v>
      </c>
      <c r="C157" s="225">
        <v>0</v>
      </c>
      <c r="D157" s="225">
        <f t="shared" si="12"/>
        <v>0</v>
      </c>
      <c r="E157" s="226">
        <f>ROUND(D157/References!$H$23,0)</f>
        <v>0</v>
      </c>
      <c r="G157" s="116"/>
      <c r="H157" s="116"/>
    </row>
    <row r="158" spans="1:8">
      <c r="A158" s="240" t="s">
        <v>354</v>
      </c>
      <c r="B158" s="224">
        <v>0</v>
      </c>
      <c r="C158" s="225">
        <v>12</v>
      </c>
      <c r="D158" s="225">
        <f t="shared" si="12"/>
        <v>12</v>
      </c>
      <c r="E158" s="226">
        <f>ROUND(D158/References!$H$23,0)</f>
        <v>1</v>
      </c>
      <c r="G158" s="116"/>
      <c r="H158" s="116"/>
    </row>
    <row r="159" spans="1:8">
      <c r="A159" s="115" t="s">
        <v>355</v>
      </c>
      <c r="B159" s="224">
        <v>0</v>
      </c>
      <c r="C159" s="225">
        <v>0</v>
      </c>
      <c r="D159" s="225">
        <f t="shared" si="12"/>
        <v>0</v>
      </c>
      <c r="E159" s="226">
        <f>ROUND(D159/References!$H$23,0)</f>
        <v>0</v>
      </c>
      <c r="G159" s="116"/>
      <c r="H159" s="116"/>
    </row>
    <row r="160" spans="1:8">
      <c r="A160" s="115" t="s">
        <v>356</v>
      </c>
      <c r="B160" s="224">
        <v>9.250001946418978</v>
      </c>
      <c r="C160" s="225">
        <v>0</v>
      </c>
      <c r="D160" s="225">
        <f t="shared" si="12"/>
        <v>9.250001946418978</v>
      </c>
      <c r="E160" s="226">
        <f>D160/References!H23</f>
        <v>0.77083349553491487</v>
      </c>
      <c r="G160" s="116"/>
      <c r="H160" s="116"/>
    </row>
    <row r="161" spans="1:8">
      <c r="A161" s="115" t="s">
        <v>357</v>
      </c>
      <c r="B161" s="224">
        <v>0</v>
      </c>
      <c r="C161" s="225">
        <v>0</v>
      </c>
      <c r="D161" s="225">
        <f t="shared" si="12"/>
        <v>0</v>
      </c>
      <c r="E161" s="226">
        <f>ROUND(D161/References!$H$23,0)</f>
        <v>0</v>
      </c>
      <c r="G161" s="116"/>
      <c r="H161" s="116"/>
    </row>
    <row r="162" spans="1:8">
      <c r="A162" s="115" t="s">
        <v>358</v>
      </c>
      <c r="B162" s="224">
        <v>0</v>
      </c>
      <c r="C162" s="225">
        <v>0</v>
      </c>
      <c r="D162" s="225">
        <f t="shared" si="12"/>
        <v>0</v>
      </c>
      <c r="E162" s="226">
        <f>ROUND(D162/References!$H$23,0)</f>
        <v>0</v>
      </c>
      <c r="G162" s="116"/>
      <c r="H162" s="116"/>
    </row>
    <row r="163" spans="1:8">
      <c r="A163" s="240" t="s">
        <v>359</v>
      </c>
      <c r="B163" s="224">
        <v>0</v>
      </c>
      <c r="C163" s="225">
        <v>0</v>
      </c>
      <c r="D163" s="225">
        <f t="shared" si="12"/>
        <v>0</v>
      </c>
      <c r="E163" s="226">
        <f>ROUND(D163/References!$H$23,0)</f>
        <v>0</v>
      </c>
      <c r="G163" s="116"/>
      <c r="H163" s="116"/>
    </row>
    <row r="164" spans="1:8">
      <c r="A164" s="240" t="s">
        <v>360</v>
      </c>
      <c r="B164" s="224">
        <v>0</v>
      </c>
      <c r="C164" s="225">
        <v>12</v>
      </c>
      <c r="D164" s="225">
        <f t="shared" si="12"/>
        <v>12</v>
      </c>
      <c r="E164" s="226">
        <f>ROUND(D164/References!$H$23,0)</f>
        <v>1</v>
      </c>
      <c r="G164" s="116"/>
      <c r="H164" s="116"/>
    </row>
    <row r="165" spans="1:8">
      <c r="A165" s="240" t="s">
        <v>361</v>
      </c>
      <c r="B165" s="224">
        <v>0</v>
      </c>
      <c r="C165" s="225">
        <v>0</v>
      </c>
      <c r="D165" s="225">
        <f t="shared" si="12"/>
        <v>0</v>
      </c>
      <c r="E165" s="226">
        <f>ROUND(D165/References!$H$23,0)</f>
        <v>0</v>
      </c>
      <c r="G165" s="116"/>
      <c r="H165" s="116"/>
    </row>
    <row r="166" spans="1:8">
      <c r="A166" s="240" t="s">
        <v>362</v>
      </c>
      <c r="B166" s="224">
        <v>17.779278142352343</v>
      </c>
      <c r="C166" s="225">
        <v>0</v>
      </c>
      <c r="D166" s="225">
        <f t="shared" si="12"/>
        <v>17.779278142352343</v>
      </c>
      <c r="E166" s="226">
        <f>(D166/References!$H$23)</f>
        <v>1.4816065118626953</v>
      </c>
      <c r="G166" s="116"/>
      <c r="H166" s="116"/>
    </row>
    <row r="167" spans="1:8">
      <c r="A167" s="240" t="s">
        <v>363</v>
      </c>
      <c r="B167" s="224">
        <v>0</v>
      </c>
      <c r="C167" s="225">
        <v>11.999999999999998</v>
      </c>
      <c r="D167" s="225">
        <f t="shared" si="12"/>
        <v>11.999999999999998</v>
      </c>
      <c r="E167" s="226">
        <f>ROUND(D167/References!$H$23,0)</f>
        <v>1</v>
      </c>
      <c r="G167" s="116"/>
      <c r="H167" s="116"/>
    </row>
    <row r="168" spans="1:8">
      <c r="A168" s="115" t="s">
        <v>364</v>
      </c>
      <c r="B168" s="224">
        <v>2</v>
      </c>
      <c r="C168" s="225">
        <v>0</v>
      </c>
      <c r="D168" s="225">
        <f t="shared" si="12"/>
        <v>2</v>
      </c>
      <c r="E168" s="226">
        <f>ROUND(D168/References!$H$23,0)</f>
        <v>0</v>
      </c>
      <c r="G168" s="116"/>
      <c r="H168" s="116"/>
    </row>
    <row r="169" spans="1:8">
      <c r="A169" s="115"/>
      <c r="B169" s="224"/>
      <c r="C169" s="225"/>
      <c r="D169" s="225"/>
      <c r="E169" s="226"/>
      <c r="G169" s="116"/>
      <c r="H169" s="116"/>
    </row>
    <row r="170" spans="1:8">
      <c r="A170" s="115" t="s">
        <v>338</v>
      </c>
      <c r="B170" s="224">
        <v>3371.9789602550964</v>
      </c>
      <c r="C170" s="225">
        <v>1513.7471141456083</v>
      </c>
      <c r="D170" s="225">
        <f t="shared" ref="D170:D179" si="13">SUM(B170:C170)</f>
        <v>4885.7260744007044</v>
      </c>
      <c r="E170" s="226">
        <f>ROUND(D170/References!$H$23,0)</f>
        <v>407</v>
      </c>
      <c r="G170" s="116"/>
      <c r="H170" s="116"/>
    </row>
    <row r="171" spans="1:8">
      <c r="A171" s="115" t="s">
        <v>365</v>
      </c>
      <c r="B171" s="224">
        <v>11</v>
      </c>
      <c r="C171" s="225">
        <v>57.000000000000007</v>
      </c>
      <c r="D171" s="225">
        <f t="shared" si="13"/>
        <v>68</v>
      </c>
      <c r="E171" s="226">
        <f>ROUND(D171/References!$H$23,0)</f>
        <v>6</v>
      </c>
      <c r="G171" s="116"/>
      <c r="H171" s="116"/>
    </row>
    <row r="172" spans="1:8">
      <c r="A172" s="115" t="s">
        <v>366</v>
      </c>
      <c r="B172" s="224">
        <v>0</v>
      </c>
      <c r="C172" s="225">
        <v>72</v>
      </c>
      <c r="D172" s="225">
        <f t="shared" si="13"/>
        <v>72</v>
      </c>
      <c r="E172" s="226">
        <f>ROUND(D172/References!$H$23,0)</f>
        <v>6</v>
      </c>
      <c r="G172" s="116"/>
      <c r="H172" s="116"/>
    </row>
    <row r="173" spans="1:8">
      <c r="A173" s="115" t="s">
        <v>339</v>
      </c>
      <c r="B173" s="224">
        <v>634.53619906820734</v>
      </c>
      <c r="C173" s="225">
        <v>224.25000000000003</v>
      </c>
      <c r="D173" s="225">
        <f t="shared" si="13"/>
        <v>858.78619906820734</v>
      </c>
      <c r="E173" s="226">
        <f>ROUND(D173/References!$H$23,0)</f>
        <v>72</v>
      </c>
      <c r="G173" s="116"/>
      <c r="H173" s="116"/>
    </row>
    <row r="174" spans="1:8">
      <c r="A174" s="115" t="s">
        <v>367</v>
      </c>
      <c r="B174" s="224">
        <v>44.616332885662445</v>
      </c>
      <c r="C174" s="225">
        <v>48</v>
      </c>
      <c r="D174" s="225">
        <f t="shared" si="13"/>
        <v>92.616332885662445</v>
      </c>
      <c r="E174" s="226">
        <f>ROUND(D174/References!$H$23,0)</f>
        <v>8</v>
      </c>
      <c r="G174" s="116"/>
      <c r="H174" s="116"/>
    </row>
    <row r="175" spans="1:8">
      <c r="A175" s="115" t="s">
        <v>340</v>
      </c>
      <c r="B175" s="224">
        <v>3350.1823433880913</v>
      </c>
      <c r="C175" s="225">
        <v>1730.7326368201757</v>
      </c>
      <c r="D175" s="225">
        <f t="shared" si="13"/>
        <v>5080.9149802082666</v>
      </c>
      <c r="E175" s="226">
        <f>ROUND(D175/References!$H$23,0)</f>
        <v>423</v>
      </c>
      <c r="G175" s="116"/>
      <c r="H175" s="116"/>
    </row>
    <row r="176" spans="1:8">
      <c r="A176" s="115" t="s">
        <v>341</v>
      </c>
      <c r="B176" s="224">
        <v>414.87509974820455</v>
      </c>
      <c r="C176" s="225">
        <v>558.00003313452623</v>
      </c>
      <c r="D176" s="225">
        <f t="shared" si="13"/>
        <v>972.87513288273078</v>
      </c>
      <c r="E176" s="226">
        <f>ROUND(D176/References!$H$23,0)</f>
        <v>81</v>
      </c>
      <c r="G176" s="116"/>
      <c r="H176" s="116"/>
    </row>
    <row r="177" spans="1:8">
      <c r="A177" s="115" t="s">
        <v>308</v>
      </c>
      <c r="B177" s="224">
        <v>62.249875751254983</v>
      </c>
      <c r="C177" s="225">
        <v>47.999999999999993</v>
      </c>
      <c r="D177" s="225">
        <f t="shared" si="13"/>
        <v>110.24987575125498</v>
      </c>
      <c r="E177" s="226">
        <f>ROUND(D177/References!$H$23,0)</f>
        <v>9</v>
      </c>
      <c r="G177" s="116"/>
      <c r="H177" s="116"/>
    </row>
    <row r="178" spans="1:8">
      <c r="A178" s="115" t="s">
        <v>368</v>
      </c>
      <c r="B178" s="224">
        <v>12.000000000000002</v>
      </c>
      <c r="C178" s="225">
        <v>0</v>
      </c>
      <c r="D178" s="225">
        <f t="shared" si="13"/>
        <v>12.000000000000002</v>
      </c>
      <c r="E178" s="226">
        <f>ROUND(D178/References!$H$23,0)</f>
        <v>1</v>
      </c>
      <c r="G178" s="116"/>
      <c r="H178" s="116"/>
    </row>
    <row r="179" spans="1:8">
      <c r="A179" s="115" t="s">
        <v>369</v>
      </c>
      <c r="B179" s="224">
        <v>36</v>
      </c>
      <c r="C179" s="225">
        <v>0</v>
      </c>
      <c r="D179" s="225">
        <f t="shared" si="13"/>
        <v>36</v>
      </c>
      <c r="E179" s="226">
        <f>ROUND(D179/References!$H$23,0)</f>
        <v>3</v>
      </c>
      <c r="G179" s="116"/>
      <c r="H179" s="116"/>
    </row>
    <row r="180" spans="1:8">
      <c r="A180" s="115"/>
      <c r="B180" s="224"/>
      <c r="C180" s="225"/>
      <c r="D180" s="225"/>
      <c r="E180" s="226"/>
      <c r="G180" s="116"/>
      <c r="H180" s="116"/>
    </row>
    <row r="181" spans="1:8">
      <c r="A181" s="115" t="s">
        <v>316</v>
      </c>
      <c r="B181" s="224">
        <v>32.5435368043088</v>
      </c>
      <c r="C181" s="225">
        <v>47</v>
      </c>
      <c r="D181" s="225">
        <f t="shared" ref="D181:D183" si="14">SUM(B181:C181)</f>
        <v>79.5435368043088</v>
      </c>
      <c r="E181" s="226">
        <f>ROUND(D181/References!$H$23,0)</f>
        <v>7</v>
      </c>
    </row>
    <row r="182" spans="1:8">
      <c r="A182" s="115" t="s">
        <v>317</v>
      </c>
      <c r="B182" s="224">
        <v>14</v>
      </c>
      <c r="C182" s="225">
        <v>0</v>
      </c>
      <c r="D182" s="225">
        <f t="shared" si="14"/>
        <v>14</v>
      </c>
      <c r="E182" s="226">
        <f>ROUND(D182/References!$H$23,0)</f>
        <v>1</v>
      </c>
    </row>
    <row r="183" spans="1:8">
      <c r="A183" s="115" t="s">
        <v>318</v>
      </c>
      <c r="B183" s="224">
        <v>342.84531886024422</v>
      </c>
      <c r="C183" s="225">
        <v>171.79131614654005</v>
      </c>
      <c r="D183" s="225">
        <f t="shared" si="14"/>
        <v>514.63663500678422</v>
      </c>
      <c r="E183" s="226">
        <f>ROUND(D183/References!$H$23,0)</f>
        <v>43</v>
      </c>
    </row>
    <row r="184" spans="1:8">
      <c r="A184" s="115"/>
      <c r="B184" s="224">
        <v>0</v>
      </c>
      <c r="C184" s="225"/>
      <c r="D184" s="225"/>
      <c r="E184" s="226"/>
    </row>
    <row r="185" spans="1:8">
      <c r="A185" s="115" t="s">
        <v>319</v>
      </c>
      <c r="B185" s="224">
        <v>1</v>
      </c>
      <c r="C185" s="225">
        <v>0</v>
      </c>
      <c r="D185" s="225">
        <f t="shared" ref="D185:D189" si="15">SUM(B185:C185)</f>
        <v>1</v>
      </c>
      <c r="E185" s="226">
        <f>ROUND(D185/References!$H$23,0)</f>
        <v>0</v>
      </c>
    </row>
    <row r="186" spans="1:8">
      <c r="A186" s="115" t="s">
        <v>319</v>
      </c>
      <c r="B186" s="224">
        <v>18.999999999999996</v>
      </c>
      <c r="C186" s="225">
        <v>7</v>
      </c>
      <c r="D186" s="225">
        <f t="shared" si="15"/>
        <v>25.999999999999996</v>
      </c>
      <c r="E186" s="226">
        <f>ROUND(D186/References!$H$23,0)</f>
        <v>2</v>
      </c>
    </row>
    <row r="187" spans="1:8">
      <c r="A187" s="115" t="s">
        <v>320</v>
      </c>
      <c r="B187" s="224">
        <v>4</v>
      </c>
      <c r="C187" s="225">
        <v>0</v>
      </c>
      <c r="D187" s="225">
        <f t="shared" si="15"/>
        <v>4</v>
      </c>
      <c r="E187" s="226">
        <f>ROUND(D187/References!$H$23,0)</f>
        <v>0</v>
      </c>
    </row>
    <row r="188" spans="1:8">
      <c r="A188" s="115" t="s">
        <v>321</v>
      </c>
      <c r="B188" s="224">
        <v>18</v>
      </c>
      <c r="C188" s="225">
        <v>7.9999999999999991</v>
      </c>
      <c r="D188" s="225">
        <f t="shared" si="15"/>
        <v>26</v>
      </c>
      <c r="E188" s="226">
        <f>ROUND(D188/References!$H$23,0)</f>
        <v>2</v>
      </c>
    </row>
    <row r="189" spans="1:8">
      <c r="A189" s="115" t="s">
        <v>321</v>
      </c>
      <c r="B189" s="224">
        <v>33</v>
      </c>
      <c r="C189" s="225">
        <v>23.999999999999996</v>
      </c>
      <c r="D189" s="225">
        <f t="shared" si="15"/>
        <v>57</v>
      </c>
      <c r="E189" s="226">
        <f>ROUND(D189/References!$H$23,0)</f>
        <v>5</v>
      </c>
    </row>
    <row r="190" spans="1:8">
      <c r="A190" s="115" t="s">
        <v>322</v>
      </c>
      <c r="B190" s="224">
        <v>41.979976268169686</v>
      </c>
      <c r="C190" s="230">
        <v>8</v>
      </c>
      <c r="D190" s="225">
        <f t="shared" ref="D190:D191" si="16">SUM(B190:C190)</f>
        <v>49.979976268169686</v>
      </c>
      <c r="E190" s="226">
        <f>ROUND(D190/References!$H$23,0)</f>
        <v>4</v>
      </c>
    </row>
    <row r="191" spans="1:8">
      <c r="A191" s="115" t="s">
        <v>323</v>
      </c>
      <c r="B191" s="224">
        <v>118.09289499297068</v>
      </c>
      <c r="C191" s="230">
        <v>5</v>
      </c>
      <c r="D191" s="225">
        <f t="shared" si="16"/>
        <v>123.09289499297068</v>
      </c>
      <c r="E191" s="226">
        <f>ROUND(D191/References!$H$23,0)</f>
        <v>10</v>
      </c>
    </row>
    <row r="192" spans="1:8">
      <c r="A192" s="236"/>
      <c r="B192" s="198"/>
    </row>
    <row r="193" spans="1:5">
      <c r="A193" s="241" t="s">
        <v>370</v>
      </c>
      <c r="B193" s="198"/>
    </row>
    <row r="194" spans="1:5">
      <c r="A194" s="242" t="s">
        <v>371</v>
      </c>
      <c r="B194" s="198"/>
      <c r="D194" s="38" t="s">
        <v>411</v>
      </c>
    </row>
    <row r="195" spans="1:5">
      <c r="A195" s="236" t="s">
        <v>372</v>
      </c>
      <c r="B195" s="224">
        <v>370.31048192771084</v>
      </c>
      <c r="C195" s="225">
        <v>40.43397590361446</v>
      </c>
      <c r="D195" s="225">
        <f t="shared" ref="D195:D199" si="17">SUM(B195:C195)</f>
        <v>410.74445783132529</v>
      </c>
      <c r="E195" s="226">
        <f>ROUND(D195/References!$H$23,0)</f>
        <v>34</v>
      </c>
    </row>
    <row r="196" spans="1:5">
      <c r="A196" s="236" t="s">
        <v>373</v>
      </c>
      <c r="B196" s="224">
        <v>466.49032258064517</v>
      </c>
      <c r="C196" s="225">
        <v>48.805376344086021</v>
      </c>
      <c r="D196" s="225">
        <f t="shared" si="17"/>
        <v>515.29569892473114</v>
      </c>
      <c r="E196" s="226">
        <f>ROUND(D196/References!$H$23,0)</f>
        <v>43</v>
      </c>
    </row>
    <row r="197" spans="1:5">
      <c r="A197" s="236" t="s">
        <v>374</v>
      </c>
      <c r="B197" s="224">
        <v>1088.5683333333334</v>
      </c>
      <c r="C197" s="225">
        <v>69.290392156862737</v>
      </c>
      <c r="D197" s="225">
        <f t="shared" si="17"/>
        <v>1157.8587254901961</v>
      </c>
      <c r="E197" s="226">
        <f>ROUND(D197/References!$H$23,0)</f>
        <v>96</v>
      </c>
    </row>
    <row r="198" spans="1:5">
      <c r="A198" s="236" t="s">
        <v>375</v>
      </c>
      <c r="B198" s="224">
        <v>60</v>
      </c>
      <c r="C198" s="225">
        <v>0</v>
      </c>
      <c r="D198" s="225">
        <f t="shared" si="17"/>
        <v>60</v>
      </c>
      <c r="E198" s="226">
        <f>ROUND(D198/References!$H$23,0)</f>
        <v>5</v>
      </c>
    </row>
    <row r="199" spans="1:5">
      <c r="A199" s="236" t="s">
        <v>376</v>
      </c>
      <c r="B199" s="224">
        <v>0</v>
      </c>
      <c r="C199" s="225">
        <v>0</v>
      </c>
      <c r="D199" s="225">
        <f t="shared" si="17"/>
        <v>0</v>
      </c>
      <c r="E199" s="226">
        <f>ROUND(D199/References!$H$23,0)</f>
        <v>0</v>
      </c>
    </row>
    <row r="200" spans="1:5">
      <c r="A200" s="236"/>
      <c r="B200" s="235"/>
    </row>
    <row r="201" spans="1:5">
      <c r="A201" s="242" t="s">
        <v>377</v>
      </c>
      <c r="B201" s="234"/>
    </row>
    <row r="202" spans="1:5">
      <c r="A202" s="236" t="s">
        <v>372</v>
      </c>
      <c r="B202" s="224">
        <v>702.00000000000011</v>
      </c>
      <c r="C202" s="225">
        <v>104</v>
      </c>
      <c r="D202" s="225">
        <f t="shared" ref="D202:D206" si="18">SUM(B202:C202)</f>
        <v>806.00000000000011</v>
      </c>
      <c r="E202" s="226">
        <f>ROUND(D202/References!$H$23,0)</f>
        <v>67</v>
      </c>
    </row>
    <row r="203" spans="1:5">
      <c r="A203" s="236" t="s">
        <v>373</v>
      </c>
      <c r="B203" s="224">
        <v>1022.0367647058823</v>
      </c>
      <c r="C203" s="225">
        <v>86.999999999999986</v>
      </c>
      <c r="D203" s="225">
        <f t="shared" si="18"/>
        <v>1109.0367647058822</v>
      </c>
      <c r="E203" s="226">
        <f>ROUND(D203/References!$H$23,0)</f>
        <v>92</v>
      </c>
    </row>
    <row r="204" spans="1:5">
      <c r="A204" s="236" t="s">
        <v>374</v>
      </c>
      <c r="B204" s="224">
        <v>2821.0000000000005</v>
      </c>
      <c r="C204" s="225">
        <v>87</v>
      </c>
      <c r="D204" s="225">
        <f t="shared" si="18"/>
        <v>2908.0000000000005</v>
      </c>
      <c r="E204" s="226">
        <f>ROUND(D204/References!$H$23,0)</f>
        <v>242</v>
      </c>
    </row>
    <row r="205" spans="1:5">
      <c r="A205" s="236" t="s">
        <v>375</v>
      </c>
      <c r="B205" s="224">
        <v>236</v>
      </c>
      <c r="C205" s="225">
        <v>0</v>
      </c>
      <c r="D205" s="225">
        <f t="shared" si="18"/>
        <v>236</v>
      </c>
      <c r="E205" s="226">
        <f>ROUND(D205/References!$H$23,0)</f>
        <v>20</v>
      </c>
    </row>
    <row r="206" spans="1:5">
      <c r="A206" s="236" t="s">
        <v>376</v>
      </c>
      <c r="B206" s="224">
        <v>0</v>
      </c>
      <c r="C206" s="225">
        <v>0</v>
      </c>
      <c r="D206" s="225">
        <f t="shared" si="18"/>
        <v>0</v>
      </c>
      <c r="E206" s="226">
        <f>ROUND(D206/References!$H$23,0)</f>
        <v>0</v>
      </c>
    </row>
    <row r="207" spans="1:5">
      <c r="A207" s="236"/>
      <c r="B207" s="234"/>
    </row>
    <row r="208" spans="1:5">
      <c r="A208" s="242" t="s">
        <v>378</v>
      </c>
      <c r="B208" s="234"/>
    </row>
    <row r="209" spans="1:5">
      <c r="A209" s="236" t="s">
        <v>372</v>
      </c>
      <c r="B209" s="224">
        <v>4432.3489361702123</v>
      </c>
      <c r="C209" s="225">
        <v>2571.8702127659576</v>
      </c>
      <c r="D209" s="225">
        <f t="shared" ref="D209:D212" si="19">SUM(B209:C209)</f>
        <v>7004.2191489361703</v>
      </c>
      <c r="E209" s="226">
        <f>ROUND(D209/References!$H$23,0)</f>
        <v>584</v>
      </c>
    </row>
    <row r="210" spans="1:5">
      <c r="A210" s="236" t="s">
        <v>373</v>
      </c>
      <c r="B210" s="224">
        <v>1819.7428571428572</v>
      </c>
      <c r="C210" s="225">
        <v>802.92040816326528</v>
      </c>
      <c r="D210" s="225">
        <f t="shared" si="19"/>
        <v>2622.6632653061224</v>
      </c>
      <c r="E210" s="226">
        <f>ROUND(D210/References!$H$23,0)</f>
        <v>219</v>
      </c>
    </row>
    <row r="211" spans="1:5">
      <c r="A211" s="236" t="s">
        <v>374</v>
      </c>
      <c r="B211" s="224">
        <v>7889.2109375</v>
      </c>
      <c r="C211" s="225">
        <v>2658.978515625</v>
      </c>
      <c r="D211" s="225">
        <f t="shared" si="19"/>
        <v>10548.189453125</v>
      </c>
      <c r="E211" s="226">
        <f>ROUND(D211/References!$H$23,0)</f>
        <v>879</v>
      </c>
    </row>
    <row r="212" spans="1:5">
      <c r="A212" s="236" t="s">
        <v>375</v>
      </c>
      <c r="B212" s="224">
        <v>63.387096774193544</v>
      </c>
      <c r="C212" s="225">
        <v>0</v>
      </c>
      <c r="D212" s="225">
        <f t="shared" si="19"/>
        <v>63.387096774193544</v>
      </c>
      <c r="E212" s="226">
        <f>ROUND(D212/References!$H$23,0)</f>
        <v>5</v>
      </c>
    </row>
    <row r="213" spans="1:5">
      <c r="A213" s="236"/>
      <c r="B213" s="234"/>
    </row>
    <row r="214" spans="1:5">
      <c r="A214" s="242" t="s">
        <v>379</v>
      </c>
      <c r="B214" s="234"/>
    </row>
    <row r="215" spans="1:5">
      <c r="A215" s="236" t="s">
        <v>372</v>
      </c>
      <c r="B215" s="224">
        <v>264.12493970091651</v>
      </c>
      <c r="C215" s="225">
        <v>140</v>
      </c>
      <c r="D215" s="225">
        <f t="shared" ref="D215:D218" si="20">SUM(B215:C215)</f>
        <v>404.12493970091651</v>
      </c>
      <c r="E215" s="226">
        <f>ROUND(D215/References!$H$23,0)</f>
        <v>34</v>
      </c>
    </row>
    <row r="216" spans="1:5">
      <c r="A216" s="236" t="s">
        <v>373</v>
      </c>
      <c r="B216" s="224">
        <v>138</v>
      </c>
      <c r="C216" s="225">
        <v>51</v>
      </c>
      <c r="D216" s="225">
        <f t="shared" si="20"/>
        <v>189</v>
      </c>
      <c r="E216" s="226">
        <f>ROUND(D216/References!$H$23,0)</f>
        <v>16</v>
      </c>
    </row>
    <row r="217" spans="1:5">
      <c r="A217" s="236" t="s">
        <v>374</v>
      </c>
      <c r="B217" s="224">
        <v>743.74339622641514</v>
      </c>
      <c r="C217" s="225">
        <v>182.03001715265867</v>
      </c>
      <c r="D217" s="225">
        <f t="shared" si="20"/>
        <v>925.77341337907387</v>
      </c>
      <c r="E217" s="226">
        <f>ROUND(D217/References!$H$23,0)</f>
        <v>77</v>
      </c>
    </row>
    <row r="218" spans="1:5">
      <c r="A218" s="236" t="s">
        <v>375</v>
      </c>
      <c r="B218" s="224">
        <v>0</v>
      </c>
      <c r="C218" s="225">
        <v>0</v>
      </c>
      <c r="D218" s="225">
        <f t="shared" si="20"/>
        <v>0</v>
      </c>
      <c r="E218" s="226">
        <f>ROUND(D218/References!$H$23,0)</f>
        <v>0</v>
      </c>
    </row>
    <row r="219" spans="1:5">
      <c r="A219" s="236"/>
      <c r="B219" s="234"/>
    </row>
    <row r="220" spans="1:5">
      <c r="A220" s="242" t="s">
        <v>380</v>
      </c>
      <c r="B220" s="234"/>
    </row>
    <row r="221" spans="1:5">
      <c r="A221" s="236" t="s">
        <v>381</v>
      </c>
      <c r="B221" s="224">
        <v>0</v>
      </c>
      <c r="C221" s="225">
        <v>0</v>
      </c>
      <c r="D221" s="225">
        <f t="shared" ref="D221:D225" si="21">SUM(B221:C221)</f>
        <v>0</v>
      </c>
      <c r="E221" s="226">
        <f>ROUND(D221/References!$H$23,0)</f>
        <v>0</v>
      </c>
    </row>
    <row r="222" spans="1:5">
      <c r="A222" s="236" t="s">
        <v>372</v>
      </c>
      <c r="B222" s="224">
        <v>20</v>
      </c>
      <c r="C222" s="225">
        <v>0</v>
      </c>
      <c r="D222" s="225">
        <f t="shared" si="21"/>
        <v>20</v>
      </c>
      <c r="E222" s="226">
        <f>ROUND(D222/References!$H$23,0)</f>
        <v>2</v>
      </c>
    </row>
    <row r="223" spans="1:5">
      <c r="A223" s="236" t="s">
        <v>373</v>
      </c>
      <c r="B223" s="224">
        <v>0</v>
      </c>
      <c r="C223" s="225">
        <v>0</v>
      </c>
      <c r="D223" s="225">
        <f t="shared" si="21"/>
        <v>0</v>
      </c>
      <c r="E223" s="226">
        <f>ROUND(D223/References!$H$23,0)</f>
        <v>0</v>
      </c>
    </row>
    <row r="224" spans="1:5">
      <c r="A224" s="236" t="s">
        <v>374</v>
      </c>
      <c r="B224" s="224">
        <v>0</v>
      </c>
      <c r="C224" s="225">
        <v>0</v>
      </c>
      <c r="D224" s="225">
        <f t="shared" si="21"/>
        <v>0</v>
      </c>
      <c r="E224" s="226">
        <f>ROUND(D224/References!$H$23,0)</f>
        <v>0</v>
      </c>
    </row>
    <row r="225" spans="1:5">
      <c r="A225" s="236" t="s">
        <v>375</v>
      </c>
      <c r="B225" s="224">
        <v>0</v>
      </c>
      <c r="C225" s="225">
        <v>0</v>
      </c>
      <c r="D225" s="225">
        <f t="shared" si="21"/>
        <v>0</v>
      </c>
      <c r="E225" s="226">
        <f>ROUND(D225/References!$H$23,0)</f>
        <v>0</v>
      </c>
    </row>
    <row r="226" spans="1:5">
      <c r="A226" s="236"/>
      <c r="B226" s="234"/>
    </row>
    <row r="227" spans="1:5">
      <c r="A227" s="242" t="s">
        <v>382</v>
      </c>
      <c r="B227" s="234"/>
    </row>
    <row r="228" spans="1:5">
      <c r="A228" s="236" t="s">
        <v>381</v>
      </c>
      <c r="B228" s="224">
        <v>0</v>
      </c>
      <c r="C228" s="225">
        <v>129</v>
      </c>
      <c r="D228" s="225">
        <f t="shared" ref="D228:D234" si="22">SUM(B228:C228)</f>
        <v>129</v>
      </c>
      <c r="E228" s="226">
        <f>ROUND(D228/References!$H$23,0)</f>
        <v>11</v>
      </c>
    </row>
    <row r="229" spans="1:5">
      <c r="A229" s="236" t="s">
        <v>383</v>
      </c>
      <c r="B229" s="224">
        <v>22.999999999999996</v>
      </c>
      <c r="C229" s="225">
        <v>12.999999999999998</v>
      </c>
      <c r="D229" s="225">
        <f t="shared" si="22"/>
        <v>35.999999999999993</v>
      </c>
      <c r="E229" s="226">
        <f>ROUND(D229/References!$H$23,0)</f>
        <v>3</v>
      </c>
    </row>
    <row r="230" spans="1:5">
      <c r="A230" s="236" t="s">
        <v>372</v>
      </c>
      <c r="B230" s="224">
        <v>245</v>
      </c>
      <c r="C230" s="225">
        <v>67</v>
      </c>
      <c r="D230" s="225">
        <f t="shared" si="22"/>
        <v>312</v>
      </c>
      <c r="E230" s="226">
        <f>ROUND(D230/References!$H$23,0)</f>
        <v>26</v>
      </c>
    </row>
    <row r="231" spans="1:5">
      <c r="A231" s="236" t="s">
        <v>373</v>
      </c>
      <c r="B231" s="224">
        <v>528.99999999999989</v>
      </c>
      <c r="C231" s="225">
        <v>99.999999999999986</v>
      </c>
      <c r="D231" s="225">
        <f t="shared" si="22"/>
        <v>628.99999999999989</v>
      </c>
      <c r="E231" s="226">
        <f>ROUND(D231/References!$H$23,0)</f>
        <v>52</v>
      </c>
    </row>
    <row r="232" spans="1:5">
      <c r="A232" s="236" t="s">
        <v>374</v>
      </c>
      <c r="B232" s="224">
        <v>813</v>
      </c>
      <c r="C232" s="225">
        <v>223</v>
      </c>
      <c r="D232" s="225">
        <f t="shared" si="22"/>
        <v>1036</v>
      </c>
      <c r="E232" s="226">
        <f>ROUND(D232/References!$H$23,0)</f>
        <v>86</v>
      </c>
    </row>
    <row r="233" spans="1:5">
      <c r="A233" s="236" t="s">
        <v>384</v>
      </c>
      <c r="B233" s="224">
        <v>26</v>
      </c>
      <c r="C233" s="225">
        <v>0</v>
      </c>
      <c r="D233" s="225">
        <f t="shared" si="22"/>
        <v>26</v>
      </c>
      <c r="E233" s="226">
        <f>ROUND(D233/References!$H$23,0)</f>
        <v>2</v>
      </c>
    </row>
    <row r="234" spans="1:5">
      <c r="A234" s="236" t="s">
        <v>375</v>
      </c>
      <c r="B234" s="224">
        <v>420</v>
      </c>
      <c r="C234" s="225">
        <v>28</v>
      </c>
      <c r="D234" s="225">
        <f t="shared" si="22"/>
        <v>448</v>
      </c>
      <c r="E234" s="226">
        <f>ROUND(D234/References!$H$23,0)</f>
        <v>37</v>
      </c>
    </row>
    <row r="235" spans="1:5">
      <c r="A235" s="236"/>
      <c r="B235" s="234"/>
    </row>
    <row r="236" spans="1:5">
      <c r="A236" s="242" t="s">
        <v>385</v>
      </c>
      <c r="B236" s="234"/>
    </row>
    <row r="237" spans="1:5">
      <c r="A237" s="236" t="s">
        <v>386</v>
      </c>
      <c r="B237" s="224">
        <v>549.86955056179772</v>
      </c>
      <c r="C237" s="225">
        <v>219</v>
      </c>
      <c r="D237" s="225">
        <f t="shared" ref="D237:D246" si="23">SUM(B237:C237)</f>
        <v>768.86955056179772</v>
      </c>
      <c r="E237" s="226">
        <f>ROUND(D237/References!$H$23,0)</f>
        <v>64</v>
      </c>
    </row>
    <row r="238" spans="1:5">
      <c r="A238" s="236" t="s">
        <v>387</v>
      </c>
      <c r="B238" s="224">
        <v>121651.38857142859</v>
      </c>
      <c r="C238" s="225">
        <v>2630</v>
      </c>
      <c r="D238" s="225">
        <f t="shared" si="23"/>
        <v>124281.38857142859</v>
      </c>
      <c r="E238" s="226">
        <f>ROUND(D238/References!$H$23,0)</f>
        <v>10357</v>
      </c>
    </row>
    <row r="239" spans="1:5">
      <c r="A239" s="236" t="s">
        <v>388</v>
      </c>
      <c r="B239" s="224">
        <v>2016.2519083969466</v>
      </c>
      <c r="C239" s="225">
        <v>535.01374045801526</v>
      </c>
      <c r="D239" s="225">
        <f t="shared" si="23"/>
        <v>2551.2656488549619</v>
      </c>
      <c r="E239" s="226">
        <f>ROUND(D239/References!$H$23,0)</f>
        <v>213</v>
      </c>
    </row>
    <row r="240" spans="1:5">
      <c r="A240" s="236" t="s">
        <v>389</v>
      </c>
      <c r="B240" s="224">
        <v>1852</v>
      </c>
      <c r="C240" s="225">
        <v>422</v>
      </c>
      <c r="D240" s="225">
        <f t="shared" si="23"/>
        <v>2274</v>
      </c>
      <c r="E240" s="226">
        <f>ROUND(D240/References!$H$23,0)</f>
        <v>190</v>
      </c>
    </row>
    <row r="241" spans="1:5">
      <c r="A241" s="236" t="s">
        <v>390</v>
      </c>
      <c r="B241" s="224">
        <v>164.20771113831088</v>
      </c>
      <c r="C241" s="225">
        <v>12.579742962056303</v>
      </c>
      <c r="D241" s="225">
        <f t="shared" si="23"/>
        <v>176.7874541003672</v>
      </c>
      <c r="E241" s="226">
        <f>ROUND(D241/References!$H$23,0)</f>
        <v>15</v>
      </c>
    </row>
    <row r="242" spans="1:5">
      <c r="A242" s="236" t="s">
        <v>391</v>
      </c>
      <c r="B242" s="224">
        <v>57.75</v>
      </c>
      <c r="C242" s="225">
        <v>14.418604651162791</v>
      </c>
      <c r="D242" s="225">
        <f t="shared" si="23"/>
        <v>72.168604651162795</v>
      </c>
      <c r="E242" s="226">
        <f>ROUND(D242/References!$H$23,0)</f>
        <v>6</v>
      </c>
    </row>
    <row r="243" spans="1:5">
      <c r="A243" s="236" t="s">
        <v>392</v>
      </c>
      <c r="B243" s="224">
        <v>43</v>
      </c>
      <c r="C243" s="225">
        <v>4</v>
      </c>
      <c r="D243" s="225">
        <f t="shared" si="23"/>
        <v>47</v>
      </c>
      <c r="E243" s="226">
        <f>ROUND(D243/References!$H$23,0)</f>
        <v>4</v>
      </c>
    </row>
    <row r="244" spans="1:5">
      <c r="A244" s="236" t="s">
        <v>393</v>
      </c>
      <c r="B244" s="224">
        <v>180.86956521739128</v>
      </c>
      <c r="C244" s="225">
        <v>30.869565217391301</v>
      </c>
      <c r="D244" s="225">
        <f t="shared" si="23"/>
        <v>211.7391304347826</v>
      </c>
      <c r="E244" s="226">
        <f>ROUND(D244/References!$H$23,0)</f>
        <v>18</v>
      </c>
    </row>
    <row r="245" spans="1:5">
      <c r="A245" s="236" t="s">
        <v>394</v>
      </c>
      <c r="B245" s="224">
        <v>24488.45792584258</v>
      </c>
      <c r="C245" s="225">
        <v>4340.3148129281299</v>
      </c>
      <c r="D245" s="225">
        <f t="shared" si="23"/>
        <v>28828.772738770709</v>
      </c>
      <c r="E245" s="226">
        <f>ROUND(D245/References!$H$23,0)</f>
        <v>2402</v>
      </c>
    </row>
    <row r="246" spans="1:5">
      <c r="A246" s="243" t="s">
        <v>395</v>
      </c>
      <c r="B246" s="224">
        <v>0</v>
      </c>
      <c r="C246" s="225">
        <v>0</v>
      </c>
      <c r="D246" s="225">
        <f t="shared" si="23"/>
        <v>0</v>
      </c>
      <c r="E246" s="226">
        <f>ROUND(D246/References!$H$23,0)</f>
        <v>0</v>
      </c>
    </row>
    <row r="247" spans="1:5">
      <c r="A247" s="236" t="s">
        <v>396</v>
      </c>
      <c r="B247" s="224">
        <v>0</v>
      </c>
      <c r="C247" s="225">
        <v>0</v>
      </c>
      <c r="D247" s="225">
        <f t="shared" ref="D247:D248" si="24">SUM(B247:C247)</f>
        <v>0</v>
      </c>
      <c r="E247" s="226">
        <f>ROUND(D247/References!$H$23,0)</f>
        <v>0</v>
      </c>
    </row>
    <row r="248" spans="1:5">
      <c r="A248" s="236" t="s">
        <v>397</v>
      </c>
      <c r="B248" s="224">
        <v>0</v>
      </c>
      <c r="C248" s="225">
        <v>0</v>
      </c>
      <c r="D248" s="225">
        <f t="shared" si="24"/>
        <v>0</v>
      </c>
      <c r="E248" s="226">
        <f>ROUND(D248/References!$H$23,0)</f>
        <v>0</v>
      </c>
    </row>
    <row r="249" spans="1:5">
      <c r="A249" s="236" t="s">
        <v>398</v>
      </c>
      <c r="B249" s="224">
        <v>0</v>
      </c>
      <c r="C249" s="225">
        <v>0</v>
      </c>
    </row>
    <row r="250" spans="1:5">
      <c r="A250" s="236"/>
      <c r="B250" s="234"/>
    </row>
    <row r="251" spans="1:5">
      <c r="A251" s="236" t="s">
        <v>399</v>
      </c>
      <c r="B251" s="224">
        <v>11824.000000000002</v>
      </c>
      <c r="C251" s="225">
        <v>1629.9999999999998</v>
      </c>
      <c r="D251" s="225">
        <f t="shared" ref="D251:D253" si="25">SUM(B251:C251)</f>
        <v>13454.000000000002</v>
      </c>
      <c r="E251" s="226">
        <f>ROUND(D251/References!$H$23,0)</f>
        <v>1121</v>
      </c>
    </row>
    <row r="252" spans="1:5">
      <c r="A252" s="236" t="s">
        <v>400</v>
      </c>
      <c r="B252" s="224">
        <v>41547.036649214657</v>
      </c>
      <c r="C252" s="225">
        <v>4905.0000000000009</v>
      </c>
      <c r="D252" s="225">
        <f t="shared" si="25"/>
        <v>46452.036649214657</v>
      </c>
      <c r="E252" s="226">
        <f>ROUND(D252/References!$H$23,0)</f>
        <v>3871</v>
      </c>
    </row>
    <row r="253" spans="1:5">
      <c r="A253" s="236" t="s">
        <v>293</v>
      </c>
      <c r="B253" s="224">
        <v>11824</v>
      </c>
      <c r="C253" s="225">
        <v>1629.9999999999998</v>
      </c>
      <c r="D253" s="225">
        <f t="shared" si="25"/>
        <v>13454</v>
      </c>
      <c r="E253" s="226">
        <f>ROUND(D253/References!$H$23,0)</f>
        <v>1121</v>
      </c>
    </row>
    <row r="254" spans="1:5">
      <c r="A254" s="236"/>
      <c r="B254" s="234"/>
    </row>
    <row r="255" spans="1:5">
      <c r="A255" s="236" t="s">
        <v>262</v>
      </c>
      <c r="B255" s="224">
        <v>0</v>
      </c>
      <c r="C255" s="225">
        <v>0</v>
      </c>
      <c r="D255" s="225">
        <f t="shared" ref="D255:D256" si="26">SUM(B255:C255)</f>
        <v>0</v>
      </c>
      <c r="E255" s="226">
        <f>ROUND(D255/References!$H$23,0)</f>
        <v>0</v>
      </c>
    </row>
    <row r="256" spans="1:5">
      <c r="A256" s="236" t="s">
        <v>263</v>
      </c>
      <c r="B256" s="224">
        <v>0</v>
      </c>
      <c r="C256" s="225">
        <v>0</v>
      </c>
      <c r="D256" s="225">
        <f t="shared" si="26"/>
        <v>0</v>
      </c>
      <c r="E256" s="226">
        <f>ROUND(D256/References!$H$23,0)</f>
        <v>0</v>
      </c>
    </row>
    <row r="257" spans="1:5">
      <c r="A257" s="236"/>
      <c r="B257" s="234"/>
    </row>
    <row r="258" spans="1:5">
      <c r="A258" s="242" t="s">
        <v>401</v>
      </c>
      <c r="B258" s="234"/>
    </row>
    <row r="259" spans="1:5">
      <c r="A259" s="236" t="s">
        <v>402</v>
      </c>
      <c r="B259" s="224">
        <v>1643.2304147465441</v>
      </c>
      <c r="C259" s="225">
        <v>103.91705069124424</v>
      </c>
      <c r="D259" s="225">
        <f t="shared" ref="D259:D266" si="27">SUM(B259:C259)</f>
        <v>1747.1474654377882</v>
      </c>
      <c r="E259" s="226">
        <f>ROUND(D259/References!$H$23,0)</f>
        <v>146</v>
      </c>
    </row>
    <row r="260" spans="1:5">
      <c r="A260" s="236" t="s">
        <v>403</v>
      </c>
      <c r="B260" s="224">
        <v>246</v>
      </c>
      <c r="C260" s="225">
        <v>12.000000000000002</v>
      </c>
      <c r="D260" s="225">
        <f t="shared" si="27"/>
        <v>258</v>
      </c>
      <c r="E260" s="226">
        <f>ROUND(D260/References!$H$23,0)</f>
        <v>22</v>
      </c>
    </row>
    <row r="261" spans="1:5">
      <c r="A261" s="236" t="s">
        <v>404</v>
      </c>
      <c r="B261" s="224">
        <v>2238.6065533382607</v>
      </c>
      <c r="C261" s="225">
        <v>415.67775314116778</v>
      </c>
      <c r="D261" s="225">
        <f t="shared" si="27"/>
        <v>2654.2843064794283</v>
      </c>
      <c r="E261" s="226">
        <f>ROUND(D261/References!$H$23,0)</f>
        <v>221</v>
      </c>
    </row>
    <row r="262" spans="1:5">
      <c r="A262" s="236" t="s">
        <v>405</v>
      </c>
      <c r="B262" s="224">
        <v>265.99999999999994</v>
      </c>
      <c r="C262" s="225">
        <v>59.999999999999993</v>
      </c>
      <c r="D262" s="225">
        <f t="shared" si="27"/>
        <v>325.99999999999994</v>
      </c>
      <c r="E262" s="226">
        <f>ROUND(D262/References!$H$23,0)</f>
        <v>27</v>
      </c>
    </row>
    <row r="263" spans="1:5">
      <c r="A263" s="236" t="s">
        <v>406</v>
      </c>
      <c r="B263" s="224">
        <v>3676.1130573248406</v>
      </c>
      <c r="C263" s="225">
        <v>1757.8248407643309</v>
      </c>
      <c r="D263" s="225">
        <f t="shared" si="27"/>
        <v>5433.9378980891715</v>
      </c>
      <c r="E263" s="226">
        <f>ROUND(D263/References!$H$23,0)</f>
        <v>453</v>
      </c>
    </row>
    <row r="264" spans="1:5">
      <c r="A264" s="236" t="s">
        <v>407</v>
      </c>
      <c r="B264" s="224">
        <v>872.99999999999989</v>
      </c>
      <c r="C264" s="225">
        <v>406</v>
      </c>
      <c r="D264" s="225">
        <f t="shared" si="27"/>
        <v>1279</v>
      </c>
      <c r="E264" s="226">
        <f>ROUND(D264/References!$H$23,0)</f>
        <v>107</v>
      </c>
    </row>
    <row r="265" spans="1:5">
      <c r="A265" s="236" t="s">
        <v>293</v>
      </c>
      <c r="B265" s="224">
        <v>18829.226718403548</v>
      </c>
      <c r="C265" s="225">
        <v>3481.0720620842571</v>
      </c>
      <c r="D265" s="225">
        <f t="shared" si="27"/>
        <v>22310.298780487807</v>
      </c>
      <c r="E265" s="226">
        <f>ROUND(D265/References!$H$23,0)</f>
        <v>1859</v>
      </c>
    </row>
    <row r="266" spans="1:5">
      <c r="A266" s="236" t="s">
        <v>297</v>
      </c>
      <c r="B266" s="224">
        <v>8837.9999999999982</v>
      </c>
      <c r="C266" s="225">
        <v>2464</v>
      </c>
      <c r="D266" s="225">
        <f t="shared" si="27"/>
        <v>11301.999999999998</v>
      </c>
      <c r="E266" s="226">
        <f>ROUND(D266/References!$H$23,0)</f>
        <v>942</v>
      </c>
    </row>
    <row r="267" spans="1:5">
      <c r="A267" s="236"/>
      <c r="B267" s="234"/>
    </row>
    <row r="268" spans="1:5">
      <c r="A268" s="236" t="s">
        <v>273</v>
      </c>
      <c r="B268" s="224">
        <v>2150.2067381317001</v>
      </c>
      <c r="C268" s="225">
        <v>510.45022970903517</v>
      </c>
      <c r="D268" s="225">
        <f t="shared" ref="D268" si="28">SUM(B268:C268)</f>
        <v>2660.6569678407354</v>
      </c>
      <c r="E268" s="226">
        <f>ROUND(D268/References!$H$23,0)</f>
        <v>222</v>
      </c>
    </row>
    <row r="269" spans="1:5">
      <c r="A269" s="236"/>
      <c r="B269" s="234"/>
    </row>
    <row r="270" spans="1:5">
      <c r="A270" s="236" t="s">
        <v>408</v>
      </c>
      <c r="B270" s="224">
        <v>0</v>
      </c>
      <c r="C270" s="225">
        <v>0</v>
      </c>
    </row>
    <row r="271" spans="1:5">
      <c r="A271" s="231" t="s">
        <v>409</v>
      </c>
      <c r="B271" s="234"/>
    </row>
    <row r="272" spans="1:5">
      <c r="A272" s="236" t="s">
        <v>419</v>
      </c>
      <c r="B272" s="224">
        <v>345.64159292035396</v>
      </c>
      <c r="D272" s="225">
        <f t="shared" ref="D272:D274" si="29">SUM(B272:C272)</f>
        <v>345.64159292035396</v>
      </c>
      <c r="E272" s="226">
        <f>ROUND(D272/References!$H$23,0)</f>
        <v>29</v>
      </c>
    </row>
    <row r="273" spans="1:5">
      <c r="A273" s="236" t="s">
        <v>420</v>
      </c>
      <c r="B273" s="224">
        <v>1434.1056149732619</v>
      </c>
      <c r="D273" s="225">
        <f t="shared" si="29"/>
        <v>1434.1056149732619</v>
      </c>
      <c r="E273" s="226">
        <f>ROUND(D273/References!$H$23,0)</f>
        <v>120</v>
      </c>
    </row>
    <row r="274" spans="1:5">
      <c r="A274" s="236" t="s">
        <v>421</v>
      </c>
      <c r="B274" s="224">
        <v>593.3975155279503</v>
      </c>
      <c r="D274" s="225">
        <f t="shared" si="29"/>
        <v>593.3975155279503</v>
      </c>
      <c r="E274" s="226">
        <f>ROUND(D274/References!$H$23,0)</f>
        <v>49</v>
      </c>
    </row>
    <row r="275" spans="1:5">
      <c r="A275" s="234"/>
      <c r="B275" s="234"/>
    </row>
    <row r="276" spans="1:5">
      <c r="A276" s="234"/>
      <c r="B276" s="234"/>
    </row>
    <row r="277" spans="1:5">
      <c r="A277" s="234"/>
      <c r="B277" s="234"/>
    </row>
    <row r="278" spans="1:5">
      <c r="A278" s="234"/>
      <c r="B278" s="234"/>
    </row>
    <row r="279" spans="1:5">
      <c r="A279" s="234"/>
      <c r="B279" s="234"/>
    </row>
    <row r="280" spans="1:5">
      <c r="A280" s="234"/>
      <c r="B280" s="234"/>
    </row>
    <row r="281" spans="1:5">
      <c r="A281" s="234"/>
      <c r="B281" s="234"/>
    </row>
    <row r="282" spans="1:5">
      <c r="A282" s="234"/>
      <c r="B282" s="234"/>
    </row>
    <row r="283" spans="1:5">
      <c r="A283" s="234"/>
      <c r="B283" s="234"/>
    </row>
    <row r="284" spans="1:5">
      <c r="A284" s="234"/>
      <c r="B284" s="234"/>
    </row>
    <row r="285" spans="1:5">
      <c r="A285" s="234"/>
      <c r="B285" s="234"/>
    </row>
    <row r="286" spans="1:5">
      <c r="A286" s="234"/>
      <c r="B286" s="234"/>
    </row>
    <row r="287" spans="1:5">
      <c r="A287" s="234"/>
      <c r="B287" s="234"/>
    </row>
    <row r="288" spans="1:5">
      <c r="A288" s="234"/>
      <c r="B288" s="234"/>
    </row>
    <row r="289" spans="1:2">
      <c r="A289" s="234"/>
      <c r="B289" s="234"/>
    </row>
    <row r="290" spans="1:2">
      <c r="A290" s="234"/>
      <c r="B290" s="234"/>
    </row>
    <row r="291" spans="1:2">
      <c r="A291" s="234"/>
      <c r="B291" s="234"/>
    </row>
    <row r="292" spans="1:2">
      <c r="A292" s="234"/>
      <c r="B292" s="234"/>
    </row>
    <row r="293" spans="1:2">
      <c r="A293" s="234"/>
      <c r="B293" s="234"/>
    </row>
    <row r="294" spans="1:2">
      <c r="A294" s="234"/>
      <c r="B294" s="234"/>
    </row>
    <row r="295" spans="1:2">
      <c r="A295" s="234"/>
      <c r="B295" s="234"/>
    </row>
    <row r="296" spans="1:2">
      <c r="A296" s="234"/>
      <c r="B296" s="234"/>
    </row>
    <row r="297" spans="1:2">
      <c r="A297" s="234"/>
      <c r="B297" s="234"/>
    </row>
    <row r="298" spans="1:2">
      <c r="A298" s="234"/>
      <c r="B298" s="234"/>
    </row>
    <row r="299" spans="1:2">
      <c r="A299" s="234"/>
      <c r="B299" s="234"/>
    </row>
    <row r="300" spans="1:2">
      <c r="A300" s="234"/>
      <c r="B300" s="234"/>
    </row>
    <row r="301" spans="1:2">
      <c r="A301" s="234"/>
      <c r="B301" s="234"/>
    </row>
    <row r="302" spans="1:2">
      <c r="A302" s="234"/>
      <c r="B302" s="234"/>
    </row>
    <row r="303" spans="1:2">
      <c r="A303" s="234"/>
      <c r="B303" s="234"/>
    </row>
    <row r="304" spans="1:2">
      <c r="A304" s="234"/>
      <c r="B304" s="234"/>
    </row>
    <row r="305" spans="1:2">
      <c r="A305" s="234"/>
      <c r="B305" s="234"/>
    </row>
    <row r="306" spans="1:2">
      <c r="A306" s="234"/>
      <c r="B306" s="234"/>
    </row>
    <row r="307" spans="1:2">
      <c r="A307" s="234"/>
      <c r="B307" s="234"/>
    </row>
    <row r="308" spans="1:2">
      <c r="A308" s="234"/>
      <c r="B308" s="234"/>
    </row>
    <row r="309" spans="1:2">
      <c r="A309" s="234"/>
      <c r="B309" s="234"/>
    </row>
    <row r="310" spans="1:2">
      <c r="A310" s="234"/>
      <c r="B310" s="234"/>
    </row>
    <row r="311" spans="1:2">
      <c r="A311" s="234"/>
      <c r="B311" s="234"/>
    </row>
    <row r="312" spans="1:2">
      <c r="A312" s="234"/>
      <c r="B312" s="234"/>
    </row>
    <row r="313" spans="1:2">
      <c r="A313" s="234"/>
      <c r="B313" s="234"/>
    </row>
    <row r="314" spans="1:2">
      <c r="A314" s="234"/>
      <c r="B314" s="234"/>
    </row>
    <row r="315" spans="1:2">
      <c r="A315" s="234"/>
      <c r="B315" s="234"/>
    </row>
    <row r="316" spans="1:2">
      <c r="A316" s="234"/>
      <c r="B316" s="234"/>
    </row>
    <row r="317" spans="1:2">
      <c r="A317" s="234"/>
      <c r="B317" s="234"/>
    </row>
    <row r="318" spans="1:2">
      <c r="A318" s="234"/>
      <c r="B318" s="234"/>
    </row>
    <row r="319" spans="1:2">
      <c r="A319" s="234"/>
      <c r="B319" s="234"/>
    </row>
    <row r="320" spans="1:2">
      <c r="A320" s="234"/>
      <c r="B320" s="234"/>
    </row>
    <row r="321" spans="1:2">
      <c r="A321" s="234"/>
      <c r="B321" s="234"/>
    </row>
    <row r="322" spans="1:2">
      <c r="A322" s="234"/>
      <c r="B322" s="234"/>
    </row>
    <row r="323" spans="1:2">
      <c r="A323" s="234"/>
      <c r="B323" s="234"/>
    </row>
    <row r="324" spans="1:2">
      <c r="A324" s="234"/>
      <c r="B324" s="234"/>
    </row>
    <row r="325" spans="1:2">
      <c r="A325" s="234"/>
      <c r="B325" s="234"/>
    </row>
    <row r="326" spans="1:2">
      <c r="A326" s="234"/>
      <c r="B326" s="234"/>
    </row>
    <row r="327" spans="1:2">
      <c r="A327" s="234"/>
      <c r="B327" s="234"/>
    </row>
    <row r="328" spans="1:2">
      <c r="A328" s="234"/>
      <c r="B328" s="234"/>
    </row>
    <row r="329" spans="1:2">
      <c r="A329" s="234"/>
      <c r="B329" s="234"/>
    </row>
    <row r="330" spans="1:2">
      <c r="A330" s="234"/>
      <c r="B330" s="234"/>
    </row>
    <row r="331" spans="1:2">
      <c r="A331" s="234"/>
      <c r="B331" s="234"/>
    </row>
    <row r="332" spans="1:2">
      <c r="A332" s="234"/>
      <c r="B332" s="234"/>
    </row>
    <row r="333" spans="1:2">
      <c r="A333" s="234"/>
      <c r="B333" s="234"/>
    </row>
    <row r="334" spans="1:2">
      <c r="A334" s="234"/>
      <c r="B334" s="234"/>
    </row>
    <row r="335" spans="1:2">
      <c r="A335" s="234"/>
      <c r="B335" s="234"/>
    </row>
    <row r="336" spans="1:2">
      <c r="A336" s="234"/>
      <c r="B336" s="234"/>
    </row>
    <row r="337" spans="1:2">
      <c r="A337" s="234"/>
      <c r="B337" s="234"/>
    </row>
    <row r="338" spans="1:2">
      <c r="A338" s="234"/>
      <c r="B338" s="234"/>
    </row>
    <row r="339" spans="1:2">
      <c r="A339" s="234"/>
      <c r="B339" s="234"/>
    </row>
    <row r="340" spans="1:2">
      <c r="A340" s="234"/>
      <c r="B340" s="234"/>
    </row>
    <row r="341" spans="1:2">
      <c r="A341" s="234"/>
      <c r="B341" s="234"/>
    </row>
    <row r="342" spans="1:2">
      <c r="A342" s="234"/>
      <c r="B342" s="234"/>
    </row>
    <row r="343" spans="1:2">
      <c r="A343" s="234"/>
      <c r="B343" s="234"/>
    </row>
    <row r="344" spans="1:2">
      <c r="A344" s="234"/>
      <c r="B344" s="234"/>
    </row>
    <row r="345" spans="1:2">
      <c r="A345" s="234"/>
      <c r="B345" s="234"/>
    </row>
    <row r="346" spans="1:2">
      <c r="A346" s="234"/>
      <c r="B346" s="234"/>
    </row>
    <row r="347" spans="1:2">
      <c r="A347" s="234"/>
      <c r="B347" s="234"/>
    </row>
    <row r="348" spans="1:2">
      <c r="A348" s="234"/>
      <c r="B348" s="234"/>
    </row>
    <row r="349" spans="1:2">
      <c r="A349" s="234"/>
      <c r="B349" s="234"/>
    </row>
    <row r="350" spans="1:2">
      <c r="A350" s="234"/>
      <c r="B350" s="234"/>
    </row>
    <row r="351" spans="1:2">
      <c r="A351" s="234"/>
      <c r="B351" s="234"/>
    </row>
    <row r="352" spans="1:2">
      <c r="A352" s="234"/>
      <c r="B352" s="234"/>
    </row>
    <row r="353" spans="1:2">
      <c r="A353" s="234"/>
      <c r="B353" s="234"/>
    </row>
    <row r="354" spans="1:2">
      <c r="A354" s="234"/>
      <c r="B354" s="234"/>
    </row>
    <row r="355" spans="1:2">
      <c r="A355" s="234"/>
      <c r="B355" s="234"/>
    </row>
    <row r="356" spans="1:2">
      <c r="A356" s="234"/>
      <c r="B356" s="234"/>
    </row>
    <row r="357" spans="1:2">
      <c r="A357" s="234"/>
      <c r="B357" s="234"/>
    </row>
    <row r="358" spans="1:2">
      <c r="A358" s="234"/>
      <c r="B358" s="234"/>
    </row>
    <row r="359" spans="1:2">
      <c r="A359" s="234"/>
      <c r="B359" s="234"/>
    </row>
    <row r="360" spans="1:2">
      <c r="A360" s="234"/>
      <c r="B360" s="234"/>
    </row>
    <row r="361" spans="1:2">
      <c r="A361" s="234"/>
      <c r="B361" s="234"/>
    </row>
    <row r="362" spans="1:2">
      <c r="A362" s="234"/>
      <c r="B362" s="234"/>
    </row>
    <row r="363" spans="1:2">
      <c r="A363" s="234"/>
      <c r="B363" s="234"/>
    </row>
    <row r="364" spans="1:2">
      <c r="A364" s="234"/>
      <c r="B364" s="234"/>
    </row>
    <row r="365" spans="1:2">
      <c r="A365" s="234"/>
      <c r="B365" s="234"/>
    </row>
    <row r="366" spans="1:2">
      <c r="A366" s="234"/>
      <c r="B366" s="234"/>
    </row>
    <row r="367" spans="1:2">
      <c r="A367" s="234"/>
      <c r="B367" s="234"/>
    </row>
    <row r="368" spans="1:2">
      <c r="A368" s="234"/>
      <c r="B368" s="234"/>
    </row>
    <row r="369" spans="1:2">
      <c r="A369" s="234"/>
      <c r="B369" s="234"/>
    </row>
    <row r="370" spans="1:2">
      <c r="A370" s="234"/>
      <c r="B370" s="234"/>
    </row>
    <row r="371" spans="1:2">
      <c r="A371" s="234"/>
      <c r="B371" s="234"/>
    </row>
    <row r="372" spans="1:2">
      <c r="A372" s="234"/>
      <c r="B372" s="234"/>
    </row>
    <row r="373" spans="1:2">
      <c r="A373" s="234"/>
      <c r="B373" s="234"/>
    </row>
    <row r="374" spans="1:2">
      <c r="A374" s="234"/>
      <c r="B374" s="234"/>
    </row>
    <row r="375" spans="1:2">
      <c r="A375" s="234"/>
      <c r="B375" s="234"/>
    </row>
    <row r="376" spans="1:2">
      <c r="A376" s="234"/>
      <c r="B376" s="234"/>
    </row>
    <row r="377" spans="1:2">
      <c r="A377" s="234"/>
      <c r="B377" s="234"/>
    </row>
    <row r="378" spans="1:2">
      <c r="A378" s="234"/>
      <c r="B378" s="234"/>
    </row>
    <row r="379" spans="1:2">
      <c r="A379" s="234"/>
      <c r="B379" s="234"/>
    </row>
    <row r="380" spans="1:2">
      <c r="A380" s="234"/>
      <c r="B380" s="234"/>
    </row>
    <row r="381" spans="1:2">
      <c r="A381" s="234"/>
      <c r="B381" s="234"/>
    </row>
    <row r="382" spans="1:2">
      <c r="A382" s="234"/>
      <c r="B382" s="234"/>
    </row>
    <row r="383" spans="1:2">
      <c r="A383" s="234"/>
      <c r="B383" s="234"/>
    </row>
    <row r="384" spans="1:2">
      <c r="A384" s="234"/>
      <c r="B384" s="234"/>
    </row>
    <row r="385" spans="1:2">
      <c r="A385" s="234"/>
      <c r="B385" s="234"/>
    </row>
    <row r="386" spans="1:2">
      <c r="A386" s="234"/>
      <c r="B386" s="234"/>
    </row>
    <row r="387" spans="1:2">
      <c r="A387" s="234"/>
      <c r="B387" s="234"/>
    </row>
    <row r="388" spans="1:2">
      <c r="A388" s="234"/>
      <c r="B388" s="234"/>
    </row>
    <row r="389" spans="1:2">
      <c r="A389" s="234"/>
      <c r="B389" s="234"/>
    </row>
    <row r="390" spans="1:2">
      <c r="A390" s="234"/>
      <c r="B390" s="234"/>
    </row>
    <row r="391" spans="1:2">
      <c r="A391" s="234"/>
      <c r="B391" s="234"/>
    </row>
    <row r="392" spans="1:2">
      <c r="A392" s="234"/>
      <c r="B392" s="234"/>
    </row>
    <row r="393" spans="1:2">
      <c r="A393" s="234"/>
      <c r="B393" s="234"/>
    </row>
    <row r="394" spans="1:2">
      <c r="A394" s="234"/>
      <c r="B394" s="234"/>
    </row>
    <row r="395" spans="1:2">
      <c r="A395" s="234"/>
      <c r="B395" s="234"/>
    </row>
    <row r="396" spans="1:2">
      <c r="A396" s="234"/>
      <c r="B396" s="234"/>
    </row>
    <row r="397" spans="1:2">
      <c r="A397" s="234"/>
      <c r="B397" s="234"/>
    </row>
    <row r="398" spans="1:2">
      <c r="A398" s="234"/>
      <c r="B398" s="234"/>
    </row>
    <row r="399" spans="1:2">
      <c r="A399" s="234"/>
      <c r="B399" s="234"/>
    </row>
    <row r="400" spans="1:2">
      <c r="A400" s="234"/>
      <c r="B400" s="234"/>
    </row>
    <row r="401" spans="1:2">
      <c r="A401" s="234"/>
      <c r="B401" s="234"/>
    </row>
    <row r="402" spans="1:2">
      <c r="A402" s="234"/>
      <c r="B402" s="234"/>
    </row>
    <row r="403" spans="1:2">
      <c r="A403" s="234"/>
      <c r="B403" s="234"/>
    </row>
    <row r="404" spans="1:2">
      <c r="A404" s="234"/>
      <c r="B404" s="234"/>
    </row>
    <row r="405" spans="1:2">
      <c r="A405" s="234"/>
      <c r="B405" s="234"/>
    </row>
    <row r="406" spans="1:2">
      <c r="A406" s="234"/>
      <c r="B406" s="234"/>
    </row>
    <row r="407" spans="1:2">
      <c r="A407" s="234"/>
      <c r="B407" s="234"/>
    </row>
    <row r="408" spans="1:2">
      <c r="A408" s="234"/>
      <c r="B408" s="234"/>
    </row>
    <row r="409" spans="1:2">
      <c r="A409" s="234"/>
      <c r="B409" s="234"/>
    </row>
    <row r="410" spans="1:2">
      <c r="A410" s="234"/>
      <c r="B410" s="234"/>
    </row>
    <row r="411" spans="1:2">
      <c r="A411" s="234"/>
      <c r="B411" s="234"/>
    </row>
    <row r="412" spans="1:2">
      <c r="A412" s="234"/>
      <c r="B412" s="234"/>
    </row>
    <row r="413" spans="1:2">
      <c r="A413" s="234"/>
      <c r="B413" s="234"/>
    </row>
    <row r="414" spans="1:2">
      <c r="A414" s="234"/>
      <c r="B414" s="234"/>
    </row>
    <row r="415" spans="1:2">
      <c r="A415" s="234"/>
      <c r="B415" s="234"/>
    </row>
    <row r="416" spans="1:2">
      <c r="A416" s="234"/>
      <c r="B416" s="234"/>
    </row>
    <row r="417" spans="1:2">
      <c r="A417" s="234"/>
      <c r="B417" s="234"/>
    </row>
    <row r="418" spans="1:2">
      <c r="A418" s="234"/>
      <c r="B418" s="234"/>
    </row>
    <row r="419" spans="1:2">
      <c r="A419" s="234"/>
      <c r="B419" s="234"/>
    </row>
    <row r="420" spans="1:2">
      <c r="A420" s="234"/>
      <c r="B420" s="234"/>
    </row>
    <row r="421" spans="1:2">
      <c r="A421" s="234"/>
      <c r="B421" s="234"/>
    </row>
    <row r="422" spans="1:2">
      <c r="A422" s="234"/>
      <c r="B422" s="234"/>
    </row>
    <row r="423" spans="1:2">
      <c r="A423" s="234"/>
      <c r="B423" s="234"/>
    </row>
    <row r="424" spans="1:2">
      <c r="A424" s="234"/>
      <c r="B424" s="234"/>
    </row>
    <row r="425" spans="1:2">
      <c r="A425" s="234"/>
      <c r="B425" s="234"/>
    </row>
    <row r="426" spans="1:2">
      <c r="A426" s="234"/>
      <c r="B426" s="234"/>
    </row>
    <row r="427" spans="1:2">
      <c r="A427" s="234"/>
      <c r="B427" s="234"/>
    </row>
    <row r="428" spans="1:2">
      <c r="A428" s="234"/>
      <c r="B428" s="234"/>
    </row>
    <row r="429" spans="1:2">
      <c r="A429" s="234"/>
      <c r="B429" s="234"/>
    </row>
    <row r="430" spans="1:2">
      <c r="A430" s="234"/>
      <c r="B430" s="234"/>
    </row>
    <row r="431" spans="1:2">
      <c r="A431" s="234"/>
      <c r="B431" s="234"/>
    </row>
    <row r="432" spans="1:2">
      <c r="A432" s="234"/>
      <c r="B432" s="234"/>
    </row>
    <row r="433" spans="1:2">
      <c r="A433" s="234"/>
      <c r="B433" s="234"/>
    </row>
    <row r="434" spans="1:2">
      <c r="A434" s="234"/>
      <c r="B434" s="234"/>
    </row>
    <row r="435" spans="1:2">
      <c r="A435" s="234"/>
      <c r="B435" s="234"/>
    </row>
    <row r="436" spans="1:2">
      <c r="A436" s="234"/>
      <c r="B436" s="234"/>
    </row>
    <row r="437" spans="1:2">
      <c r="A437" s="234"/>
      <c r="B437" s="234"/>
    </row>
    <row r="438" spans="1:2">
      <c r="A438" s="234"/>
      <c r="B438" s="234"/>
    </row>
    <row r="439" spans="1:2">
      <c r="A439" s="234"/>
      <c r="B439" s="234"/>
    </row>
    <row r="440" spans="1:2">
      <c r="A440" s="234"/>
      <c r="B440" s="234"/>
    </row>
    <row r="441" spans="1:2">
      <c r="A441" s="234"/>
      <c r="B441" s="234"/>
    </row>
    <row r="442" spans="1:2">
      <c r="A442" s="234"/>
      <c r="B442" s="234"/>
    </row>
    <row r="443" spans="1:2">
      <c r="A443" s="234"/>
      <c r="B443" s="234"/>
    </row>
    <row r="444" spans="1:2">
      <c r="A444" s="234"/>
      <c r="B444" s="234"/>
    </row>
    <row r="445" spans="1:2">
      <c r="A445" s="234"/>
      <c r="B445" s="234"/>
    </row>
    <row r="446" spans="1:2">
      <c r="A446" s="234"/>
      <c r="B446" s="234"/>
    </row>
    <row r="447" spans="1:2">
      <c r="A447" s="234"/>
      <c r="B447" s="234"/>
    </row>
    <row r="448" spans="1:2">
      <c r="A448" s="234"/>
      <c r="B448" s="234"/>
    </row>
    <row r="449" spans="1:2">
      <c r="A449" s="234"/>
      <c r="B449" s="234"/>
    </row>
    <row r="450" spans="1:2">
      <c r="A450" s="234"/>
      <c r="B450" s="234"/>
    </row>
    <row r="451" spans="1:2">
      <c r="A451" s="234"/>
      <c r="B451" s="234"/>
    </row>
    <row r="452" spans="1:2">
      <c r="A452" s="234"/>
      <c r="B452" s="234"/>
    </row>
    <row r="453" spans="1:2">
      <c r="A453" s="234"/>
      <c r="B453" s="234"/>
    </row>
    <row r="454" spans="1:2">
      <c r="A454" s="234"/>
      <c r="B454" s="234"/>
    </row>
    <row r="455" spans="1:2">
      <c r="A455" s="234"/>
      <c r="B455" s="234"/>
    </row>
    <row r="456" spans="1:2">
      <c r="A456" s="234"/>
      <c r="B456" s="234"/>
    </row>
    <row r="457" spans="1:2">
      <c r="A457" s="234"/>
      <c r="B457" s="234"/>
    </row>
    <row r="458" spans="1:2">
      <c r="A458" s="234"/>
      <c r="B458" s="234"/>
    </row>
    <row r="459" spans="1:2">
      <c r="A459" s="234"/>
      <c r="B459" s="234"/>
    </row>
    <row r="460" spans="1:2">
      <c r="A460" s="234"/>
      <c r="B460" s="234"/>
    </row>
    <row r="461" spans="1:2">
      <c r="A461" s="234"/>
      <c r="B461" s="234"/>
    </row>
    <row r="462" spans="1:2">
      <c r="A462" s="234"/>
      <c r="B462" s="234"/>
    </row>
    <row r="463" spans="1:2">
      <c r="A463" s="234"/>
      <c r="B463" s="234"/>
    </row>
    <row r="464" spans="1:2">
      <c r="A464" s="234"/>
      <c r="B464" s="234"/>
    </row>
    <row r="465" spans="1:2">
      <c r="A465" s="234"/>
      <c r="B465" s="234"/>
    </row>
    <row r="466" spans="1:2">
      <c r="A466" s="234"/>
      <c r="B466" s="234"/>
    </row>
    <row r="467" spans="1:2">
      <c r="A467" s="234"/>
      <c r="B467" s="234"/>
    </row>
    <row r="468" spans="1:2">
      <c r="A468" s="234"/>
      <c r="B468" s="234"/>
    </row>
    <row r="469" spans="1:2">
      <c r="A469" s="234"/>
      <c r="B469" s="234"/>
    </row>
    <row r="470" spans="1:2">
      <c r="A470" s="234"/>
      <c r="B470" s="234"/>
    </row>
    <row r="471" spans="1:2">
      <c r="A471" s="234"/>
      <c r="B471" s="234"/>
    </row>
    <row r="472" spans="1:2">
      <c r="A472" s="234"/>
      <c r="B472" s="234"/>
    </row>
    <row r="473" spans="1:2">
      <c r="A473" s="234"/>
      <c r="B473" s="234"/>
    </row>
    <row r="474" spans="1:2">
      <c r="A474" s="234"/>
      <c r="B474" s="234"/>
    </row>
    <row r="475" spans="1:2">
      <c r="A475" s="234"/>
      <c r="B475" s="234"/>
    </row>
    <row r="476" spans="1:2">
      <c r="A476" s="234"/>
      <c r="B476" s="234"/>
    </row>
    <row r="477" spans="1:2">
      <c r="A477" s="234"/>
      <c r="B477" s="234"/>
    </row>
    <row r="478" spans="1:2">
      <c r="A478" s="234"/>
      <c r="B478" s="234"/>
    </row>
    <row r="479" spans="1:2">
      <c r="A479" s="234"/>
      <c r="B479" s="234"/>
    </row>
    <row r="480" spans="1:2">
      <c r="A480" s="234"/>
      <c r="B480" s="234"/>
    </row>
    <row r="481" spans="1:2">
      <c r="A481" s="234"/>
      <c r="B481" s="234"/>
    </row>
    <row r="482" spans="1:2">
      <c r="A482" s="234"/>
      <c r="B482" s="234"/>
    </row>
    <row r="483" spans="1:2">
      <c r="A483" s="234"/>
      <c r="B483" s="234"/>
    </row>
    <row r="484" spans="1:2">
      <c r="A484" s="234"/>
      <c r="B484" s="234"/>
    </row>
    <row r="485" spans="1:2">
      <c r="A485" s="234"/>
      <c r="B485" s="234"/>
    </row>
    <row r="486" spans="1:2">
      <c r="A486" s="234"/>
      <c r="B486" s="234"/>
    </row>
    <row r="487" spans="1:2">
      <c r="A487" s="234"/>
      <c r="B487" s="234"/>
    </row>
    <row r="488" spans="1:2">
      <c r="A488" s="234"/>
      <c r="B488" s="234"/>
    </row>
    <row r="489" spans="1:2">
      <c r="A489" s="234"/>
      <c r="B489" s="234"/>
    </row>
    <row r="490" spans="1:2">
      <c r="A490" s="234"/>
      <c r="B490" s="234"/>
    </row>
    <row r="491" spans="1:2">
      <c r="A491" s="234"/>
      <c r="B491" s="234"/>
    </row>
    <row r="492" spans="1:2">
      <c r="A492" s="234"/>
      <c r="B492" s="234"/>
    </row>
    <row r="493" spans="1:2">
      <c r="A493" s="234"/>
      <c r="B493" s="234"/>
    </row>
    <row r="494" spans="1:2">
      <c r="A494" s="234"/>
      <c r="B494" s="234"/>
    </row>
    <row r="495" spans="1:2">
      <c r="A495" s="234"/>
      <c r="B495" s="234"/>
    </row>
    <row r="496" spans="1:2">
      <c r="A496" s="234"/>
      <c r="B496" s="234"/>
    </row>
    <row r="497" spans="1:2">
      <c r="A497" s="234"/>
      <c r="B497" s="234"/>
    </row>
    <row r="498" spans="1:2">
      <c r="A498" s="234"/>
      <c r="B498" s="234"/>
    </row>
    <row r="499" spans="1:2">
      <c r="A499" s="234"/>
      <c r="B499" s="234"/>
    </row>
    <row r="500" spans="1:2">
      <c r="A500" s="234"/>
      <c r="B500" s="234"/>
    </row>
    <row r="501" spans="1:2">
      <c r="A501" s="234"/>
      <c r="B501" s="234"/>
    </row>
    <row r="502" spans="1:2">
      <c r="A502" s="234"/>
      <c r="B502" s="234"/>
    </row>
    <row r="503" spans="1:2">
      <c r="A503" s="234"/>
      <c r="B503" s="234"/>
    </row>
    <row r="504" spans="1:2">
      <c r="A504" s="234"/>
      <c r="B504" s="234"/>
    </row>
    <row r="505" spans="1:2">
      <c r="A505" s="234"/>
      <c r="B505" s="234"/>
    </row>
    <row r="506" spans="1:2">
      <c r="A506" s="234"/>
      <c r="B506" s="234"/>
    </row>
    <row r="507" spans="1:2">
      <c r="A507" s="234"/>
      <c r="B507" s="234"/>
    </row>
    <row r="508" spans="1:2">
      <c r="A508" s="234"/>
      <c r="B508" s="234"/>
    </row>
    <row r="509" spans="1:2">
      <c r="A509" s="234"/>
      <c r="B509" s="234"/>
    </row>
    <row r="510" spans="1:2">
      <c r="A510" s="234"/>
      <c r="B510" s="234"/>
    </row>
    <row r="511" spans="1:2">
      <c r="A511" s="234"/>
      <c r="B511" s="234"/>
    </row>
    <row r="512" spans="1:2">
      <c r="A512" s="234"/>
      <c r="B512" s="234"/>
    </row>
    <row r="513" spans="1:2">
      <c r="A513" s="234"/>
      <c r="B513" s="234"/>
    </row>
    <row r="514" spans="1:2">
      <c r="A514" s="234"/>
      <c r="B514" s="234"/>
    </row>
    <row r="515" spans="1:2">
      <c r="A515" s="234"/>
      <c r="B515" s="234"/>
    </row>
    <row r="516" spans="1:2">
      <c r="A516" s="234"/>
      <c r="B516" s="234"/>
    </row>
    <row r="517" spans="1:2">
      <c r="A517" s="234"/>
      <c r="B517" s="234"/>
    </row>
    <row r="518" spans="1:2">
      <c r="A518" s="234"/>
      <c r="B518" s="234"/>
    </row>
    <row r="519" spans="1:2">
      <c r="A519" s="234"/>
      <c r="B519" s="234"/>
    </row>
    <row r="520" spans="1:2">
      <c r="A520" s="234"/>
      <c r="B520" s="234"/>
    </row>
    <row r="521" spans="1:2">
      <c r="A521" s="234"/>
      <c r="B521" s="234"/>
    </row>
    <row r="522" spans="1:2">
      <c r="A522" s="234"/>
      <c r="B522" s="234"/>
    </row>
    <row r="523" spans="1:2">
      <c r="A523" s="234"/>
      <c r="B523" s="234"/>
    </row>
    <row r="524" spans="1:2">
      <c r="A524" s="234"/>
      <c r="B524" s="234"/>
    </row>
    <row r="525" spans="1:2">
      <c r="A525" s="234"/>
      <c r="B525" s="234"/>
    </row>
    <row r="526" spans="1:2">
      <c r="A526" s="234"/>
      <c r="B526" s="234"/>
    </row>
    <row r="527" spans="1:2">
      <c r="A527" s="234"/>
      <c r="B527" s="234"/>
    </row>
    <row r="528" spans="1:2">
      <c r="A528" s="234"/>
      <c r="B528" s="234"/>
    </row>
    <row r="529" spans="1:2">
      <c r="A529" s="234"/>
      <c r="B529" s="234"/>
    </row>
    <row r="530" spans="1:2">
      <c r="A530" s="234"/>
      <c r="B530" s="234"/>
    </row>
    <row r="531" spans="1:2">
      <c r="A531" s="234"/>
      <c r="B531" s="234"/>
    </row>
    <row r="532" spans="1:2">
      <c r="A532" s="234"/>
      <c r="B532" s="234"/>
    </row>
    <row r="533" spans="1:2">
      <c r="A533" s="234"/>
      <c r="B533" s="234"/>
    </row>
    <row r="534" spans="1:2">
      <c r="A534" s="234"/>
      <c r="B534" s="234"/>
    </row>
    <row r="535" spans="1:2">
      <c r="A535" s="234"/>
      <c r="B535" s="234"/>
    </row>
    <row r="536" spans="1:2">
      <c r="A536" s="234"/>
      <c r="B536" s="234"/>
    </row>
    <row r="537" spans="1:2">
      <c r="A537" s="234"/>
      <c r="B537" s="234"/>
    </row>
    <row r="538" spans="1:2">
      <c r="A538" s="234"/>
      <c r="B538" s="234"/>
    </row>
    <row r="539" spans="1:2">
      <c r="A539" s="234"/>
      <c r="B539" s="234"/>
    </row>
    <row r="540" spans="1:2">
      <c r="A540" s="234"/>
      <c r="B540" s="234"/>
    </row>
    <row r="541" spans="1:2">
      <c r="A541" s="234"/>
      <c r="B541" s="234"/>
    </row>
    <row r="542" spans="1:2">
      <c r="A542" s="234"/>
      <c r="B542" s="234"/>
    </row>
    <row r="543" spans="1:2">
      <c r="A543" s="234"/>
      <c r="B543" s="234"/>
    </row>
    <row r="544" spans="1:2">
      <c r="A544" s="234"/>
      <c r="B544" s="234"/>
    </row>
    <row r="545" spans="1:2">
      <c r="A545" s="234"/>
      <c r="B545" s="234"/>
    </row>
    <row r="546" spans="1:2">
      <c r="A546" s="234"/>
      <c r="B546" s="234"/>
    </row>
    <row r="547" spans="1:2">
      <c r="A547" s="234"/>
      <c r="B547" s="234"/>
    </row>
    <row r="548" spans="1:2">
      <c r="A548" s="234"/>
      <c r="B548" s="234"/>
    </row>
    <row r="549" spans="1:2">
      <c r="A549" s="234"/>
      <c r="B549" s="234"/>
    </row>
    <row r="550" spans="1:2">
      <c r="A550" s="234"/>
      <c r="B550" s="234"/>
    </row>
    <row r="551" spans="1:2">
      <c r="A551" s="234"/>
      <c r="B551" s="234"/>
    </row>
    <row r="552" spans="1:2">
      <c r="A552" s="234"/>
      <c r="B552" s="234"/>
    </row>
    <row r="553" spans="1:2">
      <c r="A553" s="234"/>
      <c r="B553" s="234"/>
    </row>
    <row r="554" spans="1:2">
      <c r="A554" s="234"/>
      <c r="B554" s="234"/>
    </row>
    <row r="555" spans="1:2">
      <c r="A555" s="234"/>
      <c r="B555" s="234"/>
    </row>
    <row r="556" spans="1:2">
      <c r="A556" s="234"/>
      <c r="B556" s="234"/>
    </row>
    <row r="557" spans="1:2">
      <c r="A557" s="234"/>
      <c r="B557" s="234"/>
    </row>
    <row r="558" spans="1:2">
      <c r="A558" s="234"/>
      <c r="B558" s="234"/>
    </row>
    <row r="559" spans="1:2">
      <c r="A559" s="234"/>
      <c r="B559" s="234"/>
    </row>
    <row r="560" spans="1:2">
      <c r="A560" s="234"/>
      <c r="B560" s="234"/>
    </row>
    <row r="561" spans="1:2">
      <c r="A561" s="234"/>
      <c r="B561" s="234"/>
    </row>
    <row r="562" spans="1:2">
      <c r="A562" s="234"/>
      <c r="B562" s="234"/>
    </row>
    <row r="563" spans="1:2">
      <c r="A563" s="234"/>
      <c r="B563" s="234"/>
    </row>
    <row r="564" spans="1:2">
      <c r="A564" s="234"/>
      <c r="B564" s="234"/>
    </row>
    <row r="565" spans="1:2">
      <c r="A565" s="234"/>
      <c r="B565" s="234"/>
    </row>
    <row r="566" spans="1:2">
      <c r="A566" s="234"/>
      <c r="B566" s="234"/>
    </row>
    <row r="567" spans="1:2">
      <c r="A567" s="234"/>
      <c r="B567" s="234"/>
    </row>
    <row r="568" spans="1:2">
      <c r="A568" s="234"/>
      <c r="B568" s="234"/>
    </row>
    <row r="569" spans="1:2">
      <c r="A569" s="234"/>
      <c r="B569" s="234"/>
    </row>
    <row r="570" spans="1:2">
      <c r="A570" s="234"/>
      <c r="B570" s="234"/>
    </row>
    <row r="571" spans="1:2">
      <c r="A571" s="234"/>
      <c r="B571" s="234"/>
    </row>
    <row r="572" spans="1:2">
      <c r="A572" s="234"/>
      <c r="B572" s="234"/>
    </row>
    <row r="573" spans="1:2">
      <c r="A573" s="234"/>
      <c r="B573" s="234"/>
    </row>
    <row r="574" spans="1:2">
      <c r="A574" s="234"/>
      <c r="B574" s="234"/>
    </row>
    <row r="575" spans="1:2">
      <c r="A575" s="234"/>
      <c r="B575" s="234"/>
    </row>
    <row r="576" spans="1:2">
      <c r="A576" s="234"/>
      <c r="B576" s="234"/>
    </row>
    <row r="577" spans="1:2">
      <c r="A577" s="234"/>
      <c r="B577" s="234"/>
    </row>
    <row r="578" spans="1:2">
      <c r="A578" s="234"/>
      <c r="B578" s="234"/>
    </row>
    <row r="579" spans="1:2">
      <c r="A579" s="234"/>
      <c r="B579" s="234"/>
    </row>
  </sheetData>
  <pageMargins left="0.7" right="0.7" top="0.75" bottom="0.75" header="0.3" footer="0.3"/>
  <pageSetup scale="93" fitToHeight="0" orientation="portrait" r:id="rId1"/>
  <headerFooter>
    <oddFooter>&amp;L&amp;F - &amp;A&amp;R&amp;P of &amp;N</oddFooter>
  </headerFooter>
  <rowBreaks count="5" manualBreakCount="5">
    <brk id="51" max="4" man="1"/>
    <brk id="96" max="4" man="1"/>
    <brk id="141" max="4" man="1"/>
    <brk id="184" max="4" man="1"/>
    <brk id="22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78B2FAB0EE934FA22595EE73E7D882" ma:contentTypeVersion="92" ma:contentTypeDescription="" ma:contentTypeScope="" ma:versionID="fff5ee5264589eb1b7f5508239b31b3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2017-01-10T08:00:00+00:00</OpenedDate>
    <Date1 xmlns="dc463f71-b30c-4ab2-9473-d307f9d35888">2017-01-10T08:00:00+00:00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170021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C5BBD8C-0801-482F-8256-0A1695679F45}"/>
</file>

<file path=customXml/itemProps2.xml><?xml version="1.0" encoding="utf-8"?>
<ds:datastoreItem xmlns:ds="http://schemas.openxmlformats.org/officeDocument/2006/customXml" ds:itemID="{698205C6-4D56-4B15-B31E-A931C6DDF2C8}"/>
</file>

<file path=customXml/itemProps3.xml><?xml version="1.0" encoding="utf-8"?>
<ds:datastoreItem xmlns:ds="http://schemas.openxmlformats.org/officeDocument/2006/customXml" ds:itemID="{198FA305-A519-4B6E-9C27-D6F535D86229}"/>
</file>

<file path=customXml/itemProps4.xml><?xml version="1.0" encoding="utf-8"?>
<ds:datastoreItem xmlns:ds="http://schemas.openxmlformats.org/officeDocument/2006/customXml" ds:itemID="{2D311DB4-3EBC-4224-B614-8F3A5117EE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References</vt:lpstr>
      <vt:lpstr>DF Calculation</vt:lpstr>
      <vt:lpstr>Proposed Rates</vt:lpstr>
      <vt:lpstr>Consolidated Cust Cnt</vt:lpstr>
      <vt:lpstr>'Consolidated Cust Cnt'!Print_Area</vt:lpstr>
      <vt:lpstr>'Consolidated Cust Cnt'!Print_Titles</vt:lpstr>
      <vt:lpstr>'DF Calculation'!Print_Titles</vt:lpstr>
      <vt:lpstr>'Proposed Rates'!Print_Titles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Heather Garland</cp:lastModifiedBy>
  <cp:lastPrinted>2017-01-10T00:32:01Z</cp:lastPrinted>
  <dcterms:created xsi:type="dcterms:W3CDTF">2013-10-29T22:33:54Z</dcterms:created>
  <dcterms:modified xsi:type="dcterms:W3CDTF">2017-01-10T17:33:59Z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0x0101006E56B4D1795A2E4DB2F0B01679ED314A002378B2FAB0EE934FA22595EE73E7D882</vt:lpwstr>
  </property>
  <property fmtid="{D5CDD505-2E9C-101B-9397-08002B2CF9AE}" pid="3" name="_docset_NoMedatataSyncRequired">
    <vt:lpwstr>False</vt:lpwstr>
  </property>
</Properties>
</file>