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\TG-161292 Ed's\"/>
    </mc:Choice>
  </mc:AlternateContent>
  <bookViews>
    <workbookView xWindow="195" yWindow="240" windowWidth="26130" windowHeight="11385" activeTab="2"/>
  </bookViews>
  <sheets>
    <sheet name="References" sheetId="4" r:id="rId1"/>
    <sheet name="Calculations" sheetId="7" r:id="rId2"/>
    <sheet name="Revenue Increase" sheetId="8" r:id="rId3"/>
  </sheets>
  <externalReferences>
    <externalReference r:id="rId4"/>
  </externalReferences>
  <definedNames>
    <definedName name="_xlnm.Print_Area" localSheetId="1">Calculations!$A$3:$Q$94</definedName>
    <definedName name="_xlnm.Print_Area" localSheetId="0">References!$A$2:$H$66</definedName>
    <definedName name="_xlnm.Print_Area" localSheetId="2">'Revenue Increase'!$A$1:$L$23</definedName>
    <definedName name="_xlnm.Print_Titles" localSheetId="1">Calculations!$1:$2</definedName>
    <definedName name="_xlnm.Print_Titles" localSheetId="0">References!$1:$1</definedName>
  </definedNames>
  <calcPr calcId="152511"/>
</workbook>
</file>

<file path=xl/calcChain.xml><?xml version="1.0" encoding="utf-8"?>
<calcChain xmlns="http://schemas.openxmlformats.org/spreadsheetml/2006/main">
  <c r="H10" i="8" l="1"/>
  <c r="F10" i="8"/>
  <c r="A1" i="8"/>
  <c r="G29" i="7" l="1"/>
  <c r="G81" i="7" l="1"/>
  <c r="G77" i="7"/>
  <c r="G75" i="7"/>
  <c r="M45" i="7"/>
  <c r="G43" i="7"/>
  <c r="F43" i="7"/>
  <c r="H43" i="7" l="1"/>
  <c r="O43" i="7"/>
  <c r="G46" i="7" l="1"/>
  <c r="N45" i="7"/>
  <c r="F45" i="7"/>
  <c r="O45" i="7" s="1"/>
  <c r="M41" i="7"/>
  <c r="N41" i="7" s="1"/>
  <c r="G42" i="7"/>
  <c r="F41" i="7"/>
  <c r="F38" i="7"/>
  <c r="O38" i="7" s="1"/>
  <c r="F36" i="7"/>
  <c r="M36" i="7"/>
  <c r="N36" i="7" s="1"/>
  <c r="G39" i="7"/>
  <c r="G38" i="7"/>
  <c r="G37" i="7"/>
  <c r="G34" i="7"/>
  <c r="G33" i="7"/>
  <c r="M31" i="7"/>
  <c r="N31" i="7" s="1"/>
  <c r="G32" i="7"/>
  <c r="F33" i="7"/>
  <c r="O33" i="7" s="1"/>
  <c r="F31" i="7"/>
  <c r="F26" i="7"/>
  <c r="F22" i="7"/>
  <c r="D27" i="7"/>
  <c r="F28" i="7"/>
  <c r="O28" i="7" s="1"/>
  <c r="M26" i="7"/>
  <c r="F24" i="7"/>
  <c r="O24" i="7" s="1"/>
  <c r="G28" i="7"/>
  <c r="G27" i="7"/>
  <c r="G24" i="7"/>
  <c r="G23" i="7"/>
  <c r="F17" i="7"/>
  <c r="G19" i="7"/>
  <c r="G18" i="7"/>
  <c r="F19" i="7"/>
  <c r="G15" i="7"/>
  <c r="M22" i="7"/>
  <c r="N22" i="7" s="1"/>
  <c r="M17" i="7"/>
  <c r="N17" i="7" s="1"/>
  <c r="P36" i="7" l="1"/>
  <c r="P22" i="7"/>
  <c r="O17" i="7"/>
  <c r="P45" i="7"/>
  <c r="Q45" i="7" s="1"/>
  <c r="P41" i="7"/>
  <c r="O22" i="7"/>
  <c r="O41" i="7"/>
  <c r="H38" i="7"/>
  <c r="O36" i="7"/>
  <c r="O31" i="7"/>
  <c r="H33" i="7"/>
  <c r="P31" i="7"/>
  <c r="O26" i="7"/>
  <c r="H28" i="7"/>
  <c r="N26" i="7"/>
  <c r="P26" i="7" s="1"/>
  <c r="H24" i="7"/>
  <c r="O19" i="7"/>
  <c r="H19" i="7"/>
  <c r="P17" i="7"/>
  <c r="Q17" i="7" s="1"/>
  <c r="G12" i="7"/>
  <c r="G13" i="7"/>
  <c r="D6" i="7"/>
  <c r="G57" i="7"/>
  <c r="Q22" i="7" l="1"/>
  <c r="Q36" i="7"/>
  <c r="Q41" i="7"/>
  <c r="Q26" i="7"/>
  <c r="Q31" i="7"/>
  <c r="L10" i="8"/>
  <c r="J10" i="8"/>
  <c r="D22" i="8"/>
  <c r="D51" i="7" l="1"/>
  <c r="G79" i="7" l="1"/>
  <c r="G78" i="7"/>
  <c r="G70" i="7"/>
  <c r="B5" i="4"/>
  <c r="B6" i="4"/>
  <c r="B7" i="4"/>
  <c r="B9" i="4"/>
  <c r="B8" i="4"/>
  <c r="B4" i="4"/>
  <c r="E23" i="7" l="1"/>
  <c r="F23" i="7" s="1"/>
  <c r="E12" i="7"/>
  <c r="F12" i="7" s="1"/>
  <c r="E46" i="7"/>
  <c r="F46" i="7" s="1"/>
  <c r="E42" i="7"/>
  <c r="F42" i="7" s="1"/>
  <c r="E37" i="7"/>
  <c r="F37" i="7" s="1"/>
  <c r="E32" i="7"/>
  <c r="F32" i="7" s="1"/>
  <c r="E27" i="7"/>
  <c r="F27" i="7" s="1"/>
  <c r="E18" i="7"/>
  <c r="F18" i="7" s="1"/>
  <c r="E57" i="7"/>
  <c r="F57" i="7" s="1"/>
  <c r="H57" i="7" s="1"/>
  <c r="E39" i="7"/>
  <c r="F39" i="7" s="1"/>
  <c r="E34" i="7"/>
  <c r="F34" i="7" s="1"/>
  <c r="E29" i="7"/>
  <c r="F29" i="7" s="1"/>
  <c r="E14" i="7"/>
  <c r="E11" i="7"/>
  <c r="F11" i="7" s="1"/>
  <c r="E48" i="7"/>
  <c r="F48" i="7" s="1"/>
  <c r="F47" i="7"/>
  <c r="F14" i="7"/>
  <c r="G62" i="7"/>
  <c r="G61" i="7"/>
  <c r="H61" i="7" s="1"/>
  <c r="O6" i="7"/>
  <c r="H29" i="7" l="1"/>
  <c r="O29" i="7"/>
  <c r="H18" i="7"/>
  <c r="O18" i="7"/>
  <c r="H42" i="7"/>
  <c r="O42" i="7"/>
  <c r="O34" i="7"/>
  <c r="H34" i="7"/>
  <c r="O27" i="7"/>
  <c r="H27" i="7"/>
  <c r="H46" i="7"/>
  <c r="O46" i="7"/>
  <c r="H39" i="7"/>
  <c r="O39" i="7"/>
  <c r="O32" i="7"/>
  <c r="H32" i="7"/>
  <c r="O12" i="7"/>
  <c r="H12" i="7"/>
  <c r="O37" i="7"/>
  <c r="H37" i="7"/>
  <c r="O23" i="7"/>
  <c r="H23" i="7"/>
  <c r="G5" i="7"/>
  <c r="G4" i="7"/>
  <c r="G7" i="7"/>
  <c r="G11" i="7"/>
  <c r="H11" i="7" s="1"/>
  <c r="G14" i="7"/>
  <c r="H14" i="7" s="1"/>
  <c r="G47" i="7"/>
  <c r="H47" i="7" s="1"/>
  <c r="G48" i="7"/>
  <c r="H48" i="7" s="1"/>
  <c r="G49" i="4"/>
  <c r="D91" i="7"/>
  <c r="C48" i="4"/>
  <c r="C49" i="4"/>
  <c r="G80" i="7"/>
  <c r="G76" i="7"/>
  <c r="G74" i="7"/>
  <c r="G73" i="7"/>
  <c r="G72" i="7"/>
  <c r="G71" i="7"/>
  <c r="G64" i="7"/>
  <c r="G6" i="7"/>
  <c r="E58" i="7"/>
  <c r="F58" i="7" s="1"/>
  <c r="G58" i="7"/>
  <c r="E59" i="7"/>
  <c r="F59" i="7" s="1"/>
  <c r="G59" i="7"/>
  <c r="G60" i="7"/>
  <c r="E62" i="7"/>
  <c r="G63" i="7"/>
  <c r="D9" i="7"/>
  <c r="O47" i="7"/>
  <c r="O48" i="7"/>
  <c r="O5" i="7"/>
  <c r="G69" i="7"/>
  <c r="G68" i="7"/>
  <c r="G67" i="7"/>
  <c r="O4" i="7"/>
  <c r="O14" i="7"/>
  <c r="O11" i="7"/>
  <c r="O7" i="7"/>
  <c r="B55" i="4"/>
  <c r="F4" i="4"/>
  <c r="H5" i="4"/>
  <c r="D6" i="4"/>
  <c r="C7" i="4"/>
  <c r="C5" i="4"/>
  <c r="E5" i="4"/>
  <c r="G5" i="4"/>
  <c r="F6" i="4"/>
  <c r="C6" i="4"/>
  <c r="D5" i="4"/>
  <c r="F5" i="4"/>
  <c r="E6" i="4"/>
  <c r="G6" i="4"/>
  <c r="H6" i="4"/>
  <c r="G4" i="4"/>
  <c r="H4" i="4"/>
  <c r="G48" i="4"/>
  <c r="G51" i="4" s="1"/>
  <c r="G53" i="4" s="1"/>
  <c r="K17" i="7" s="1"/>
  <c r="B50" i="4"/>
  <c r="B53" i="4" s="1"/>
  <c r="B10" i="4"/>
  <c r="F10" i="4" s="1"/>
  <c r="G9" i="4"/>
  <c r="E5" i="7"/>
  <c r="F5" i="7" s="1"/>
  <c r="F9" i="4"/>
  <c r="E9" i="4"/>
  <c r="D9" i="4"/>
  <c r="H8" i="4"/>
  <c r="G8" i="4"/>
  <c r="E8" i="4"/>
  <c r="D8" i="4"/>
  <c r="G10" i="4"/>
  <c r="E81" i="7" l="1"/>
  <c r="F81" i="7" s="1"/>
  <c r="H81" i="7" s="1"/>
  <c r="E75" i="7"/>
  <c r="F75" i="7" s="1"/>
  <c r="H75" i="7" s="1"/>
  <c r="E77" i="7"/>
  <c r="F77" i="7" s="1"/>
  <c r="H77" i="7" s="1"/>
  <c r="E15" i="7"/>
  <c r="F15" i="7" s="1"/>
  <c r="E13" i="7"/>
  <c r="F13" i="7" s="1"/>
  <c r="E4" i="7"/>
  <c r="E70" i="7"/>
  <c r="F70" i="7" s="1"/>
  <c r="H70" i="7" s="1"/>
  <c r="E79" i="7"/>
  <c r="F79" i="7" s="1"/>
  <c r="H79" i="7" s="1"/>
  <c r="E78" i="7"/>
  <c r="F78" i="7" s="1"/>
  <c r="H78" i="7" s="1"/>
  <c r="E71" i="7"/>
  <c r="F71" i="7" s="1"/>
  <c r="H10" i="4"/>
  <c r="E69" i="7"/>
  <c r="F69" i="7" s="1"/>
  <c r="B54" i="4"/>
  <c r="O9" i="7"/>
  <c r="F8" i="8" s="1"/>
  <c r="D52" i="7"/>
  <c r="H69" i="7"/>
  <c r="H58" i="7"/>
  <c r="H59" i="7"/>
  <c r="H62" i="7"/>
  <c r="B56" i="4"/>
  <c r="H7" i="4"/>
  <c r="H71" i="7"/>
  <c r="G7" i="4"/>
  <c r="G51" i="7"/>
  <c r="F7" i="4"/>
  <c r="E7" i="4"/>
  <c r="D7" i="4"/>
  <c r="H5" i="7"/>
  <c r="H9" i="4"/>
  <c r="E6" i="7"/>
  <c r="F6" i="7" s="1"/>
  <c r="H6" i="7" s="1"/>
  <c r="C10" i="4"/>
  <c r="E72" i="7"/>
  <c r="F72" i="7" s="1"/>
  <c r="H72" i="7" s="1"/>
  <c r="E80" i="7"/>
  <c r="F80" i="7" s="1"/>
  <c r="H80" i="7" s="1"/>
  <c r="E73" i="7"/>
  <c r="F73" i="7" s="1"/>
  <c r="H73" i="7" s="1"/>
  <c r="E64" i="7"/>
  <c r="F64" i="7" s="1"/>
  <c r="H64" i="7" s="1"/>
  <c r="E74" i="7"/>
  <c r="F74" i="7" s="1"/>
  <c r="H74" i="7" s="1"/>
  <c r="E68" i="7"/>
  <c r="F68" i="7" s="1"/>
  <c r="H68" i="7" s="1"/>
  <c r="E10" i="4"/>
  <c r="C50" i="4"/>
  <c r="E4" i="4"/>
  <c r="C4" i="4"/>
  <c r="E76" i="7"/>
  <c r="F76" i="7" s="1"/>
  <c r="H76" i="7" s="1"/>
  <c r="D4" i="4"/>
  <c r="D10" i="4"/>
  <c r="C9" i="4"/>
  <c r="E67" i="7"/>
  <c r="F67" i="7" s="1"/>
  <c r="H67" i="7" s="1"/>
  <c r="C8" i="4"/>
  <c r="E60" i="7"/>
  <c r="F60" i="7" s="1"/>
  <c r="H60" i="7" s="1"/>
  <c r="E63" i="7"/>
  <c r="H63" i="7" s="1"/>
  <c r="F4" i="7"/>
  <c r="F8" i="4"/>
  <c r="E7" i="7"/>
  <c r="F7" i="7" s="1"/>
  <c r="H7" i="7" s="1"/>
  <c r="O15" i="7" l="1"/>
  <c r="H15" i="7"/>
  <c r="H13" i="7"/>
  <c r="O13" i="7"/>
  <c r="F51" i="7"/>
  <c r="H4" i="7"/>
  <c r="H9" i="7" s="1"/>
  <c r="F9" i="7"/>
  <c r="O51" i="7" l="1"/>
  <c r="F9" i="8" s="1"/>
  <c r="F11" i="8" s="1"/>
  <c r="H51" i="7"/>
  <c r="H52" i="7" s="1"/>
  <c r="D93" i="7" s="1"/>
  <c r="F52" i="7"/>
  <c r="D92" i="7"/>
  <c r="I75" i="7" l="1"/>
  <c r="J75" i="7" s="1"/>
  <c r="K75" i="7" s="1"/>
  <c r="L75" i="7" s="1"/>
  <c r="N75" i="7" s="1"/>
  <c r="I46" i="7"/>
  <c r="J46" i="7" s="1"/>
  <c r="K46" i="7" s="1"/>
  <c r="L46" i="7" s="1"/>
  <c r="N46" i="7" s="1"/>
  <c r="P46" i="7" s="1"/>
  <c r="Q46" i="7" s="1"/>
  <c r="I29" i="7"/>
  <c r="J29" i="7" s="1"/>
  <c r="K29" i="7" s="1"/>
  <c r="L29" i="7" s="1"/>
  <c r="N29" i="7" s="1"/>
  <c r="P29" i="7" s="1"/>
  <c r="Q29" i="7" s="1"/>
  <c r="I27" i="7"/>
  <c r="J27" i="7" s="1"/>
  <c r="K27" i="7" s="1"/>
  <c r="L27" i="7" s="1"/>
  <c r="N27" i="7" s="1"/>
  <c r="P27" i="7" s="1"/>
  <c r="Q27" i="7" s="1"/>
  <c r="I15" i="7"/>
  <c r="J15" i="7" s="1"/>
  <c r="K15" i="7" s="1"/>
  <c r="L15" i="7" s="1"/>
  <c r="N15" i="7" s="1"/>
  <c r="P15" i="7" s="1"/>
  <c r="Q15" i="7" s="1"/>
  <c r="I13" i="7"/>
  <c r="J13" i="7" s="1"/>
  <c r="K13" i="7" s="1"/>
  <c r="L13" i="7" s="1"/>
  <c r="N13" i="7" s="1"/>
  <c r="P13" i="7" s="1"/>
  <c r="Q13" i="7" s="1"/>
  <c r="I70" i="7"/>
  <c r="J70" i="7" s="1"/>
  <c r="K70" i="7" s="1"/>
  <c r="L70" i="7" s="1"/>
  <c r="N70" i="7" s="1"/>
  <c r="I7" i="7"/>
  <c r="J7" i="7" s="1"/>
  <c r="K7" i="7" s="1"/>
  <c r="L7" i="7" s="1"/>
  <c r="N7" i="7" s="1"/>
  <c r="P7" i="7" s="1"/>
  <c r="Q7" i="7" s="1"/>
  <c r="I14" i="7"/>
  <c r="J14" i="7" s="1"/>
  <c r="K14" i="7" s="1"/>
  <c r="L14" i="7" s="1"/>
  <c r="N14" i="7" s="1"/>
  <c r="P14" i="7" s="1"/>
  <c r="Q14" i="7" s="1"/>
  <c r="I67" i="7"/>
  <c r="J67" i="7" s="1"/>
  <c r="K67" i="7" s="1"/>
  <c r="L67" i="7" s="1"/>
  <c r="N67" i="7" s="1"/>
  <c r="I6" i="7"/>
  <c r="J6" i="7" s="1"/>
  <c r="K6" i="7" s="1"/>
  <c r="L6" i="7" s="1"/>
  <c r="N6" i="7" s="1"/>
  <c r="I69" i="7"/>
  <c r="J69" i="7" s="1"/>
  <c r="K69" i="7" s="1"/>
  <c r="L69" i="7" s="1"/>
  <c r="N69" i="7" s="1"/>
  <c r="I63" i="7"/>
  <c r="J63" i="7" s="1"/>
  <c r="K63" i="7" s="1"/>
  <c r="L63" i="7" s="1"/>
  <c r="N63" i="7" s="1"/>
  <c r="I77" i="7"/>
  <c r="J77" i="7" s="1"/>
  <c r="K77" i="7" s="1"/>
  <c r="L77" i="7" s="1"/>
  <c r="N77" i="7" s="1"/>
  <c r="I39" i="7"/>
  <c r="J39" i="7" s="1"/>
  <c r="K39" i="7" s="1"/>
  <c r="L39" i="7" s="1"/>
  <c r="N39" i="7" s="1"/>
  <c r="P39" i="7" s="1"/>
  <c r="Q39" i="7" s="1"/>
  <c r="I34" i="7"/>
  <c r="I28" i="7"/>
  <c r="I19" i="7"/>
  <c r="J19" i="7" s="1"/>
  <c r="K19" i="7" s="1"/>
  <c r="L19" i="7" s="1"/>
  <c r="N19" i="7" s="1"/>
  <c r="P19" i="7" s="1"/>
  <c r="Q19" i="7" s="1"/>
  <c r="I57" i="7"/>
  <c r="J57" i="7" s="1"/>
  <c r="K57" i="7" s="1"/>
  <c r="L57" i="7" s="1"/>
  <c r="N57" i="7" s="1"/>
  <c r="I61" i="7"/>
  <c r="J61" i="7" s="1"/>
  <c r="K61" i="7" s="1"/>
  <c r="L61" i="7" s="1"/>
  <c r="N61" i="7" s="1"/>
  <c r="I4" i="7"/>
  <c r="I62" i="7"/>
  <c r="J62" i="7" s="1"/>
  <c r="K62" i="7" s="1"/>
  <c r="L62" i="7" s="1"/>
  <c r="N62" i="7" s="1"/>
  <c r="I71" i="7"/>
  <c r="J71" i="7" s="1"/>
  <c r="K71" i="7" s="1"/>
  <c r="L71" i="7" s="1"/>
  <c r="N71" i="7" s="1"/>
  <c r="I76" i="7"/>
  <c r="J76" i="7" s="1"/>
  <c r="K76" i="7" s="1"/>
  <c r="L76" i="7" s="1"/>
  <c r="N76" i="7" s="1"/>
  <c r="I72" i="7"/>
  <c r="J72" i="7" s="1"/>
  <c r="K72" i="7" s="1"/>
  <c r="L72" i="7" s="1"/>
  <c r="N72" i="7" s="1"/>
  <c r="I23" i="7"/>
  <c r="J23" i="7" s="1"/>
  <c r="K23" i="7" s="1"/>
  <c r="L23" i="7" s="1"/>
  <c r="N23" i="7" s="1"/>
  <c r="P23" i="7" s="1"/>
  <c r="Q23" i="7" s="1"/>
  <c r="I68" i="7"/>
  <c r="J68" i="7" s="1"/>
  <c r="K68" i="7" s="1"/>
  <c r="L68" i="7" s="1"/>
  <c r="N68" i="7" s="1"/>
  <c r="I74" i="7"/>
  <c r="J74" i="7" s="1"/>
  <c r="K74" i="7" s="1"/>
  <c r="L74" i="7" s="1"/>
  <c r="N74" i="7" s="1"/>
  <c r="I64" i="7"/>
  <c r="J64" i="7" s="1"/>
  <c r="K64" i="7" s="1"/>
  <c r="L64" i="7" s="1"/>
  <c r="N64" i="7" s="1"/>
  <c r="I42" i="7"/>
  <c r="J42" i="7" s="1"/>
  <c r="K42" i="7" s="1"/>
  <c r="L42" i="7" s="1"/>
  <c r="N42" i="7" s="1"/>
  <c r="P42" i="7" s="1"/>
  <c r="Q42" i="7" s="1"/>
  <c r="I37" i="7"/>
  <c r="J37" i="7" s="1"/>
  <c r="K37" i="7" s="1"/>
  <c r="L37" i="7" s="1"/>
  <c r="N37" i="7" s="1"/>
  <c r="P37" i="7" s="1"/>
  <c r="Q37" i="7" s="1"/>
  <c r="I12" i="7"/>
  <c r="J12" i="7" s="1"/>
  <c r="K12" i="7" s="1"/>
  <c r="L12" i="7" s="1"/>
  <c r="N12" i="7" s="1"/>
  <c r="P12" i="7" s="1"/>
  <c r="Q12" i="7" s="1"/>
  <c r="I80" i="7"/>
  <c r="J80" i="7" s="1"/>
  <c r="K80" i="7" s="1"/>
  <c r="L80" i="7" s="1"/>
  <c r="N80" i="7" s="1"/>
  <c r="I60" i="7"/>
  <c r="J60" i="7" s="1"/>
  <c r="K60" i="7" s="1"/>
  <c r="L60" i="7" s="1"/>
  <c r="N60" i="7" s="1"/>
  <c r="I11" i="7"/>
  <c r="I81" i="7"/>
  <c r="J81" i="7" s="1"/>
  <c r="K81" i="7" s="1"/>
  <c r="L81" i="7" s="1"/>
  <c r="N81" i="7" s="1"/>
  <c r="I38" i="7"/>
  <c r="J38" i="7" s="1"/>
  <c r="K38" i="7" s="1"/>
  <c r="L38" i="7" s="1"/>
  <c r="N38" i="7" s="1"/>
  <c r="P38" i="7" s="1"/>
  <c r="Q38" i="7" s="1"/>
  <c r="I33" i="7"/>
  <c r="J33" i="7" s="1"/>
  <c r="K33" i="7" s="1"/>
  <c r="L33" i="7" s="1"/>
  <c r="N33" i="7" s="1"/>
  <c r="P33" i="7" s="1"/>
  <c r="Q33" i="7" s="1"/>
  <c r="I18" i="7"/>
  <c r="I78" i="7"/>
  <c r="J78" i="7" s="1"/>
  <c r="K78" i="7" s="1"/>
  <c r="L78" i="7" s="1"/>
  <c r="N78" i="7" s="1"/>
  <c r="I5" i="7"/>
  <c r="I48" i="7"/>
  <c r="J48" i="7" s="1"/>
  <c r="K48" i="7" s="1"/>
  <c r="L48" i="7" s="1"/>
  <c r="N48" i="7" s="1"/>
  <c r="P48" i="7" s="1"/>
  <c r="Q48" i="7" s="1"/>
  <c r="I58" i="7"/>
  <c r="J58" i="7" s="1"/>
  <c r="K58" i="7" s="1"/>
  <c r="L58" i="7" s="1"/>
  <c r="N58" i="7" s="1"/>
  <c r="I43" i="7"/>
  <c r="J43" i="7" s="1"/>
  <c r="K43" i="7" s="1"/>
  <c r="L43" i="7" s="1"/>
  <c r="N43" i="7" s="1"/>
  <c r="P43" i="7" s="1"/>
  <c r="Q43" i="7" s="1"/>
  <c r="I32" i="7"/>
  <c r="J32" i="7" s="1"/>
  <c r="K32" i="7" s="1"/>
  <c r="L32" i="7" s="1"/>
  <c r="N32" i="7" s="1"/>
  <c r="P32" i="7" s="1"/>
  <c r="Q32" i="7" s="1"/>
  <c r="I24" i="7"/>
  <c r="I79" i="7"/>
  <c r="J79" i="7" s="1"/>
  <c r="K79" i="7" s="1"/>
  <c r="L79" i="7" s="1"/>
  <c r="N79" i="7" s="1"/>
  <c r="I47" i="7"/>
  <c r="J47" i="7" s="1"/>
  <c r="K47" i="7" s="1"/>
  <c r="L47" i="7" s="1"/>
  <c r="N47" i="7" s="1"/>
  <c r="P47" i="7" s="1"/>
  <c r="Q47" i="7" s="1"/>
  <c r="I73" i="7"/>
  <c r="J73" i="7" s="1"/>
  <c r="K73" i="7" s="1"/>
  <c r="L73" i="7" s="1"/>
  <c r="N73" i="7" s="1"/>
  <c r="I59" i="7"/>
  <c r="J59" i="7" s="1"/>
  <c r="K59" i="7" s="1"/>
  <c r="L59" i="7" s="1"/>
  <c r="N59" i="7" s="1"/>
  <c r="J34" i="7"/>
  <c r="K34" i="7" s="1"/>
  <c r="L34" i="7" s="1"/>
  <c r="N34" i="7" s="1"/>
  <c r="P34" i="7" s="1"/>
  <c r="Q34" i="7" s="1"/>
  <c r="J28" i="7"/>
  <c r="K28" i="7" s="1"/>
  <c r="L28" i="7" s="1"/>
  <c r="N28" i="7" s="1"/>
  <c r="P28" i="7" s="1"/>
  <c r="Q28" i="7" s="1"/>
  <c r="J18" i="7"/>
  <c r="K18" i="7" s="1"/>
  <c r="L18" i="7" s="1"/>
  <c r="N18" i="7" s="1"/>
  <c r="P18" i="7" s="1"/>
  <c r="Q18" i="7" s="1"/>
  <c r="J24" i="7"/>
  <c r="K24" i="7" s="1"/>
  <c r="L24" i="7" s="1"/>
  <c r="N24" i="7" s="1"/>
  <c r="P24" i="7" s="1"/>
  <c r="Q24" i="7" s="1"/>
  <c r="J11" i="7"/>
  <c r="K11" i="7" s="1"/>
  <c r="L11" i="7" s="1"/>
  <c r="N11" i="7" s="1"/>
  <c r="P11" i="7" s="1"/>
  <c r="J4" i="7"/>
  <c r="K4" i="7" s="1"/>
  <c r="L4" i="7" s="1"/>
  <c r="N4" i="7" s="1"/>
  <c r="P4" i="7" s="1"/>
  <c r="O52" i="7"/>
  <c r="P6" i="7"/>
  <c r="Q6" i="7" s="1"/>
  <c r="J5" i="7"/>
  <c r="K5" i="7" s="1"/>
  <c r="L5" i="7" s="1"/>
  <c r="N5" i="7" s="1"/>
  <c r="P5" i="7" s="1"/>
  <c r="I51" i="7" l="1"/>
  <c r="I9" i="7"/>
  <c r="Q11" i="7"/>
  <c r="Q51" i="7" s="1"/>
  <c r="P51" i="7"/>
  <c r="H9" i="8" s="1"/>
  <c r="Q4" i="7"/>
  <c r="P9" i="7"/>
  <c r="H8" i="8" s="1"/>
  <c r="I52" i="7"/>
  <c r="Q5" i="7"/>
  <c r="H11" i="8" l="1"/>
  <c r="L11" i="8" s="1"/>
  <c r="J8" i="8"/>
  <c r="L8" i="8"/>
  <c r="J9" i="8"/>
  <c r="L9" i="8"/>
  <c r="Q9" i="7"/>
  <c r="Q52" i="7" s="1"/>
  <c r="P52" i="7"/>
  <c r="J11" i="8" l="1"/>
  <c r="B61" i="4"/>
  <c r="B62" i="4" s="1"/>
  <c r="B65" i="4"/>
  <c r="B66" i="4" s="1"/>
  <c r="C66" i="4" l="1"/>
</calcChain>
</file>

<file path=xl/sharedStrings.xml><?xml version="1.0" encoding="utf-8"?>
<sst xmlns="http://schemas.openxmlformats.org/spreadsheetml/2006/main" count="194" uniqueCount="171">
  <si>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</si>
  <si>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</si>
  <si>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</si>
  <si>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</si>
  <si>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</si>
  <si>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</si>
  <si>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</si>
  <si>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</si>
  <si>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</si>
  <si>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</si>
  <si>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</si>
  <si>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</si>
  <si>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</si>
  <si>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</si>
  <si>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</si>
  <si>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</si>
  <si>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</si>
  <si>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</si>
  <si>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</si>
  <si>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</si>
  <si>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</si>
  <si>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</si>
  <si>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</si>
  <si>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</si>
  <si>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</si>
  <si>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</si>
  <si>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</si>
  <si>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</si>
  <si>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</si>
  <si>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</si>
  <si>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</si>
  <si>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</si>
  <si>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</si>
  <si>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</si>
  <si>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</si>
  <si>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</si>
  <si>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</si>
  <si>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</si>
  <si>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</si>
  <si>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</si>
  <si>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</si>
  <si>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</si>
  <si>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</si>
  <si>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</si>
  <si>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</si>
  <si>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</si>
  <si>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</si>
  <si>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</si>
  <si>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</si>
  <si>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</si>
  <si>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</si>
  <si>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</si>
  <si>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</si>
  <si>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</si>
  <si>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</si>
  <si>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</si>
  <si>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</si>
  <si>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</si>
  <si>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</si>
  <si>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</si>
  <si>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</si>
  <si>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</si>
  <si>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</si>
  <si>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</si>
  <si>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</si>
  <si>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</si>
  <si>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</si>
  <si>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</si>
  <si>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</si>
  <si>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</si>
  <si>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</si>
  <si>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</si>
  <si>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</si>
  <si>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</si>
  <si>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</si>
  <si>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</si>
  <si>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</si>
  <si>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</si>
  <si>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</si>
  <si>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</si>
  <si>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</si>
  <si>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</si>
  <si>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</si>
  <si>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</si>
  <si>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</si>
  <si>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</si>
  <si>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</si>
  <si>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</si>
  <si>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</si>
  <si>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</si>
  <si>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</si>
  <si>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</si>
  <si>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</si>
  <si>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</si>
  <si>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</si>
  <si>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</si>
  <si>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35 gallon Can</t>
  </si>
  <si>
    <t>Calculated Annual PUs based on freq</t>
  </si>
  <si>
    <t>na - multiple pickups not on tariff</t>
  </si>
  <si>
    <t>64 gal cart weekly</t>
  </si>
  <si>
    <t>96 gal cart weekly</t>
  </si>
  <si>
    <t>96 gal can weekly</t>
  </si>
  <si>
    <t>Res_Extra_bag/Box</t>
  </si>
  <si>
    <t>Not on Meeks, Co provided weight</t>
  </si>
  <si>
    <t>2 Cans WG</t>
  </si>
  <si>
    <t>3 Cans WG</t>
  </si>
  <si>
    <t>4 Cans WG</t>
  </si>
  <si>
    <t>Add'l yards (cust load)</t>
  </si>
  <si>
    <t>1-4 yards (comp load)</t>
  </si>
  <si>
    <t>Add'l yards (comp load)</t>
  </si>
  <si>
    <t>1 Yard - 1st Pickup</t>
  </si>
  <si>
    <t>1 Yard - Temporary</t>
  </si>
  <si>
    <t>1.5 Yard - 1st Pickup</t>
  </si>
  <si>
    <t>1.5 - Temporary</t>
  </si>
  <si>
    <t>2 Yard - 1st Pickup</t>
  </si>
  <si>
    <t>2 Yard - Special</t>
  </si>
  <si>
    <t>2 Yard - Temporary</t>
  </si>
  <si>
    <t>3 Yard - 1st Pickup</t>
  </si>
  <si>
    <t>3 Yard - Special</t>
  </si>
  <si>
    <t>4 Yard - 1st Pickup</t>
  </si>
  <si>
    <t>4 Yard - Special</t>
  </si>
  <si>
    <t>6 Yard - 1st Pickup</t>
  </si>
  <si>
    <t>8 Yard - 1st Pickup</t>
  </si>
  <si>
    <t>Company        Calculated Rate</t>
  </si>
  <si>
    <t>Company    Current Tariff</t>
  </si>
  <si>
    <t>Company Calculated Revenue</t>
  </si>
  <si>
    <t>Columbia Basin LLC</t>
  </si>
  <si>
    <t>300 gallon Cart</t>
  </si>
  <si>
    <t>64-gallon toter-occasional Extra</t>
  </si>
  <si>
    <t>96-gallon toter-occasional Extra</t>
  </si>
  <si>
    <t>3 Yard - Every Other Week</t>
  </si>
  <si>
    <t>6 Yard - Temporary</t>
  </si>
  <si>
    <t>8 Yard - Every Other Week</t>
  </si>
  <si>
    <t>6 Yard Special</t>
  </si>
  <si>
    <t>8 Yard Special</t>
  </si>
  <si>
    <t>Calculated Revenue Increase</t>
  </si>
  <si>
    <t>As a result of increased disposal fees.</t>
  </si>
  <si>
    <t>Residential - from calculation worksheet</t>
  </si>
  <si>
    <t>Current</t>
  </si>
  <si>
    <t>Revenue</t>
  </si>
  <si>
    <t xml:space="preserve">Proposed </t>
  </si>
  <si>
    <t xml:space="preserve">Commercial </t>
  </si>
  <si>
    <t>Disposal Rate Per Ton</t>
  </si>
  <si>
    <t>Percentage</t>
  </si>
  <si>
    <t>Dollars</t>
  </si>
  <si>
    <t>Ed's Dispsoal, Inc. G-110</t>
  </si>
  <si>
    <t xml:space="preserve"> 1 Can WG</t>
  </si>
  <si>
    <t>32 Gal monthly</t>
  </si>
  <si>
    <t>1 Yard Rent</t>
  </si>
  <si>
    <t>1 Yard - Additional Pickup</t>
  </si>
  <si>
    <t>1.5 Yard Rent</t>
  </si>
  <si>
    <t>1.5 - Additional Pickup</t>
  </si>
  <si>
    <t>2 Yard Rent</t>
  </si>
  <si>
    <t>2 Yard - Additional Pickup</t>
  </si>
  <si>
    <t>3 Yard Rent</t>
  </si>
  <si>
    <t>3 Yard - Additional Pickup</t>
  </si>
  <si>
    <t>4 Yard Rent</t>
  </si>
  <si>
    <t>4 Yard - Additional Pickup</t>
  </si>
  <si>
    <t>Extra Yards</t>
  </si>
  <si>
    <t>300 Gal (Equivalent to 1.5 yard cont)</t>
  </si>
  <si>
    <t>4 Yard - 2 X EOW</t>
  </si>
  <si>
    <t>6 Yard Rent</t>
  </si>
  <si>
    <t>8 Yard Rent</t>
  </si>
  <si>
    <t>8 Yard - Additional Pickup</t>
  </si>
  <si>
    <t>6 Yard - Additional Pickup</t>
  </si>
  <si>
    <t>Ed's Disposal, Inc. G-110</t>
  </si>
  <si>
    <t>300 Gal (Equivalent to 1.5 yard cont.)</t>
  </si>
  <si>
    <t>3 Yard - Temporary</t>
  </si>
  <si>
    <t>4 Yard - Tempoary</t>
  </si>
  <si>
    <t>8 Yard Temporary</t>
  </si>
  <si>
    <t>Roll - Off - Tonnage 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</si>
</sst>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 d\,\ yyyy;@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indexed="4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193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0" xfId="82" applyNumberFormat="1" applyFont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43" fontId="0" fillId="36" borderId="4" xfId="0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44" fontId="0" fillId="32" borderId="0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0" fontId="0" fillId="0" borderId="4" xfId="0" applyFont="1" applyFill="1" applyBorder="1" applyAlignment="1">
      <alignment vertical="center" textRotation="90"/>
    </xf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10" fontId="0" fillId="0" borderId="0" xfId="338" applyNumberFormat="1" applyFont="1" applyFill="1" applyBorder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6" applyFont="1" applyFill="1" applyBorder="1"/>
    <xf numFmtId="0" fontId="0" fillId="0" borderId="0" xfId="0" applyFont="1" applyFill="1"/>
    <xf numFmtId="166" fontId="11" fillId="0" borderId="0" xfId="83" applyNumberFormat="1" applyFont="1"/>
    <xf numFmtId="166" fontId="9" fillId="0" borderId="0" xfId="83" applyNumberFormat="1" applyFont="1"/>
    <xf numFmtId="166" fontId="11" fillId="35" borderId="0" xfId="83" applyNumberFormat="1" applyFont="1" applyFill="1"/>
    <xf numFmtId="166" fontId="11" fillId="0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0" fontId="11" fillId="0" borderId="0" xfId="329" applyFont="1" applyBorder="1" applyAlignment="1">
      <alignment horizontal="left"/>
    </xf>
    <xf numFmtId="44" fontId="0" fillId="38" borderId="0" xfId="126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3" fontId="11" fillId="39" borderId="0" xfId="200" applyNumberFormat="1" applyFont="1" applyFill="1"/>
    <xf numFmtId="166" fontId="0" fillId="39" borderId="0" xfId="82" applyNumberFormat="1" applyFont="1" applyFill="1" applyBorder="1"/>
    <xf numFmtId="43" fontId="0" fillId="39" borderId="0" xfId="82" applyNumberFormat="1" applyFont="1" applyFill="1" applyBorder="1"/>
    <xf numFmtId="166" fontId="11" fillId="39" borderId="0" xfId="82" applyNumberFormat="1" applyFont="1" applyFill="1"/>
    <xf numFmtId="166" fontId="11" fillId="39" borderId="0" xfId="83" applyNumberFormat="1" applyFont="1" applyFill="1"/>
    <xf numFmtId="166" fontId="0" fillId="39" borderId="0" xfId="82" applyNumberFormat="1" applyFont="1" applyFill="1" applyBorder="1" applyAlignment="1">
      <alignment horizontal="center" wrapText="1"/>
    </xf>
    <xf numFmtId="44" fontId="0" fillId="39" borderId="0" xfId="126" applyFont="1" applyFill="1" applyBorder="1"/>
    <xf numFmtId="44" fontId="11" fillId="39" borderId="0" xfId="126" applyFont="1" applyFill="1" applyBorder="1"/>
    <xf numFmtId="166" fontId="11" fillId="39" borderId="0" xfId="82" applyNumberFormat="1" applyFont="1" applyFill="1" applyBorder="1"/>
    <xf numFmtId="1" fontId="0" fillId="0" borderId="0" xfId="0" applyNumberFormat="1" applyFont="1" applyBorder="1"/>
    <xf numFmtId="0" fontId="60" fillId="0" borderId="0" xfId="0" applyFont="1" applyBorder="1" applyAlignment="1">
      <alignment horizontal="centerContinuous"/>
    </xf>
    <xf numFmtId="166" fontId="60" fillId="0" borderId="0" xfId="82" applyNumberFormat="1" applyFont="1" applyBorder="1" applyAlignment="1">
      <alignment horizontal="centerContinuous"/>
    </xf>
    <xf numFmtId="3" fontId="0" fillId="0" borderId="0" xfId="0" applyNumberFormat="1"/>
    <xf numFmtId="0" fontId="3" fillId="40" borderId="4" xfId="0" applyFont="1" applyFill="1" applyBorder="1"/>
    <xf numFmtId="0" fontId="0" fillId="40" borderId="4" xfId="0" applyFont="1" applyFill="1" applyBorder="1" applyAlignment="1">
      <alignment horizontal="center"/>
    </xf>
    <xf numFmtId="0" fontId="0" fillId="40" borderId="0" xfId="0" applyFont="1" applyFill="1" applyAlignment="1">
      <alignment horizontal="left"/>
    </xf>
    <xf numFmtId="44" fontId="0" fillId="40" borderId="0" xfId="126" applyFont="1" applyFill="1"/>
    <xf numFmtId="44" fontId="0" fillId="40" borderId="4" xfId="126" applyFont="1" applyFill="1" applyBorder="1"/>
    <xf numFmtId="0" fontId="0" fillId="40" borderId="0" xfId="0" applyFont="1" applyFill="1" applyAlignment="1">
      <alignment horizontal="left" indent="1"/>
    </xf>
    <xf numFmtId="10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0" fontId="60" fillId="0" borderId="0" xfId="0" applyFont="1" applyAlignment="1">
      <alignment horizontal="centerContinuous"/>
    </xf>
    <xf numFmtId="172" fontId="60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4" fontId="0" fillId="0" borderId="0" xfId="0" applyNumberFormat="1" applyFont="1" applyBorder="1"/>
    <xf numFmtId="3" fontId="11" fillId="41" borderId="0" xfId="200" applyNumberFormat="1" applyFont="1" applyFill="1"/>
    <xf numFmtId="4" fontId="0" fillId="41" borderId="0" xfId="0" applyNumberFormat="1" applyFont="1" applyFill="1" applyBorder="1"/>
    <xf numFmtId="43" fontId="0" fillId="41" borderId="0" xfId="82" applyNumberFormat="1" applyFont="1" applyFill="1" applyBorder="1"/>
    <xf numFmtId="166" fontId="11" fillId="41" borderId="0" xfId="82" applyNumberFormat="1" applyFont="1" applyFill="1"/>
    <xf numFmtId="166" fontId="11" fillId="41" borderId="0" xfId="83" applyNumberFormat="1" applyFont="1" applyFill="1"/>
    <xf numFmtId="166" fontId="0" fillId="41" borderId="0" xfId="82" applyNumberFormat="1" applyFont="1" applyFill="1" applyBorder="1"/>
    <xf numFmtId="166" fontId="0" fillId="41" borderId="0" xfId="82" applyNumberFormat="1" applyFont="1" applyFill="1" applyBorder="1" applyAlignment="1">
      <alignment horizontal="center" wrapText="1"/>
    </xf>
    <xf numFmtId="44" fontId="0" fillId="41" borderId="0" xfId="126" applyFont="1" applyFill="1" applyBorder="1"/>
    <xf numFmtId="44" fontId="11" fillId="41" borderId="0" xfId="126" applyFont="1" applyFill="1" applyBorder="1"/>
    <xf numFmtId="44" fontId="0" fillId="42" borderId="0" xfId="126" applyFont="1" applyFill="1" applyBorder="1"/>
    <xf numFmtId="44" fontId="11" fillId="0" borderId="0" xfId="126" applyFont="1" applyBorder="1"/>
    <xf numFmtId="166" fontId="61" fillId="0" borderId="0" xfId="83" applyNumberFormat="1" applyFont="1" applyFill="1"/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</cellXfs>
  <cellStyles count="390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sin%20Disposal%20of%20Walla%20Walla/11-15-16%20WUTC%20Rate%20Filing/Items%20sent%20to%20UTC%2011-18-16/Basin%20of%20Walla%20Walla-Rate%20Calculations%2011-18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alculations"/>
    </sheetNames>
    <sheetDataSet>
      <sheetData sheetId="0">
        <row r="52">
          <cell r="G52">
            <v>0.98099999999999998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opLeftCell="A34" workbookViewId="0">
      <selection activeCell="B55" sqref="B55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 ht="18.75">
      <c r="A1" s="159" t="s">
        <v>145</v>
      </c>
      <c r="B1" s="159"/>
      <c r="C1" s="159"/>
      <c r="D1" s="159"/>
      <c r="E1" s="159"/>
      <c r="F1" s="159"/>
      <c r="G1" s="159"/>
      <c r="H1" s="159"/>
    </row>
    <row r="2" spans="1:8">
      <c r="A2" s="187" t="s">
        <v>18</v>
      </c>
      <c r="B2" s="187"/>
      <c r="C2" s="187"/>
      <c r="D2" s="187"/>
      <c r="E2" s="187"/>
      <c r="F2" s="187"/>
      <c r="G2" s="187"/>
      <c r="H2" s="187"/>
    </row>
    <row r="3" spans="1:8">
      <c r="A3" s="3" t="s">
        <v>54</v>
      </c>
      <c r="B3" s="17" t="s">
        <v>40</v>
      </c>
      <c r="C3" s="17" t="s">
        <v>41</v>
      </c>
      <c r="D3" s="17" t="s">
        <v>42</v>
      </c>
      <c r="E3" s="18" t="s">
        <v>45</v>
      </c>
      <c r="F3" s="18" t="s">
        <v>46</v>
      </c>
      <c r="G3" s="18" t="s">
        <v>47</v>
      </c>
      <c r="H3" s="17" t="s">
        <v>50</v>
      </c>
    </row>
    <row r="4" spans="1:8">
      <c r="A4" s="3" t="s">
        <v>51</v>
      </c>
      <c r="B4" s="1">
        <f>ROUND(52*5/12,2)</f>
        <v>21.67</v>
      </c>
      <c r="C4" s="19">
        <f>$B$4*2</f>
        <v>43.34</v>
      </c>
      <c r="D4" s="19">
        <f>$B$4*3</f>
        <v>65.010000000000005</v>
      </c>
      <c r="E4" s="19">
        <f>$B$4*4</f>
        <v>86.68</v>
      </c>
      <c r="F4" s="19">
        <f>$B$4*5</f>
        <v>108.35000000000001</v>
      </c>
      <c r="G4" s="19">
        <f>$B$4*6</f>
        <v>130.02000000000001</v>
      </c>
      <c r="H4" s="19">
        <f>$B$4*7</f>
        <v>151.69</v>
      </c>
    </row>
    <row r="5" spans="1:8">
      <c r="A5" s="3" t="s">
        <v>87</v>
      </c>
      <c r="B5" s="1">
        <f>ROUND(52*4/12,2)</f>
        <v>17.329999999999998</v>
      </c>
      <c r="C5" s="19">
        <f>$B$5*2</f>
        <v>34.659999999999997</v>
      </c>
      <c r="D5" s="19">
        <f>$B$5*3</f>
        <v>51.989999999999995</v>
      </c>
      <c r="E5" s="19">
        <f>$B$5*4</f>
        <v>69.319999999999993</v>
      </c>
      <c r="F5" s="19">
        <f>$B$5*5</f>
        <v>86.649999999999991</v>
      </c>
      <c r="G5" s="19">
        <f>$B$5*6</f>
        <v>103.97999999999999</v>
      </c>
      <c r="H5" s="19">
        <f>$B$5*7</f>
        <v>121.30999999999999</v>
      </c>
    </row>
    <row r="6" spans="1:8">
      <c r="A6" s="3" t="s">
        <v>52</v>
      </c>
      <c r="B6" s="1">
        <f>ROUND(52*3/12,2)</f>
        <v>13</v>
      </c>
      <c r="C6" s="19">
        <f>$B$6*2</f>
        <v>26</v>
      </c>
      <c r="D6" s="19">
        <f>$B$6*3</f>
        <v>39</v>
      </c>
      <c r="E6" s="19">
        <f>$B$6*4</f>
        <v>52</v>
      </c>
      <c r="F6" s="19">
        <f>$B$6*5</f>
        <v>65</v>
      </c>
      <c r="G6" s="19">
        <f>$B$6*6</f>
        <v>78</v>
      </c>
      <c r="H6" s="19">
        <f>$B$6*7</f>
        <v>91</v>
      </c>
    </row>
    <row r="7" spans="1:8">
      <c r="A7" s="3" t="s">
        <v>53</v>
      </c>
      <c r="B7" s="1">
        <f>ROUND(52*2/12,2)</f>
        <v>8.67</v>
      </c>
      <c r="C7" s="20">
        <f>$B$7*2</f>
        <v>17.34</v>
      </c>
      <c r="D7" s="20">
        <f>$B$7*3</f>
        <v>26.009999999999998</v>
      </c>
      <c r="E7" s="20">
        <f>$B$7*4</f>
        <v>34.68</v>
      </c>
      <c r="F7" s="20">
        <f>$B$7*5</f>
        <v>43.35</v>
      </c>
      <c r="G7" s="20">
        <f>$B$7*6</f>
        <v>52.019999999999996</v>
      </c>
      <c r="H7" s="20">
        <f>$B$7*7</f>
        <v>60.69</v>
      </c>
    </row>
    <row r="8" spans="1:8">
      <c r="A8" s="3" t="s">
        <v>21</v>
      </c>
      <c r="B8" s="1">
        <f>ROUND(52/12,2)</f>
        <v>4.33</v>
      </c>
      <c r="C8" s="20">
        <f>$B$8*2</f>
        <v>8.66</v>
      </c>
      <c r="D8" s="20">
        <f>$B$8*3</f>
        <v>12.99</v>
      </c>
      <c r="E8" s="20">
        <f>$B$8*4</f>
        <v>17.32</v>
      </c>
      <c r="F8" s="20">
        <f>$B$8*5</f>
        <v>21.65</v>
      </c>
      <c r="G8" s="20">
        <f>$B$8*6</f>
        <v>25.98</v>
      </c>
      <c r="H8" s="20">
        <f>$B$8*7</f>
        <v>30.310000000000002</v>
      </c>
    </row>
    <row r="9" spans="1:8">
      <c r="A9" s="3" t="s">
        <v>23</v>
      </c>
      <c r="B9" s="1">
        <f>ROUND(26/12,2)</f>
        <v>2.17</v>
      </c>
      <c r="C9" s="20">
        <f>$B$9*2</f>
        <v>4.34</v>
      </c>
      <c r="D9" s="20">
        <f>$B$9*3</f>
        <v>6.51</v>
      </c>
      <c r="E9" s="20">
        <f>$B$9*4</f>
        <v>8.68</v>
      </c>
      <c r="F9" s="20">
        <f>$B$9*5</f>
        <v>10.85</v>
      </c>
      <c r="G9" s="20">
        <f>$B$9*6</f>
        <v>13.02</v>
      </c>
      <c r="H9" s="20">
        <f>$B$9*7</f>
        <v>15.19</v>
      </c>
    </row>
    <row r="10" spans="1:8">
      <c r="A10" s="3" t="s">
        <v>22</v>
      </c>
      <c r="B10" s="1">
        <f>12/12</f>
        <v>1</v>
      </c>
      <c r="C10" s="20">
        <f>$B$10*2</f>
        <v>2</v>
      </c>
      <c r="D10" s="20">
        <f>$B$10*3</f>
        <v>3</v>
      </c>
      <c r="E10" s="20">
        <f>$B$10*4</f>
        <v>4</v>
      </c>
      <c r="F10" s="20">
        <f>$B$10*5</f>
        <v>5</v>
      </c>
      <c r="G10" s="20">
        <f>$B$10*6</f>
        <v>6</v>
      </c>
      <c r="H10" s="20">
        <f>$B$10*7</f>
        <v>7</v>
      </c>
    </row>
    <row r="11" spans="1:8">
      <c r="B11" s="1"/>
      <c r="C11" s="20"/>
      <c r="D11" s="20"/>
      <c r="E11" s="20"/>
      <c r="F11" s="20"/>
      <c r="G11" s="20"/>
      <c r="H11" s="20"/>
    </row>
    <row r="12" spans="1:8">
      <c r="A12" s="187" t="s">
        <v>10</v>
      </c>
      <c r="B12" s="187"/>
      <c r="C12" s="20"/>
      <c r="D12" s="20"/>
      <c r="E12" s="20"/>
      <c r="F12" s="20"/>
      <c r="G12" s="20"/>
      <c r="H12" s="20"/>
    </row>
    <row r="13" spans="1:8">
      <c r="A13" s="2" t="s">
        <v>49</v>
      </c>
      <c r="B13" s="30" t="s">
        <v>79</v>
      </c>
      <c r="C13" s="20"/>
      <c r="D13" s="20"/>
      <c r="E13" s="20"/>
      <c r="F13" s="20"/>
      <c r="G13" s="20"/>
      <c r="H13" s="20"/>
    </row>
    <row r="14" spans="1:8">
      <c r="A14" s="21" t="s">
        <v>80</v>
      </c>
      <c r="B14" s="13">
        <v>20</v>
      </c>
      <c r="C14" s="20"/>
      <c r="D14" s="20"/>
      <c r="E14" s="20"/>
      <c r="F14" s="20"/>
      <c r="G14" s="20"/>
      <c r="H14" s="20"/>
    </row>
    <row r="15" spans="1:8">
      <c r="A15" s="21" t="s">
        <v>55</v>
      </c>
      <c r="B15" s="13">
        <v>34</v>
      </c>
      <c r="C15" s="20"/>
      <c r="D15" s="20"/>
      <c r="E15" s="20"/>
      <c r="F15" s="20"/>
      <c r="G15" s="20"/>
      <c r="H15" s="20"/>
    </row>
    <row r="16" spans="1:8">
      <c r="A16" s="21" t="s">
        <v>56</v>
      </c>
      <c r="B16" s="13">
        <v>51</v>
      </c>
      <c r="C16" s="20"/>
      <c r="D16" s="20"/>
      <c r="E16" s="20"/>
      <c r="F16" s="20"/>
      <c r="G16" s="20"/>
      <c r="H16" s="20"/>
    </row>
    <row r="17" spans="1:8">
      <c r="A17" s="21" t="s">
        <v>57</v>
      </c>
      <c r="B17" s="13">
        <v>77</v>
      </c>
      <c r="C17" s="20"/>
      <c r="D17" s="20"/>
      <c r="E17" s="20"/>
      <c r="F17" s="3" t="s">
        <v>19</v>
      </c>
      <c r="G17" s="13">
        <v>2000</v>
      </c>
      <c r="H17" s="20"/>
    </row>
    <row r="18" spans="1:8">
      <c r="A18" s="21" t="s">
        <v>58</v>
      </c>
      <c r="B18" s="13">
        <v>97</v>
      </c>
      <c r="C18" s="20"/>
      <c r="D18" s="20"/>
      <c r="E18" s="20"/>
      <c r="F18" s="3" t="s">
        <v>20</v>
      </c>
      <c r="G18" s="22" t="s">
        <v>43</v>
      </c>
      <c r="H18" s="20"/>
    </row>
    <row r="19" spans="1:8">
      <c r="A19" s="21" t="s">
        <v>59</v>
      </c>
      <c r="B19" s="13">
        <v>117</v>
      </c>
      <c r="C19" s="20"/>
      <c r="D19" s="20"/>
      <c r="E19" s="20"/>
      <c r="H19" s="20"/>
    </row>
    <row r="20" spans="1:8">
      <c r="A20" s="21" t="s">
        <v>60</v>
      </c>
      <c r="B20" s="13">
        <v>157</v>
      </c>
      <c r="C20" s="20"/>
      <c r="D20" s="20"/>
      <c r="E20" s="20"/>
      <c r="F20" s="15"/>
      <c r="G20" s="16"/>
      <c r="H20" s="20"/>
    </row>
    <row r="21" spans="1:8">
      <c r="A21" s="21" t="s">
        <v>96</v>
      </c>
      <c r="B21" s="13">
        <v>37</v>
      </c>
      <c r="C21" s="20" t="s">
        <v>81</v>
      </c>
      <c r="D21" s="20"/>
      <c r="E21" s="20"/>
      <c r="F21" s="15"/>
      <c r="G21" s="16"/>
      <c r="H21" s="20"/>
    </row>
    <row r="22" spans="1:8">
      <c r="A22" s="21" t="s">
        <v>61</v>
      </c>
      <c r="B22" s="13">
        <v>47</v>
      </c>
      <c r="C22" s="20"/>
      <c r="D22" s="20"/>
      <c r="E22" s="20"/>
      <c r="F22" s="20"/>
      <c r="G22" s="20"/>
      <c r="H22" s="20"/>
    </row>
    <row r="23" spans="1:8">
      <c r="A23" s="21" t="s">
        <v>62</v>
      </c>
      <c r="B23" s="13">
        <v>68</v>
      </c>
      <c r="C23" s="20"/>
      <c r="D23" s="20"/>
      <c r="E23" s="20"/>
      <c r="F23" s="20"/>
      <c r="G23" s="20"/>
      <c r="H23" s="20"/>
    </row>
    <row r="24" spans="1:8">
      <c r="A24" s="21" t="s">
        <v>63</v>
      </c>
      <c r="B24" s="13">
        <v>34</v>
      </c>
      <c r="C24" s="20"/>
      <c r="D24" s="20"/>
      <c r="E24" s="20"/>
      <c r="F24" s="20"/>
      <c r="G24" s="20"/>
      <c r="H24" s="20"/>
    </row>
    <row r="25" spans="1:8">
      <c r="A25" s="21" t="s">
        <v>31</v>
      </c>
      <c r="B25" s="13">
        <v>34</v>
      </c>
      <c r="C25" s="20"/>
      <c r="D25" s="20"/>
      <c r="E25" s="20"/>
      <c r="F25" s="20"/>
      <c r="G25" s="20"/>
      <c r="H25" s="20"/>
    </row>
    <row r="26" spans="1:8">
      <c r="A26" s="2" t="s">
        <v>64</v>
      </c>
      <c r="B26" s="13"/>
      <c r="C26" s="20"/>
      <c r="D26" s="20"/>
      <c r="E26" s="20"/>
      <c r="F26" s="20"/>
      <c r="G26" s="20"/>
      <c r="H26" s="20"/>
    </row>
    <row r="27" spans="1:8">
      <c r="A27" s="21" t="s">
        <v>65</v>
      </c>
      <c r="B27" s="13">
        <v>29</v>
      </c>
      <c r="C27" s="20"/>
      <c r="D27" s="20"/>
      <c r="E27" s="20"/>
      <c r="F27" s="20"/>
      <c r="G27" s="20"/>
      <c r="H27" s="20"/>
    </row>
    <row r="28" spans="1:8">
      <c r="A28" s="21" t="s">
        <v>66</v>
      </c>
      <c r="B28" s="13">
        <v>175</v>
      </c>
      <c r="C28" s="20"/>
      <c r="D28" s="20"/>
      <c r="E28" s="20"/>
      <c r="F28" s="20"/>
      <c r="G28" s="20"/>
      <c r="H28" s="20"/>
    </row>
    <row r="29" spans="1:8">
      <c r="A29" s="21" t="s">
        <v>67</v>
      </c>
      <c r="B29" s="13">
        <v>250</v>
      </c>
      <c r="C29" s="20"/>
      <c r="D29" s="20"/>
      <c r="E29" s="20"/>
      <c r="F29" s="20"/>
      <c r="G29" s="20"/>
      <c r="H29" s="20"/>
    </row>
    <row r="30" spans="1:8">
      <c r="A30" s="21" t="s">
        <v>68</v>
      </c>
      <c r="B30" s="13">
        <v>324</v>
      </c>
      <c r="C30" s="20"/>
      <c r="D30" s="20"/>
      <c r="E30" s="20"/>
      <c r="F30" s="20"/>
      <c r="G30" s="20"/>
      <c r="H30" s="20"/>
    </row>
    <row r="31" spans="1:8">
      <c r="A31" s="21" t="s">
        <v>69</v>
      </c>
      <c r="B31" s="13">
        <v>473</v>
      </c>
      <c r="C31" s="20"/>
      <c r="D31" s="20"/>
      <c r="E31" s="20"/>
      <c r="F31" s="20"/>
      <c r="G31" s="20"/>
      <c r="H31" s="20"/>
    </row>
    <row r="32" spans="1:8">
      <c r="A32" s="21" t="s">
        <v>70</v>
      </c>
      <c r="B32" s="13">
        <v>613</v>
      </c>
      <c r="C32" s="20"/>
      <c r="D32" s="20"/>
      <c r="E32" s="20"/>
      <c r="F32" s="20"/>
      <c r="G32" s="20"/>
      <c r="H32" s="20"/>
    </row>
    <row r="33" spans="1:8">
      <c r="A33" s="21" t="s">
        <v>71</v>
      </c>
      <c r="B33" s="13">
        <v>840</v>
      </c>
      <c r="C33" s="20"/>
      <c r="D33" s="20"/>
      <c r="E33" s="20"/>
      <c r="F33" s="20"/>
      <c r="G33" s="20"/>
      <c r="H33" s="20"/>
    </row>
    <row r="34" spans="1:8">
      <c r="A34" s="21" t="s">
        <v>72</v>
      </c>
      <c r="B34" s="13">
        <v>980</v>
      </c>
      <c r="C34" s="20"/>
      <c r="D34" s="20"/>
      <c r="E34" s="20"/>
      <c r="F34" s="20"/>
      <c r="G34" s="20"/>
      <c r="H34" s="20"/>
    </row>
    <row r="35" spans="1:8">
      <c r="A35" s="21" t="s">
        <v>88</v>
      </c>
      <c r="B35" s="13">
        <v>482</v>
      </c>
      <c r="C35" s="20" t="s">
        <v>81</v>
      </c>
      <c r="D35" s="20"/>
      <c r="E35" s="20"/>
      <c r="F35" s="20"/>
      <c r="G35" s="20"/>
      <c r="H35" s="20"/>
    </row>
    <row r="36" spans="1:8">
      <c r="A36" s="21" t="s">
        <v>89</v>
      </c>
      <c r="B36" s="13">
        <v>689</v>
      </c>
      <c r="C36" s="20" t="s">
        <v>81</v>
      </c>
      <c r="D36" s="20"/>
      <c r="E36" s="20"/>
      <c r="F36" s="20"/>
      <c r="G36" s="20"/>
      <c r="H36" s="20"/>
    </row>
    <row r="37" spans="1:8">
      <c r="A37" s="21" t="s">
        <v>74</v>
      </c>
      <c r="B37" s="13">
        <v>892</v>
      </c>
      <c r="C37" s="20" t="s">
        <v>81</v>
      </c>
      <c r="D37" s="20"/>
      <c r="E37" s="20"/>
      <c r="F37" s="20"/>
      <c r="G37" s="20"/>
      <c r="H37" s="20"/>
    </row>
    <row r="38" spans="1:8">
      <c r="A38" s="21" t="s">
        <v>73</v>
      </c>
      <c r="B38" s="13">
        <v>1301</v>
      </c>
      <c r="C38" s="20"/>
      <c r="D38" s="20"/>
      <c r="E38" s="20"/>
      <c r="F38" s="20"/>
      <c r="G38" s="20"/>
      <c r="H38" s="20"/>
    </row>
    <row r="39" spans="1:8">
      <c r="A39" s="21" t="s">
        <v>75</v>
      </c>
      <c r="B39" s="13">
        <v>1686</v>
      </c>
      <c r="C39" s="20"/>
      <c r="D39" s="20"/>
      <c r="E39" s="20"/>
      <c r="F39" s="20"/>
      <c r="G39" s="20"/>
      <c r="H39" s="20"/>
    </row>
    <row r="40" spans="1:8">
      <c r="A40" s="21" t="s">
        <v>76</v>
      </c>
      <c r="B40" s="13">
        <v>2046</v>
      </c>
      <c r="C40" s="20"/>
      <c r="D40" s="20"/>
      <c r="E40" s="20"/>
      <c r="F40" s="20"/>
      <c r="G40" s="20"/>
      <c r="H40" s="20"/>
    </row>
    <row r="41" spans="1:8">
      <c r="A41" s="21" t="s">
        <v>77</v>
      </c>
      <c r="B41" s="13">
        <v>2310</v>
      </c>
      <c r="C41" s="20"/>
      <c r="D41" s="20"/>
      <c r="E41" s="20"/>
      <c r="F41" s="20"/>
      <c r="G41" s="20"/>
      <c r="H41" s="20"/>
    </row>
    <row r="42" spans="1:8">
      <c r="A42" s="21" t="s">
        <v>90</v>
      </c>
      <c r="B42" s="13">
        <v>2800</v>
      </c>
      <c r="C42" s="20" t="s">
        <v>81</v>
      </c>
      <c r="D42" s="20"/>
      <c r="E42" s="20"/>
      <c r="F42" s="20"/>
      <c r="G42" s="20"/>
      <c r="H42" s="20"/>
    </row>
    <row r="43" spans="1:8">
      <c r="A43" s="21" t="s">
        <v>78</v>
      </c>
      <c r="B43" s="13">
        <v>125</v>
      </c>
      <c r="C43" s="20"/>
      <c r="D43" s="20"/>
      <c r="E43" s="20"/>
      <c r="F43" s="20"/>
      <c r="G43" s="20"/>
      <c r="H43" s="20"/>
    </row>
    <row r="44" spans="1:8">
      <c r="B44" s="189" t="s">
        <v>92</v>
      </c>
      <c r="C44" s="189"/>
    </row>
    <row r="47" spans="1:8">
      <c r="A47" s="29" t="s">
        <v>126</v>
      </c>
      <c r="B47" s="27" t="s">
        <v>5</v>
      </c>
      <c r="C47" s="27" t="s">
        <v>6</v>
      </c>
      <c r="F47" s="188" t="s">
        <v>26</v>
      </c>
      <c r="G47" s="188"/>
    </row>
    <row r="48" spans="1:8">
      <c r="A48" s="23" t="s">
        <v>7</v>
      </c>
      <c r="B48" s="6">
        <v>39.04</v>
      </c>
      <c r="C48" s="5">
        <f>B48/2000</f>
        <v>1.9519999999999999E-2</v>
      </c>
      <c r="F48" s="3" t="s">
        <v>27</v>
      </c>
      <c r="G48" s="9">
        <f>0.015</f>
        <v>1.4999999999999999E-2</v>
      </c>
    </row>
    <row r="49" spans="1:7">
      <c r="A49" s="23" t="s">
        <v>8</v>
      </c>
      <c r="B49" s="7">
        <v>46.25</v>
      </c>
      <c r="C49" s="8">
        <f>B49/2000</f>
        <v>2.3125E-2</v>
      </c>
      <c r="F49" s="3" t="s">
        <v>28</v>
      </c>
      <c r="G49" s="10">
        <f>0.004</f>
        <v>4.0000000000000001E-3</v>
      </c>
    </row>
    <row r="50" spans="1:7">
      <c r="A50" s="21" t="s">
        <v>9</v>
      </c>
      <c r="B50" s="6">
        <f>B49-B48</f>
        <v>7.2100000000000009</v>
      </c>
      <c r="C50" s="12">
        <f>C49-C48</f>
        <v>3.6050000000000006E-3</v>
      </c>
      <c r="F50" s="3" t="s">
        <v>48</v>
      </c>
      <c r="G50" s="11"/>
    </row>
    <row r="51" spans="1:7">
      <c r="F51" s="3" t="s">
        <v>16</v>
      </c>
      <c r="G51" s="24">
        <f>SUM(G48:G50)</f>
        <v>1.9E-2</v>
      </c>
    </row>
    <row r="52" spans="1:7">
      <c r="B52" s="28" t="s">
        <v>93</v>
      </c>
    </row>
    <row r="53" spans="1:7">
      <c r="A53" s="3" t="s">
        <v>3</v>
      </c>
      <c r="B53" s="25">
        <f>B50</f>
        <v>7.2100000000000009</v>
      </c>
      <c r="F53" s="3" t="s">
        <v>29</v>
      </c>
      <c r="G53" s="26">
        <f>1-G51</f>
        <v>0.98099999999999998</v>
      </c>
    </row>
    <row r="54" spans="1:7">
      <c r="A54" s="3" t="s">
        <v>25</v>
      </c>
      <c r="B54" s="25">
        <f>B53/$G$53</f>
        <v>7.3496432212028555</v>
      </c>
    </row>
    <row r="55" spans="1:7">
      <c r="A55" s="3" t="s">
        <v>24</v>
      </c>
      <c r="B55" s="14">
        <f>Calculations!D90</f>
        <v>9923</v>
      </c>
    </row>
    <row r="56" spans="1:7">
      <c r="A56" s="2" t="s">
        <v>30</v>
      </c>
      <c r="B56" s="4">
        <f>B54*B55</f>
        <v>72930.50968399593</v>
      </c>
    </row>
    <row r="59" spans="1:7" ht="15.75" thickBot="1"/>
    <row r="60" spans="1:7">
      <c r="A60" s="93" t="s">
        <v>84</v>
      </c>
      <c r="B60" s="94" t="s">
        <v>82</v>
      </c>
      <c r="D60" s="25"/>
    </row>
    <row r="61" spans="1:7">
      <c r="A61" s="95" t="s">
        <v>83</v>
      </c>
      <c r="B61" s="96">
        <f>+Calculations!Q52</f>
        <v>73234.284353945477</v>
      </c>
    </row>
    <row r="62" spans="1:7">
      <c r="A62" s="95" t="s">
        <v>12</v>
      </c>
      <c r="B62" s="96">
        <f>B61-B56</f>
        <v>303.77466994954739</v>
      </c>
    </row>
    <row r="63" spans="1:7">
      <c r="A63" s="95"/>
      <c r="B63" s="97"/>
    </row>
    <row r="64" spans="1:7">
      <c r="A64" s="98" t="s">
        <v>85</v>
      </c>
      <c r="B64" s="99" t="s">
        <v>82</v>
      </c>
    </row>
    <row r="65" spans="1:3">
      <c r="A65" s="95" t="s">
        <v>44</v>
      </c>
      <c r="B65" s="100">
        <f>Calculations!Q52</f>
        <v>73234.284353945477</v>
      </c>
    </row>
    <row r="66" spans="1:3" ht="15.75" thickBot="1">
      <c r="A66" s="101" t="s">
        <v>12</v>
      </c>
      <c r="B66" s="102">
        <f>B65-B56</f>
        <v>303.77466994954739</v>
      </c>
      <c r="C66" s="25">
        <f>B62-B66</f>
        <v>0</v>
      </c>
    </row>
  </sheetData>
  <mergeCells count="4">
    <mergeCell ref="A2:H2"/>
    <mergeCell ref="F47:G47"/>
    <mergeCell ref="A12:B12"/>
    <mergeCell ref="B44:C44"/>
  </mergeCells>
  <phoneticPr fontId="0" type="noConversion"/>
  <pageMargins left="0.28000000000000003" right="0.52" top="0.75" bottom="0.75" header="0.3" footer="0.3"/>
  <pageSetup scale="70" orientation="portrait" r:id="rId1"/>
  <headerFooter>
    <oddHeader>&amp;C&amp;12Disposal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zoomScale="90" zoomScaleNormal="90" workbookViewId="0">
      <pane xSplit="3" ySplit="2" topLeftCell="D57" activePane="bottomRight" state="frozen"/>
      <selection pane="topRight" activeCell="D1" sqref="D1"/>
      <selection pane="bottomLeft" activeCell="A6" sqref="A6"/>
      <selection pane="bottomRight" activeCell="Q1" sqref="Q1:Q1048576"/>
    </sheetView>
  </sheetViews>
  <sheetFormatPr defaultColWidth="8.85546875" defaultRowHeight="15"/>
  <cols>
    <col min="1" max="1" width="4.5703125" style="59" customWidth="1"/>
    <col min="2" max="2" width="10.85546875" style="63" bestFit="1" customWidth="1"/>
    <col min="3" max="3" width="40.28515625" style="59" customWidth="1"/>
    <col min="4" max="4" width="18.85546875" style="60" bestFit="1" customWidth="1"/>
    <col min="5" max="5" width="10.42578125" style="59" bestFit="1" customWidth="1"/>
    <col min="6" max="6" width="14" style="59" bestFit="1" customWidth="1"/>
    <col min="7" max="7" width="15.140625" style="59" customWidth="1"/>
    <col min="8" max="8" width="21.42578125" style="59" customWidth="1"/>
    <col min="9" max="9" width="16.28515625" style="58" customWidth="1"/>
    <col min="10" max="11" width="12.28515625" style="59" customWidth="1"/>
    <col min="12" max="12" width="10.7109375" style="59" customWidth="1"/>
    <col min="13" max="13" width="16.5703125" style="59" customWidth="1"/>
    <col min="14" max="14" width="15.42578125" style="59" customWidth="1"/>
    <col min="15" max="16" width="17.7109375" style="59" bestFit="1" customWidth="1"/>
    <col min="17" max="17" width="16" style="59" customWidth="1"/>
    <col min="18" max="16384" width="8.85546875" style="59"/>
  </cols>
  <sheetData>
    <row r="1" spans="1:19" ht="18.75">
      <c r="A1" s="159" t="s">
        <v>165</v>
      </c>
      <c r="B1" s="159"/>
      <c r="C1" s="159"/>
      <c r="D1" s="159"/>
      <c r="E1" s="159"/>
      <c r="F1" s="159"/>
      <c r="G1" s="159"/>
      <c r="H1" s="159"/>
      <c r="I1" s="160"/>
      <c r="J1" s="159"/>
      <c r="K1" s="159"/>
      <c r="L1" s="159"/>
      <c r="M1" s="159"/>
      <c r="N1" s="159"/>
      <c r="O1" s="159"/>
      <c r="P1" s="159"/>
      <c r="Q1" s="159"/>
    </row>
    <row r="2" spans="1:19" ht="45">
      <c r="A2" s="29"/>
      <c r="B2" s="83" t="s">
        <v>15</v>
      </c>
      <c r="C2" s="84" t="s">
        <v>17</v>
      </c>
      <c r="D2" s="83" t="s">
        <v>37</v>
      </c>
      <c r="E2" s="83" t="s">
        <v>0</v>
      </c>
      <c r="F2" s="29" t="s">
        <v>1</v>
      </c>
      <c r="G2" s="83" t="s">
        <v>10</v>
      </c>
      <c r="H2" s="83" t="s">
        <v>34</v>
      </c>
      <c r="I2" s="112" t="s">
        <v>35</v>
      </c>
      <c r="J2" s="111" t="s">
        <v>9</v>
      </c>
      <c r="K2" s="83" t="s">
        <v>2</v>
      </c>
      <c r="L2" s="83" t="s">
        <v>38</v>
      </c>
      <c r="M2" s="83" t="s">
        <v>124</v>
      </c>
      <c r="N2" s="83" t="s">
        <v>123</v>
      </c>
      <c r="O2" s="83" t="s">
        <v>36</v>
      </c>
      <c r="P2" s="83" t="s">
        <v>125</v>
      </c>
      <c r="Q2" s="83" t="s">
        <v>39</v>
      </c>
    </row>
    <row r="3" spans="1:19" s="61" customFormat="1" ht="15" customHeight="1">
      <c r="A3" s="192" t="s">
        <v>13</v>
      </c>
      <c r="B3" s="117"/>
      <c r="S3" s="52"/>
    </row>
    <row r="4" spans="1:19" s="61" customFormat="1">
      <c r="A4" s="191"/>
      <c r="B4" s="49">
        <v>21</v>
      </c>
      <c r="C4" s="46" t="s">
        <v>147</v>
      </c>
      <c r="D4" s="118">
        <v>1</v>
      </c>
      <c r="E4" s="71">
        <f>+References!B10</f>
        <v>1</v>
      </c>
      <c r="F4" s="70">
        <f t="shared" ref="F4:F7" si="0">D4*E4*12</f>
        <v>12</v>
      </c>
      <c r="G4" s="139">
        <f>References!B15</f>
        <v>34</v>
      </c>
      <c r="H4" s="70">
        <f t="shared" ref="H4:H7" si="1">F4*G4</f>
        <v>408</v>
      </c>
      <c r="I4" s="48">
        <f>$D$93*H4</f>
        <v>504.04748016050024</v>
      </c>
      <c r="J4" s="69">
        <f>(References!$C$50*I4)</f>
        <v>1.8170911659786038</v>
      </c>
      <c r="K4" s="69">
        <f>J4/References!$G$53</f>
        <v>1.8522845728630009</v>
      </c>
      <c r="L4" s="69">
        <f>K4/F4*E4</f>
        <v>0.15435704773858341</v>
      </c>
      <c r="M4" s="120">
        <v>6</v>
      </c>
      <c r="N4" s="147">
        <f>L4+M4</f>
        <v>6.1543570477385838</v>
      </c>
      <c r="O4" s="69">
        <f>D4*M4*12</f>
        <v>72</v>
      </c>
      <c r="P4" s="69">
        <f>D4*N4*12</f>
        <v>73.852284572862999</v>
      </c>
      <c r="Q4" s="72">
        <f t="shared" ref="Q4:Q7" si="2">+P4-O4</f>
        <v>1.8522845728629989</v>
      </c>
      <c r="S4" s="52"/>
    </row>
    <row r="5" spans="1:19" s="61" customFormat="1">
      <c r="A5" s="191"/>
      <c r="B5" s="49">
        <v>21</v>
      </c>
      <c r="C5" s="46" t="s">
        <v>99</v>
      </c>
      <c r="D5" s="118">
        <v>276</v>
      </c>
      <c r="E5" s="71">
        <f>References!$B$8</f>
        <v>4.33</v>
      </c>
      <c r="F5" s="70">
        <f>D5*E5*12</f>
        <v>14340.96</v>
      </c>
      <c r="G5" s="139">
        <f>References!B22</f>
        <v>47</v>
      </c>
      <c r="H5" s="70">
        <f>F5*G5</f>
        <v>674025.12</v>
      </c>
      <c r="I5" s="48">
        <f>$D$93*H5</f>
        <v>832697.70416882064</v>
      </c>
      <c r="J5" s="69">
        <f>(References!$C$50*I5)</f>
        <v>3001.8752235285988</v>
      </c>
      <c r="K5" s="69">
        <f>J5/References!$G$53</f>
        <v>3060.0155183777765</v>
      </c>
      <c r="L5" s="69">
        <f>K5/F5*E5</f>
        <v>0.92391772897879731</v>
      </c>
      <c r="M5" s="120">
        <v>11.7</v>
      </c>
      <c r="N5" s="147">
        <f>L5+M5</f>
        <v>12.623917728978796</v>
      </c>
      <c r="O5" s="69">
        <f>D5*M5*12</f>
        <v>38750.399999999994</v>
      </c>
      <c r="P5" s="69">
        <f>D5*N5*12</f>
        <v>41810.415518377769</v>
      </c>
      <c r="Q5" s="72">
        <f>+P5-O5</f>
        <v>3060.0155183777752</v>
      </c>
      <c r="S5" s="52"/>
    </row>
    <row r="6" spans="1:19" s="61" customFormat="1">
      <c r="A6" s="191"/>
      <c r="B6" s="49">
        <v>22</v>
      </c>
      <c r="C6" s="138" t="s">
        <v>102</v>
      </c>
      <c r="D6" s="70">
        <f>120+18+26+1</f>
        <v>165</v>
      </c>
      <c r="E6" s="71">
        <f>References!B10</f>
        <v>1</v>
      </c>
      <c r="F6" s="70">
        <f>E6*12</f>
        <v>12</v>
      </c>
      <c r="G6" s="70">
        <f>References!B25</f>
        <v>34</v>
      </c>
      <c r="H6" s="70">
        <f>F6*G6</f>
        <v>408</v>
      </c>
      <c r="I6" s="48">
        <f>$D$93*H6</f>
        <v>504.04748016050024</v>
      </c>
      <c r="J6" s="69">
        <f>(References!$C$50*I6)</f>
        <v>1.8170911659786038</v>
      </c>
      <c r="K6" s="69">
        <f>J6/References!$G$53</f>
        <v>1.8522845728630009</v>
      </c>
      <c r="L6" s="69">
        <f>K6/F6*E6</f>
        <v>0.15435704773858341</v>
      </c>
      <c r="M6" s="92">
        <v>1.95</v>
      </c>
      <c r="N6" s="147">
        <f>L6+M6</f>
        <v>2.1043570477385836</v>
      </c>
      <c r="O6" s="69">
        <f>D6*M6*12</f>
        <v>3861</v>
      </c>
      <c r="P6" s="69">
        <f>D6*N6*12</f>
        <v>4166.626954522395</v>
      </c>
      <c r="Q6" s="72">
        <f>+P6-O6</f>
        <v>305.62695452239495</v>
      </c>
      <c r="S6" s="52"/>
    </row>
    <row r="7" spans="1:19" s="61" customFormat="1">
      <c r="A7" s="191"/>
      <c r="B7" s="49">
        <v>21</v>
      </c>
      <c r="C7" s="46" t="s">
        <v>100</v>
      </c>
      <c r="D7" s="118">
        <v>4003</v>
      </c>
      <c r="E7" s="71">
        <f>References!$B$8</f>
        <v>4.33</v>
      </c>
      <c r="F7" s="70">
        <f t="shared" si="0"/>
        <v>207995.88</v>
      </c>
      <c r="G7" s="139">
        <f>References!B23</f>
        <v>68</v>
      </c>
      <c r="H7" s="70">
        <f t="shared" si="1"/>
        <v>14143719.84</v>
      </c>
      <c r="I7" s="48">
        <f>$D$93*H7</f>
        <v>17473299.866294298</v>
      </c>
      <c r="J7" s="69">
        <f>(References!$C$50*I7)</f>
        <v>62991.246017990954</v>
      </c>
      <c r="K7" s="69">
        <f>J7/References!$G$53</f>
        <v>64211.259957177324</v>
      </c>
      <c r="L7" s="69">
        <f>K7/F7*E7</f>
        <v>1.3367320334161321</v>
      </c>
      <c r="M7" s="120">
        <v>13.55</v>
      </c>
      <c r="N7" s="147">
        <f t="shared" ref="N7:N13" si="3">L7+M7</f>
        <v>14.886732033416132</v>
      </c>
      <c r="O7" s="69">
        <f>D7*M7*12</f>
        <v>650887.80000000005</v>
      </c>
      <c r="P7" s="69">
        <f>D7*N7*12</f>
        <v>715099.05995717738</v>
      </c>
      <c r="Q7" s="72">
        <f t="shared" si="2"/>
        <v>64211.259957177332</v>
      </c>
      <c r="S7" s="52"/>
    </row>
    <row r="8" spans="1:19" s="61" customFormat="1">
      <c r="A8" s="191"/>
      <c r="B8" s="49"/>
      <c r="C8" s="121"/>
      <c r="D8" s="122"/>
      <c r="E8" s="116"/>
      <c r="F8" s="70"/>
      <c r="G8" s="119"/>
      <c r="H8" s="70"/>
      <c r="I8" s="48"/>
      <c r="J8" s="69"/>
      <c r="K8" s="69"/>
      <c r="L8" s="69"/>
      <c r="M8" s="120"/>
      <c r="N8" s="69"/>
      <c r="O8" s="69"/>
      <c r="P8" s="69"/>
      <c r="Q8" s="72"/>
    </row>
    <row r="9" spans="1:19" s="61" customFormat="1">
      <c r="A9" s="50"/>
      <c r="B9" s="85"/>
      <c r="C9" s="51" t="s">
        <v>16</v>
      </c>
      <c r="D9" s="53">
        <f>SUM(D4:D8)</f>
        <v>4445</v>
      </c>
      <c r="E9" s="54"/>
      <c r="F9" s="53">
        <f>SUM(F4:F8)</f>
        <v>222360.84</v>
      </c>
      <c r="G9" s="55"/>
      <c r="H9" s="53">
        <f>SUM(H4:H8)</f>
        <v>14818560.959999999</v>
      </c>
      <c r="I9" s="53">
        <f>SUM(I4:I8)</f>
        <v>18307005.665423442</v>
      </c>
      <c r="J9" s="74"/>
      <c r="K9" s="74"/>
      <c r="L9" s="74"/>
      <c r="M9" s="74"/>
      <c r="N9" s="74"/>
      <c r="O9" s="53">
        <f>SUM(O4:O8)</f>
        <v>693571.20000000007</v>
      </c>
      <c r="P9" s="53">
        <f>SUM(P4:P8)</f>
        <v>761149.9547146504</v>
      </c>
      <c r="Q9" s="53">
        <f>SUM(Q4:Q8)</f>
        <v>67578.754714650364</v>
      </c>
    </row>
    <row r="10" spans="1:19" s="61" customFormat="1" ht="15" customHeight="1">
      <c r="A10" s="192" t="s">
        <v>14</v>
      </c>
      <c r="B10" s="49"/>
      <c r="C10" s="123"/>
      <c r="D10" s="58"/>
      <c r="E10" s="71"/>
      <c r="F10" s="124"/>
      <c r="G10" s="139"/>
      <c r="H10" s="70"/>
      <c r="I10" s="48"/>
      <c r="J10" s="69"/>
      <c r="K10" s="69"/>
      <c r="L10" s="69"/>
      <c r="M10" s="69"/>
      <c r="N10" s="147"/>
      <c r="O10" s="69"/>
      <c r="P10" s="69"/>
      <c r="Q10" s="72"/>
      <c r="S10" s="52"/>
    </row>
    <row r="11" spans="1:19" s="61" customFormat="1">
      <c r="A11" s="191"/>
      <c r="B11" s="49">
        <v>21</v>
      </c>
      <c r="C11" s="123" t="s">
        <v>101</v>
      </c>
      <c r="D11" s="158">
        <v>32</v>
      </c>
      <c r="E11" s="71">
        <f>+References!B8</f>
        <v>4.33</v>
      </c>
      <c r="F11" s="70">
        <f>D11*E11*12</f>
        <v>1662.72</v>
      </c>
      <c r="G11" s="139">
        <f>References!B23</f>
        <v>68</v>
      </c>
      <c r="H11" s="109">
        <f>F11*G11</f>
        <v>113064.96000000001</v>
      </c>
      <c r="I11" s="48">
        <f>$D$93*H11</f>
        <v>139681.63770207783</v>
      </c>
      <c r="J11" s="69">
        <f>(References!$C$50*I11)</f>
        <v>503.55230391599065</v>
      </c>
      <c r="K11" s="69">
        <f>J11/References!$G$53</f>
        <v>513.30510083179479</v>
      </c>
      <c r="L11" s="69">
        <f>K11/F11</f>
        <v>0.30871409547716677</v>
      </c>
      <c r="M11" s="92">
        <v>13.55</v>
      </c>
      <c r="N11" s="147">
        <f t="shared" si="3"/>
        <v>13.858714095477168</v>
      </c>
      <c r="O11" s="69">
        <f>F11*M11</f>
        <v>22529.856</v>
      </c>
      <c r="P11" s="69">
        <f>F11*N11</f>
        <v>23043.1611008318</v>
      </c>
      <c r="Q11" s="72">
        <f t="shared" ref="Q11:Q48" si="4">+P11-O11</f>
        <v>513.30510083179979</v>
      </c>
      <c r="S11" s="52"/>
    </row>
    <row r="12" spans="1:19" s="61" customFormat="1">
      <c r="A12" s="191"/>
      <c r="B12" s="49">
        <v>29</v>
      </c>
      <c r="C12" s="123" t="s">
        <v>159</v>
      </c>
      <c r="D12" s="158">
        <v>32</v>
      </c>
      <c r="E12" s="71">
        <f>+References!B8</f>
        <v>4.33</v>
      </c>
      <c r="F12" s="70">
        <f t="shared" ref="F12:F13" si="5">D12*E12*12</f>
        <v>1662.72</v>
      </c>
      <c r="G12" s="141">
        <f>References!B29</f>
        <v>250</v>
      </c>
      <c r="H12" s="70">
        <f t="shared" ref="H12:H13" si="6">F12*G12</f>
        <v>415680</v>
      </c>
      <c r="I12" s="48">
        <f>$D$93*H12</f>
        <v>513535.43272822729</v>
      </c>
      <c r="J12" s="69">
        <f>(References!$C$50*I12)</f>
        <v>1851.2952349852596</v>
      </c>
      <c r="K12" s="69">
        <f>J12/References!$G$53</f>
        <v>1887.1511059992454</v>
      </c>
      <c r="L12" s="69">
        <f t="shared" ref="L12:L13" si="7">K12/F12</f>
        <v>1.1349782921954661</v>
      </c>
      <c r="M12" s="137">
        <v>9.9</v>
      </c>
      <c r="N12" s="147">
        <f t="shared" si="3"/>
        <v>11.034978292195467</v>
      </c>
      <c r="O12" s="69">
        <f t="shared" ref="O12:O13" si="8">F12*M12</f>
        <v>16460.928</v>
      </c>
      <c r="P12" s="69">
        <f t="shared" ref="P12:P13" si="9">F12*N12</f>
        <v>18348.079105999248</v>
      </c>
      <c r="Q12" s="72">
        <f t="shared" ref="Q12:Q13" si="10">+P12-O12</f>
        <v>1887.1511059992481</v>
      </c>
      <c r="S12" s="52"/>
    </row>
    <row r="13" spans="1:19" s="61" customFormat="1">
      <c r="A13" s="191"/>
      <c r="B13" s="49">
        <v>29</v>
      </c>
      <c r="C13" s="123" t="s">
        <v>159</v>
      </c>
      <c r="D13" s="158">
        <v>5</v>
      </c>
      <c r="E13" s="71">
        <f>+References!B10</f>
        <v>1</v>
      </c>
      <c r="F13" s="70">
        <f t="shared" si="5"/>
        <v>60</v>
      </c>
      <c r="G13" s="141">
        <f>References!B29</f>
        <v>250</v>
      </c>
      <c r="H13" s="70">
        <f t="shared" si="6"/>
        <v>15000</v>
      </c>
      <c r="I13" s="48">
        <f>$D$93*H13</f>
        <v>18531.15735884192</v>
      </c>
      <c r="J13" s="69">
        <f>(References!$C$50*I13)</f>
        <v>66.804822278625124</v>
      </c>
      <c r="K13" s="69">
        <f>J13/References!$G$53</f>
        <v>68.09869753172795</v>
      </c>
      <c r="L13" s="69">
        <f t="shared" si="7"/>
        <v>1.1349782921954659</v>
      </c>
      <c r="M13" s="137">
        <v>9.9</v>
      </c>
      <c r="N13" s="147">
        <f t="shared" si="3"/>
        <v>11.034978292195467</v>
      </c>
      <c r="O13" s="69">
        <f t="shared" si="8"/>
        <v>594</v>
      </c>
      <c r="P13" s="69">
        <f t="shared" si="9"/>
        <v>662.09869753172802</v>
      </c>
      <c r="Q13" s="72">
        <f t="shared" si="10"/>
        <v>68.098697531728021</v>
      </c>
      <c r="S13" s="52"/>
    </row>
    <row r="14" spans="1:19" s="61" customFormat="1">
      <c r="A14" s="191"/>
      <c r="B14" s="49">
        <v>29</v>
      </c>
      <c r="C14" s="123" t="s">
        <v>166</v>
      </c>
      <c r="D14" s="158">
        <v>1</v>
      </c>
      <c r="E14" s="71">
        <f>+References!B9</f>
        <v>2.17</v>
      </c>
      <c r="F14" s="70">
        <f t="shared" ref="F14" si="11">D14*E14*12</f>
        <v>26.04</v>
      </c>
      <c r="G14" s="141">
        <f>References!B29</f>
        <v>250</v>
      </c>
      <c r="H14" s="70">
        <f>F14*G14</f>
        <v>6510</v>
      </c>
      <c r="I14" s="48">
        <f>$D$93*H14</f>
        <v>8042.5222937373937</v>
      </c>
      <c r="J14" s="69">
        <f>(References!$C$50*I14)</f>
        <v>28.993292868923309</v>
      </c>
      <c r="K14" s="69">
        <f>J14/References!$G$53</f>
        <v>29.554834728769936</v>
      </c>
      <c r="L14" s="69">
        <f>K14/F14</f>
        <v>1.1349782921954661</v>
      </c>
      <c r="M14" s="137">
        <v>9.9</v>
      </c>
      <c r="N14" s="147">
        <f>L14+M14</f>
        <v>11.034978292195467</v>
      </c>
      <c r="O14" s="69">
        <f>F14*M14</f>
        <v>257.79599999999999</v>
      </c>
      <c r="P14" s="69">
        <f>F14*N14</f>
        <v>287.35083472876994</v>
      </c>
      <c r="Q14" s="72">
        <f t="shared" si="4"/>
        <v>29.554834728769947</v>
      </c>
      <c r="S14" s="52"/>
    </row>
    <row r="15" spans="1:19" s="61" customFormat="1">
      <c r="A15" s="191"/>
      <c r="B15" s="49"/>
      <c r="C15" s="123" t="s">
        <v>158</v>
      </c>
      <c r="D15" s="158">
        <v>9</v>
      </c>
      <c r="E15" s="71">
        <f>+References!B10</f>
        <v>1</v>
      </c>
      <c r="F15" s="70">
        <f t="shared" ref="F15" si="12">D15*E15*12</f>
        <v>108</v>
      </c>
      <c r="G15" s="142">
        <f>References!B43</f>
        <v>125</v>
      </c>
      <c r="H15" s="70">
        <f>F15*G15</f>
        <v>13500</v>
      </c>
      <c r="I15" s="48">
        <f>$D$93*H15</f>
        <v>16678.041622957728</v>
      </c>
      <c r="J15" s="69">
        <f>(References!$C$50*I15)</f>
        <v>60.124340050762619</v>
      </c>
      <c r="K15" s="69">
        <f>J15/References!$G$53</f>
        <v>61.288827778555167</v>
      </c>
      <c r="L15" s="69">
        <f>K15/F15</f>
        <v>0.56748914609773304</v>
      </c>
      <c r="M15" s="137">
        <v>17.739999999999998</v>
      </c>
      <c r="N15" s="147">
        <f>L15+M15</f>
        <v>18.30748914609773</v>
      </c>
      <c r="O15" s="69">
        <f>F15*M15</f>
        <v>1915.9199999999998</v>
      </c>
      <c r="P15" s="69">
        <f>F15*N15</f>
        <v>1977.2088277785549</v>
      </c>
      <c r="Q15" s="72">
        <f t="shared" ref="Q15" si="13">+P15-O15</f>
        <v>61.28882777855506</v>
      </c>
      <c r="S15" s="52"/>
    </row>
    <row r="16" spans="1:19" s="61" customFormat="1">
      <c r="A16" s="191"/>
      <c r="B16" s="49"/>
      <c r="C16" s="123"/>
      <c r="D16" s="174"/>
      <c r="E16" s="71"/>
      <c r="F16" s="124"/>
      <c r="G16" s="142"/>
      <c r="H16" s="70"/>
      <c r="I16" s="48"/>
      <c r="J16" s="69"/>
      <c r="K16" s="69"/>
      <c r="L16" s="69"/>
      <c r="M16" s="137"/>
      <c r="N16" s="147"/>
      <c r="O16" s="69"/>
      <c r="P16" s="69"/>
      <c r="Q16" s="72"/>
      <c r="S16" s="52"/>
    </row>
    <row r="17" spans="1:19" s="61" customFormat="1">
      <c r="A17" s="191"/>
      <c r="B17" s="49">
        <v>29</v>
      </c>
      <c r="C17" s="175" t="s">
        <v>148</v>
      </c>
      <c r="D17" s="176">
        <v>1</v>
      </c>
      <c r="E17" s="177"/>
      <c r="F17" s="178">
        <f>+D17+E17*12</f>
        <v>1</v>
      </c>
      <c r="G17" s="179"/>
      <c r="H17" s="180"/>
      <c r="I17" s="181"/>
      <c r="J17" s="182"/>
      <c r="K17" s="182">
        <f>J17/References!$G$53</f>
        <v>0</v>
      </c>
      <c r="L17" s="182"/>
      <c r="M17" s="183">
        <f>19.8-8.96</f>
        <v>10.84</v>
      </c>
      <c r="N17" s="184">
        <f>L17+M17</f>
        <v>10.84</v>
      </c>
      <c r="O17" s="182">
        <f>F17*M17</f>
        <v>10.84</v>
      </c>
      <c r="P17" s="182">
        <f>F17*N17</f>
        <v>10.84</v>
      </c>
      <c r="Q17" s="72">
        <f t="shared" si="4"/>
        <v>0</v>
      </c>
      <c r="S17" s="52"/>
    </row>
    <row r="18" spans="1:19" s="61" customFormat="1">
      <c r="A18" s="191"/>
      <c r="B18" s="49">
        <v>29</v>
      </c>
      <c r="C18" s="175" t="s">
        <v>110</v>
      </c>
      <c r="D18" s="176">
        <v>1</v>
      </c>
      <c r="E18" s="177">
        <f>+References!B8</f>
        <v>4.33</v>
      </c>
      <c r="F18" s="178">
        <f>+D18+E18*12</f>
        <v>52.96</v>
      </c>
      <c r="G18" s="179">
        <f>+References!B28</f>
        <v>175</v>
      </c>
      <c r="H18" s="180">
        <f>F18*G18</f>
        <v>9268</v>
      </c>
      <c r="I18" s="181">
        <f>$D$93*H18</f>
        <v>11449.784426783128</v>
      </c>
      <c r="J18" s="182">
        <f>(References!$C$50*I18)</f>
        <v>41.276472858553184</v>
      </c>
      <c r="K18" s="182">
        <f>J18/References!$G$53</f>
        <v>42.07591524827032</v>
      </c>
      <c r="L18" s="182">
        <f>K18/F18</f>
        <v>0.79448480453682624</v>
      </c>
      <c r="M18" s="183">
        <v>8.9600000000000009</v>
      </c>
      <c r="N18" s="184">
        <f>L18+M18</f>
        <v>9.7544848045368262</v>
      </c>
      <c r="O18" s="182">
        <f>F18*M18</f>
        <v>474.52160000000003</v>
      </c>
      <c r="P18" s="182">
        <f>F18*N18</f>
        <v>516.59751524827027</v>
      </c>
      <c r="Q18" s="72">
        <f t="shared" si="4"/>
        <v>42.075915248270235</v>
      </c>
      <c r="S18" s="52"/>
    </row>
    <row r="19" spans="1:19" s="61" customFormat="1">
      <c r="A19" s="191"/>
      <c r="B19" s="49">
        <v>29</v>
      </c>
      <c r="C19" s="123" t="s">
        <v>149</v>
      </c>
      <c r="D19" s="174">
        <v>1</v>
      </c>
      <c r="E19" s="71">
        <v>3.33</v>
      </c>
      <c r="F19" s="152">
        <f>+D19+E19*12</f>
        <v>40.96</v>
      </c>
      <c r="G19" s="142">
        <f>+References!B28</f>
        <v>175</v>
      </c>
      <c r="H19" s="70">
        <f>F19*G19</f>
        <v>7168</v>
      </c>
      <c r="I19" s="48">
        <f>$D$93*H19</f>
        <v>8855.4223965452584</v>
      </c>
      <c r="J19" s="69">
        <f>(References!$C$50*I19)</f>
        <v>31.923797739545662</v>
      </c>
      <c r="K19" s="69">
        <f>J19/References!$G$53</f>
        <v>32.542097593828402</v>
      </c>
      <c r="L19" s="69">
        <f>K19/F19</f>
        <v>0.79448480453682624</v>
      </c>
      <c r="M19" s="185">
        <v>8.9600000000000009</v>
      </c>
      <c r="N19" s="147">
        <f>L19+M19</f>
        <v>9.7544848045368262</v>
      </c>
      <c r="O19" s="69">
        <f>F19*M19</f>
        <v>367.00160000000005</v>
      </c>
      <c r="P19" s="69">
        <f>F19*N19</f>
        <v>399.54369759382843</v>
      </c>
      <c r="Q19" s="72">
        <f t="shared" si="4"/>
        <v>32.542097593828373</v>
      </c>
      <c r="S19" s="52"/>
    </row>
    <row r="20" spans="1:19" s="61" customFormat="1">
      <c r="A20" s="191"/>
      <c r="B20" s="49"/>
      <c r="C20" s="123"/>
      <c r="D20" s="58"/>
      <c r="E20" s="71"/>
      <c r="F20" s="125"/>
      <c r="G20" s="142"/>
      <c r="H20" s="70"/>
      <c r="I20" s="48"/>
      <c r="J20" s="69"/>
      <c r="K20" s="69"/>
      <c r="L20" s="69"/>
      <c r="M20" s="137"/>
      <c r="N20" s="147"/>
      <c r="O20" s="69"/>
      <c r="P20" s="69"/>
      <c r="Q20" s="72"/>
      <c r="S20" s="52"/>
    </row>
    <row r="21" spans="1:19" s="61" customFormat="1">
      <c r="A21" s="191"/>
      <c r="B21" s="49"/>
      <c r="C21" s="123"/>
      <c r="D21" s="58"/>
      <c r="E21" s="71"/>
      <c r="F21" s="124"/>
      <c r="G21" s="139"/>
      <c r="H21" s="70"/>
      <c r="I21" s="48"/>
      <c r="J21" s="69"/>
      <c r="K21" s="69"/>
      <c r="L21" s="69"/>
      <c r="M21" s="137"/>
      <c r="N21" s="147"/>
      <c r="O21" s="69"/>
      <c r="P21" s="69"/>
      <c r="Q21" s="72"/>
      <c r="S21" s="52"/>
    </row>
    <row r="22" spans="1:19" s="61" customFormat="1">
      <c r="A22" s="191"/>
      <c r="B22" s="49">
        <v>29</v>
      </c>
      <c r="C22" s="175" t="s">
        <v>150</v>
      </c>
      <c r="D22" s="180">
        <v>64</v>
      </c>
      <c r="E22" s="177"/>
      <c r="F22" s="178">
        <f>+D22+E22*12</f>
        <v>64</v>
      </c>
      <c r="G22" s="179"/>
      <c r="H22" s="180"/>
      <c r="I22" s="181"/>
      <c r="J22" s="182"/>
      <c r="K22" s="182"/>
      <c r="L22" s="182"/>
      <c r="M22" s="183">
        <f>26.16-9.9</f>
        <v>16.259999999999998</v>
      </c>
      <c r="N22" s="184">
        <f>L22+M22</f>
        <v>16.259999999999998</v>
      </c>
      <c r="O22" s="182">
        <f>F22*M22</f>
        <v>1040.6399999999999</v>
      </c>
      <c r="P22" s="182">
        <f>F22*N22</f>
        <v>1040.6399999999999</v>
      </c>
      <c r="Q22" s="72">
        <f t="shared" si="4"/>
        <v>0</v>
      </c>
      <c r="S22" s="52"/>
    </row>
    <row r="23" spans="1:19" s="61" customFormat="1">
      <c r="A23" s="191"/>
      <c r="B23" s="49">
        <v>29</v>
      </c>
      <c r="C23" s="175" t="s">
        <v>112</v>
      </c>
      <c r="D23" s="180">
        <v>64</v>
      </c>
      <c r="E23" s="177">
        <f>+References!B8</f>
        <v>4.33</v>
      </c>
      <c r="F23" s="178">
        <f>+D23+E23*12</f>
        <v>115.96000000000001</v>
      </c>
      <c r="G23" s="179">
        <f>+References!B29</f>
        <v>250</v>
      </c>
      <c r="H23" s="180">
        <f t="shared" ref="H23:H39" si="14">F23*G23</f>
        <v>28990.000000000004</v>
      </c>
      <c r="I23" s="181">
        <f>$D$93*H23</f>
        <v>35814.550122188492</v>
      </c>
      <c r="J23" s="182">
        <f>(References!$C$50*I23)</f>
        <v>129.11145319048953</v>
      </c>
      <c r="K23" s="182">
        <f>J23/References!$G$53</f>
        <v>131.61208276298626</v>
      </c>
      <c r="L23" s="182">
        <f t="shared" ref="L23:L39" si="15">K23/F23</f>
        <v>1.1349782921954661</v>
      </c>
      <c r="M23" s="183">
        <v>9.9</v>
      </c>
      <c r="N23" s="184">
        <f t="shared" ref="N23:N39" si="16">L23+M23</f>
        <v>11.034978292195467</v>
      </c>
      <c r="O23" s="182">
        <f t="shared" ref="O23:O39" si="17">F23*M23</f>
        <v>1148.0040000000001</v>
      </c>
      <c r="P23" s="182">
        <f t="shared" ref="P23:P39" si="18">F23*N23</f>
        <v>1279.6160827629865</v>
      </c>
      <c r="Q23" s="72">
        <f t="shared" si="4"/>
        <v>131.61208276298635</v>
      </c>
      <c r="S23" s="52"/>
    </row>
    <row r="24" spans="1:19" s="61" customFormat="1">
      <c r="A24" s="191"/>
      <c r="B24" s="49">
        <v>29</v>
      </c>
      <c r="C24" s="123" t="s">
        <v>151</v>
      </c>
      <c r="D24" s="58">
        <v>64</v>
      </c>
      <c r="E24" s="71">
        <v>3.33</v>
      </c>
      <c r="F24" s="152">
        <f>+D24+E24*12</f>
        <v>103.96000000000001</v>
      </c>
      <c r="G24" s="139">
        <f>+References!B29</f>
        <v>250</v>
      </c>
      <c r="H24" s="70">
        <f t="shared" si="14"/>
        <v>25990.000000000004</v>
      </c>
      <c r="I24" s="48">
        <f>$D$93*H24</f>
        <v>32108.318650420108</v>
      </c>
      <c r="J24" s="155">
        <f>(References!$C$50*I24)</f>
        <v>115.7504887347645</v>
      </c>
      <c r="K24" s="69">
        <f>J24/References!$G$53</f>
        <v>117.99234325664068</v>
      </c>
      <c r="L24" s="69">
        <f t="shared" si="15"/>
        <v>1.1349782921954663</v>
      </c>
      <c r="M24" s="137">
        <v>9.9</v>
      </c>
      <c r="N24" s="147">
        <f t="shared" si="16"/>
        <v>11.034978292195467</v>
      </c>
      <c r="O24" s="69">
        <f t="shared" si="17"/>
        <v>1029.2040000000002</v>
      </c>
      <c r="P24" s="69">
        <f t="shared" si="18"/>
        <v>1147.1963432566408</v>
      </c>
      <c r="Q24" s="72">
        <f t="shared" si="4"/>
        <v>117.99234325664065</v>
      </c>
      <c r="S24" s="52"/>
    </row>
    <row r="25" spans="1:19" s="61" customFormat="1">
      <c r="A25" s="191"/>
      <c r="B25" s="49"/>
      <c r="C25" s="123"/>
      <c r="D25" s="58"/>
      <c r="E25" s="71"/>
      <c r="F25" s="124"/>
      <c r="G25" s="139"/>
      <c r="H25" s="70"/>
      <c r="I25" s="48"/>
      <c r="J25" s="155"/>
      <c r="K25" s="69"/>
      <c r="L25" s="69"/>
      <c r="M25" s="137"/>
      <c r="N25" s="147"/>
      <c r="O25" s="69"/>
      <c r="P25" s="69"/>
      <c r="Q25" s="72"/>
      <c r="S25" s="52"/>
    </row>
    <row r="26" spans="1:19" s="61" customFormat="1">
      <c r="A26" s="191"/>
      <c r="B26" s="49">
        <v>29</v>
      </c>
      <c r="C26" s="175" t="s">
        <v>152</v>
      </c>
      <c r="D26" s="180">
        <v>22</v>
      </c>
      <c r="E26" s="177"/>
      <c r="F26" s="178">
        <f>+D26+E26*12</f>
        <v>22</v>
      </c>
      <c r="G26" s="179"/>
      <c r="H26" s="180"/>
      <c r="I26" s="181"/>
      <c r="J26" s="182"/>
      <c r="K26" s="182"/>
      <c r="L26" s="182"/>
      <c r="M26" s="183">
        <f>30.84-12.67</f>
        <v>18.170000000000002</v>
      </c>
      <c r="N26" s="184">
        <f>L26+M26</f>
        <v>18.170000000000002</v>
      </c>
      <c r="O26" s="182">
        <f>F26*M26</f>
        <v>399.74</v>
      </c>
      <c r="P26" s="182">
        <f>F26*N26</f>
        <v>399.74</v>
      </c>
      <c r="Q26" s="72">
        <f t="shared" si="4"/>
        <v>0</v>
      </c>
      <c r="S26" s="52"/>
    </row>
    <row r="27" spans="1:19" s="61" customFormat="1">
      <c r="A27" s="191"/>
      <c r="B27" s="49">
        <v>29</v>
      </c>
      <c r="C27" s="175" t="s">
        <v>114</v>
      </c>
      <c r="D27" s="180">
        <f>20+2</f>
        <v>22</v>
      </c>
      <c r="E27" s="177">
        <f>+References!B8</f>
        <v>4.33</v>
      </c>
      <c r="F27" s="178">
        <f>+D27+E27*12</f>
        <v>73.960000000000008</v>
      </c>
      <c r="G27" s="179">
        <f>+References!B30</f>
        <v>324</v>
      </c>
      <c r="H27" s="180">
        <f t="shared" si="14"/>
        <v>23963.040000000001</v>
      </c>
      <c r="I27" s="181">
        <f>$D$93*H27</f>
        <v>29604.191002414889</v>
      </c>
      <c r="J27" s="182">
        <f>(References!$C$50*I27)</f>
        <v>106.72310856370569</v>
      </c>
      <c r="K27" s="182">
        <f>J27/References!$G$53</f>
        <v>108.79012086004658</v>
      </c>
      <c r="L27" s="182">
        <f t="shared" si="15"/>
        <v>1.4709318666853242</v>
      </c>
      <c r="M27" s="183">
        <v>12.67</v>
      </c>
      <c r="N27" s="184">
        <f t="shared" si="16"/>
        <v>14.140931866685325</v>
      </c>
      <c r="O27" s="182">
        <f t="shared" si="17"/>
        <v>937.07320000000004</v>
      </c>
      <c r="P27" s="182">
        <f t="shared" si="18"/>
        <v>1045.8633208600468</v>
      </c>
      <c r="Q27" s="72">
        <f t="shared" si="4"/>
        <v>108.79012086004673</v>
      </c>
      <c r="S27" s="52"/>
    </row>
    <row r="28" spans="1:19" s="61" customFormat="1">
      <c r="A28" s="191"/>
      <c r="B28" s="49">
        <v>29</v>
      </c>
      <c r="C28" s="123" t="s">
        <v>153</v>
      </c>
      <c r="D28" s="58">
        <v>20</v>
      </c>
      <c r="E28" s="71">
        <v>3.33</v>
      </c>
      <c r="F28" s="152">
        <f>+D28+E28*12</f>
        <v>59.96</v>
      </c>
      <c r="G28" s="139">
        <f>+References!B30</f>
        <v>324</v>
      </c>
      <c r="H28" s="70">
        <f t="shared" si="14"/>
        <v>19427.04</v>
      </c>
      <c r="I28" s="48">
        <f>$D$93*H28</f>
        <v>24000.369017101089</v>
      </c>
      <c r="J28" s="155">
        <f>(References!$C$50*I28)</f>
        <v>86.521330306649446</v>
      </c>
      <c r="K28" s="69">
        <f>J28/References!$G$53</f>
        <v>88.19707472645203</v>
      </c>
      <c r="L28" s="69">
        <f t="shared" si="15"/>
        <v>1.4709318666853239</v>
      </c>
      <c r="M28" s="137">
        <v>12.67</v>
      </c>
      <c r="N28" s="147">
        <f t="shared" si="16"/>
        <v>14.140931866685325</v>
      </c>
      <c r="O28" s="69">
        <f t="shared" si="17"/>
        <v>759.69320000000005</v>
      </c>
      <c r="P28" s="69">
        <f t="shared" si="18"/>
        <v>847.89027472645205</v>
      </c>
      <c r="Q28" s="72">
        <f t="shared" si="4"/>
        <v>88.197074726452001</v>
      </c>
      <c r="S28" s="52"/>
    </row>
    <row r="29" spans="1:19" s="61" customFormat="1">
      <c r="A29" s="191"/>
      <c r="B29" s="49">
        <v>29</v>
      </c>
      <c r="C29" s="123" t="s">
        <v>153</v>
      </c>
      <c r="D29" s="58">
        <v>2</v>
      </c>
      <c r="E29" s="71">
        <f>+References!B9</f>
        <v>2.17</v>
      </c>
      <c r="F29" s="152">
        <f>+D29+E29*12</f>
        <v>28.04</v>
      </c>
      <c r="G29" s="139">
        <f>+References!B30</f>
        <v>324</v>
      </c>
      <c r="H29" s="70">
        <f t="shared" ref="H29" si="19">F29*G29</f>
        <v>9084.9599999999991</v>
      </c>
      <c r="I29" s="48">
        <f>$D$93*H29</f>
        <v>11223.654890585633</v>
      </c>
      <c r="J29" s="155">
        <f>(References!$C$50*I29)</f>
        <v>40.46127588056121</v>
      </c>
      <c r="K29" s="69">
        <f>J29/References!$G$53</f>
        <v>41.244929541856486</v>
      </c>
      <c r="L29" s="69">
        <f t="shared" ref="L29" si="20">K29/F29</f>
        <v>1.4709318666853242</v>
      </c>
      <c r="M29" s="137">
        <v>12.67</v>
      </c>
      <c r="N29" s="147">
        <f t="shared" ref="N29" si="21">L29+M29</f>
        <v>14.140931866685325</v>
      </c>
      <c r="O29" s="69">
        <f t="shared" ref="O29" si="22">F29*M29</f>
        <v>355.26679999999999</v>
      </c>
      <c r="P29" s="69">
        <f t="shared" ref="P29" si="23">F29*N29</f>
        <v>396.51172954185648</v>
      </c>
      <c r="Q29" s="72">
        <f t="shared" ref="Q29" si="24">+P29-O29</f>
        <v>41.244929541856493</v>
      </c>
      <c r="S29" s="52"/>
    </row>
    <row r="30" spans="1:19" s="61" customFormat="1">
      <c r="A30" s="191"/>
      <c r="B30" s="49"/>
      <c r="C30" s="123"/>
      <c r="D30" s="58"/>
      <c r="E30" s="71"/>
      <c r="F30" s="124"/>
      <c r="G30" s="139"/>
      <c r="H30" s="70"/>
      <c r="I30" s="48"/>
      <c r="J30" s="69"/>
      <c r="K30" s="69"/>
      <c r="L30" s="69"/>
      <c r="M30" s="137"/>
      <c r="N30" s="147"/>
      <c r="O30" s="69"/>
      <c r="P30" s="69"/>
      <c r="Q30" s="72"/>
      <c r="S30" s="52"/>
    </row>
    <row r="31" spans="1:19" s="61" customFormat="1">
      <c r="A31" s="191"/>
      <c r="B31" s="49">
        <v>29</v>
      </c>
      <c r="C31" s="175" t="s">
        <v>154</v>
      </c>
      <c r="D31" s="180">
        <v>36</v>
      </c>
      <c r="E31" s="177"/>
      <c r="F31" s="178">
        <f>+D31+E31*12</f>
        <v>36</v>
      </c>
      <c r="G31" s="179"/>
      <c r="H31" s="180"/>
      <c r="I31" s="181"/>
      <c r="J31" s="182"/>
      <c r="K31" s="182"/>
      <c r="L31" s="182"/>
      <c r="M31" s="183">
        <f>36.14-15.99</f>
        <v>20.149999999999999</v>
      </c>
      <c r="N31" s="184">
        <f>L31+M31</f>
        <v>20.149999999999999</v>
      </c>
      <c r="O31" s="182">
        <f>F31*M31</f>
        <v>725.4</v>
      </c>
      <c r="P31" s="182">
        <f>F31*N31</f>
        <v>725.4</v>
      </c>
      <c r="Q31" s="72">
        <f t="shared" si="4"/>
        <v>0</v>
      </c>
      <c r="S31" s="52"/>
    </row>
    <row r="32" spans="1:19" s="61" customFormat="1">
      <c r="A32" s="191"/>
      <c r="B32" s="49">
        <v>29</v>
      </c>
      <c r="C32" s="175" t="s">
        <v>117</v>
      </c>
      <c r="D32" s="180">
        <v>35</v>
      </c>
      <c r="E32" s="177">
        <f>+References!B8</f>
        <v>4.33</v>
      </c>
      <c r="F32" s="178">
        <f>+D32+E32*12</f>
        <v>86.960000000000008</v>
      </c>
      <c r="G32" s="179">
        <f>+References!B31</f>
        <v>473</v>
      </c>
      <c r="H32" s="180">
        <f t="shared" si="14"/>
        <v>41132.080000000002</v>
      </c>
      <c r="I32" s="181">
        <f>$D$93*H32</f>
        <v>50815.003131764977</v>
      </c>
      <c r="J32" s="182">
        <f>(References!$C$50*I32)</f>
        <v>183.18808629001276</v>
      </c>
      <c r="K32" s="182">
        <f>J32/References!$G$53</f>
        <v>186.73607165138915</v>
      </c>
      <c r="L32" s="182">
        <f t="shared" si="15"/>
        <v>2.1473789288338216</v>
      </c>
      <c r="M32" s="183">
        <v>15.99</v>
      </c>
      <c r="N32" s="184">
        <f t="shared" si="16"/>
        <v>18.137378928833822</v>
      </c>
      <c r="O32" s="182">
        <f t="shared" si="17"/>
        <v>1390.4904000000001</v>
      </c>
      <c r="P32" s="182">
        <f t="shared" si="18"/>
        <v>1577.2264716513894</v>
      </c>
      <c r="Q32" s="72">
        <f t="shared" si="4"/>
        <v>186.73607165138924</v>
      </c>
      <c r="S32" s="52"/>
    </row>
    <row r="33" spans="1:19" s="61" customFormat="1">
      <c r="A33" s="191"/>
      <c r="B33" s="49">
        <v>29</v>
      </c>
      <c r="C33" s="123" t="s">
        <v>155</v>
      </c>
      <c r="D33" s="58">
        <v>35</v>
      </c>
      <c r="E33" s="71">
        <v>3.33</v>
      </c>
      <c r="F33" s="152">
        <f>+D33+E33*12</f>
        <v>74.960000000000008</v>
      </c>
      <c r="G33" s="139">
        <f>+References!B31</f>
        <v>473</v>
      </c>
      <c r="H33" s="70">
        <f t="shared" si="14"/>
        <v>35456.080000000002</v>
      </c>
      <c r="I33" s="48">
        <f>$D$93*H33</f>
        <v>43802.813187179192</v>
      </c>
      <c r="J33" s="155">
        <f>(References!$C$50*I33)</f>
        <v>157.90914153978102</v>
      </c>
      <c r="K33" s="69">
        <f>J33/[1]References!$G$52</f>
        <v>160.9675245053833</v>
      </c>
      <c r="L33" s="69">
        <f t="shared" si="15"/>
        <v>2.1473789288338216</v>
      </c>
      <c r="M33" s="137">
        <v>15.99</v>
      </c>
      <c r="N33" s="147">
        <f t="shared" si="16"/>
        <v>18.137378928833822</v>
      </c>
      <c r="O33" s="69">
        <f t="shared" si="17"/>
        <v>1198.6104000000003</v>
      </c>
      <c r="P33" s="69">
        <f t="shared" si="18"/>
        <v>1359.5779245053834</v>
      </c>
      <c r="Q33" s="72">
        <f t="shared" si="4"/>
        <v>160.96752450538315</v>
      </c>
      <c r="S33" s="52"/>
    </row>
    <row r="34" spans="1:19" s="61" customFormat="1">
      <c r="A34" s="191"/>
      <c r="B34" s="49">
        <v>29</v>
      </c>
      <c r="C34" s="123" t="s">
        <v>130</v>
      </c>
      <c r="D34" s="58">
        <v>1</v>
      </c>
      <c r="E34" s="71">
        <f>+References!B9</f>
        <v>2.17</v>
      </c>
      <c r="F34" s="152">
        <f>+D34+E34*12</f>
        <v>27.04</v>
      </c>
      <c r="G34" s="139">
        <f>+References!B31</f>
        <v>473</v>
      </c>
      <c r="H34" s="70">
        <f t="shared" si="14"/>
        <v>12789.92</v>
      </c>
      <c r="I34" s="48">
        <f>$D$93*H34</f>
        <v>15800.801341799965</v>
      </c>
      <c r="J34" s="155">
        <f>(References!$C$50*I34)</f>
        <v>56.96188883718888</v>
      </c>
      <c r="K34" s="69">
        <f>J34/[1]References!$G$52</f>
        <v>58.065126235666547</v>
      </c>
      <c r="L34" s="69">
        <f t="shared" si="15"/>
        <v>2.1473789288338221</v>
      </c>
      <c r="M34" s="137">
        <v>15.99</v>
      </c>
      <c r="N34" s="147">
        <f t="shared" si="16"/>
        <v>18.137378928833822</v>
      </c>
      <c r="O34" s="69">
        <f t="shared" si="17"/>
        <v>432.36959999999999</v>
      </c>
      <c r="P34" s="69">
        <f t="shared" si="18"/>
        <v>490.43472623566652</v>
      </c>
      <c r="Q34" s="72">
        <f t="shared" si="4"/>
        <v>58.065126235666526</v>
      </c>
      <c r="S34" s="52"/>
    </row>
    <row r="35" spans="1:19" s="61" customFormat="1">
      <c r="A35" s="191"/>
      <c r="B35" s="49"/>
      <c r="C35" s="123"/>
      <c r="D35" s="58"/>
      <c r="E35" s="71"/>
      <c r="F35" s="152"/>
      <c r="G35" s="139"/>
      <c r="H35" s="70"/>
      <c r="I35" s="48"/>
      <c r="J35" s="69"/>
      <c r="K35" s="69"/>
      <c r="L35" s="69"/>
      <c r="M35" s="137"/>
      <c r="N35" s="147"/>
      <c r="O35" s="69"/>
      <c r="P35" s="69"/>
      <c r="Q35" s="72"/>
      <c r="S35" s="52"/>
    </row>
    <row r="36" spans="1:19" s="61" customFormat="1">
      <c r="A36" s="191"/>
      <c r="B36" s="49">
        <v>29</v>
      </c>
      <c r="C36" s="175" t="s">
        <v>156</v>
      </c>
      <c r="D36" s="180">
        <v>16</v>
      </c>
      <c r="E36" s="177"/>
      <c r="F36" s="178">
        <f>+D36+E36*12</f>
        <v>16</v>
      </c>
      <c r="G36" s="179"/>
      <c r="H36" s="180"/>
      <c r="I36" s="181"/>
      <c r="J36" s="182"/>
      <c r="K36" s="182"/>
      <c r="L36" s="182"/>
      <c r="M36" s="183">
        <f>46.91-24.17</f>
        <v>22.739999999999995</v>
      </c>
      <c r="N36" s="184">
        <f>L36+M36</f>
        <v>22.739999999999995</v>
      </c>
      <c r="O36" s="182">
        <f>F36*M36</f>
        <v>363.83999999999992</v>
      </c>
      <c r="P36" s="182">
        <f>F36*N36</f>
        <v>363.83999999999992</v>
      </c>
      <c r="Q36" s="72">
        <f t="shared" si="4"/>
        <v>0</v>
      </c>
      <c r="S36" s="52"/>
    </row>
    <row r="37" spans="1:19" s="61" customFormat="1">
      <c r="A37" s="191"/>
      <c r="B37" s="49">
        <v>29</v>
      </c>
      <c r="C37" s="175" t="s">
        <v>119</v>
      </c>
      <c r="D37" s="180">
        <v>16</v>
      </c>
      <c r="E37" s="177">
        <f>+References!B8</f>
        <v>4.33</v>
      </c>
      <c r="F37" s="178">
        <f>+D37+E37*12</f>
        <v>67.960000000000008</v>
      </c>
      <c r="G37" s="179">
        <f>+References!B32</f>
        <v>613</v>
      </c>
      <c r="H37" s="180">
        <f t="shared" si="14"/>
        <v>41659.480000000003</v>
      </c>
      <c r="I37" s="181">
        <f>$D$93*H37</f>
        <v>51466.558624501857</v>
      </c>
      <c r="J37" s="182">
        <f>(References!$C$50*I37)</f>
        <v>185.53694384132922</v>
      </c>
      <c r="K37" s="182">
        <f>J37/References!$G$53</f>
        <v>189.1304218566047</v>
      </c>
      <c r="L37" s="182">
        <f t="shared" si="15"/>
        <v>2.7829667724632823</v>
      </c>
      <c r="M37" s="183">
        <v>24.17</v>
      </c>
      <c r="N37" s="184">
        <f t="shared" si="16"/>
        <v>26.952966772463284</v>
      </c>
      <c r="O37" s="182">
        <f t="shared" si="17"/>
        <v>1642.5932000000003</v>
      </c>
      <c r="P37" s="182">
        <f t="shared" si="18"/>
        <v>1831.723621856605</v>
      </c>
      <c r="Q37" s="72">
        <f t="shared" si="4"/>
        <v>189.1304218566047</v>
      </c>
      <c r="S37" s="52"/>
    </row>
    <row r="38" spans="1:19" s="61" customFormat="1">
      <c r="A38" s="191"/>
      <c r="B38" s="49">
        <v>29</v>
      </c>
      <c r="C38" s="123" t="s">
        <v>157</v>
      </c>
      <c r="D38" s="58">
        <v>16</v>
      </c>
      <c r="E38" s="71">
        <v>3.33</v>
      </c>
      <c r="F38" s="152">
        <f>+D38+E38*12</f>
        <v>55.96</v>
      </c>
      <c r="G38" s="153">
        <f>+References!B32</f>
        <v>613</v>
      </c>
      <c r="H38" s="70">
        <f t="shared" si="14"/>
        <v>34303.480000000003</v>
      </c>
      <c r="I38" s="48">
        <f>$D$93*H38</f>
        <v>42378.879055725782</v>
      </c>
      <c r="J38" s="155">
        <f>(References!$C$50*I38)</f>
        <v>152.77585899589147</v>
      </c>
      <c r="K38" s="69">
        <f>J38/[1]References!$G$52</f>
        <v>155.73482058704533</v>
      </c>
      <c r="L38" s="69">
        <f t="shared" si="15"/>
        <v>2.7829667724632832</v>
      </c>
      <c r="M38" s="137">
        <v>24.17</v>
      </c>
      <c r="N38" s="147">
        <f t="shared" si="16"/>
        <v>26.952966772463284</v>
      </c>
      <c r="O38" s="69">
        <f t="shared" si="17"/>
        <v>1352.5532000000001</v>
      </c>
      <c r="P38" s="69">
        <f t="shared" si="18"/>
        <v>1508.2880205870454</v>
      </c>
      <c r="Q38" s="72">
        <f t="shared" si="4"/>
        <v>155.73482058704531</v>
      </c>
      <c r="S38" s="52"/>
    </row>
    <row r="39" spans="1:19" s="61" customFormat="1">
      <c r="A39" s="191"/>
      <c r="B39" s="49">
        <v>29</v>
      </c>
      <c r="C39" s="123" t="s">
        <v>160</v>
      </c>
      <c r="D39" s="58">
        <v>1</v>
      </c>
      <c r="E39" s="71">
        <f>+References!B9</f>
        <v>2.17</v>
      </c>
      <c r="F39" s="152">
        <f t="shared" ref="F39" si="25">+D39+E39*12</f>
        <v>27.04</v>
      </c>
      <c r="G39" s="153">
        <f>+References!B32</f>
        <v>613</v>
      </c>
      <c r="H39" s="70">
        <f t="shared" si="14"/>
        <v>16575.52</v>
      </c>
      <c r="I39" s="48">
        <f>$D$93*H39</f>
        <v>20477.571294975431</v>
      </c>
      <c r="J39" s="155">
        <f>(References!$C$50*I39)</f>
        <v>73.821644518386435</v>
      </c>
      <c r="K39" s="69">
        <f>J39/[1]References!$G$52</f>
        <v>75.251421527407174</v>
      </c>
      <c r="L39" s="69">
        <f t="shared" si="15"/>
        <v>2.7829667724632832</v>
      </c>
      <c r="M39" s="137">
        <v>24.17</v>
      </c>
      <c r="N39" s="147">
        <f t="shared" si="16"/>
        <v>26.952966772463284</v>
      </c>
      <c r="O39" s="69">
        <f t="shared" si="17"/>
        <v>653.55680000000007</v>
      </c>
      <c r="P39" s="69">
        <f t="shared" si="18"/>
        <v>728.80822152740723</v>
      </c>
      <c r="Q39" s="72">
        <f t="shared" si="4"/>
        <v>75.25142152740716</v>
      </c>
      <c r="S39" s="52"/>
    </row>
    <row r="40" spans="1:19" s="61" customFormat="1">
      <c r="A40" s="191"/>
      <c r="B40" s="49"/>
      <c r="C40" s="123"/>
      <c r="D40" s="58"/>
      <c r="E40" s="71"/>
      <c r="F40" s="152"/>
      <c r="G40" s="153"/>
      <c r="H40" s="70"/>
      <c r="I40" s="48"/>
      <c r="J40" s="155"/>
      <c r="K40" s="69"/>
      <c r="L40" s="69"/>
      <c r="M40" s="137"/>
      <c r="N40" s="147"/>
      <c r="O40" s="69"/>
      <c r="P40" s="69"/>
      <c r="Q40" s="72"/>
      <c r="S40" s="52"/>
    </row>
    <row r="41" spans="1:19" s="61" customFormat="1">
      <c r="A41" s="191"/>
      <c r="B41" s="49">
        <v>29</v>
      </c>
      <c r="C41" s="175" t="s">
        <v>161</v>
      </c>
      <c r="D41" s="180">
        <v>9</v>
      </c>
      <c r="E41" s="177"/>
      <c r="F41" s="178">
        <f>+D41+E41*12</f>
        <v>9</v>
      </c>
      <c r="G41" s="179"/>
      <c r="H41" s="180"/>
      <c r="I41" s="181"/>
      <c r="J41" s="182"/>
      <c r="K41" s="182"/>
      <c r="L41" s="182"/>
      <c r="M41" s="183">
        <f>71.3-36.24</f>
        <v>35.059999999999995</v>
      </c>
      <c r="N41" s="184">
        <f>L41+M41</f>
        <v>35.059999999999995</v>
      </c>
      <c r="O41" s="182">
        <f>F41*M41</f>
        <v>315.53999999999996</v>
      </c>
      <c r="P41" s="182">
        <f>F41*N41</f>
        <v>315.53999999999996</v>
      </c>
      <c r="Q41" s="72">
        <f t="shared" ref="Q41:Q43" si="26">+P41-O41</f>
        <v>0</v>
      </c>
      <c r="S41" s="52"/>
    </row>
    <row r="42" spans="1:19" s="61" customFormat="1">
      <c r="A42" s="191"/>
      <c r="B42" s="49">
        <v>29</v>
      </c>
      <c r="C42" s="175" t="s">
        <v>121</v>
      </c>
      <c r="D42" s="180">
        <v>9</v>
      </c>
      <c r="E42" s="177">
        <f>+References!B8</f>
        <v>4.33</v>
      </c>
      <c r="F42" s="178">
        <f>+D42+E42*12</f>
        <v>60.96</v>
      </c>
      <c r="G42" s="179">
        <f>+References!B37</f>
        <v>892</v>
      </c>
      <c r="H42" s="180">
        <f t="shared" ref="H42:H43" si="27">F42*G42</f>
        <v>54376.32</v>
      </c>
      <c r="I42" s="181">
        <f>$D$93*H42</f>
        <v>67177.076167649546</v>
      </c>
      <c r="J42" s="182">
        <f>(References!$C$50*I42)</f>
        <v>242.17335958437664</v>
      </c>
      <c r="K42" s="182">
        <f>J42/References!$G$53</f>
        <v>246.86377123789669</v>
      </c>
      <c r="L42" s="182">
        <f t="shared" ref="L42:L43" si="28">K42/F42</f>
        <v>4.0496025465534231</v>
      </c>
      <c r="M42" s="183">
        <v>36.24</v>
      </c>
      <c r="N42" s="184">
        <f t="shared" ref="N42:N43" si="29">L42+M42</f>
        <v>40.289602546553425</v>
      </c>
      <c r="O42" s="182">
        <f t="shared" ref="O42:O43" si="30">F42*M42</f>
        <v>2209.1904</v>
      </c>
      <c r="P42" s="182">
        <f t="shared" ref="P42:P43" si="31">F42*N42</f>
        <v>2456.0541712378968</v>
      </c>
      <c r="Q42" s="72">
        <f t="shared" si="26"/>
        <v>246.8637712378968</v>
      </c>
      <c r="S42" s="52"/>
    </row>
    <row r="43" spans="1:19" s="61" customFormat="1">
      <c r="A43" s="191"/>
      <c r="B43" s="49">
        <v>29</v>
      </c>
      <c r="C43" s="123" t="s">
        <v>164</v>
      </c>
      <c r="D43" s="58">
        <v>9</v>
      </c>
      <c r="E43" s="71">
        <v>3.33</v>
      </c>
      <c r="F43" s="152">
        <f>+D43+E43*12</f>
        <v>48.96</v>
      </c>
      <c r="G43" s="153">
        <f>+References!B37</f>
        <v>892</v>
      </c>
      <c r="H43" s="70">
        <f t="shared" si="27"/>
        <v>43672.32</v>
      </c>
      <c r="I43" s="48">
        <f>$D$93*H43</f>
        <v>53953.242276379948</v>
      </c>
      <c r="J43" s="155">
        <f>(References!$C$50*I43)</f>
        <v>194.50143840634973</v>
      </c>
      <c r="K43" s="69">
        <f>J43/[1]References!$G$52</f>
        <v>198.26854067925561</v>
      </c>
      <c r="L43" s="69">
        <f t="shared" si="28"/>
        <v>4.0496025465534231</v>
      </c>
      <c r="M43" s="137">
        <v>36.24</v>
      </c>
      <c r="N43" s="147">
        <f t="shared" si="29"/>
        <v>40.289602546553425</v>
      </c>
      <c r="O43" s="69">
        <f t="shared" si="30"/>
        <v>1774.3104000000001</v>
      </c>
      <c r="P43" s="69">
        <f t="shared" si="31"/>
        <v>1972.5789406792558</v>
      </c>
      <c r="Q43" s="72">
        <f t="shared" si="26"/>
        <v>198.26854067925569</v>
      </c>
      <c r="S43" s="52"/>
    </row>
    <row r="44" spans="1:19" s="61" customFormat="1">
      <c r="A44" s="191"/>
      <c r="B44" s="49"/>
      <c r="C44" s="149"/>
      <c r="D44" s="150"/>
      <c r="E44" s="151"/>
      <c r="F44" s="152"/>
      <c r="G44" s="153"/>
      <c r="H44" s="157"/>
      <c r="I44" s="154"/>
      <c r="J44" s="155"/>
      <c r="K44" s="155"/>
      <c r="L44" s="155"/>
      <c r="M44" s="156"/>
      <c r="N44" s="147"/>
      <c r="O44" s="155"/>
      <c r="P44" s="155"/>
      <c r="Q44" s="72"/>
      <c r="S44" s="52"/>
    </row>
    <row r="45" spans="1:19" s="61" customFormat="1">
      <c r="A45" s="191"/>
      <c r="B45" s="49">
        <v>30</v>
      </c>
      <c r="C45" s="175" t="s">
        <v>162</v>
      </c>
      <c r="D45" s="180">
        <v>5</v>
      </c>
      <c r="E45" s="177"/>
      <c r="F45" s="178">
        <f>+D45+E45*12</f>
        <v>5</v>
      </c>
      <c r="G45" s="179"/>
      <c r="H45" s="180"/>
      <c r="I45" s="181"/>
      <c r="J45" s="182"/>
      <c r="K45" s="182"/>
      <c r="L45" s="182"/>
      <c r="M45" s="183">
        <f>75.58-39.86</f>
        <v>35.72</v>
      </c>
      <c r="N45" s="184">
        <f>L45+M45</f>
        <v>35.72</v>
      </c>
      <c r="O45" s="182">
        <f>F45*M45</f>
        <v>178.6</v>
      </c>
      <c r="P45" s="182">
        <f>F45*N45</f>
        <v>178.6</v>
      </c>
      <c r="Q45" s="72">
        <f t="shared" ref="Q45:Q46" si="32">+P45-O45</f>
        <v>0</v>
      </c>
      <c r="S45" s="52"/>
    </row>
    <row r="46" spans="1:19" s="61" customFormat="1">
      <c r="A46" s="191"/>
      <c r="B46" s="49">
        <v>30</v>
      </c>
      <c r="C46" s="175" t="s">
        <v>122</v>
      </c>
      <c r="D46" s="180">
        <v>6</v>
      </c>
      <c r="E46" s="177">
        <f>+References!B8</f>
        <v>4.33</v>
      </c>
      <c r="F46" s="178">
        <f>+D46+E46*12</f>
        <v>57.96</v>
      </c>
      <c r="G46" s="186">
        <f>+References!B34</f>
        <v>980</v>
      </c>
      <c r="H46" s="180">
        <f t="shared" ref="H46" si="33">F46*G46</f>
        <v>56800.800000000003</v>
      </c>
      <c r="I46" s="181">
        <f>$D$93*H46</f>
        <v>70172.30419387389</v>
      </c>
      <c r="J46" s="182">
        <f>(References!$C$50*I46)</f>
        <v>252.97115661891542</v>
      </c>
      <c r="K46" s="182">
        <f>J46/References!$G$53</f>
        <v>257.87069991734495</v>
      </c>
      <c r="L46" s="182">
        <f t="shared" ref="L46" si="34">K46/F46</f>
        <v>4.4491149054062271</v>
      </c>
      <c r="M46" s="183">
        <v>39.86</v>
      </c>
      <c r="N46" s="184">
        <f t="shared" ref="N46" si="35">L46+M46</f>
        <v>44.309114905406226</v>
      </c>
      <c r="O46" s="182">
        <f t="shared" ref="O46" si="36">F46*M46</f>
        <v>2310.2856000000002</v>
      </c>
      <c r="P46" s="182">
        <f t="shared" ref="P46" si="37">F46*N46</f>
        <v>2568.1562999173448</v>
      </c>
      <c r="Q46" s="72">
        <f t="shared" si="32"/>
        <v>257.87069991734461</v>
      </c>
      <c r="S46" s="52"/>
    </row>
    <row r="47" spans="1:19" s="61" customFormat="1">
      <c r="A47" s="191"/>
      <c r="B47" s="49">
        <v>30</v>
      </c>
      <c r="C47" s="123" t="s">
        <v>163</v>
      </c>
      <c r="D47" s="58">
        <v>5</v>
      </c>
      <c r="E47" s="71">
        <v>3.33</v>
      </c>
      <c r="F47" s="70">
        <f t="shared" ref="F47:F48" si="38">D47*E47*12</f>
        <v>199.79999999999998</v>
      </c>
      <c r="G47" s="140">
        <f>References!B34</f>
        <v>980</v>
      </c>
      <c r="H47" s="109">
        <f t="shared" ref="H47:H48" si="39">F47*G47</f>
        <v>195803.99999999997</v>
      </c>
      <c r="I47" s="48">
        <f>$D$93*H47</f>
        <v>241898.31569937887</v>
      </c>
      <c r="J47" s="69">
        <f>(References!$C$50*I47)</f>
        <v>872.04342809626098</v>
      </c>
      <c r="K47" s="69">
        <f>J47/References!$G$53</f>
        <v>888.93315810016406</v>
      </c>
      <c r="L47" s="69">
        <f t="shared" ref="L47:L48" si="40">K47/F47</f>
        <v>4.4491149054062271</v>
      </c>
      <c r="M47" s="69">
        <v>39.86</v>
      </c>
      <c r="N47" s="147">
        <f t="shared" ref="N47:N48" si="41">L47+M47</f>
        <v>44.309114905406226</v>
      </c>
      <c r="O47" s="69">
        <f t="shared" ref="O47:O48" si="42">F47*M47</f>
        <v>7964.0279999999993</v>
      </c>
      <c r="P47" s="69">
        <f t="shared" ref="P47:P48" si="43">F47*N47</f>
        <v>8852.9611581001627</v>
      </c>
      <c r="Q47" s="72">
        <f t="shared" si="4"/>
        <v>888.93315810016338</v>
      </c>
      <c r="S47" s="52"/>
    </row>
    <row r="48" spans="1:19" s="61" customFormat="1">
      <c r="A48" s="191"/>
      <c r="B48" s="49">
        <v>30</v>
      </c>
      <c r="C48" s="123" t="s">
        <v>132</v>
      </c>
      <c r="D48" s="58">
        <v>1</v>
      </c>
      <c r="E48" s="71">
        <f>+References!B9</f>
        <v>2.17</v>
      </c>
      <c r="F48" s="70">
        <f t="shared" si="38"/>
        <v>26.04</v>
      </c>
      <c r="G48" s="140">
        <f>References!B34</f>
        <v>980</v>
      </c>
      <c r="H48" s="109">
        <f t="shared" si="39"/>
        <v>25519.200000000001</v>
      </c>
      <c r="I48" s="48">
        <f>$D$93*H48</f>
        <v>31526.687391450585</v>
      </c>
      <c r="J48" s="69">
        <f>(References!$C$50*I48)</f>
        <v>113.65370804617937</v>
      </c>
      <c r="K48" s="69">
        <f>J48/References!$G$53</f>
        <v>115.85495213677817</v>
      </c>
      <c r="L48" s="69">
        <f t="shared" si="40"/>
        <v>4.449114905406228</v>
      </c>
      <c r="M48" s="69">
        <v>36.24</v>
      </c>
      <c r="N48" s="147">
        <f t="shared" si="41"/>
        <v>40.689114905406228</v>
      </c>
      <c r="O48" s="69">
        <f t="shared" si="42"/>
        <v>943.68960000000004</v>
      </c>
      <c r="P48" s="69">
        <f t="shared" si="43"/>
        <v>1059.5445521367781</v>
      </c>
      <c r="Q48" s="72">
        <f t="shared" si="4"/>
        <v>115.85495213677802</v>
      </c>
      <c r="S48" s="52"/>
    </row>
    <row r="49" spans="1:19" s="61" customFormat="1">
      <c r="A49" s="191"/>
      <c r="B49" s="49"/>
      <c r="C49" s="123"/>
      <c r="D49" s="58"/>
      <c r="E49" s="71"/>
      <c r="F49" s="70"/>
      <c r="G49" s="140"/>
      <c r="H49" s="109"/>
      <c r="I49" s="48"/>
      <c r="J49" s="69"/>
      <c r="K49" s="69"/>
      <c r="L49" s="69"/>
      <c r="M49" s="69"/>
      <c r="N49" s="147"/>
      <c r="O49" s="69"/>
      <c r="P49" s="69"/>
      <c r="Q49" s="72"/>
      <c r="S49" s="52"/>
    </row>
    <row r="50" spans="1:19" s="61" customFormat="1">
      <c r="A50" s="191"/>
      <c r="B50" s="49"/>
      <c r="C50" s="123"/>
      <c r="D50" s="58"/>
      <c r="E50" s="71"/>
      <c r="F50" s="124"/>
      <c r="G50" s="139"/>
      <c r="H50" s="70"/>
      <c r="I50" s="48"/>
      <c r="J50" s="69"/>
      <c r="K50" s="69"/>
      <c r="L50" s="69"/>
      <c r="M50" s="69"/>
      <c r="N50" s="69"/>
      <c r="O50" s="69"/>
      <c r="P50" s="69"/>
      <c r="Q50" s="72"/>
      <c r="S50" s="52"/>
    </row>
    <row r="51" spans="1:19" s="61" customFormat="1">
      <c r="A51" s="50"/>
      <c r="B51" s="27"/>
      <c r="C51" s="51"/>
      <c r="D51" s="53">
        <f>SUM(D10:D49)</f>
        <v>540</v>
      </c>
      <c r="E51" s="53"/>
      <c r="F51" s="53">
        <f>SUM(F10:F49)</f>
        <v>4881.920000000001</v>
      </c>
      <c r="G51" s="143">
        <f>SUM(G10:G50)</f>
        <v>10747</v>
      </c>
      <c r="H51" s="53">
        <f>SUM(H10:H49)</f>
        <v>1245735.1999999997</v>
      </c>
      <c r="I51" s="53">
        <f>SUM(I10:I49)</f>
        <v>1538994.3345765609</v>
      </c>
      <c r="J51" s="73"/>
      <c r="K51" s="73"/>
      <c r="L51" s="73"/>
      <c r="M51" s="73"/>
      <c r="N51" s="73"/>
      <c r="O51" s="53">
        <f>SUM(O10:O49)</f>
        <v>71735.542000000001</v>
      </c>
      <c r="P51" s="53">
        <f>SUM(P10:P49)</f>
        <v>77391.0716392951</v>
      </c>
      <c r="Q51" s="53">
        <f>SUM(Q10:Q49)</f>
        <v>5655.529639295115</v>
      </c>
    </row>
    <row r="52" spans="1:19">
      <c r="C52" s="65"/>
      <c r="D52" s="66">
        <f>D9+D51</f>
        <v>4985</v>
      </c>
      <c r="E52" s="66"/>
      <c r="F52" s="104">
        <f>F9+F51</f>
        <v>227242.76</v>
      </c>
      <c r="G52" s="66"/>
      <c r="H52" s="66">
        <f>H9+H51</f>
        <v>16064296.159999998</v>
      </c>
      <c r="I52" s="66">
        <f>I9+I51</f>
        <v>19846000.000000004</v>
      </c>
      <c r="J52" s="69"/>
      <c r="K52" s="75"/>
      <c r="L52" s="75"/>
      <c r="M52" s="75"/>
      <c r="N52" s="75"/>
      <c r="O52" s="75">
        <f>O9+O51</f>
        <v>765306.74200000009</v>
      </c>
      <c r="P52" s="75">
        <f>P9+P51</f>
        <v>838541.02635394549</v>
      </c>
      <c r="Q52" s="75">
        <f>Q9+Q51</f>
        <v>73234.284353945477</v>
      </c>
    </row>
    <row r="53" spans="1:19">
      <c r="G53" s="144"/>
      <c r="J53" s="57"/>
      <c r="P53" s="62"/>
    </row>
    <row r="54" spans="1:19">
      <c r="G54" s="144"/>
      <c r="J54" s="57"/>
      <c r="P54" s="62"/>
    </row>
    <row r="55" spans="1:19">
      <c r="A55" s="76"/>
      <c r="B55" s="77"/>
      <c r="C55" s="81" t="s">
        <v>91</v>
      </c>
      <c r="D55" s="78"/>
      <c r="E55" s="76"/>
      <c r="F55" s="76"/>
      <c r="G55" s="145"/>
      <c r="H55" s="76"/>
      <c r="I55" s="79"/>
      <c r="J55" s="80"/>
      <c r="K55" s="76"/>
      <c r="L55" s="76"/>
      <c r="M55" s="76"/>
      <c r="N55" s="76"/>
      <c r="O55" s="61"/>
      <c r="P55" s="103"/>
      <c r="Q55" s="61"/>
    </row>
    <row r="56" spans="1:19" s="61" customFormat="1" ht="15" customHeight="1">
      <c r="A56" s="191" t="s">
        <v>49</v>
      </c>
      <c r="B56" s="49"/>
      <c r="C56" s="123"/>
      <c r="D56" s="70"/>
      <c r="E56" s="71"/>
      <c r="F56" s="70"/>
      <c r="G56" s="70"/>
      <c r="H56" s="70"/>
      <c r="I56" s="48"/>
      <c r="J56" s="69"/>
      <c r="K56" s="69"/>
      <c r="L56" s="69"/>
      <c r="M56" s="92"/>
      <c r="N56" s="147"/>
      <c r="O56" s="126"/>
      <c r="P56" s="69"/>
      <c r="Q56" s="69"/>
    </row>
    <row r="57" spans="1:19" s="61" customFormat="1" ht="15" customHeight="1">
      <c r="A57" s="191"/>
      <c r="B57" s="49">
        <v>22</v>
      </c>
      <c r="C57" s="107" t="s">
        <v>146</v>
      </c>
      <c r="D57" s="70">
        <v>0</v>
      </c>
      <c r="E57" s="71">
        <f>References!$B$8</f>
        <v>4.33</v>
      </c>
      <c r="F57" s="70">
        <f t="shared" ref="F57" si="44">E57*12</f>
        <v>51.96</v>
      </c>
      <c r="G57" s="70">
        <f>References!B15</f>
        <v>34</v>
      </c>
      <c r="H57" s="70">
        <f t="shared" ref="H57" si="45">F57*G57</f>
        <v>1766.64</v>
      </c>
      <c r="I57" s="48">
        <f t="shared" ref="I57:I64" si="46">$D$93*H57</f>
        <v>2182.5255890949661</v>
      </c>
      <c r="J57" s="69">
        <f>(References!$C$50*I57)</f>
        <v>7.8680047486873539</v>
      </c>
      <c r="K57" s="69">
        <f>J57/References!$G$53</f>
        <v>8.0203922004967936</v>
      </c>
      <c r="L57" s="69">
        <f>K57/F57*E57</f>
        <v>0.66836601670806606</v>
      </c>
      <c r="M57" s="92">
        <v>9.5299999999999994</v>
      </c>
      <c r="N57" s="147">
        <f>L57+M57</f>
        <v>10.198366016708066</v>
      </c>
      <c r="O57" s="126"/>
      <c r="P57" s="69"/>
      <c r="Q57" s="69"/>
    </row>
    <row r="58" spans="1:19" s="61" customFormat="1">
      <c r="A58" s="191"/>
      <c r="B58" s="49">
        <v>22</v>
      </c>
      <c r="C58" s="107" t="s">
        <v>104</v>
      </c>
      <c r="D58" s="70">
        <v>0</v>
      </c>
      <c r="E58" s="71">
        <f>References!$B$8</f>
        <v>4.33</v>
      </c>
      <c r="F58" s="70">
        <f t="shared" ref="F58:F60" si="47">E58*12</f>
        <v>51.96</v>
      </c>
      <c r="G58" s="70">
        <f>References!B16</f>
        <v>51</v>
      </c>
      <c r="H58" s="70">
        <f t="shared" ref="H58:H63" si="48">F58*G58</f>
        <v>2649.96</v>
      </c>
      <c r="I58" s="48">
        <f t="shared" si="46"/>
        <v>3273.7883836424494</v>
      </c>
      <c r="J58" s="69">
        <f>(References!$C$50*I58)</f>
        <v>11.802007123031032</v>
      </c>
      <c r="K58" s="69">
        <f>J58/References!$G$53</f>
        <v>12.03058830074519</v>
      </c>
      <c r="L58" s="69">
        <f>K58/F58*E58</f>
        <v>1.0025490250620992</v>
      </c>
      <c r="M58" s="92">
        <v>11.78</v>
      </c>
      <c r="N58" s="147">
        <f>L58+M58</f>
        <v>12.782549025062099</v>
      </c>
      <c r="O58" s="69"/>
      <c r="P58" s="69"/>
      <c r="Q58" s="69"/>
    </row>
    <row r="59" spans="1:19" s="61" customFormat="1">
      <c r="A59" s="191"/>
      <c r="B59" s="49">
        <v>22</v>
      </c>
      <c r="C59" s="107" t="s">
        <v>105</v>
      </c>
      <c r="D59" s="70">
        <v>0</v>
      </c>
      <c r="E59" s="71">
        <f>References!$B$8</f>
        <v>4.33</v>
      </c>
      <c r="F59" s="70">
        <f t="shared" si="47"/>
        <v>51.96</v>
      </c>
      <c r="G59" s="70">
        <f>References!B17</f>
        <v>77</v>
      </c>
      <c r="H59" s="70">
        <f t="shared" si="48"/>
        <v>4000.92</v>
      </c>
      <c r="I59" s="48">
        <f t="shared" si="46"/>
        <v>4942.778540009188</v>
      </c>
      <c r="J59" s="69">
        <f>(References!$C$50*I59)</f>
        <v>17.818716636733125</v>
      </c>
      <c r="K59" s="69">
        <f>J59/References!$G$53</f>
        <v>18.163829395242736</v>
      </c>
      <c r="L59" s="69">
        <f t="shared" ref="L59:L63" si="49">K59/F59*E59</f>
        <v>1.5136524496035615</v>
      </c>
      <c r="M59" s="92">
        <v>13.68</v>
      </c>
      <c r="N59" s="147">
        <f t="shared" ref="N59:N63" si="50">L59+M59</f>
        <v>15.193652449603562</v>
      </c>
      <c r="O59" s="69"/>
      <c r="P59" s="69"/>
      <c r="Q59" s="69"/>
    </row>
    <row r="60" spans="1:19" s="61" customFormat="1">
      <c r="A60" s="191"/>
      <c r="B60" s="49">
        <v>22</v>
      </c>
      <c r="C60" s="107" t="s">
        <v>106</v>
      </c>
      <c r="D60" s="70">
        <v>0</v>
      </c>
      <c r="E60" s="71">
        <f>References!$B$8</f>
        <v>4.33</v>
      </c>
      <c r="F60" s="70">
        <f t="shared" si="47"/>
        <v>51.96</v>
      </c>
      <c r="G60" s="70">
        <f>References!B18</f>
        <v>97</v>
      </c>
      <c r="H60" s="70">
        <f t="shared" si="48"/>
        <v>5040.12</v>
      </c>
      <c r="I60" s="48">
        <f t="shared" si="46"/>
        <v>6226.6171218297559</v>
      </c>
      <c r="J60" s="69">
        <f>(References!$C$50*I60)</f>
        <v>22.446954724196274</v>
      </c>
      <c r="K60" s="69">
        <f>J60/References!$G$53</f>
        <v>22.88170716024085</v>
      </c>
      <c r="L60" s="69">
        <f t="shared" si="49"/>
        <v>1.906808930020071</v>
      </c>
      <c r="M60" s="92">
        <v>16.13</v>
      </c>
      <c r="N60" s="147">
        <f t="shared" si="50"/>
        <v>18.036808930020069</v>
      </c>
      <c r="O60" s="69"/>
      <c r="P60" s="69"/>
      <c r="Q60" s="69"/>
    </row>
    <row r="61" spans="1:19" s="61" customFormat="1">
      <c r="A61" s="191"/>
      <c r="B61" s="49">
        <v>22</v>
      </c>
      <c r="C61" s="107" t="s">
        <v>127</v>
      </c>
      <c r="D61" s="70"/>
      <c r="E61" s="71">
        <v>1</v>
      </c>
      <c r="F61" s="70">
        <v>52</v>
      </c>
      <c r="G61" s="141">
        <f>References!B29</f>
        <v>250</v>
      </c>
      <c r="H61" s="70">
        <f t="shared" ref="H61" si="51">F61*G61</f>
        <v>13000</v>
      </c>
      <c r="I61" s="48">
        <f t="shared" si="46"/>
        <v>16060.336377662998</v>
      </c>
      <c r="J61" s="69">
        <f>(References!$C$50*I61)</f>
        <v>57.897512641475117</v>
      </c>
      <c r="K61" s="69">
        <f>J61/References!$G$53</f>
        <v>59.018871194164241</v>
      </c>
      <c r="L61" s="69">
        <f t="shared" ref="L61" si="52">K61/F61*E61</f>
        <v>1.1349782921954661</v>
      </c>
      <c r="M61" s="92">
        <v>9.9</v>
      </c>
      <c r="N61" s="147">
        <f t="shared" ref="N61" si="53">L61+M61</f>
        <v>11.034978292195467</v>
      </c>
      <c r="O61" s="69"/>
      <c r="P61" s="69"/>
      <c r="Q61" s="69"/>
    </row>
    <row r="62" spans="1:19" s="61" customFormat="1">
      <c r="A62" s="191"/>
      <c r="B62" s="49"/>
      <c r="C62" s="107" t="s">
        <v>128</v>
      </c>
      <c r="D62" s="70">
        <v>0</v>
      </c>
      <c r="E62" s="71">
        <f>References!$B$8</f>
        <v>4.33</v>
      </c>
      <c r="F62" s="70">
        <v>1</v>
      </c>
      <c r="G62" s="70">
        <f>+References!B22</f>
        <v>47</v>
      </c>
      <c r="H62" s="70">
        <f t="shared" si="48"/>
        <v>47</v>
      </c>
      <c r="I62" s="48">
        <f t="shared" si="46"/>
        <v>58.064293057704688</v>
      </c>
      <c r="J62" s="69">
        <f>(References!$C$50*I62)</f>
        <v>0.20932177647302544</v>
      </c>
      <c r="K62" s="69">
        <f>J62/References!$G$53</f>
        <v>0.21337591893274765</v>
      </c>
      <c r="L62" s="69">
        <f t="shared" si="49"/>
        <v>0.92391772897879731</v>
      </c>
      <c r="M62" s="92">
        <v>1.95</v>
      </c>
      <c r="N62" s="147">
        <f t="shared" si="50"/>
        <v>2.8739177289787974</v>
      </c>
      <c r="O62" s="69"/>
      <c r="P62" s="69"/>
      <c r="Q62" s="69"/>
    </row>
    <row r="63" spans="1:19" s="61" customFormat="1">
      <c r="A63" s="191"/>
      <c r="B63" s="49">
        <v>23</v>
      </c>
      <c r="C63" s="107" t="s">
        <v>129</v>
      </c>
      <c r="D63" s="70">
        <v>0</v>
      </c>
      <c r="E63" s="71">
        <f>References!$B$8</f>
        <v>4.33</v>
      </c>
      <c r="F63" s="70">
        <v>1</v>
      </c>
      <c r="G63" s="70">
        <f>References!B23</f>
        <v>68</v>
      </c>
      <c r="H63" s="70">
        <f t="shared" si="48"/>
        <v>68</v>
      </c>
      <c r="I63" s="48">
        <f t="shared" si="46"/>
        <v>84.007913360083379</v>
      </c>
      <c r="J63" s="69">
        <f>(References!$C$50*I63)</f>
        <v>0.30284852766310061</v>
      </c>
      <c r="K63" s="69">
        <f>J63/References!$G$53</f>
        <v>0.30871409547716677</v>
      </c>
      <c r="L63" s="69">
        <f t="shared" si="49"/>
        <v>1.3367320334161321</v>
      </c>
      <c r="M63" s="92">
        <v>1.95</v>
      </c>
      <c r="N63" s="147">
        <f t="shared" si="50"/>
        <v>3.2867320334161318</v>
      </c>
      <c r="O63" s="69"/>
      <c r="P63" s="69"/>
      <c r="Q63" s="69"/>
    </row>
    <row r="64" spans="1:19" s="61" customFormat="1">
      <c r="A64" s="136"/>
      <c r="B64" s="49">
        <v>24</v>
      </c>
      <c r="C64" s="61" t="s">
        <v>158</v>
      </c>
      <c r="D64" s="70">
        <v>0</v>
      </c>
      <c r="E64" s="71">
        <f>References!B10</f>
        <v>1</v>
      </c>
      <c r="F64" s="70">
        <f>E64*12</f>
        <v>12</v>
      </c>
      <c r="G64" s="70">
        <f>References!B43</f>
        <v>125</v>
      </c>
      <c r="H64" s="70">
        <f>F64*G64</f>
        <v>1500</v>
      </c>
      <c r="I64" s="48">
        <f t="shared" si="46"/>
        <v>1853.1157358841922</v>
      </c>
      <c r="J64" s="69">
        <f>(References!$C$50*I64)</f>
        <v>6.6804822278625142</v>
      </c>
      <c r="K64" s="69">
        <f>J64/References!$G$53</f>
        <v>6.8098697531727979</v>
      </c>
      <c r="L64" s="69">
        <f>K64/F64*E64</f>
        <v>0.56748914609773315</v>
      </c>
      <c r="M64" s="92">
        <v>17.739999999999998</v>
      </c>
      <c r="N64" s="147">
        <f>L64+M64</f>
        <v>18.30748914609773</v>
      </c>
      <c r="O64" s="69"/>
      <c r="P64" s="69"/>
      <c r="Q64" s="69"/>
    </row>
    <row r="65" spans="1:17" s="61" customFormat="1">
      <c r="A65" s="136"/>
      <c r="B65" s="49"/>
      <c r="C65" s="110"/>
      <c r="D65" s="70"/>
      <c r="E65" s="71"/>
      <c r="F65" s="70"/>
      <c r="G65" s="70"/>
      <c r="H65" s="70"/>
      <c r="I65" s="48"/>
      <c r="J65" s="69"/>
      <c r="K65" s="69"/>
      <c r="L65" s="69"/>
      <c r="M65" s="92"/>
      <c r="N65" s="69"/>
      <c r="O65" s="69"/>
      <c r="P65" s="69"/>
      <c r="Q65" s="69"/>
    </row>
    <row r="66" spans="1:17" s="61" customFormat="1">
      <c r="A66" s="128"/>
      <c r="B66" s="129"/>
      <c r="C66" s="110"/>
      <c r="D66" s="130"/>
      <c r="E66" s="131"/>
      <c r="F66" s="132"/>
      <c r="G66" s="132"/>
      <c r="H66" s="132"/>
      <c r="I66" s="133"/>
      <c r="J66" s="134"/>
      <c r="K66" s="134"/>
      <c r="L66" s="134"/>
      <c r="M66" s="135"/>
      <c r="N66" s="134"/>
      <c r="O66" s="69"/>
      <c r="P66" s="69"/>
      <c r="Q66" s="69"/>
    </row>
    <row r="67" spans="1:17" s="61" customFormat="1">
      <c r="A67" s="192" t="s">
        <v>14</v>
      </c>
      <c r="B67" s="49">
        <v>24</v>
      </c>
      <c r="C67" s="107" t="s">
        <v>107</v>
      </c>
      <c r="D67" s="58">
        <v>0</v>
      </c>
      <c r="E67" s="71">
        <f>References!$B$10</f>
        <v>1</v>
      </c>
      <c r="F67" s="70">
        <f>E67*12</f>
        <v>12</v>
      </c>
      <c r="G67" s="70">
        <f>References!B43</f>
        <v>125</v>
      </c>
      <c r="H67" s="70">
        <f>F67*G67</f>
        <v>1500</v>
      </c>
      <c r="I67" s="48">
        <f t="shared" ref="I67:I77" si="54">$D$93*H67</f>
        <v>1853.1157358841922</v>
      </c>
      <c r="J67" s="69">
        <f>(References!$C$50*I67)</f>
        <v>6.6804822278625142</v>
      </c>
      <c r="K67" s="69">
        <f>J67/References!$G$53</f>
        <v>6.8098697531727979</v>
      </c>
      <c r="L67" s="69">
        <f>K67/F67</f>
        <v>0.56748914609773315</v>
      </c>
      <c r="M67" s="69">
        <v>17.86</v>
      </c>
      <c r="N67" s="147">
        <f>L67+M67</f>
        <v>18.427489146097734</v>
      </c>
      <c r="O67" s="69"/>
      <c r="P67" s="69"/>
      <c r="Q67" s="69"/>
    </row>
    <row r="68" spans="1:17" s="61" customFormat="1">
      <c r="A68" s="191"/>
      <c r="B68" s="49">
        <v>24</v>
      </c>
      <c r="C68" s="107" t="s">
        <v>108</v>
      </c>
      <c r="D68" s="58">
        <v>0</v>
      </c>
      <c r="E68" s="71">
        <f>References!$B$10</f>
        <v>1</v>
      </c>
      <c r="F68" s="70">
        <f>E68*12</f>
        <v>12</v>
      </c>
      <c r="G68" s="70">
        <f>References!B43</f>
        <v>125</v>
      </c>
      <c r="H68" s="70">
        <f>F68*G68</f>
        <v>1500</v>
      </c>
      <c r="I68" s="48">
        <f t="shared" si="54"/>
        <v>1853.1157358841922</v>
      </c>
      <c r="J68" s="69">
        <f>(References!$C$50*I68)</f>
        <v>6.6804822278625142</v>
      </c>
      <c r="K68" s="69">
        <f>J68/References!$G$53</f>
        <v>6.8098697531727979</v>
      </c>
      <c r="L68" s="69">
        <f>K68/F68</f>
        <v>0.56748914609773315</v>
      </c>
      <c r="M68" s="69">
        <v>17.86</v>
      </c>
      <c r="N68" s="147">
        <f>L68+M68</f>
        <v>18.427489146097734</v>
      </c>
      <c r="O68" s="69"/>
      <c r="P68" s="69"/>
      <c r="Q68" s="69"/>
    </row>
    <row r="69" spans="1:17" s="61" customFormat="1">
      <c r="A69" s="191"/>
      <c r="B69" s="49">
        <v>24</v>
      </c>
      <c r="C69" s="107" t="s">
        <v>109</v>
      </c>
      <c r="D69" s="58">
        <v>0</v>
      </c>
      <c r="E69" s="71">
        <f>References!$B$10</f>
        <v>1</v>
      </c>
      <c r="F69" s="70">
        <f>E69*12</f>
        <v>12</v>
      </c>
      <c r="G69" s="70">
        <f>References!B43</f>
        <v>125</v>
      </c>
      <c r="H69" s="70">
        <f>F69*G69</f>
        <v>1500</v>
      </c>
      <c r="I69" s="48">
        <f t="shared" si="54"/>
        <v>1853.1157358841922</v>
      </c>
      <c r="J69" s="69">
        <f>(References!$C$50*I69)</f>
        <v>6.6804822278625142</v>
      </c>
      <c r="K69" s="69">
        <f>J69/References!$G$53</f>
        <v>6.8098697531727979</v>
      </c>
      <c r="L69" s="69">
        <f>K69/F69</f>
        <v>0.56748914609773315</v>
      </c>
      <c r="M69" s="69">
        <v>17.86</v>
      </c>
      <c r="N69" s="147">
        <f>L69+M69</f>
        <v>18.427489146097734</v>
      </c>
      <c r="O69" s="69"/>
      <c r="P69" s="69"/>
      <c r="Q69" s="69"/>
    </row>
    <row r="70" spans="1:17" s="61" customFormat="1">
      <c r="A70" s="191"/>
      <c r="B70" s="49">
        <v>32</v>
      </c>
      <c r="C70" s="123" t="s">
        <v>111</v>
      </c>
      <c r="D70" s="58">
        <v>0</v>
      </c>
      <c r="E70" s="71">
        <f>References!$B$10</f>
        <v>1</v>
      </c>
      <c r="F70" s="70">
        <f t="shared" ref="F70" si="55">E70*12</f>
        <v>12</v>
      </c>
      <c r="G70" s="70">
        <f>+References!B28</f>
        <v>175</v>
      </c>
      <c r="H70" s="109">
        <f t="shared" ref="H70" si="56">F70*G70</f>
        <v>2100</v>
      </c>
      <c r="I70" s="48">
        <f t="shared" si="54"/>
        <v>2594.362030237869</v>
      </c>
      <c r="J70" s="69">
        <f>(References!$C$50*I70)</f>
        <v>9.3526751190075199</v>
      </c>
      <c r="K70" s="69">
        <f>J70/References!$G$53</f>
        <v>9.5338176544419166</v>
      </c>
      <c r="L70" s="69">
        <f t="shared" ref="L70" si="57">K70/F70</f>
        <v>0.79448480453682635</v>
      </c>
      <c r="M70" s="69">
        <v>12.62</v>
      </c>
      <c r="N70" s="147">
        <f t="shared" ref="N70" si="58">L70+M70</f>
        <v>13.414484804536826</v>
      </c>
      <c r="O70" s="69"/>
      <c r="P70" s="69"/>
      <c r="Q70" s="69"/>
    </row>
    <row r="71" spans="1:17" s="61" customFormat="1">
      <c r="A71" s="191"/>
      <c r="B71" s="49">
        <v>32</v>
      </c>
      <c r="C71" s="146" t="s">
        <v>113</v>
      </c>
      <c r="D71" s="58">
        <v>0</v>
      </c>
      <c r="E71" s="71">
        <f>References!$B$10</f>
        <v>1</v>
      </c>
      <c r="F71" s="70">
        <f t="shared" ref="F71:F74" si="59">E71*12</f>
        <v>12</v>
      </c>
      <c r="G71" s="70">
        <f>References!B29</f>
        <v>250</v>
      </c>
      <c r="H71" s="109">
        <f t="shared" ref="H71:H74" si="60">F71*G71</f>
        <v>3000</v>
      </c>
      <c r="I71" s="48">
        <f t="shared" si="54"/>
        <v>3706.2314717683844</v>
      </c>
      <c r="J71" s="69">
        <f>(References!$C$50*I71)</f>
        <v>13.360964455725028</v>
      </c>
      <c r="K71" s="69">
        <f>J71/References!$G$53</f>
        <v>13.619739506345596</v>
      </c>
      <c r="L71" s="69">
        <f t="shared" ref="L71:L74" si="61">K71/F71</f>
        <v>1.1349782921954663</v>
      </c>
      <c r="M71" s="69">
        <v>14.94</v>
      </c>
      <c r="N71" s="147">
        <f t="shared" ref="N71:N74" si="62">L71+M71</f>
        <v>16.074978292195468</v>
      </c>
      <c r="O71" s="69"/>
      <c r="P71" s="69"/>
      <c r="Q71" s="69"/>
    </row>
    <row r="72" spans="1:17" s="61" customFormat="1">
      <c r="A72" s="191"/>
      <c r="B72" s="49">
        <v>32</v>
      </c>
      <c r="C72" s="46" t="s">
        <v>115</v>
      </c>
      <c r="D72" s="58">
        <v>0</v>
      </c>
      <c r="E72" s="71">
        <f>References!$B$10</f>
        <v>1</v>
      </c>
      <c r="F72" s="70">
        <f t="shared" si="59"/>
        <v>12</v>
      </c>
      <c r="G72" s="70">
        <f>References!B30</f>
        <v>324</v>
      </c>
      <c r="H72" s="109">
        <f t="shared" si="60"/>
        <v>3888</v>
      </c>
      <c r="I72" s="48">
        <f t="shared" si="54"/>
        <v>4803.2759874118256</v>
      </c>
      <c r="J72" s="69">
        <f>(References!$C$50*I72)</f>
        <v>17.315809934619633</v>
      </c>
      <c r="K72" s="69">
        <f>J72/References!$G$53</f>
        <v>17.651182400223888</v>
      </c>
      <c r="L72" s="69">
        <f t="shared" si="61"/>
        <v>1.4709318666853239</v>
      </c>
      <c r="M72" s="69">
        <v>17.25</v>
      </c>
      <c r="N72" s="147">
        <f t="shared" si="62"/>
        <v>18.720931866685323</v>
      </c>
      <c r="O72" s="69"/>
      <c r="P72" s="69"/>
      <c r="Q72" s="69"/>
    </row>
    <row r="73" spans="1:17" s="61" customFormat="1">
      <c r="A73" s="191"/>
      <c r="B73" s="49">
        <v>32</v>
      </c>
      <c r="C73" s="46" t="s">
        <v>116</v>
      </c>
      <c r="D73" s="58">
        <v>0</v>
      </c>
      <c r="E73" s="71">
        <f>References!$B$10</f>
        <v>1</v>
      </c>
      <c r="F73" s="70">
        <f t="shared" si="59"/>
        <v>12</v>
      </c>
      <c r="G73" s="70">
        <f>References!B30</f>
        <v>324</v>
      </c>
      <c r="H73" s="109">
        <f t="shared" si="60"/>
        <v>3888</v>
      </c>
      <c r="I73" s="48">
        <f t="shared" si="54"/>
        <v>4803.2759874118256</v>
      </c>
      <c r="J73" s="69">
        <f>(References!$C$50*I73)</f>
        <v>17.315809934619633</v>
      </c>
      <c r="K73" s="69">
        <f>J73/References!$G$53</f>
        <v>17.651182400223888</v>
      </c>
      <c r="L73" s="69">
        <f t="shared" si="61"/>
        <v>1.4709318666853239</v>
      </c>
      <c r="M73" s="69">
        <v>17.25</v>
      </c>
      <c r="N73" s="147">
        <f t="shared" si="62"/>
        <v>18.720931866685323</v>
      </c>
      <c r="O73" s="69"/>
      <c r="P73" s="69"/>
      <c r="Q73" s="69"/>
    </row>
    <row r="74" spans="1:17" s="61" customFormat="1">
      <c r="A74" s="191"/>
      <c r="B74" s="49">
        <v>32</v>
      </c>
      <c r="C74" s="146" t="s">
        <v>167</v>
      </c>
      <c r="D74" s="58">
        <v>0</v>
      </c>
      <c r="E74" s="71">
        <f>References!$B$10</f>
        <v>1</v>
      </c>
      <c r="F74" s="70">
        <f t="shared" si="59"/>
        <v>12</v>
      </c>
      <c r="G74" s="70">
        <f>References!B31</f>
        <v>473</v>
      </c>
      <c r="H74" s="109">
        <f t="shared" si="60"/>
        <v>5676</v>
      </c>
      <c r="I74" s="48">
        <f t="shared" si="54"/>
        <v>7012.1899445857825</v>
      </c>
      <c r="J74" s="69">
        <f>(References!$C$50*I74)</f>
        <v>25.278944750231751</v>
      </c>
      <c r="K74" s="69">
        <f>J74/References!$G$53</f>
        <v>25.768547146005865</v>
      </c>
      <c r="L74" s="69">
        <f t="shared" si="61"/>
        <v>2.1473789288338221</v>
      </c>
      <c r="M74" s="69">
        <v>28.28</v>
      </c>
      <c r="N74" s="147">
        <f t="shared" si="62"/>
        <v>30.427378928833825</v>
      </c>
      <c r="O74" s="69"/>
      <c r="P74" s="69"/>
      <c r="Q74" s="69"/>
    </row>
    <row r="75" spans="1:17" s="61" customFormat="1">
      <c r="A75" s="191"/>
      <c r="B75" s="49">
        <v>32</v>
      </c>
      <c r="C75" s="146" t="s">
        <v>118</v>
      </c>
      <c r="D75" s="58">
        <v>0</v>
      </c>
      <c r="E75" s="71">
        <f>References!$B$10</f>
        <v>1</v>
      </c>
      <c r="F75" s="70">
        <f t="shared" ref="F75" si="63">E75*12</f>
        <v>12</v>
      </c>
      <c r="G75" s="70">
        <f>References!B31</f>
        <v>473</v>
      </c>
      <c r="H75" s="109">
        <f t="shared" ref="H75" si="64">F75*G75</f>
        <v>5676</v>
      </c>
      <c r="I75" s="48">
        <f t="shared" si="54"/>
        <v>7012.1899445857825</v>
      </c>
      <c r="J75" s="69">
        <f>(References!$C$50*I75)</f>
        <v>25.278944750231751</v>
      </c>
      <c r="K75" s="69">
        <f>J75/References!$G$53</f>
        <v>25.768547146005865</v>
      </c>
      <c r="L75" s="69">
        <f t="shared" ref="L75" si="65">K75/F75</f>
        <v>2.1473789288338221</v>
      </c>
      <c r="M75" s="69">
        <v>28.28</v>
      </c>
      <c r="N75" s="147">
        <f t="shared" ref="N75" si="66">L75+M75</f>
        <v>30.427378928833825</v>
      </c>
      <c r="O75" s="69"/>
      <c r="P75" s="69"/>
      <c r="Q75" s="69"/>
    </row>
    <row r="76" spans="1:17" s="61" customFormat="1">
      <c r="A76" s="191"/>
      <c r="B76" s="49">
        <v>32</v>
      </c>
      <c r="C76" s="146" t="s">
        <v>168</v>
      </c>
      <c r="D76" s="58">
        <v>0</v>
      </c>
      <c r="E76" s="71">
        <f>References!$B$10</f>
        <v>1</v>
      </c>
      <c r="F76" s="70">
        <f>E76*12</f>
        <v>12</v>
      </c>
      <c r="G76" s="70">
        <f>References!B32</f>
        <v>613</v>
      </c>
      <c r="H76" s="109">
        <f>F76*G76</f>
        <v>7356</v>
      </c>
      <c r="I76" s="48">
        <f t="shared" si="54"/>
        <v>9087.6795687760787</v>
      </c>
      <c r="J76" s="69">
        <f>(References!$C$50*I76)</f>
        <v>32.761084845437772</v>
      </c>
      <c r="K76" s="69">
        <f>J76/References!$G$53</f>
        <v>33.3956012695594</v>
      </c>
      <c r="L76" s="69">
        <f>K76/F76</f>
        <v>2.7829667724632832</v>
      </c>
      <c r="M76" s="69">
        <v>40.479999999999997</v>
      </c>
      <c r="N76" s="147">
        <f>L76+M76</f>
        <v>43.26296677246328</v>
      </c>
      <c r="O76" s="69"/>
      <c r="P76" s="69"/>
      <c r="Q76" s="69"/>
    </row>
    <row r="77" spans="1:17" s="61" customFormat="1">
      <c r="A77" s="191"/>
      <c r="B77" s="49">
        <v>32</v>
      </c>
      <c r="C77" s="146" t="s">
        <v>120</v>
      </c>
      <c r="D77" s="58">
        <v>0</v>
      </c>
      <c r="E77" s="71">
        <f>References!$B$10</f>
        <v>1</v>
      </c>
      <c r="F77" s="70">
        <f>E77*12</f>
        <v>12</v>
      </c>
      <c r="G77" s="70">
        <f>References!B32</f>
        <v>613</v>
      </c>
      <c r="H77" s="109">
        <f>F77*G77</f>
        <v>7356</v>
      </c>
      <c r="I77" s="48">
        <f t="shared" si="54"/>
        <v>9087.6795687760787</v>
      </c>
      <c r="J77" s="69">
        <f>(References!$C$50*I77)</f>
        <v>32.761084845437772</v>
      </c>
      <c r="K77" s="69">
        <f>J77/References!$G$53</f>
        <v>33.3956012695594</v>
      </c>
      <c r="L77" s="69">
        <f>K77/F77</f>
        <v>2.7829667724632832</v>
      </c>
      <c r="M77" s="69">
        <v>40.479999999999997</v>
      </c>
      <c r="N77" s="147">
        <f>L77+M77</f>
        <v>43.26296677246328</v>
      </c>
      <c r="O77" s="69"/>
      <c r="P77" s="69"/>
      <c r="Q77" s="69"/>
    </row>
    <row r="78" spans="1:17" s="61" customFormat="1">
      <c r="A78" s="191"/>
      <c r="B78" s="49">
        <v>23</v>
      </c>
      <c r="C78" s="146" t="s">
        <v>131</v>
      </c>
      <c r="D78" s="58">
        <v>0</v>
      </c>
      <c r="E78" s="71">
        <f>References!$B$10</f>
        <v>1</v>
      </c>
      <c r="F78" s="70">
        <f t="shared" ref="F78:F79" si="67">E78*12</f>
        <v>12</v>
      </c>
      <c r="G78" s="70">
        <f>References!B33</f>
        <v>840</v>
      </c>
      <c r="H78" s="70">
        <f t="shared" ref="H78:H79" si="68">F78*G78</f>
        <v>10080</v>
      </c>
      <c r="I78" s="48">
        <f t="shared" ref="I78:I79" si="69">$D$93*H78</f>
        <v>12452.937745141771</v>
      </c>
      <c r="J78" s="69">
        <f>(References!$C$50*I78)</f>
        <v>44.892840571236093</v>
      </c>
      <c r="K78" s="69">
        <f>J78/References!$G$53</f>
        <v>45.762324741321194</v>
      </c>
      <c r="L78" s="69">
        <f t="shared" ref="L78:L79" si="70">K78/F78</f>
        <v>3.813527061776766</v>
      </c>
      <c r="M78" s="69">
        <v>51.46</v>
      </c>
      <c r="N78" s="147">
        <f t="shared" ref="N78:N79" si="71">L78+M78</f>
        <v>55.273527061776768</v>
      </c>
      <c r="O78" s="69"/>
      <c r="P78" s="69"/>
      <c r="Q78" s="69"/>
    </row>
    <row r="79" spans="1:17" s="61" customFormat="1">
      <c r="A79" s="191"/>
      <c r="B79" s="49">
        <v>32</v>
      </c>
      <c r="C79" s="146" t="s">
        <v>133</v>
      </c>
      <c r="D79" s="58">
        <v>0</v>
      </c>
      <c r="E79" s="71">
        <f>References!$B$10</f>
        <v>1</v>
      </c>
      <c r="F79" s="70">
        <f t="shared" si="67"/>
        <v>12</v>
      </c>
      <c r="G79" s="70">
        <f>References!B33</f>
        <v>840</v>
      </c>
      <c r="H79" s="70">
        <f t="shared" si="68"/>
        <v>10080</v>
      </c>
      <c r="I79" s="48">
        <f t="shared" si="69"/>
        <v>12452.937745141771</v>
      </c>
      <c r="J79" s="69">
        <f>(References!$C$50*I79)</f>
        <v>44.892840571236093</v>
      </c>
      <c r="K79" s="69">
        <f>J79/References!$G$53</f>
        <v>45.762324741321194</v>
      </c>
      <c r="L79" s="69">
        <f t="shared" si="70"/>
        <v>3.813527061776766</v>
      </c>
      <c r="M79" s="69">
        <v>51.46</v>
      </c>
      <c r="N79" s="147">
        <f t="shared" si="71"/>
        <v>55.273527061776768</v>
      </c>
      <c r="O79" s="69"/>
      <c r="P79" s="69"/>
      <c r="Q79" s="69"/>
    </row>
    <row r="80" spans="1:17" s="61" customFormat="1">
      <c r="A80" s="191"/>
      <c r="B80" s="49">
        <v>32</v>
      </c>
      <c r="C80" s="146" t="s">
        <v>134</v>
      </c>
      <c r="D80" s="58">
        <v>0</v>
      </c>
      <c r="E80" s="71">
        <f>References!$B$10</f>
        <v>1</v>
      </c>
      <c r="F80" s="70">
        <f>E80*12</f>
        <v>12</v>
      </c>
      <c r="G80" s="70">
        <f>References!B34</f>
        <v>980</v>
      </c>
      <c r="H80" s="109">
        <f>F80*G80</f>
        <v>11760</v>
      </c>
      <c r="I80" s="48">
        <f>$D$93*H80</f>
        <v>14528.427369332067</v>
      </c>
      <c r="J80" s="69">
        <f>(References!$C$50*I80)</f>
        <v>52.374980666442106</v>
      </c>
      <c r="K80" s="69">
        <f>J80/References!$G$53</f>
        <v>53.389378864874729</v>
      </c>
      <c r="L80" s="69">
        <f>K80/F80</f>
        <v>4.4491149054062271</v>
      </c>
      <c r="M80" s="69">
        <v>64.27</v>
      </c>
      <c r="N80" s="147">
        <f>L80+M80</f>
        <v>68.719114905406229</v>
      </c>
      <c r="O80" s="69"/>
      <c r="P80" s="69"/>
      <c r="Q80" s="69"/>
    </row>
    <row r="81" spans="1:17" s="61" customFormat="1">
      <c r="A81" s="148"/>
      <c r="B81" s="49">
        <v>32</v>
      </c>
      <c r="C81" s="146" t="s">
        <v>169</v>
      </c>
      <c r="D81" s="58">
        <v>0</v>
      </c>
      <c r="E81" s="71">
        <f>References!$B$10</f>
        <v>1</v>
      </c>
      <c r="F81" s="70">
        <f>E81*12</f>
        <v>12</v>
      </c>
      <c r="G81" s="70">
        <f>References!B34</f>
        <v>980</v>
      </c>
      <c r="H81" s="109">
        <f>F81*G81</f>
        <v>11760</v>
      </c>
      <c r="I81" s="48">
        <f>$D$93*H81</f>
        <v>14528.427369332067</v>
      </c>
      <c r="J81" s="69">
        <f>(References!$C$50*I81)</f>
        <v>52.374980666442106</v>
      </c>
      <c r="K81" s="69">
        <f>J81/References!$G$53</f>
        <v>53.389378864874729</v>
      </c>
      <c r="L81" s="69">
        <f>K81/F81</f>
        <v>4.4491149054062271</v>
      </c>
      <c r="M81" s="69">
        <v>64.27</v>
      </c>
      <c r="N81" s="147">
        <f>L81+M81</f>
        <v>68.719114905406229</v>
      </c>
      <c r="O81" s="69"/>
      <c r="P81" s="69"/>
      <c r="Q81" s="69"/>
    </row>
    <row r="82" spans="1:17" s="61" customFormat="1">
      <c r="A82" s="136"/>
      <c r="B82" s="49"/>
      <c r="C82" s="127"/>
      <c r="D82" s="58"/>
      <c r="E82" s="71"/>
      <c r="F82" s="70"/>
      <c r="G82" s="70"/>
      <c r="H82" s="109"/>
      <c r="I82" s="48"/>
      <c r="J82" s="69"/>
      <c r="K82" s="69"/>
      <c r="L82" s="69"/>
      <c r="M82" s="69"/>
      <c r="N82" s="69"/>
      <c r="O82" s="69"/>
      <c r="P82" s="69"/>
      <c r="Q82" s="69"/>
    </row>
    <row r="83" spans="1:17" s="61" customFormat="1">
      <c r="A83" s="136"/>
      <c r="B83" s="49"/>
      <c r="C83" s="127"/>
      <c r="D83" s="58"/>
      <c r="E83" s="71"/>
      <c r="F83" s="70"/>
      <c r="G83" s="70"/>
      <c r="H83" s="109"/>
      <c r="I83" s="48"/>
      <c r="J83" s="69"/>
      <c r="K83" s="69"/>
      <c r="L83" s="69"/>
      <c r="M83" s="69"/>
      <c r="N83" s="69"/>
      <c r="O83" s="69"/>
      <c r="P83" s="69"/>
      <c r="Q83" s="69"/>
    </row>
    <row r="84" spans="1:17" s="61" customFormat="1">
      <c r="A84" s="115"/>
      <c r="B84" s="108"/>
      <c r="C84" s="110"/>
      <c r="D84" s="14"/>
      <c r="E84" s="105"/>
      <c r="F84" s="82"/>
      <c r="G84" s="82"/>
      <c r="H84" s="82"/>
      <c r="I84" s="106"/>
      <c r="J84" s="91"/>
      <c r="K84" s="91"/>
      <c r="L84" s="91"/>
      <c r="M84" s="91"/>
      <c r="N84" s="91"/>
      <c r="O84" s="69"/>
      <c r="P84" s="69"/>
      <c r="Q84" s="69"/>
    </row>
    <row r="85" spans="1:17">
      <c r="A85" s="64"/>
      <c r="C85" s="87"/>
      <c r="D85" s="40"/>
      <c r="E85" s="33"/>
      <c r="F85" s="58"/>
      <c r="G85" s="70"/>
      <c r="H85" s="58"/>
      <c r="J85" s="69"/>
      <c r="K85" s="92"/>
      <c r="L85" s="92"/>
      <c r="M85" s="92"/>
      <c r="N85" s="92"/>
      <c r="P85" s="62"/>
    </row>
    <row r="86" spans="1:17">
      <c r="A86" s="64"/>
      <c r="C86" s="67"/>
      <c r="P86" s="62"/>
    </row>
    <row r="87" spans="1:17">
      <c r="A87" s="64"/>
      <c r="C87" s="67"/>
      <c r="P87" s="62"/>
    </row>
    <row r="88" spans="1:17">
      <c r="A88" s="64"/>
      <c r="C88" s="190" t="s">
        <v>86</v>
      </c>
      <c r="D88" s="190"/>
      <c r="E88" s="86"/>
      <c r="F88" s="86"/>
      <c r="H88" s="90" t="s">
        <v>94</v>
      </c>
    </row>
    <row r="89" spans="1:17">
      <c r="A89" s="64"/>
      <c r="D89" s="56" t="s">
        <v>16</v>
      </c>
      <c r="E89" s="39"/>
      <c r="F89" s="39"/>
      <c r="H89" s="88" t="s">
        <v>103</v>
      </c>
      <c r="J89" s="43"/>
      <c r="O89" s="60"/>
    </row>
    <row r="90" spans="1:17">
      <c r="A90" s="64"/>
      <c r="C90" s="59" t="s">
        <v>32</v>
      </c>
      <c r="D90" s="68">
        <v>9923</v>
      </c>
      <c r="E90" s="58"/>
      <c r="F90" s="58"/>
      <c r="G90" s="47"/>
      <c r="H90" s="89" t="s">
        <v>95</v>
      </c>
      <c r="J90" s="43"/>
      <c r="O90" s="60"/>
    </row>
    <row r="91" spans="1:17">
      <c r="A91" s="64"/>
      <c r="C91" s="59" t="s">
        <v>33</v>
      </c>
      <c r="D91" s="38">
        <f>D90*2000</f>
        <v>19846000</v>
      </c>
      <c r="E91" s="38"/>
      <c r="F91" s="38"/>
      <c r="G91" s="38"/>
      <c r="H91" s="113" t="s">
        <v>97</v>
      </c>
      <c r="J91" s="43"/>
    </row>
    <row r="92" spans="1:17">
      <c r="A92" s="64"/>
      <c r="C92" s="59" t="s">
        <v>4</v>
      </c>
      <c r="D92" s="38">
        <f>F9+F51</f>
        <v>227242.76</v>
      </c>
      <c r="E92" s="58"/>
      <c r="F92" s="58"/>
      <c r="G92" s="58"/>
      <c r="H92" s="114" t="s">
        <v>98</v>
      </c>
      <c r="J92" s="43"/>
      <c r="O92" s="60"/>
    </row>
    <row r="93" spans="1:17">
      <c r="C93" s="44" t="s">
        <v>11</v>
      </c>
      <c r="D93" s="37">
        <f>D91/$H$52</f>
        <v>1.2354104905894614</v>
      </c>
      <c r="E93" s="37"/>
      <c r="F93" s="37"/>
      <c r="G93" s="37"/>
      <c r="H93" s="32"/>
      <c r="J93" s="43"/>
      <c r="M93" s="42"/>
      <c r="N93" s="42"/>
      <c r="O93" s="41"/>
    </row>
    <row r="94" spans="1:17">
      <c r="G94" s="46"/>
      <c r="H94" s="34"/>
      <c r="J94" s="43"/>
      <c r="M94" s="45"/>
      <c r="N94" s="31"/>
      <c r="O94" s="62"/>
    </row>
    <row r="95" spans="1:17">
      <c r="D95" s="36"/>
      <c r="E95" s="35"/>
      <c r="G95" s="46"/>
      <c r="H95" s="34"/>
      <c r="J95" s="43"/>
      <c r="M95" s="45"/>
      <c r="N95" s="31"/>
      <c r="O95" s="62"/>
    </row>
    <row r="96" spans="1:17">
      <c r="D96" s="36"/>
      <c r="E96" s="35"/>
      <c r="G96" s="46"/>
      <c r="H96" s="34"/>
      <c r="J96" s="43"/>
      <c r="M96" s="45"/>
      <c r="N96" s="31"/>
      <c r="O96" s="62"/>
    </row>
    <row r="97" spans="4:9">
      <c r="D97" s="59"/>
      <c r="I97" s="59"/>
    </row>
    <row r="98" spans="4:9">
      <c r="D98" s="59"/>
      <c r="E98" s="43"/>
      <c r="I98" s="59"/>
    </row>
    <row r="99" spans="4:9">
      <c r="D99" s="59"/>
      <c r="I99" s="59"/>
    </row>
    <row r="100" spans="4:9">
      <c r="D100" s="59"/>
      <c r="I100" s="59"/>
    </row>
    <row r="101" spans="4:9">
      <c r="D101" s="59"/>
    </row>
  </sheetData>
  <mergeCells count="5">
    <mergeCell ref="C88:D88"/>
    <mergeCell ref="A56:A63"/>
    <mergeCell ref="A3:A8"/>
    <mergeCell ref="A10:A50"/>
    <mergeCell ref="A67:A80"/>
  </mergeCells>
  <phoneticPr fontId="0" type="noConversion"/>
  <pageMargins left="0" right="0" top="0.63" bottom="0.34" header="0.19" footer="0.17"/>
  <pageSetup paperSize="3" scale="78" fitToHeight="0" orientation="landscape" r:id="rId1"/>
  <headerFooter>
    <oddFooter>&amp;L&amp;Z&amp;F&amp;C  [Date]&amp;R&amp;P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H11" sqref="H11"/>
    </sheetView>
  </sheetViews>
  <sheetFormatPr defaultRowHeight="15"/>
  <cols>
    <col min="1" max="1" width="15.42578125" bestFit="1" customWidth="1"/>
    <col min="6" max="6" width="12.5703125" bestFit="1" customWidth="1"/>
    <col min="7" max="7" width="1.7109375" customWidth="1"/>
    <col min="8" max="8" width="12.5703125" bestFit="1" customWidth="1"/>
    <col min="9" max="9" width="1.7109375" customWidth="1"/>
    <col min="11" max="11" width="1.7109375" customWidth="1"/>
    <col min="12" max="12" width="11.7109375" customWidth="1"/>
  </cols>
  <sheetData>
    <row r="1" spans="1:12" ht="18.75">
      <c r="A1" s="171" t="str">
        <f>+Calculations!A1</f>
        <v>Ed's Disposal, Inc. G-110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8.75">
      <c r="A2" s="171" t="s">
        <v>135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8.75">
      <c r="A3" s="172">
        <v>42767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8.75">
      <c r="A4" s="171" t="s">
        <v>136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6" spans="1:12">
      <c r="F6" s="173" t="s">
        <v>138</v>
      </c>
      <c r="G6" s="173"/>
      <c r="H6" s="173" t="s">
        <v>140</v>
      </c>
      <c r="I6" s="173"/>
      <c r="J6" s="173" t="s">
        <v>9</v>
      </c>
      <c r="L6" s="173" t="s">
        <v>9</v>
      </c>
    </row>
    <row r="7" spans="1:12">
      <c r="F7" s="173" t="s">
        <v>139</v>
      </c>
      <c r="G7" s="173"/>
      <c r="H7" s="173" t="s">
        <v>139</v>
      </c>
      <c r="I7" s="173"/>
      <c r="J7" s="173" t="s">
        <v>144</v>
      </c>
      <c r="L7" s="173" t="s">
        <v>143</v>
      </c>
    </row>
    <row r="8" spans="1:12">
      <c r="A8" t="s">
        <v>137</v>
      </c>
      <c r="F8" s="161">
        <f>+Calculations!O9</f>
        <v>693571.20000000007</v>
      </c>
      <c r="H8" s="161">
        <f>+Calculations!P9</f>
        <v>761149.9547146504</v>
      </c>
      <c r="J8" s="161">
        <f>+H8-F8</f>
        <v>67578.754714650335</v>
      </c>
      <c r="L8" s="168">
        <f>+H8/F8-1</f>
        <v>9.7435929742541783E-2</v>
      </c>
    </row>
    <row r="9" spans="1:12">
      <c r="A9" t="s">
        <v>141</v>
      </c>
      <c r="F9" s="161">
        <f>+Calculations!O51</f>
        <v>71735.542000000001</v>
      </c>
      <c r="H9" s="161">
        <f>+Calculations!P51</f>
        <v>77391.0716392951</v>
      </c>
      <c r="J9" s="161">
        <f t="shared" ref="J9:J10" si="0">+H9-F9</f>
        <v>5655.5296392950986</v>
      </c>
      <c r="L9" s="168">
        <f t="shared" ref="L9:L11" si="1">+H9/F9-1</f>
        <v>7.8838599132562415E-2</v>
      </c>
    </row>
    <row r="10" spans="1:12">
      <c r="A10" t="s">
        <v>170</v>
      </c>
      <c r="F10" s="169">
        <f>3657*D20</f>
        <v>142769.28</v>
      </c>
      <c r="G10" s="161"/>
      <c r="H10" s="169">
        <f>3657*D21</f>
        <v>169136.25</v>
      </c>
      <c r="J10" s="169">
        <f t="shared" si="0"/>
        <v>26366.97</v>
      </c>
      <c r="L10" s="170">
        <f t="shared" si="1"/>
        <v>0.18468237704918034</v>
      </c>
    </row>
    <row r="11" spans="1:12">
      <c r="F11" s="161">
        <f t="shared" ref="F11:J11" si="2">SUM(F8:F10)</f>
        <v>908076.02200000011</v>
      </c>
      <c r="G11" s="161"/>
      <c r="H11" s="161">
        <f t="shared" si="2"/>
        <v>1007677.2763539455</v>
      </c>
      <c r="I11" s="161"/>
      <c r="J11" s="161">
        <f t="shared" si="2"/>
        <v>99601.254353945435</v>
      </c>
      <c r="L11" s="168">
        <f t="shared" si="1"/>
        <v>0.10968382816074995</v>
      </c>
    </row>
    <row r="17" spans="1:4">
      <c r="A17" t="s">
        <v>142</v>
      </c>
    </row>
    <row r="19" spans="1:4">
      <c r="A19" s="162" t="s">
        <v>126</v>
      </c>
      <c r="D19" s="163" t="s">
        <v>5</v>
      </c>
    </row>
    <row r="20" spans="1:4">
      <c r="A20" s="164" t="s">
        <v>7</v>
      </c>
      <c r="D20" s="165">
        <v>39.04</v>
      </c>
    </row>
    <row r="21" spans="1:4">
      <c r="A21" s="164" t="s">
        <v>8</v>
      </c>
      <c r="D21" s="166">
        <v>46.25</v>
      </c>
    </row>
    <row r="22" spans="1:4">
      <c r="A22" s="167" t="s">
        <v>9</v>
      </c>
      <c r="D22" s="165">
        <f>D21-D20</f>
        <v>7.2100000000000009</v>
      </c>
    </row>
  </sheetData>
  <pageMargins left="0.2" right="0.2" top="0.75" bottom="0.75" header="0.3" footer="0.3"/>
  <pageSetup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2016-12-16T08:00:00+00:00</OpenedDate>
    <Date1 xmlns="dc463f71-b30c-4ab2-9473-d307f9d35888">2016-12-16T08:00:00+00:00</Date1>
    <IsDocumentOrder xmlns="dc463f71-b30c-4ab2-9473-d307f9d35888" xsi:nil="true"/>
    <IsHighlyConfidential xmlns="dc463f71-b30c-4ab2-9473-d307f9d35888">false</IsHighlyConfidential>
    <CaseCompanyNames xmlns="dc463f71-b30c-4ab2-9473-d307f9d35888">ED'S DISPOSAL, INC.</CaseCompanyNames>
    <DocketNumber xmlns="dc463f71-b30c-4ab2-9473-d307f9d35888">161292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A54868C1BBF04E9C44D70393ADDFBD" ma:contentTypeVersion="96" ma:contentTypeDescription="" ma:contentTypeScope="" ma:versionID="54e8c81d812625fc341044b4c92bec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63891-0074-4332-BF61-A5C5FEFB8201}"/>
</file>

<file path=customXml/itemProps2.xml><?xml version="1.0" encoding="utf-8"?>
<ds:datastoreItem xmlns:ds="http://schemas.openxmlformats.org/officeDocument/2006/customXml" ds:itemID="{13838375-1189-4892-A6D2-BB556694395F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6a7bd91e-004b-490a-8704-e368d63d59a0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592665-0B7E-4C05-9B30-357C6332E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References</vt:lpstr>
      <vt:lpstr>Calculations</vt:lpstr>
      <vt:lpstr>Revenue Increase</vt:lpstr>
      <vt:lpstr>Calculations!Print_Area</vt:lpstr>
      <vt:lpstr>References!Print_Area</vt:lpstr>
      <vt:lpstr>'Revenue Increase'!Print_Area</vt:lpstr>
      <vt:lpstr>Calculations!Print_Titles</vt:lpstr>
      <vt:lpstr>References!Print_Titles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Kredel, Ashley (UTC)</cp:lastModifiedBy>
  <cp:lastPrinted>2016-12-16T20:51:44Z</cp:lastPrinted>
  <dcterms:created xsi:type="dcterms:W3CDTF">2013-10-29T22:33:54Z</dcterms:created>
  <dcterms:modified xsi:type="dcterms:W3CDTF">2016-12-16T22:57:52Z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0x0101006E56B4D1795A2E4DB2F0B01679ED314A00D9A54868C1BBF04E9C44D70393ADDFBD</vt:lpwstr>
  </property>
  <property fmtid="{D5CDD505-2E9C-101B-9397-08002B2CF9AE}" pid="3" name="_docset_NoMedatataSyncRequired">
    <vt:lpwstr>False</vt:lpwstr>
  </property>
</Properties>
</file>