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7.xml" ContentType="application/vnd.openxmlformats-officedocument.spreadsheetml.externalLink+xml"/>
  <Override PartName="/xl/externalLinks/externalLink1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120" windowWidth="13380" windowHeight="7410"/>
  </bookViews>
  <sheets>
    <sheet name="References" sheetId="4" r:id="rId1"/>
    <sheet name="DF Calcs" sheetId="7" r:id="rId2"/>
    <sheet name="Proposed Rates" sheetId="12" r:id="rId3"/>
    <sheet name="Disposal Schedule" sheetId="15" r:id="rId4"/>
    <sheet name="Regulated Co Provided Priceout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 localSheetId="4">[2]Hidden!#REF!</definedName>
    <definedName name="_ACT1">[3]Hidden!#REF!</definedName>
    <definedName name="_ACT2" localSheetId="4">[2]Hidden!#REF!</definedName>
    <definedName name="_ACT2">[3]Hidden!#REF!</definedName>
    <definedName name="_ACT3" localSheetId="4">[2]Hidden!#REF!</definedName>
    <definedName name="_ACT3">[3]Hidden!#REF!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LYA12">[1]Hidden!$O$11</definedName>
    <definedName name="ACCT" localSheetId="4">[2]Hidden!#REF!</definedName>
    <definedName name="ACCT">[1]Hidden!$D$11</definedName>
    <definedName name="ACCT.ConsolSum">[1]Hidden!$Q$11</definedName>
    <definedName name="ACT_CUR" localSheetId="4">[2]Hidden!#REF!</definedName>
    <definedName name="ACT_CUR">[3]Hidden!#REF!</definedName>
    <definedName name="ACT_YTD" localSheetId="4">[2]Hidden!#REF!</definedName>
    <definedName name="ACT_YTD">[3]Hidden!#REF!</definedName>
    <definedName name="AmountCount" localSheetId="4">#REF!</definedName>
    <definedName name="AmountCount">#REF!</definedName>
    <definedName name="AmountTotal" localSheetId="4">#REF!</definedName>
    <definedName name="AmountTotal">#REF!</definedName>
    <definedName name="BookRev">'[4]Pacific Regulated - Price Out'!$F$50</definedName>
    <definedName name="BookRev_com">'[4]Pacific Regulated - Price Out'!$F$214</definedName>
    <definedName name="BookRev_mfr">'[4]Pacific Regulated - Price Out'!$F$222</definedName>
    <definedName name="BookRev_ro">'[4]Pacific Regulated - Price Out'!$F$282</definedName>
    <definedName name="BookRev_rr">'[4]Pacific Regulated - Price Out'!$F$59</definedName>
    <definedName name="BookRev_yw">'[4]Pacific Regulated - Price Out'!$F$70</definedName>
    <definedName name="BREMAIR_COST_of_SERVICE_STUDY" localSheetId="4">#REF!</definedName>
    <definedName name="BREMAIR_COST_of_SERVICE_STUDY">#REF!</definedName>
    <definedName name="BUD_CUR" localSheetId="4">[2]Hidden!#REF!</definedName>
    <definedName name="BUD_CUR">[3]Hidden!#REF!</definedName>
    <definedName name="BUD_YTD" localSheetId="4">[2]Hidden!#REF!</definedName>
    <definedName name="BUD_YTD">[3]Hidden!#REF!</definedName>
    <definedName name="CalRecyTons">'[5]Recycl Tons, Commodity Value'!$L$23</definedName>
    <definedName name="CheckTotals" localSheetId="4">#REF!</definedName>
    <definedName name="CheckTotals">#REF!</definedName>
    <definedName name="colgroup">[1]Orientation!$G$6</definedName>
    <definedName name="colsegment">[1]Orientation!$F$6</definedName>
    <definedName name="CRCTable" localSheetId="4">#REF!</definedName>
    <definedName name="CRCTable">#REF!</definedName>
    <definedName name="CRCTableOLD" localSheetId="4">#REF!</definedName>
    <definedName name="CRCTableOLD">#REF!</definedName>
    <definedName name="CriteriaType">[6]ControlPanel!$Z$2:$Z$5</definedName>
    <definedName name="Cutomers" localSheetId="4">#REF!</definedName>
    <definedName name="Cutomers">#REF!</definedName>
    <definedName name="_xlnm.Database" localSheetId="4">#REF!</definedName>
    <definedName name="_xlnm.Database">#REF!</definedName>
    <definedName name="Database1" localSheetId="4">#REF!</definedName>
    <definedName name="Database1">#REF!</definedName>
    <definedName name="DEPT" localSheetId="4">[2]Hidden!#REF!</definedName>
    <definedName name="DEPT">[3]Hidden!#REF!</definedName>
    <definedName name="Dist">[7]Data!$E$3</definedName>
    <definedName name="District">'[8]Vashon BS'!#REF!</definedName>
    <definedName name="DistrictNum" localSheetId="4">#REF!</definedName>
    <definedName name="DistrictNum">#REF!</definedName>
    <definedName name="dOG">#REF!</definedName>
    <definedName name="drlFilter">[1]Settings!$D$27</definedName>
    <definedName name="End" localSheetId="4">#REF!</definedName>
    <definedName name="End">#REF!</definedName>
    <definedName name="ExcludeIC">'[9]2009 BS'!#REF!</definedName>
    <definedName name="FBTable" localSheetId="4">#REF!</definedName>
    <definedName name="FBTable">#REF!</definedName>
    <definedName name="FBTableOld" localSheetId="4">#REF!</definedName>
    <definedName name="FBTableOld">#REF!</definedName>
    <definedName name="filter">[1]Settings!$B$14:$H$25</definedName>
    <definedName name="FundsApprPend">[7]Data!#REF!</definedName>
    <definedName name="FundsBudUnbud">[7]Data!#REF!</definedName>
    <definedName name="GLMappingStart" localSheetId="4">#REF!</definedName>
    <definedName name="GLMappingStart">#REF!</definedName>
    <definedName name="Import_Range">[7]Data!#REF!</definedName>
    <definedName name="IncomeStmnt" localSheetId="4">#REF!</definedName>
    <definedName name="IncomeStmnt">#REF!</definedName>
    <definedName name="INPUT" localSheetId="4">#REF!</definedName>
    <definedName name="INPUT">#REF!</definedName>
    <definedName name="Insurance" localSheetId="4">#REF!</definedName>
    <definedName name="Insurance">#REF!</definedName>
    <definedName name="Invoice_Start">[7]Invoice_Drill!#REF!</definedName>
    <definedName name="JEDetail" localSheetId="4">#REF!</definedName>
    <definedName name="JEDetail">#REF!</definedName>
    <definedName name="JEType" localSheetId="4">#REF!</definedName>
    <definedName name="JEType">#REF!</definedName>
    <definedName name="lblBillAreaStatus" localSheetId="4">#REF!</definedName>
    <definedName name="lblBillAreaStatus">#REF!</definedName>
    <definedName name="lblBillCycleStatus" localSheetId="4">#REF!</definedName>
    <definedName name="lblBillCycleStatus">#REF!</definedName>
    <definedName name="lblCategoryStatus" localSheetId="4">#REF!</definedName>
    <definedName name="lblCategoryStatus">#REF!</definedName>
    <definedName name="lblCompanyStatus" localSheetId="4">#REF!</definedName>
    <definedName name="lblCompanyStatus">#REF!</definedName>
    <definedName name="lblDatabaseStatus" localSheetId="4">#REF!</definedName>
    <definedName name="lblDatabaseStatus">#REF!</definedName>
    <definedName name="lblPullStatus" localSheetId="4">#REF!</definedName>
    <definedName name="lblPullStatus">#REF!</definedName>
    <definedName name="lllllllllllllllllllll" localSheetId="4">#REF!</definedName>
    <definedName name="lllllllllllllllllllll">#REF!</definedName>
    <definedName name="MainDataEnd" localSheetId="4">#REF!</definedName>
    <definedName name="MainDataEnd">#REF!</definedName>
    <definedName name="MainDataStart" localSheetId="4">#REF!</definedName>
    <definedName name="MainDataStart">#REF!</definedName>
    <definedName name="MapKeyStart" localSheetId="4">#REF!</definedName>
    <definedName name="MapKeyStart">#REF!</definedName>
    <definedName name="master_def" localSheetId="4">#REF!</definedName>
    <definedName name="master_def">#REF!</definedName>
    <definedName name="MemoAttachment">#REF!</definedName>
    <definedName name="MetaSet">[1]Orientation!$C$22</definedName>
    <definedName name="MonthList">'[7]Lookup Tables'!$A$1:$A$13</definedName>
    <definedName name="NewOnlyOrg">#N/A</definedName>
    <definedName name="nn">#REF!</definedName>
    <definedName name="NOTES" localSheetId="4">#REF!</definedName>
    <definedName name="NOTES">#REF!</definedName>
    <definedName name="NR">#REF!</definedName>
    <definedName name="OfficerSalary">#N/A</definedName>
    <definedName name="OffsetAcctBil">[10]JEexport!$L$10</definedName>
    <definedName name="OffsetAcctPmt">[10]JEexport!$L$9</definedName>
    <definedName name="Org11_13">#N/A</definedName>
    <definedName name="Org7_10">#N/A</definedName>
    <definedName name="p" localSheetId="4">#REF!</definedName>
    <definedName name="p">#REF!</definedName>
    <definedName name="PAGE_1" localSheetId="4">#REF!</definedName>
    <definedName name="PAGE_1">#REF!</definedName>
    <definedName name="Page16">#REF!</definedName>
    <definedName name="Page17">#REF!</definedName>
    <definedName name="Page18">#REF!</definedName>
    <definedName name="Page7a">#REF!</definedName>
    <definedName name="pBatchID" localSheetId="4">#REF!</definedName>
    <definedName name="pBatchID">#REF!</definedName>
    <definedName name="pBillArea" localSheetId="4">#REF!</definedName>
    <definedName name="pBillArea">#REF!</definedName>
    <definedName name="pBillCycle" localSheetId="4">#REF!</definedName>
    <definedName name="pBillCycle">#REF!</definedName>
    <definedName name="pCategory" localSheetId="4">#REF!</definedName>
    <definedName name="pCategory">#REF!</definedName>
    <definedName name="pCompany" localSheetId="4">#REF!</definedName>
    <definedName name="pCompany">#REF!</definedName>
    <definedName name="pCustomerNumber" localSheetId="4">#REF!</definedName>
    <definedName name="pCustomerNumber">#REF!</definedName>
    <definedName name="pDatabase" localSheetId="4">#REF!</definedName>
    <definedName name="pDatabase">#REF!</definedName>
    <definedName name="pEndPostDate" localSheetId="4">#REF!</definedName>
    <definedName name="pEndPostDate">#REF!</definedName>
    <definedName name="Period" localSheetId="4">#REF!</definedName>
    <definedName name="Period">#REF!</definedName>
    <definedName name="pMonth" localSheetId="4">#REF!</definedName>
    <definedName name="pMonth">#REF!</definedName>
    <definedName name="pOnlyShowLastTranx" localSheetId="4">#REF!</definedName>
    <definedName name="pOnlyShowLastTranx">#REF!</definedName>
    <definedName name="primtbl">[1]Orientation!$C$23</definedName>
    <definedName name="_xlnm.Print_Area" localSheetId="1">'DF Calcs'!$A$1:$W$82</definedName>
    <definedName name="_xlnm.Print_Area" localSheetId="3">'Disposal Schedule'!$A$1:$Q$39</definedName>
    <definedName name="_xlnm.Print_Area" localSheetId="4">'Regulated Co Provided Priceout'!$A$1:$H$200</definedName>
    <definedName name="_xlnm.Print_Area">#REF!</definedName>
    <definedName name="Print_Area_MI" localSheetId="4">#REF!</definedName>
    <definedName name="Print_Area_MI">#REF!</definedName>
    <definedName name="Print_Area1" localSheetId="4">#REF!</definedName>
    <definedName name="Print_Area1">#REF!</definedName>
    <definedName name="Print_Area2" localSheetId="4">#REF!</definedName>
    <definedName name="Print_Area2">#REF!</definedName>
    <definedName name="Print_Area3" localSheetId="4">#REF!</definedName>
    <definedName name="Print_Area3">#REF!</definedName>
    <definedName name="Print_Area5" localSheetId="4">#REF!</definedName>
    <definedName name="Print_Area5">#REF!</definedName>
    <definedName name="_xlnm.Print_Titles" localSheetId="2">'Proposed Rates'!$1:$5</definedName>
    <definedName name="_xlnm.Print_Titles" localSheetId="4">'Regulated Co Provided Priceout'!$1:$7</definedName>
    <definedName name="Print1" localSheetId="4">#REF!</definedName>
    <definedName name="Print1">#REF!</definedName>
    <definedName name="Print2" localSheetId="4">#REF!</definedName>
    <definedName name="Print2">#REF!</definedName>
    <definedName name="Print5" localSheetId="4">#REF!</definedName>
    <definedName name="Print5">#REF!</definedName>
    <definedName name="ProRev">'[4]Pacific Regulated - Price Out'!$M$49</definedName>
    <definedName name="ProRev_com">'[4]Pacific Regulated - Price Out'!$M$213</definedName>
    <definedName name="ProRev_mfr">'[4]Pacific Regulated - Price Out'!$M$221</definedName>
    <definedName name="ProRev_ro">'[4]Pacific Regulated - Price Out'!$M$281</definedName>
    <definedName name="ProRev_rr">'[4]Pacific Regulated - Price Out'!$M$58</definedName>
    <definedName name="ProRev_yw">'[4]Pacific Regulated - Price Out'!$M$69</definedName>
    <definedName name="pServer" localSheetId="4">#REF!</definedName>
    <definedName name="pServer">#REF!</definedName>
    <definedName name="pServiceCode" localSheetId="4">#REF!</definedName>
    <definedName name="pServiceCode">#REF!</definedName>
    <definedName name="pShowAllUnposted" localSheetId="4">#REF!</definedName>
    <definedName name="pShowAllUnposted">#REF!</definedName>
    <definedName name="pShowCustomerDetail" localSheetId="4">#REF!</definedName>
    <definedName name="pShowCustomerDetail">#REF!</definedName>
    <definedName name="pSortOption" localSheetId="4">#REF!</definedName>
    <definedName name="pSortOption">#REF!</definedName>
    <definedName name="pStartPostDate" localSheetId="4">#REF!</definedName>
    <definedName name="pStartPostDate">#REF!</definedName>
    <definedName name="pTransType" localSheetId="4">#REF!</definedName>
    <definedName name="pTransType">#REF!</definedName>
    <definedName name="RCW_81.04.080">#N/A</definedName>
    <definedName name="RecyDisposal">#N/A</definedName>
    <definedName name="Reg_Cust_Billed_Percent">'[11]Consolidated IS 2009 2010'!$AK$20</definedName>
    <definedName name="Reg_Cust_Percent">'[11]Consolidated IS 2009 2010'!$AC$20</definedName>
    <definedName name="Reg_Drive_Percent">'[11]Consolidated IS 2009 2010'!$AC$40</definedName>
    <definedName name="Reg_Haul_Rev_Percent">'[11]Consolidated IS 2009 2010'!$Z$18</definedName>
    <definedName name="Reg_Lab_Percent">'[11]Consolidated IS 2009 2010'!$AC$39</definedName>
    <definedName name="Reg_Steel_Cont_Percent">'[11]Consolidated IS 2009 2010'!$AE$120</definedName>
    <definedName name="RegulatedIS">'[11]2009 IS'!$A$12:$Q$655</definedName>
    <definedName name="RelatedSalary">#N/A</definedName>
    <definedName name="report_type">[1]Orientation!$C$24</definedName>
    <definedName name="ReportNames" localSheetId="4">[6]ControlPanel!$X$2:$X$8</definedName>
    <definedName name="ReportNames">[12]ControlPanel!$S$2:$S$16</definedName>
    <definedName name="ReportVersion">[1]Settings!$D$5</definedName>
    <definedName name="RetainedEarnings" localSheetId="4">#REF!</definedName>
    <definedName name="RetainedEarnings">#REF!</definedName>
    <definedName name="RevCust" localSheetId="4">[13]RevenuesCust!#REF!</definedName>
    <definedName name="RevCust">[14]RevenuesCust!#REF!</definedName>
    <definedName name="RevCustomer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rtcol" localSheetId="4">#REF!</definedName>
    <definedName name="sortcol">#REF!</definedName>
    <definedName name="sSRCDate" localSheetId="4">'[15]Feb''12 FAR Data'!#REF!</definedName>
    <definedName name="sSRCDate">'[16]Feb''12 FAR Data'!#REF!</definedName>
    <definedName name="Supplemental_filter">[1]Settings!$C$31</definedName>
    <definedName name="SWDisposal">#N/A</definedName>
    <definedName name="System">[17]BS_Close!$V$8</definedName>
    <definedName name="TemplateEnd" localSheetId="4">#REF!</definedName>
    <definedName name="TemplateEnd">#REF!</definedName>
    <definedName name="TemplateStart" localSheetId="4">#REF!</definedName>
    <definedName name="TemplateStart">#REF!</definedName>
    <definedName name="TheTable" localSheetId="4">#REF!</definedName>
    <definedName name="TheTable">#REF!</definedName>
    <definedName name="TheTableOLD" localSheetId="4">#REF!</definedName>
    <definedName name="TheTableOLD">#REF!</definedName>
    <definedName name="timeseries">[1]Orientation!$B$6:$C$13</definedName>
    <definedName name="Tons">#REF!</definedName>
    <definedName name="Total_Comm">'[5]Tariff Rate Sheet'!$L$214</definedName>
    <definedName name="Total_DB">'[5]Tariff Rate Sheet'!$L$278</definedName>
    <definedName name="Total_Resi">'[5]Tariff Rate Sheet'!$L$107</definedName>
    <definedName name="Transactions" localSheetId="4">#REF!</definedName>
    <definedName name="Transactions">#REF!</definedName>
    <definedName name="UnregulatedIS">'[11]2010 IS'!$A$12:$Q$654</definedName>
    <definedName name="Version">[7]Data!#REF!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4">#REF!</definedName>
    <definedName name="WTable">#REF!</definedName>
    <definedName name="WTableOld" localSheetId="4">#REF!</definedName>
    <definedName name="WTableOld">#REF!</definedName>
    <definedName name="ww">#REF!</definedName>
    <definedName name="xperiod">[1]Orientation!$G$15</definedName>
    <definedName name="xtabin" localSheetId="4">[2]Hidden!#REF!</definedName>
    <definedName name="xtabin">[3]Hidden!#REF!</definedName>
    <definedName name="xx" localSheetId="4">#REF!</definedName>
    <definedName name="xx">#REF!</definedName>
    <definedName name="xxx">#REF!</definedName>
    <definedName name="xxxx">#REF!</definedName>
    <definedName name="YearMonth">'[8]Vashon BS'!#REF!</definedName>
    <definedName name="YWMedWasteDisp">#N/A</definedName>
    <definedName name="yy">#REF!</definedName>
  </definedNames>
  <calcPr calcId="145621" concurrentManualCount="4"/>
</workbook>
</file>

<file path=xl/calcChain.xml><?xml version="1.0" encoding="utf-8"?>
<calcChain xmlns="http://schemas.openxmlformats.org/spreadsheetml/2006/main">
  <c r="M64" i="7" l="1"/>
  <c r="E19" i="7"/>
  <c r="E18" i="7"/>
  <c r="M20" i="15"/>
  <c r="Y65" i="7"/>
  <c r="Y66" i="7"/>
  <c r="Y20" i="7"/>
  <c r="G70" i="7" l="1"/>
  <c r="H70" i="7" s="1"/>
  <c r="M70" i="7"/>
  <c r="M61" i="7" l="1"/>
  <c r="M60" i="7"/>
  <c r="G52" i="7"/>
  <c r="M52" i="7"/>
  <c r="M53" i="7"/>
  <c r="G53" i="7"/>
  <c r="M51" i="7"/>
  <c r="G51" i="7"/>
  <c r="G61" i="7"/>
  <c r="G60" i="7"/>
  <c r="M50" i="7"/>
  <c r="M49" i="7"/>
  <c r="M48" i="7"/>
  <c r="M47" i="7"/>
  <c r="G50" i="7"/>
  <c r="G49" i="7"/>
  <c r="G48" i="7"/>
  <c r="G47" i="7"/>
  <c r="M59" i="7"/>
  <c r="G59" i="7"/>
  <c r="M58" i="7"/>
  <c r="M57" i="7"/>
  <c r="G58" i="7"/>
  <c r="G57" i="7"/>
  <c r="G56" i="7"/>
  <c r="M7" i="7" l="1"/>
  <c r="G7" i="7"/>
  <c r="G63" i="7"/>
  <c r="G62" i="7"/>
  <c r="M56" i="7"/>
  <c r="M55" i="7"/>
  <c r="M54" i="7" l="1"/>
  <c r="M46" i="7"/>
  <c r="M45" i="7"/>
  <c r="M44" i="7"/>
  <c r="M43" i="7"/>
  <c r="M40" i="7"/>
  <c r="M41" i="7" s="1"/>
  <c r="M42" i="7" s="1"/>
  <c r="M35" i="7"/>
  <c r="M36" i="7" s="1"/>
  <c r="M37" i="7" s="1"/>
  <c r="M38" i="7" s="1"/>
  <c r="M39" i="7" s="1"/>
  <c r="M31" i="7"/>
  <c r="M32" i="7" s="1"/>
  <c r="M33" i="7" s="1"/>
  <c r="M34" i="7" s="1"/>
  <c r="M27" i="7"/>
  <c r="M28" i="7" s="1"/>
  <c r="M29" i="7" s="1"/>
  <c r="M30" i="7" s="1"/>
  <c r="G46" i="7"/>
  <c r="G45" i="7"/>
  <c r="G44" i="7"/>
  <c r="G42" i="7"/>
  <c r="G41" i="7"/>
  <c r="G40" i="7"/>
  <c r="M22" i="7"/>
  <c r="M23" i="7" s="1"/>
  <c r="M24" i="7" s="1"/>
  <c r="M25" i="7" s="1"/>
  <c r="M26" i="7" s="1"/>
  <c r="G39" i="7"/>
  <c r="G38" i="7"/>
  <c r="G37" i="7"/>
  <c r="G36" i="7"/>
  <c r="G34" i="7"/>
  <c r="G33" i="7"/>
  <c r="G32" i="7"/>
  <c r="G31" i="7"/>
  <c r="G30" i="7"/>
  <c r="G29" i="7"/>
  <c r="G28" i="7"/>
  <c r="G27" i="7"/>
  <c r="G26" i="7"/>
  <c r="G25" i="7"/>
  <c r="G24" i="7"/>
  <c r="B64" i="12"/>
  <c r="M16" i="7"/>
  <c r="M15" i="7"/>
  <c r="G15" i="7"/>
  <c r="G14" i="7"/>
  <c r="B27" i="4"/>
  <c r="G64" i="7" s="1"/>
  <c r="G16" i="7" l="1"/>
  <c r="G13" i="7" l="1"/>
  <c r="G12" i="7"/>
  <c r="M14" i="7"/>
  <c r="M13" i="7"/>
  <c r="M12" i="7"/>
  <c r="M11" i="7"/>
  <c r="G11" i="7"/>
  <c r="B110" i="15"/>
  <c r="B109" i="15"/>
  <c r="B108" i="15"/>
  <c r="B107" i="15"/>
  <c r="B106" i="15"/>
  <c r="B105" i="15"/>
  <c r="E35" i="15"/>
  <c r="C35" i="15"/>
  <c r="Q23" i="15"/>
  <c r="N20" i="15"/>
  <c r="K20" i="15"/>
  <c r="J20" i="15"/>
  <c r="H20" i="15"/>
  <c r="G20" i="15"/>
  <c r="E20" i="15"/>
  <c r="E37" i="15" s="1"/>
  <c r="G37" i="15" s="1"/>
  <c r="D20" i="15"/>
  <c r="C20" i="15"/>
  <c r="B20" i="15"/>
  <c r="Q19" i="15"/>
  <c r="P19" i="15"/>
  <c r="Q18" i="15"/>
  <c r="P18" i="15"/>
  <c r="Q17" i="15"/>
  <c r="P17" i="15"/>
  <c r="Q16" i="15"/>
  <c r="P16" i="15"/>
  <c r="Q15" i="15"/>
  <c r="P15" i="15"/>
  <c r="Q14" i="15"/>
  <c r="P14" i="15"/>
  <c r="Q13" i="15"/>
  <c r="P13" i="15"/>
  <c r="Q12" i="15"/>
  <c r="P12" i="15"/>
  <c r="Q11" i="15"/>
  <c r="P11" i="15"/>
  <c r="Q10" i="15"/>
  <c r="P10" i="15"/>
  <c r="Q9" i="15"/>
  <c r="P9" i="15"/>
  <c r="Q8" i="15"/>
  <c r="P8" i="15"/>
  <c r="E193" i="13"/>
  <c r="C193" i="13"/>
  <c r="E192" i="13"/>
  <c r="G192" i="13" s="1"/>
  <c r="H192" i="13" s="1"/>
  <c r="E191" i="13"/>
  <c r="E186" i="13"/>
  <c r="E188" i="13" s="1"/>
  <c r="C186" i="13"/>
  <c r="E181" i="13"/>
  <c r="E180" i="13"/>
  <c r="E179" i="13"/>
  <c r="E178" i="13"/>
  <c r="G178" i="13" s="1"/>
  <c r="E177" i="13"/>
  <c r="C177" i="13"/>
  <c r="E176" i="13"/>
  <c r="C176" i="13"/>
  <c r="E175" i="13"/>
  <c r="C175" i="13"/>
  <c r="E174" i="13"/>
  <c r="G174" i="13" s="1"/>
  <c r="H174" i="13" s="1"/>
  <c r="C174" i="13"/>
  <c r="E173" i="13"/>
  <c r="C173" i="13"/>
  <c r="E172" i="13"/>
  <c r="G172" i="13" s="1"/>
  <c r="C172" i="13"/>
  <c r="E171" i="13"/>
  <c r="C171" i="13"/>
  <c r="E170" i="13"/>
  <c r="G170" i="13" s="1"/>
  <c r="C170" i="13"/>
  <c r="E169" i="13"/>
  <c r="C169" i="13"/>
  <c r="E168" i="13"/>
  <c r="G168" i="13" s="1"/>
  <c r="C168" i="13"/>
  <c r="E167" i="13"/>
  <c r="C167" i="13"/>
  <c r="E166" i="13"/>
  <c r="C166" i="13"/>
  <c r="E165" i="13"/>
  <c r="G165" i="13" s="1"/>
  <c r="C165" i="13"/>
  <c r="E164" i="13"/>
  <c r="C164" i="13"/>
  <c r="E163" i="13"/>
  <c r="G163" i="13" s="1"/>
  <c r="H163" i="13" s="1"/>
  <c r="C163" i="13"/>
  <c r="E162" i="13"/>
  <c r="C162" i="13"/>
  <c r="E161" i="13"/>
  <c r="G161" i="13" s="1"/>
  <c r="C161" i="13"/>
  <c r="E160" i="13"/>
  <c r="C160" i="13"/>
  <c r="E159" i="13"/>
  <c r="C159" i="13"/>
  <c r="E158" i="13"/>
  <c r="C158" i="13"/>
  <c r="E157" i="13"/>
  <c r="G157" i="13" s="1"/>
  <c r="C157" i="13"/>
  <c r="E156" i="13"/>
  <c r="C156" i="13"/>
  <c r="E149" i="13"/>
  <c r="E148" i="13"/>
  <c r="E147" i="13"/>
  <c r="E146" i="13"/>
  <c r="G146" i="13" s="1"/>
  <c r="E145" i="13"/>
  <c r="C145" i="13"/>
  <c r="E144" i="13"/>
  <c r="C144" i="13"/>
  <c r="E143" i="13"/>
  <c r="C143" i="13"/>
  <c r="E142" i="13"/>
  <c r="C142" i="13"/>
  <c r="E141" i="13"/>
  <c r="C141" i="13"/>
  <c r="E140" i="13"/>
  <c r="G140" i="13" s="1"/>
  <c r="E139" i="13"/>
  <c r="G139" i="13" s="1"/>
  <c r="E138" i="13"/>
  <c r="G138" i="13" s="1"/>
  <c r="E137" i="13"/>
  <c r="C137" i="13"/>
  <c r="E136" i="13"/>
  <c r="G136" i="13" s="1"/>
  <c r="E135" i="13"/>
  <c r="C135" i="13"/>
  <c r="E134" i="13"/>
  <c r="G134" i="13" s="1"/>
  <c r="H134" i="13" s="1"/>
  <c r="C134" i="13"/>
  <c r="E133" i="13"/>
  <c r="C133" i="13"/>
  <c r="E132" i="13"/>
  <c r="C132" i="13"/>
  <c r="E131" i="13"/>
  <c r="G131" i="13" s="1"/>
  <c r="H131" i="13" s="1"/>
  <c r="E130" i="13"/>
  <c r="C130" i="13"/>
  <c r="E129" i="13"/>
  <c r="G129" i="13" s="1"/>
  <c r="E128" i="13"/>
  <c r="G128" i="13" s="1"/>
  <c r="H128" i="13" s="1"/>
  <c r="E127" i="13"/>
  <c r="G127" i="13" s="1"/>
  <c r="H127" i="13" s="1"/>
  <c r="E126" i="13"/>
  <c r="C126" i="13"/>
  <c r="E125" i="13"/>
  <c r="C125" i="13"/>
  <c r="E124" i="13"/>
  <c r="C124" i="13"/>
  <c r="C123" i="13"/>
  <c r="G123" i="13" s="1"/>
  <c r="H123" i="13" s="1"/>
  <c r="E122" i="13"/>
  <c r="C122" i="13"/>
  <c r="E121" i="13"/>
  <c r="C121" i="13"/>
  <c r="E120" i="13"/>
  <c r="C120" i="13"/>
  <c r="E119" i="13"/>
  <c r="C119" i="13"/>
  <c r="E118" i="13"/>
  <c r="C118" i="13"/>
  <c r="E117" i="13"/>
  <c r="C117" i="13"/>
  <c r="E116" i="13"/>
  <c r="C116" i="13"/>
  <c r="E115" i="13"/>
  <c r="C115" i="13"/>
  <c r="E114" i="13"/>
  <c r="C114" i="13"/>
  <c r="G114" i="13" s="1"/>
  <c r="E113" i="13"/>
  <c r="C113" i="13"/>
  <c r="E112" i="13"/>
  <c r="C112" i="13"/>
  <c r="E111" i="13"/>
  <c r="C111" i="13"/>
  <c r="E110" i="13"/>
  <c r="C110" i="13"/>
  <c r="C109" i="13"/>
  <c r="G109" i="13" s="1"/>
  <c r="H109" i="13" s="1"/>
  <c r="E108" i="13"/>
  <c r="G108" i="13" s="1"/>
  <c r="E107" i="13"/>
  <c r="G107" i="13" s="1"/>
  <c r="H107" i="13" s="1"/>
  <c r="D61" i="7" s="1"/>
  <c r="E106" i="13"/>
  <c r="C106" i="13"/>
  <c r="E105" i="13"/>
  <c r="G105" i="13" s="1"/>
  <c r="C105" i="13"/>
  <c r="E104" i="13"/>
  <c r="C104" i="13"/>
  <c r="E103" i="13"/>
  <c r="G103" i="13" s="1"/>
  <c r="H103" i="13" s="1"/>
  <c r="D50" i="7" s="1"/>
  <c r="C103" i="13"/>
  <c r="E102" i="13"/>
  <c r="C102" i="13"/>
  <c r="E101" i="13"/>
  <c r="C101" i="13"/>
  <c r="E100" i="13"/>
  <c r="C100" i="13"/>
  <c r="E99" i="13"/>
  <c r="C99" i="13"/>
  <c r="E98" i="13"/>
  <c r="C98" i="13"/>
  <c r="E97" i="13"/>
  <c r="C97" i="13"/>
  <c r="E96" i="13"/>
  <c r="C96" i="13"/>
  <c r="E95" i="13"/>
  <c r="C95" i="13"/>
  <c r="E94" i="13"/>
  <c r="C94" i="13"/>
  <c r="E93" i="13"/>
  <c r="G93" i="13" s="1"/>
  <c r="H93" i="13" s="1"/>
  <c r="D56" i="7" s="1"/>
  <c r="C93" i="13"/>
  <c r="E92" i="13"/>
  <c r="C92" i="13"/>
  <c r="E91" i="13"/>
  <c r="C91" i="13"/>
  <c r="E90" i="13"/>
  <c r="C90" i="13"/>
  <c r="E89" i="13"/>
  <c r="C89" i="13"/>
  <c r="E88" i="13"/>
  <c r="C88" i="13"/>
  <c r="E87" i="13"/>
  <c r="C87" i="13"/>
  <c r="E86" i="13"/>
  <c r="C86" i="13"/>
  <c r="E85" i="13"/>
  <c r="C85" i="13"/>
  <c r="E84" i="13"/>
  <c r="C84" i="13"/>
  <c r="E83" i="13"/>
  <c r="C83" i="13"/>
  <c r="E82" i="13"/>
  <c r="C82" i="13"/>
  <c r="E81" i="13"/>
  <c r="C81" i="13"/>
  <c r="E80" i="13"/>
  <c r="C80" i="13"/>
  <c r="E79" i="13"/>
  <c r="C79" i="13"/>
  <c r="E78" i="13"/>
  <c r="C78" i="13"/>
  <c r="E77" i="13"/>
  <c r="C77" i="13"/>
  <c r="E76" i="13"/>
  <c r="C76" i="13"/>
  <c r="E75" i="13"/>
  <c r="C75" i="13"/>
  <c r="E74" i="13"/>
  <c r="C74" i="13"/>
  <c r="E73" i="13"/>
  <c r="C73" i="13"/>
  <c r="E72" i="13"/>
  <c r="C72" i="13"/>
  <c r="E71" i="13"/>
  <c r="C71" i="13"/>
  <c r="E70" i="13"/>
  <c r="C70" i="13"/>
  <c r="E69" i="13"/>
  <c r="C69" i="13"/>
  <c r="E68" i="13"/>
  <c r="C68" i="13"/>
  <c r="E67" i="13"/>
  <c r="C67" i="13"/>
  <c r="E65" i="13"/>
  <c r="C65" i="13"/>
  <c r="E64" i="13"/>
  <c r="C64" i="13"/>
  <c r="E63" i="13"/>
  <c r="C63" i="13"/>
  <c r="E62" i="13"/>
  <c r="C62" i="13"/>
  <c r="E61" i="13"/>
  <c r="C61" i="13"/>
  <c r="E60" i="13"/>
  <c r="C60" i="13"/>
  <c r="E59" i="13"/>
  <c r="C59" i="13"/>
  <c r="E58" i="13"/>
  <c r="C58" i="13"/>
  <c r="E51" i="13"/>
  <c r="E53" i="13" s="1"/>
  <c r="E216" i="13" s="1"/>
  <c r="E218" i="13" s="1"/>
  <c r="C51" i="13"/>
  <c r="E46" i="13"/>
  <c r="E48" i="13" s="1"/>
  <c r="E212" i="13" s="1"/>
  <c r="E214" i="13" s="1"/>
  <c r="C46" i="13"/>
  <c r="E41" i="13"/>
  <c r="E40" i="13"/>
  <c r="E39" i="13"/>
  <c r="G39" i="13" s="1"/>
  <c r="E38" i="13"/>
  <c r="C38" i="13"/>
  <c r="E37" i="13"/>
  <c r="C37" i="13"/>
  <c r="E36" i="13"/>
  <c r="C36" i="13"/>
  <c r="E35" i="13"/>
  <c r="C35" i="13"/>
  <c r="E34" i="13"/>
  <c r="C34" i="13"/>
  <c r="E33" i="13"/>
  <c r="C33" i="13"/>
  <c r="E32" i="13"/>
  <c r="C32" i="13"/>
  <c r="E31" i="13"/>
  <c r="C31" i="13"/>
  <c r="E30" i="13"/>
  <c r="C30" i="13"/>
  <c r="E29" i="13"/>
  <c r="C29" i="13"/>
  <c r="E28" i="13"/>
  <c r="C28" i="13"/>
  <c r="E27" i="13"/>
  <c r="C27" i="13"/>
  <c r="E26" i="13"/>
  <c r="G26" i="13" s="1"/>
  <c r="E25" i="13"/>
  <c r="G25" i="13" s="1"/>
  <c r="E24" i="13"/>
  <c r="C24" i="13"/>
  <c r="E23" i="13"/>
  <c r="C23" i="13"/>
  <c r="E22" i="13"/>
  <c r="C22" i="13"/>
  <c r="E21" i="13"/>
  <c r="C21" i="13"/>
  <c r="E20" i="13"/>
  <c r="C20" i="13"/>
  <c r="E19" i="13"/>
  <c r="C19" i="13"/>
  <c r="E18" i="13"/>
  <c r="C18" i="13"/>
  <c r="E17" i="13"/>
  <c r="C17" i="13"/>
  <c r="E16" i="13"/>
  <c r="C16" i="13"/>
  <c r="E15" i="13"/>
  <c r="C15" i="13"/>
  <c r="E14" i="13"/>
  <c r="C14" i="13"/>
  <c r="E13" i="13"/>
  <c r="C13" i="13"/>
  <c r="E12" i="13"/>
  <c r="C12" i="13"/>
  <c r="E11" i="13"/>
  <c r="C11" i="13"/>
  <c r="G117" i="13" l="1"/>
  <c r="H117" i="13" s="1"/>
  <c r="G21" i="13"/>
  <c r="H21" i="13" s="1"/>
  <c r="D16" i="7" s="1"/>
  <c r="G36" i="13"/>
  <c r="H36" i="13" s="1"/>
  <c r="G14" i="13"/>
  <c r="G84" i="13"/>
  <c r="H84" i="13" s="1"/>
  <c r="D42" i="7" s="1"/>
  <c r="G102" i="13"/>
  <c r="H102" i="13" s="1"/>
  <c r="D49" i="7" s="1"/>
  <c r="G106" i="13"/>
  <c r="H106" i="13" s="1"/>
  <c r="D60" i="7" s="1"/>
  <c r="G133" i="13"/>
  <c r="H133" i="13" s="1"/>
  <c r="G17" i="13"/>
  <c r="G70" i="13"/>
  <c r="H70" i="13" s="1"/>
  <c r="D28" i="7" s="1"/>
  <c r="G78" i="13"/>
  <c r="H78" i="13" s="1"/>
  <c r="D36" i="7" s="1"/>
  <c r="G82" i="13"/>
  <c r="H82" i="13" s="1"/>
  <c r="D40" i="7" s="1"/>
  <c r="G60" i="13"/>
  <c r="H60" i="13" s="1"/>
  <c r="G18" i="13"/>
  <c r="H18" i="13" s="1"/>
  <c r="D13" i="7" s="1"/>
  <c r="P13" i="7" s="1"/>
  <c r="G38" i="13"/>
  <c r="G20" i="13"/>
  <c r="G74" i="13"/>
  <c r="H74" i="13" s="1"/>
  <c r="D32" i="7" s="1"/>
  <c r="G144" i="13"/>
  <c r="G73" i="13"/>
  <c r="H73" i="13" s="1"/>
  <c r="D31" i="7" s="1"/>
  <c r="G89" i="13"/>
  <c r="H89" i="13" s="1"/>
  <c r="D45" i="7" s="1"/>
  <c r="G159" i="13"/>
  <c r="G176" i="13"/>
  <c r="H176" i="13" s="1"/>
  <c r="G64" i="13"/>
  <c r="H64" i="13" s="1"/>
  <c r="G29" i="13"/>
  <c r="G92" i="13"/>
  <c r="H92" i="13" s="1"/>
  <c r="D55" i="7" s="1"/>
  <c r="G96" i="13"/>
  <c r="H96" i="13" s="1"/>
  <c r="D62" i="7" s="1"/>
  <c r="G12" i="13"/>
  <c r="H12" i="13" s="1"/>
  <c r="D7" i="7" s="1"/>
  <c r="P7" i="7" s="1"/>
  <c r="G16" i="13"/>
  <c r="H16" i="13" s="1"/>
  <c r="D11" i="7" s="1"/>
  <c r="P11" i="7" s="1"/>
  <c r="G23" i="13"/>
  <c r="H23" i="13" s="1"/>
  <c r="D18" i="7" s="1"/>
  <c r="F18" i="7" s="1"/>
  <c r="G28" i="13"/>
  <c r="H28" i="13" s="1"/>
  <c r="G68" i="13"/>
  <c r="H68" i="13" s="1"/>
  <c r="D26" i="7" s="1"/>
  <c r="G77" i="13"/>
  <c r="H77" i="13" s="1"/>
  <c r="D35" i="7" s="1"/>
  <c r="G81" i="13"/>
  <c r="H81" i="13" s="1"/>
  <c r="D39" i="7" s="1"/>
  <c r="G85" i="13"/>
  <c r="H85" i="13" s="1"/>
  <c r="D53" i="7" s="1"/>
  <c r="G87" i="13"/>
  <c r="H87" i="13" s="1"/>
  <c r="G112" i="13"/>
  <c r="G118" i="13"/>
  <c r="H118" i="13" s="1"/>
  <c r="G141" i="13"/>
  <c r="H141" i="13" s="1"/>
  <c r="G177" i="13"/>
  <c r="H177" i="13" s="1"/>
  <c r="G15" i="13"/>
  <c r="H15" i="13" s="1"/>
  <c r="D10" i="7" s="1"/>
  <c r="G33" i="13"/>
  <c r="H33" i="13" s="1"/>
  <c r="G58" i="13"/>
  <c r="H58" i="13" s="1"/>
  <c r="G62" i="13"/>
  <c r="H62" i="13" s="1"/>
  <c r="G72" i="13"/>
  <c r="G125" i="13"/>
  <c r="H125" i="13" s="1"/>
  <c r="G193" i="13"/>
  <c r="H193" i="13" s="1"/>
  <c r="E195" i="13"/>
  <c r="E205" i="13" s="1"/>
  <c r="Q20" i="15"/>
  <c r="D35" i="15"/>
  <c r="D79" i="7"/>
  <c r="P20" i="15"/>
  <c r="Q24" i="15"/>
  <c r="G75" i="13"/>
  <c r="H75" i="13" s="1"/>
  <c r="D33" i="7" s="1"/>
  <c r="G11" i="13"/>
  <c r="H11" i="13" s="1"/>
  <c r="D6" i="7" s="1"/>
  <c r="G19" i="13"/>
  <c r="H19" i="13" s="1"/>
  <c r="D14" i="7" s="1"/>
  <c r="P14" i="7" s="1"/>
  <c r="G22" i="13"/>
  <c r="H22" i="13" s="1"/>
  <c r="D17" i="7" s="1"/>
  <c r="G30" i="13"/>
  <c r="G34" i="13"/>
  <c r="H34" i="13" s="1"/>
  <c r="G65" i="13"/>
  <c r="H65" i="13" s="1"/>
  <c r="G80" i="13"/>
  <c r="H80" i="13" s="1"/>
  <c r="D38" i="7" s="1"/>
  <c r="G115" i="13"/>
  <c r="H115" i="13" s="1"/>
  <c r="G135" i="13"/>
  <c r="H135" i="13" s="1"/>
  <c r="G137" i="13"/>
  <c r="H137" i="13" s="1"/>
  <c r="G142" i="13"/>
  <c r="H142" i="13" s="1"/>
  <c r="G160" i="13"/>
  <c r="H160" i="13" s="1"/>
  <c r="G162" i="13"/>
  <c r="H162" i="13" s="1"/>
  <c r="G164" i="13"/>
  <c r="H164" i="13" s="1"/>
  <c r="G166" i="13"/>
  <c r="H166" i="13" s="1"/>
  <c r="G31" i="13"/>
  <c r="H31" i="13" s="1"/>
  <c r="G37" i="13"/>
  <c r="H37" i="13" s="1"/>
  <c r="G88" i="13"/>
  <c r="H88" i="13" s="1"/>
  <c r="D44" i="7" s="1"/>
  <c r="G91" i="13"/>
  <c r="H91" i="13" s="1"/>
  <c r="D54" i="7" s="1"/>
  <c r="P54" i="7" s="1"/>
  <c r="G97" i="13"/>
  <c r="H97" i="13" s="1"/>
  <c r="D63" i="7" s="1"/>
  <c r="G99" i="13"/>
  <c r="G111" i="13"/>
  <c r="H111" i="13" s="1"/>
  <c r="G113" i="13"/>
  <c r="H113" i="13" s="1"/>
  <c r="G121" i="13"/>
  <c r="H121" i="13" s="1"/>
  <c r="G124" i="13"/>
  <c r="H124" i="13" s="1"/>
  <c r="G132" i="13"/>
  <c r="H132" i="13" s="1"/>
  <c r="G145" i="13"/>
  <c r="H145" i="13" s="1"/>
  <c r="G167" i="13"/>
  <c r="H167" i="13" s="1"/>
  <c r="G169" i="13"/>
  <c r="H169" i="13" s="1"/>
  <c r="G173" i="13"/>
  <c r="H173" i="13" s="1"/>
  <c r="H140" i="13"/>
  <c r="H30" i="13"/>
  <c r="H99" i="13"/>
  <c r="D59" i="7" s="1"/>
  <c r="H108" i="13"/>
  <c r="H14" i="13"/>
  <c r="D9" i="7" s="1"/>
  <c r="H172" i="13"/>
  <c r="H26" i="13"/>
  <c r="H38" i="13"/>
  <c r="H72" i="13"/>
  <c r="D30" i="7" s="1"/>
  <c r="H105" i="13"/>
  <c r="D52" i="7" s="1"/>
  <c r="H168" i="13"/>
  <c r="H17" i="13"/>
  <c r="D12" i="7" s="1"/>
  <c r="P12" i="7" s="1"/>
  <c r="H29" i="13"/>
  <c r="G79" i="13"/>
  <c r="G83" i="13"/>
  <c r="H20" i="13"/>
  <c r="D15" i="7" s="1"/>
  <c r="H25" i="13"/>
  <c r="G27" i="13"/>
  <c r="G35" i="13"/>
  <c r="G51" i="13"/>
  <c r="G101" i="13"/>
  <c r="G122" i="13"/>
  <c r="H138" i="13"/>
  <c r="G95" i="13"/>
  <c r="H95" i="13" s="1"/>
  <c r="D58" i="7" s="1"/>
  <c r="G32" i="13"/>
  <c r="G67" i="13"/>
  <c r="G69" i="13"/>
  <c r="G86" i="13"/>
  <c r="G116" i="13"/>
  <c r="H170" i="13"/>
  <c r="H178" i="13"/>
  <c r="G24" i="13"/>
  <c r="H39" i="13"/>
  <c r="G46" i="13"/>
  <c r="G61" i="13"/>
  <c r="G90" i="13"/>
  <c r="H112" i="13"/>
  <c r="H114" i="13"/>
  <c r="H146" i="13"/>
  <c r="G59" i="13"/>
  <c r="G76" i="13"/>
  <c r="G13" i="13"/>
  <c r="G63" i="13"/>
  <c r="E151" i="13"/>
  <c r="E203" i="13" s="1"/>
  <c r="G71" i="13"/>
  <c r="G94" i="13"/>
  <c r="G110" i="13"/>
  <c r="G158" i="13"/>
  <c r="E43" i="13"/>
  <c r="G120" i="13"/>
  <c r="H139" i="13"/>
  <c r="H144" i="13"/>
  <c r="G98" i="13"/>
  <c r="G119" i="13"/>
  <c r="H129" i="13"/>
  <c r="G156" i="13"/>
  <c r="E183" i="13"/>
  <c r="E204" i="13" s="1"/>
  <c r="G104" i="13"/>
  <c r="G130" i="13"/>
  <c r="E207" i="13"/>
  <c r="H136" i="13"/>
  <c r="G143" i="13"/>
  <c r="G171" i="13"/>
  <c r="G175" i="13"/>
  <c r="G100" i="13"/>
  <c r="G35" i="15"/>
  <c r="E39" i="15"/>
  <c r="G126" i="13"/>
  <c r="H157" i="13"/>
  <c r="H161" i="13"/>
  <c r="H165" i="13"/>
  <c r="C37" i="15"/>
  <c r="D23" i="7" l="1"/>
  <c r="D21" i="7"/>
  <c r="H120" i="13"/>
  <c r="H143" i="13"/>
  <c r="H130" i="13"/>
  <c r="H27" i="13"/>
  <c r="H104" i="13"/>
  <c r="D51" i="7" s="1"/>
  <c r="H158" i="13"/>
  <c r="H13" i="13"/>
  <c r="D8" i="7" s="1"/>
  <c r="H69" i="13"/>
  <c r="D27" i="7" s="1"/>
  <c r="H83" i="13"/>
  <c r="D41" i="7" s="1"/>
  <c r="H59" i="13"/>
  <c r="H126" i="13"/>
  <c r="H171" i="13"/>
  <c r="H46" i="13"/>
  <c r="H48" i="13" s="1"/>
  <c r="H71" i="13"/>
  <c r="D29" i="7" s="1"/>
  <c r="H86" i="13"/>
  <c r="D43" i="7" s="1"/>
  <c r="H90" i="13"/>
  <c r="D46" i="7" s="1"/>
  <c r="H175" i="13"/>
  <c r="H122" i="13"/>
  <c r="E202" i="13"/>
  <c r="E197" i="13"/>
  <c r="H61" i="13"/>
  <c r="D24" i="7" s="1"/>
  <c r="H110" i="13"/>
  <c r="H79" i="13"/>
  <c r="D37" i="7" s="1"/>
  <c r="H156" i="13"/>
  <c r="H94" i="13"/>
  <c r="D57" i="7" s="1"/>
  <c r="H116" i="13"/>
  <c r="H51" i="13"/>
  <c r="H53" i="13" s="1"/>
  <c r="H35" i="13"/>
  <c r="H63" i="13"/>
  <c r="H119" i="13"/>
  <c r="H67" i="13"/>
  <c r="D25" i="7" s="1"/>
  <c r="H100" i="13"/>
  <c r="D47" i="7" s="1"/>
  <c r="H32" i="13"/>
  <c r="H101" i="13"/>
  <c r="D48" i="7" s="1"/>
  <c r="C39" i="15"/>
  <c r="D37" i="15"/>
  <c r="H98" i="13"/>
  <c r="D64" i="7" s="1"/>
  <c r="H76" i="13"/>
  <c r="D34" i="7" s="1"/>
  <c r="H24" i="13"/>
  <c r="D19" i="7" s="1"/>
  <c r="F19" i="7" s="1"/>
  <c r="H183" i="13" l="1"/>
  <c r="H151" i="13"/>
  <c r="D22" i="7"/>
  <c r="H43" i="13"/>
  <c r="E206" i="13"/>
  <c r="E208" i="13" s="1"/>
  <c r="E210" i="13" s="1"/>
  <c r="M63" i="7"/>
  <c r="M62" i="7"/>
  <c r="M21" i="7"/>
  <c r="M19" i="7"/>
  <c r="M18" i="7"/>
  <c r="M17" i="7"/>
  <c r="M9" i="7"/>
  <c r="M10" i="7"/>
  <c r="M8" i="7"/>
  <c r="M6" i="7"/>
  <c r="P6" i="7" s="1"/>
  <c r="D20" i="7" l="1"/>
  <c r="D65" i="7"/>
  <c r="P18" i="7"/>
  <c r="P19" i="7"/>
  <c r="G54" i="7"/>
  <c r="G55" i="7" s="1"/>
  <c r="G43" i="7"/>
  <c r="G35" i="7"/>
  <c r="G23" i="7"/>
  <c r="G22" i="7"/>
  <c r="G21" i="7"/>
  <c r="P9" i="7"/>
  <c r="P10" i="7"/>
  <c r="P15" i="7"/>
  <c r="P16" i="7"/>
  <c r="G19" i="7"/>
  <c r="G18" i="7"/>
  <c r="G17" i="7"/>
  <c r="G6" i="7"/>
  <c r="B63" i="4"/>
  <c r="H18" i="7" l="1"/>
  <c r="H19" i="7"/>
  <c r="G10" i="7"/>
  <c r="G9" i="7"/>
  <c r="G8" i="7"/>
  <c r="P8" i="7" l="1"/>
  <c r="B6" i="4" l="1"/>
  <c r="B7" i="4"/>
  <c r="E57" i="7" s="1"/>
  <c r="B8" i="4"/>
  <c r="B9" i="4"/>
  <c r="E38" i="7" l="1"/>
  <c r="F38" i="7" s="1"/>
  <c r="H38" i="7" s="1"/>
  <c r="F57" i="7"/>
  <c r="E58" i="7"/>
  <c r="F58" i="7" s="1"/>
  <c r="E55" i="7"/>
  <c r="F55" i="7" s="1"/>
  <c r="E23" i="7"/>
  <c r="F23" i="7" s="1"/>
  <c r="E32" i="7"/>
  <c r="F32" i="7" s="1"/>
  <c r="E41" i="7"/>
  <c r="F41" i="7" s="1"/>
  <c r="E28" i="7"/>
  <c r="F28" i="7" s="1"/>
  <c r="E36" i="7"/>
  <c r="F36" i="7" s="1"/>
  <c r="E33" i="7"/>
  <c r="F33" i="7" s="1"/>
  <c r="E37" i="7"/>
  <c r="F37" i="7" s="1"/>
  <c r="E29" i="7"/>
  <c r="F29" i="7" s="1"/>
  <c r="E42" i="7"/>
  <c r="F42" i="7" s="1"/>
  <c r="E24" i="7"/>
  <c r="E34" i="7"/>
  <c r="F34" i="7" s="1"/>
  <c r="E39" i="7"/>
  <c r="F39" i="7" s="1"/>
  <c r="E30" i="7"/>
  <c r="F30" i="7" s="1"/>
  <c r="E25" i="7"/>
  <c r="F25" i="7" s="1"/>
  <c r="D8" i="4"/>
  <c r="C7" i="4"/>
  <c r="E7" i="4"/>
  <c r="G7" i="4"/>
  <c r="F8" i="4"/>
  <c r="C8" i="4"/>
  <c r="D7" i="4"/>
  <c r="F7" i="4"/>
  <c r="H7" i="4"/>
  <c r="C9" i="4"/>
  <c r="H9" i="4"/>
  <c r="E8" i="4"/>
  <c r="G8" i="4"/>
  <c r="H8" i="4"/>
  <c r="C6" i="4"/>
  <c r="D6" i="4"/>
  <c r="E6" i="4"/>
  <c r="F6" i="4"/>
  <c r="G6" i="4"/>
  <c r="H6" i="4"/>
  <c r="P38" i="7" l="1"/>
  <c r="H58" i="7"/>
  <c r="P58" i="7"/>
  <c r="P57" i="7"/>
  <c r="H57" i="7"/>
  <c r="H30" i="7"/>
  <c r="P30" i="7"/>
  <c r="H39" i="7"/>
  <c r="P39" i="7"/>
  <c r="P34" i="7"/>
  <c r="H34" i="7"/>
  <c r="E56" i="7"/>
  <c r="F56" i="7" s="1"/>
  <c r="F24" i="7"/>
  <c r="P23" i="7"/>
  <c r="H23" i="7"/>
  <c r="H29" i="7"/>
  <c r="P29" i="7"/>
  <c r="H37" i="7"/>
  <c r="P37" i="7"/>
  <c r="H36" i="7"/>
  <c r="P36" i="7"/>
  <c r="H28" i="7"/>
  <c r="P28" i="7"/>
  <c r="H41" i="7"/>
  <c r="P41" i="7"/>
  <c r="H32" i="7"/>
  <c r="P32" i="7"/>
  <c r="P42" i="7"/>
  <c r="H42" i="7"/>
  <c r="P55" i="7"/>
  <c r="H55" i="7"/>
  <c r="H25" i="7"/>
  <c r="P25" i="7"/>
  <c r="H33" i="7"/>
  <c r="P33" i="7"/>
  <c r="G9" i="4"/>
  <c r="F9" i="4"/>
  <c r="E9" i="4"/>
  <c r="D9" i="4"/>
  <c r="P24" i="7" l="1"/>
  <c r="H24" i="7"/>
  <c r="P56" i="7"/>
  <c r="H56" i="7"/>
  <c r="D80" i="7"/>
  <c r="D66" i="7"/>
  <c r="G56" i="4" l="1"/>
  <c r="G57" i="4"/>
  <c r="B58" i="4"/>
  <c r="C57" i="4"/>
  <c r="C56" i="4"/>
  <c r="B12" i="4"/>
  <c r="B11" i="4"/>
  <c r="B10" i="4"/>
  <c r="E26" i="7" l="1"/>
  <c r="F26" i="7" s="1"/>
  <c r="E50" i="7"/>
  <c r="E61" i="7"/>
  <c r="E53" i="7"/>
  <c r="F53" i="7" s="1"/>
  <c r="E49" i="7"/>
  <c r="E45" i="7"/>
  <c r="F45" i="7" s="1"/>
  <c r="E60" i="7"/>
  <c r="F60" i="7" s="1"/>
  <c r="E52" i="7"/>
  <c r="F52" i="7" s="1"/>
  <c r="E48" i="7"/>
  <c r="E44" i="7"/>
  <c r="F44" i="7" s="1"/>
  <c r="E59" i="7"/>
  <c r="E51" i="7"/>
  <c r="F51" i="7" s="1"/>
  <c r="E47" i="7"/>
  <c r="E43" i="7"/>
  <c r="F43" i="7" s="1"/>
  <c r="E17" i="7"/>
  <c r="E7" i="7"/>
  <c r="F7" i="7" s="1"/>
  <c r="H7" i="7" s="1"/>
  <c r="E46" i="7"/>
  <c r="E62" i="7"/>
  <c r="F62" i="7" s="1"/>
  <c r="E10" i="7"/>
  <c r="E9" i="7"/>
  <c r="F9" i="7" s="1"/>
  <c r="H9" i="7" s="1"/>
  <c r="E8" i="7"/>
  <c r="E70" i="7"/>
  <c r="F61" i="7"/>
  <c r="F50" i="7"/>
  <c r="F49" i="7"/>
  <c r="F48" i="7"/>
  <c r="F59" i="7"/>
  <c r="F47" i="7"/>
  <c r="D58" i="4"/>
  <c r="S73" i="7" s="1"/>
  <c r="R73" i="7"/>
  <c r="E64" i="7"/>
  <c r="F64" i="7" s="1"/>
  <c r="E63" i="7"/>
  <c r="F63" i="7" s="1"/>
  <c r="E40" i="7"/>
  <c r="F40" i="7" s="1"/>
  <c r="E22" i="7"/>
  <c r="F22" i="7" s="1"/>
  <c r="E54" i="7"/>
  <c r="F54" i="7" s="1"/>
  <c r="E27" i="7"/>
  <c r="F27" i="7" s="1"/>
  <c r="E21" i="7"/>
  <c r="F21" i="7" s="1"/>
  <c r="E31" i="7"/>
  <c r="F31" i="7" s="1"/>
  <c r="E35" i="7"/>
  <c r="F35" i="7" s="1"/>
  <c r="E16" i="7"/>
  <c r="F16" i="7" s="1"/>
  <c r="H16" i="7" s="1"/>
  <c r="E13" i="7"/>
  <c r="F13" i="7" s="1"/>
  <c r="H13" i="7" s="1"/>
  <c r="E6" i="7"/>
  <c r="F6" i="7" s="1"/>
  <c r="E15" i="7"/>
  <c r="F15" i="7" s="1"/>
  <c r="H15" i="7" s="1"/>
  <c r="E14" i="7"/>
  <c r="F14" i="7" s="1"/>
  <c r="H14" i="7" s="1"/>
  <c r="E12" i="7"/>
  <c r="F12" i="7" s="1"/>
  <c r="H12" i="7" s="1"/>
  <c r="E11" i="7"/>
  <c r="F11" i="7" s="1"/>
  <c r="H11" i="7" s="1"/>
  <c r="F46" i="7"/>
  <c r="F17" i="7"/>
  <c r="C58" i="4"/>
  <c r="B61" i="4"/>
  <c r="C79" i="12"/>
  <c r="D79" i="12" s="1"/>
  <c r="F10" i="7"/>
  <c r="H10" i="7" s="1"/>
  <c r="F8" i="7"/>
  <c r="H8" i="7" s="1"/>
  <c r="H11" i="4"/>
  <c r="G11" i="4"/>
  <c r="F11" i="4"/>
  <c r="E11" i="4"/>
  <c r="D11" i="4"/>
  <c r="C11" i="4"/>
  <c r="H10" i="4"/>
  <c r="C10" i="4"/>
  <c r="G10" i="4"/>
  <c r="F10" i="4"/>
  <c r="E10" i="4"/>
  <c r="D10" i="4"/>
  <c r="H12" i="4"/>
  <c r="G12" i="4"/>
  <c r="F12" i="4"/>
  <c r="E12" i="4"/>
  <c r="D12" i="4"/>
  <c r="C12" i="4"/>
  <c r="G59" i="4"/>
  <c r="G61" i="4" s="1"/>
  <c r="H26" i="7" l="1"/>
  <c r="P26" i="7"/>
  <c r="H47" i="7"/>
  <c r="P47" i="7"/>
  <c r="H50" i="7"/>
  <c r="P50" i="7"/>
  <c r="P61" i="7"/>
  <c r="H61" i="7"/>
  <c r="H48" i="7"/>
  <c r="P48" i="7"/>
  <c r="P52" i="7"/>
  <c r="H52" i="7"/>
  <c r="P60" i="7"/>
  <c r="H60" i="7"/>
  <c r="H53" i="7"/>
  <c r="P53" i="7"/>
  <c r="H59" i="7"/>
  <c r="P59" i="7"/>
  <c r="P51" i="7"/>
  <c r="H51" i="7"/>
  <c r="P49" i="7"/>
  <c r="H49" i="7"/>
  <c r="H27" i="7"/>
  <c r="P27" i="7"/>
  <c r="H54" i="7"/>
  <c r="P46" i="7"/>
  <c r="H46" i="7"/>
  <c r="P62" i="7"/>
  <c r="H62" i="7"/>
  <c r="P44" i="7"/>
  <c r="H44" i="7"/>
  <c r="H31" i="7"/>
  <c r="P31" i="7"/>
  <c r="P64" i="7"/>
  <c r="H64" i="7"/>
  <c r="P45" i="7"/>
  <c r="H45" i="7"/>
  <c r="P43" i="7"/>
  <c r="H43" i="7"/>
  <c r="P22" i="7"/>
  <c r="H22" i="7"/>
  <c r="P40" i="7"/>
  <c r="H40" i="7"/>
  <c r="P63" i="7"/>
  <c r="H63" i="7"/>
  <c r="P35" i="7"/>
  <c r="H35" i="7"/>
  <c r="P17" i="7"/>
  <c r="H17" i="7"/>
  <c r="P21" i="7"/>
  <c r="F65" i="7"/>
  <c r="H6" i="7"/>
  <c r="H21" i="7"/>
  <c r="B62" i="4"/>
  <c r="B64" i="4" s="1"/>
  <c r="P65" i="7" l="1"/>
  <c r="F20" i="7"/>
  <c r="F66" i="7" s="1"/>
  <c r="H20" i="7"/>
  <c r="H65" i="7" l="1"/>
  <c r="H66" i="7" s="1"/>
  <c r="D82" i="7" s="1"/>
  <c r="D81" i="7"/>
  <c r="I70" i="7" l="1"/>
  <c r="J70" i="7" s="1"/>
  <c r="K70" i="7" s="1"/>
  <c r="L70" i="7" s="1"/>
  <c r="I52" i="7"/>
  <c r="J52" i="7" s="1"/>
  <c r="K52" i="7" s="1"/>
  <c r="L52" i="7" s="1"/>
  <c r="I61" i="7"/>
  <c r="J61" i="7" s="1"/>
  <c r="K61" i="7" s="1"/>
  <c r="L61" i="7" s="1"/>
  <c r="N61" i="7" s="1"/>
  <c r="I60" i="7"/>
  <c r="J60" i="7" s="1"/>
  <c r="K60" i="7" s="1"/>
  <c r="L60" i="7" s="1"/>
  <c r="I53" i="7"/>
  <c r="J53" i="7" s="1"/>
  <c r="K53" i="7" s="1"/>
  <c r="L53" i="7" s="1"/>
  <c r="N53" i="7" s="1"/>
  <c r="U53" i="7" s="1"/>
  <c r="V53" i="7" s="1"/>
  <c r="W53" i="7" s="1"/>
  <c r="I51" i="7"/>
  <c r="J51" i="7" s="1"/>
  <c r="K51" i="7" s="1"/>
  <c r="L51" i="7" s="1"/>
  <c r="I59" i="7"/>
  <c r="J59" i="7" s="1"/>
  <c r="K59" i="7" s="1"/>
  <c r="L59" i="7" s="1"/>
  <c r="N59" i="7" s="1"/>
  <c r="I50" i="7"/>
  <c r="J50" i="7" s="1"/>
  <c r="K50" i="7" s="1"/>
  <c r="L50" i="7" s="1"/>
  <c r="N50" i="7" s="1"/>
  <c r="I47" i="7"/>
  <c r="J47" i="7" s="1"/>
  <c r="K47" i="7" s="1"/>
  <c r="L47" i="7" s="1"/>
  <c r="N47" i="7" s="1"/>
  <c r="I48" i="7"/>
  <c r="J48" i="7" s="1"/>
  <c r="K48" i="7" s="1"/>
  <c r="L48" i="7" s="1"/>
  <c r="N48" i="7" s="1"/>
  <c r="I49" i="7"/>
  <c r="J49" i="7" s="1"/>
  <c r="K49" i="7" s="1"/>
  <c r="L49" i="7" s="1"/>
  <c r="N49" i="7" s="1"/>
  <c r="I58" i="7"/>
  <c r="J58" i="7" s="1"/>
  <c r="K58" i="7" s="1"/>
  <c r="L58" i="7" s="1"/>
  <c r="N58" i="7" s="1"/>
  <c r="U58" i="7" s="1"/>
  <c r="V58" i="7" s="1"/>
  <c r="W58" i="7" s="1"/>
  <c r="I7" i="7"/>
  <c r="J7" i="7" s="1"/>
  <c r="K7" i="7" s="1"/>
  <c r="L7" i="7" s="1"/>
  <c r="C20" i="12" s="1"/>
  <c r="D20" i="12" s="1"/>
  <c r="O7" i="7" s="1"/>
  <c r="I57" i="7"/>
  <c r="J57" i="7" s="1"/>
  <c r="K57" i="7" s="1"/>
  <c r="L57" i="7" s="1"/>
  <c r="N57" i="7" s="1"/>
  <c r="U57" i="7" s="1"/>
  <c r="V57" i="7" s="1"/>
  <c r="W57" i="7" s="1"/>
  <c r="P20" i="7"/>
  <c r="P66" i="7" s="1"/>
  <c r="I55" i="7"/>
  <c r="J55" i="7" s="1"/>
  <c r="K55" i="7" s="1"/>
  <c r="L55" i="7" s="1"/>
  <c r="C113" i="12" s="1"/>
  <c r="I42" i="7"/>
  <c r="J42" i="7" s="1"/>
  <c r="K42" i="7" s="1"/>
  <c r="L42" i="7" s="1"/>
  <c r="N42" i="7" s="1"/>
  <c r="I41" i="7"/>
  <c r="J41" i="7" s="1"/>
  <c r="K41" i="7" s="1"/>
  <c r="L41" i="7" s="1"/>
  <c r="N41" i="7" s="1"/>
  <c r="I39" i="7"/>
  <c r="J39" i="7" s="1"/>
  <c r="K39" i="7" s="1"/>
  <c r="L39" i="7" s="1"/>
  <c r="N39" i="7" s="1"/>
  <c r="I31" i="7"/>
  <c r="J31" i="7" s="1"/>
  <c r="K31" i="7" s="1"/>
  <c r="L31" i="7" s="1"/>
  <c r="I23" i="7"/>
  <c r="J23" i="7" s="1"/>
  <c r="K23" i="7" s="1"/>
  <c r="L23" i="7" s="1"/>
  <c r="N23" i="7" s="1"/>
  <c r="I29" i="7"/>
  <c r="J29" i="7" s="1"/>
  <c r="K29" i="7" s="1"/>
  <c r="L29" i="7" s="1"/>
  <c r="N29" i="7" s="1"/>
  <c r="I36" i="7"/>
  <c r="J36" i="7" s="1"/>
  <c r="K36" i="7" s="1"/>
  <c r="L36" i="7" s="1"/>
  <c r="N36" i="7" s="1"/>
  <c r="I28" i="7"/>
  <c r="J28" i="7" s="1"/>
  <c r="K28" i="7" s="1"/>
  <c r="L28" i="7" s="1"/>
  <c r="N28" i="7" s="1"/>
  <c r="I27" i="7"/>
  <c r="J27" i="7" s="1"/>
  <c r="K27" i="7" s="1"/>
  <c r="L27" i="7" s="1"/>
  <c r="I38" i="7"/>
  <c r="J38" i="7" s="1"/>
  <c r="K38" i="7" s="1"/>
  <c r="L38" i="7" s="1"/>
  <c r="N38" i="7" s="1"/>
  <c r="I30" i="7"/>
  <c r="J30" i="7" s="1"/>
  <c r="K30" i="7" s="1"/>
  <c r="L30" i="7" s="1"/>
  <c r="N30" i="7" s="1"/>
  <c r="I22" i="7"/>
  <c r="J22" i="7" s="1"/>
  <c r="K22" i="7" s="1"/>
  <c r="L22" i="7" s="1"/>
  <c r="I37" i="7"/>
  <c r="J37" i="7" s="1"/>
  <c r="K37" i="7" s="1"/>
  <c r="L37" i="7" s="1"/>
  <c r="N37" i="7" s="1"/>
  <c r="I35" i="7"/>
  <c r="J35" i="7" s="1"/>
  <c r="K35" i="7" s="1"/>
  <c r="L35" i="7" s="1"/>
  <c r="I33" i="7"/>
  <c r="J33" i="7" s="1"/>
  <c r="K33" i="7" s="1"/>
  <c r="L33" i="7" s="1"/>
  <c r="N33" i="7" s="1"/>
  <c r="I32" i="7"/>
  <c r="J32" i="7" s="1"/>
  <c r="K32" i="7" s="1"/>
  <c r="L32" i="7" s="1"/>
  <c r="N32" i="7" s="1"/>
  <c r="I26" i="7"/>
  <c r="J26" i="7" s="1"/>
  <c r="K26" i="7" s="1"/>
  <c r="L26" i="7" s="1"/>
  <c r="N26" i="7" s="1"/>
  <c r="I25" i="7"/>
  <c r="J25" i="7" s="1"/>
  <c r="K25" i="7" s="1"/>
  <c r="L25" i="7" s="1"/>
  <c r="N25" i="7" s="1"/>
  <c r="I40" i="7"/>
  <c r="J40" i="7" s="1"/>
  <c r="K40" i="7" s="1"/>
  <c r="L40" i="7" s="1"/>
  <c r="I24" i="7"/>
  <c r="J24" i="7" s="1"/>
  <c r="K24" i="7" s="1"/>
  <c r="L24" i="7" s="1"/>
  <c r="N24" i="7" s="1"/>
  <c r="I34" i="7"/>
  <c r="J34" i="7" s="1"/>
  <c r="K34" i="7" s="1"/>
  <c r="L34" i="7" s="1"/>
  <c r="N34" i="7" s="1"/>
  <c r="I13" i="7"/>
  <c r="J13" i="7" s="1"/>
  <c r="K13" i="7" s="1"/>
  <c r="L13" i="7" s="1"/>
  <c r="I14" i="7"/>
  <c r="J14" i="7" s="1"/>
  <c r="K14" i="7" s="1"/>
  <c r="L14" i="7" s="1"/>
  <c r="I12" i="7"/>
  <c r="J12" i="7" s="1"/>
  <c r="K12" i="7" s="1"/>
  <c r="L12" i="7" s="1"/>
  <c r="I11" i="7"/>
  <c r="J11" i="7" s="1"/>
  <c r="K11" i="7" s="1"/>
  <c r="L11" i="7" s="1"/>
  <c r="I6" i="7"/>
  <c r="J6" i="7" s="1"/>
  <c r="I43" i="7"/>
  <c r="J43" i="7" s="1"/>
  <c r="K43" i="7" s="1"/>
  <c r="L43" i="7" s="1"/>
  <c r="I44" i="7"/>
  <c r="J44" i="7" s="1"/>
  <c r="K44" i="7" s="1"/>
  <c r="L44" i="7" s="1"/>
  <c r="I45" i="7"/>
  <c r="J45" i="7" s="1"/>
  <c r="K45" i="7" s="1"/>
  <c r="L45" i="7" s="1"/>
  <c r="I46" i="7"/>
  <c r="J46" i="7" s="1"/>
  <c r="K46" i="7" s="1"/>
  <c r="L46" i="7" s="1"/>
  <c r="I54" i="7"/>
  <c r="J54" i="7" s="1"/>
  <c r="K54" i="7" s="1"/>
  <c r="L54" i="7" s="1"/>
  <c r="C129" i="12" s="1"/>
  <c r="I56" i="7"/>
  <c r="J56" i="7" s="1"/>
  <c r="K56" i="7" s="1"/>
  <c r="L56" i="7" s="1"/>
  <c r="I62" i="7"/>
  <c r="J62" i="7" s="1"/>
  <c r="K62" i="7" s="1"/>
  <c r="L62" i="7" s="1"/>
  <c r="C103" i="12" s="1"/>
  <c r="I63" i="7"/>
  <c r="J63" i="7" s="1"/>
  <c r="K63" i="7" s="1"/>
  <c r="L63" i="7" s="1"/>
  <c r="C106" i="12" s="1"/>
  <c r="I64" i="7"/>
  <c r="J64" i="7" s="1"/>
  <c r="K64" i="7" s="1"/>
  <c r="L64" i="7" s="1"/>
  <c r="I9" i="7"/>
  <c r="J9" i="7" s="1"/>
  <c r="K9" i="7" s="1"/>
  <c r="L9" i="7" s="1"/>
  <c r="I16" i="7"/>
  <c r="J16" i="7" s="1"/>
  <c r="K16" i="7" s="1"/>
  <c r="L16" i="7" s="1"/>
  <c r="I17" i="7"/>
  <c r="J17" i="7" s="1"/>
  <c r="K17" i="7" s="1"/>
  <c r="I19" i="7"/>
  <c r="J19" i="7" s="1"/>
  <c r="K19" i="7" s="1"/>
  <c r="I8" i="7"/>
  <c r="J8" i="7" s="1"/>
  <c r="K8" i="7" s="1"/>
  <c r="L8" i="7" s="1"/>
  <c r="I10" i="7"/>
  <c r="J10" i="7" s="1"/>
  <c r="K10" i="7" s="1"/>
  <c r="L10" i="7" s="1"/>
  <c r="I15" i="7"/>
  <c r="J15" i="7" s="1"/>
  <c r="K15" i="7" s="1"/>
  <c r="L15" i="7" s="1"/>
  <c r="C18" i="12" s="1"/>
  <c r="I18" i="7"/>
  <c r="J18" i="7" s="1"/>
  <c r="K18" i="7" s="1"/>
  <c r="I21" i="7"/>
  <c r="N70" i="7" l="1"/>
  <c r="C136" i="12"/>
  <c r="D136" i="12" s="1"/>
  <c r="C107" i="12"/>
  <c r="C75" i="12"/>
  <c r="D75" i="12" s="1"/>
  <c r="N60" i="7"/>
  <c r="C130" i="12"/>
  <c r="D130" i="12" s="1"/>
  <c r="C104" i="12"/>
  <c r="C74" i="12"/>
  <c r="D74" i="12" s="1"/>
  <c r="C133" i="12"/>
  <c r="D133" i="12" s="1"/>
  <c r="O70" i="7" s="1"/>
  <c r="S61" i="7"/>
  <c r="U61" i="7"/>
  <c r="V61" i="7" s="1"/>
  <c r="W61" i="7" s="1"/>
  <c r="N52" i="7"/>
  <c r="C63" i="12"/>
  <c r="S59" i="7"/>
  <c r="U59" i="7"/>
  <c r="V59" i="7" s="1"/>
  <c r="W59" i="7" s="1"/>
  <c r="C134" i="12"/>
  <c r="S53" i="7"/>
  <c r="N51" i="7"/>
  <c r="S51" i="7" s="1"/>
  <c r="C62" i="12"/>
  <c r="U49" i="7"/>
  <c r="S49" i="7"/>
  <c r="U48" i="7"/>
  <c r="S48" i="7"/>
  <c r="U47" i="7"/>
  <c r="S47" i="7"/>
  <c r="U50" i="7"/>
  <c r="V50" i="7" s="1"/>
  <c r="W50" i="7" s="1"/>
  <c r="S50" i="7"/>
  <c r="S58" i="7"/>
  <c r="N7" i="7"/>
  <c r="U7" i="7" s="1"/>
  <c r="V7" i="7" s="1"/>
  <c r="W7" i="7" s="1"/>
  <c r="S57" i="7"/>
  <c r="N64" i="7"/>
  <c r="C109" i="12"/>
  <c r="C76" i="12" s="1"/>
  <c r="D76" i="12" s="1"/>
  <c r="C114" i="12"/>
  <c r="C115" i="12"/>
  <c r="D115" i="12" s="1"/>
  <c r="N55" i="7"/>
  <c r="U55" i="7" s="1"/>
  <c r="V55" i="7" s="1"/>
  <c r="W55" i="7" s="1"/>
  <c r="D18" i="12"/>
  <c r="O15" i="7" s="1"/>
  <c r="C25" i="12"/>
  <c r="C32" i="12" s="1"/>
  <c r="N31" i="7"/>
  <c r="U31" i="7" s="1"/>
  <c r="V31" i="7" s="1"/>
  <c r="W31" i="7" s="1"/>
  <c r="C85" i="12"/>
  <c r="N35" i="7"/>
  <c r="U35" i="7" s="1"/>
  <c r="V35" i="7" s="1"/>
  <c r="W35" i="7" s="1"/>
  <c r="C86" i="12"/>
  <c r="N22" i="7"/>
  <c r="U22" i="7" s="1"/>
  <c r="V22" i="7" s="1"/>
  <c r="W22" i="7" s="1"/>
  <c r="C83" i="12"/>
  <c r="N40" i="7"/>
  <c r="U40" i="7" s="1"/>
  <c r="V40" i="7" s="1"/>
  <c r="W40" i="7" s="1"/>
  <c r="C87" i="12"/>
  <c r="N27" i="7"/>
  <c r="S27" i="7" s="1"/>
  <c r="C84" i="12"/>
  <c r="U41" i="7"/>
  <c r="S41" i="7"/>
  <c r="U42" i="7"/>
  <c r="S42" i="7"/>
  <c r="U25" i="7"/>
  <c r="V25" i="7" s="1"/>
  <c r="W25" i="7" s="1"/>
  <c r="S25" i="7"/>
  <c r="U32" i="7"/>
  <c r="V32" i="7" s="1"/>
  <c r="W32" i="7" s="1"/>
  <c r="S32" i="7"/>
  <c r="S33" i="7"/>
  <c r="U33" i="7"/>
  <c r="V33" i="7" s="1"/>
  <c r="W33" i="7" s="1"/>
  <c r="S29" i="7"/>
  <c r="U29" i="7"/>
  <c r="V29" i="7" s="1"/>
  <c r="W29" i="7" s="1"/>
  <c r="S36" i="7"/>
  <c r="U36" i="7"/>
  <c r="V36" i="7" s="1"/>
  <c r="W36" i="7" s="1"/>
  <c r="U34" i="7"/>
  <c r="V34" i="7" s="1"/>
  <c r="W34" i="7" s="1"/>
  <c r="S34" i="7"/>
  <c r="S37" i="7"/>
  <c r="U37" i="7"/>
  <c r="V37" i="7" s="1"/>
  <c r="W37" i="7" s="1"/>
  <c r="U23" i="7"/>
  <c r="V23" i="7" s="1"/>
  <c r="W23" i="7" s="1"/>
  <c r="S23" i="7"/>
  <c r="U38" i="7"/>
  <c r="V38" i="7" s="1"/>
  <c r="W38" i="7" s="1"/>
  <c r="S38" i="7"/>
  <c r="U27" i="7"/>
  <c r="V27" i="7" s="1"/>
  <c r="W27" i="7" s="1"/>
  <c r="S28" i="7"/>
  <c r="U28" i="7"/>
  <c r="V28" i="7" s="1"/>
  <c r="W28" i="7" s="1"/>
  <c r="U24" i="7"/>
  <c r="V24" i="7" s="1"/>
  <c r="W24" i="7" s="1"/>
  <c r="S24" i="7"/>
  <c r="U26" i="7"/>
  <c r="V26" i="7" s="1"/>
  <c r="W26" i="7" s="1"/>
  <c r="S26" i="7"/>
  <c r="U30" i="7"/>
  <c r="V30" i="7" s="1"/>
  <c r="W30" i="7" s="1"/>
  <c r="S30" i="7"/>
  <c r="U39" i="7"/>
  <c r="V39" i="7" s="1"/>
  <c r="W39" i="7" s="1"/>
  <c r="S39" i="7"/>
  <c r="N12" i="7"/>
  <c r="U12" i="7" s="1"/>
  <c r="V12" i="7" s="1"/>
  <c r="W12" i="7" s="1"/>
  <c r="C15" i="12"/>
  <c r="N11" i="7"/>
  <c r="U11" i="7" s="1"/>
  <c r="V11" i="7" s="1"/>
  <c r="W11" i="7" s="1"/>
  <c r="C14" i="12"/>
  <c r="N16" i="7"/>
  <c r="S16" i="7" s="1"/>
  <c r="C19" i="12"/>
  <c r="N14" i="7"/>
  <c r="U14" i="7" s="1"/>
  <c r="V14" i="7" s="1"/>
  <c r="W14" i="7" s="1"/>
  <c r="C17" i="12"/>
  <c r="N13" i="7"/>
  <c r="S13" i="7" s="1"/>
  <c r="C16" i="12"/>
  <c r="D16" i="12" s="1"/>
  <c r="O13" i="7" s="1"/>
  <c r="N8" i="7"/>
  <c r="C11" i="12"/>
  <c r="D11" i="12" s="1"/>
  <c r="N15" i="7"/>
  <c r="S15" i="7" s="1"/>
  <c r="N9" i="7"/>
  <c r="S9" i="7" s="1"/>
  <c r="C12" i="12"/>
  <c r="D12" i="12" s="1"/>
  <c r="O9" i="7" s="1"/>
  <c r="N10" i="7"/>
  <c r="S10" i="7" s="1"/>
  <c r="C13" i="12"/>
  <c r="D13" i="12" s="1"/>
  <c r="O10" i="7" s="1"/>
  <c r="J21" i="7"/>
  <c r="K21" i="7" s="1"/>
  <c r="L21" i="7" s="1"/>
  <c r="C82" i="12" s="1"/>
  <c r="I65" i="7"/>
  <c r="I20" i="7"/>
  <c r="L18" i="7"/>
  <c r="C27" i="12" s="1"/>
  <c r="L17" i="7"/>
  <c r="L19" i="7"/>
  <c r="C23" i="12" s="1"/>
  <c r="C30" i="12" s="1"/>
  <c r="N63" i="7"/>
  <c r="N56" i="7"/>
  <c r="N45" i="7"/>
  <c r="S45" i="7" s="1"/>
  <c r="N44" i="7"/>
  <c r="S44" i="7" s="1"/>
  <c r="N62" i="7"/>
  <c r="N54" i="7"/>
  <c r="N46" i="7"/>
  <c r="S46" i="7" s="1"/>
  <c r="N43" i="7"/>
  <c r="S43" i="7" s="1"/>
  <c r="K6" i="7"/>
  <c r="L6" i="7" s="1"/>
  <c r="Y7" i="7" l="1"/>
  <c r="Q9" i="7"/>
  <c r="R9" i="7" s="1"/>
  <c r="Q13" i="7"/>
  <c r="R13" i="7" s="1"/>
  <c r="Q10" i="7"/>
  <c r="R10" i="7" s="1"/>
  <c r="D30" i="12"/>
  <c r="C48" i="12"/>
  <c r="C36" i="12"/>
  <c r="C42" i="12"/>
  <c r="D42" i="12" s="1"/>
  <c r="C68" i="12"/>
  <c r="D68" i="12" s="1"/>
  <c r="C118" i="12"/>
  <c r="C124" i="12" s="1"/>
  <c r="D124" i="12" s="1"/>
  <c r="C50" i="12"/>
  <c r="D50" i="12" s="1"/>
  <c r="C38" i="12"/>
  <c r="D38" i="12" s="1"/>
  <c r="D32" i="12"/>
  <c r="C44" i="12"/>
  <c r="D44" i="12" s="1"/>
  <c r="D134" i="12"/>
  <c r="O53" i="7" s="1"/>
  <c r="Y53" i="7" s="1"/>
  <c r="C137" i="12"/>
  <c r="O60" i="7"/>
  <c r="O61" i="7"/>
  <c r="C121" i="12"/>
  <c r="C71" i="12"/>
  <c r="D71" i="12" s="1"/>
  <c r="U52" i="7"/>
  <c r="V52" i="7" s="1"/>
  <c r="W52" i="7" s="1"/>
  <c r="S52" i="7"/>
  <c r="U60" i="7"/>
  <c r="V60" i="7" s="1"/>
  <c r="W60" i="7" s="1"/>
  <c r="S60" i="7"/>
  <c r="C94" i="12"/>
  <c r="C72" i="12"/>
  <c r="D72" i="12" s="1"/>
  <c r="C117" i="12"/>
  <c r="C123" i="12" s="1"/>
  <c r="C67" i="12"/>
  <c r="D67" i="12" s="1"/>
  <c r="C119" i="12"/>
  <c r="C125" i="12" s="1"/>
  <c r="D125" i="12" s="1"/>
  <c r="C69" i="12"/>
  <c r="D69" i="12" s="1"/>
  <c r="C120" i="12"/>
  <c r="C126" i="12" s="1"/>
  <c r="D126" i="12" s="1"/>
  <c r="C70" i="12"/>
  <c r="D70" i="12" s="1"/>
  <c r="S63" i="7"/>
  <c r="U63" i="7"/>
  <c r="V63" i="7" s="1"/>
  <c r="W63" i="7" s="1"/>
  <c r="S54" i="7"/>
  <c r="U54" i="7"/>
  <c r="V54" i="7" s="1"/>
  <c r="W54" i="7" s="1"/>
  <c r="S64" i="7"/>
  <c r="U64" i="7"/>
  <c r="V64" i="7" s="1"/>
  <c r="W64" i="7" s="1"/>
  <c r="S62" i="7"/>
  <c r="U62" i="7"/>
  <c r="V62" i="7" s="1"/>
  <c r="W62" i="7" s="1"/>
  <c r="S56" i="7"/>
  <c r="U56" i="7"/>
  <c r="V56" i="7" s="1"/>
  <c r="W56" i="7" s="1"/>
  <c r="C61" i="12"/>
  <c r="D61" i="12" s="1"/>
  <c r="C64" i="12"/>
  <c r="D64" i="12" s="1"/>
  <c r="U51" i="7"/>
  <c r="V51" i="7" s="1"/>
  <c r="W51" i="7" s="1"/>
  <c r="O59" i="7"/>
  <c r="Y59" i="7" s="1"/>
  <c r="V47" i="7"/>
  <c r="W47" i="7" s="1"/>
  <c r="V48" i="7"/>
  <c r="W48" i="7" s="1"/>
  <c r="V49" i="7"/>
  <c r="W49" i="7" s="1"/>
  <c r="S7" i="7"/>
  <c r="O8" i="7"/>
  <c r="D109" i="12"/>
  <c r="O64" i="7" s="1"/>
  <c r="C110" i="12"/>
  <c r="D110" i="12" s="1"/>
  <c r="S55" i="7"/>
  <c r="S31" i="7"/>
  <c r="S40" i="7"/>
  <c r="S35" i="7"/>
  <c r="C97" i="12"/>
  <c r="C90" i="12"/>
  <c r="C93" i="12"/>
  <c r="C100" i="12"/>
  <c r="C96" i="12"/>
  <c r="C89" i="12"/>
  <c r="D19" i="12"/>
  <c r="O16" i="7" s="1"/>
  <c r="C26" i="12"/>
  <c r="C33" i="12" s="1"/>
  <c r="S22" i="7"/>
  <c r="C91" i="12"/>
  <c r="C98" i="12"/>
  <c r="C92" i="12"/>
  <c r="C99" i="12"/>
  <c r="D17" i="12"/>
  <c r="O14" i="7" s="1"/>
  <c r="Y14" i="7" s="1"/>
  <c r="C24" i="12"/>
  <c r="C31" i="12" s="1"/>
  <c r="V42" i="7"/>
  <c r="W42" i="7" s="1"/>
  <c r="V41" i="7"/>
  <c r="W41" i="7" s="1"/>
  <c r="S12" i="7"/>
  <c r="S11" i="7"/>
  <c r="U13" i="7"/>
  <c r="Y13" i="7" s="1"/>
  <c r="U16" i="7"/>
  <c r="V16" i="7" s="1"/>
  <c r="W16" i="7" s="1"/>
  <c r="S14" i="7"/>
  <c r="U9" i="7"/>
  <c r="V9" i="7" s="1"/>
  <c r="W9" i="7" s="1"/>
  <c r="U10" i="7"/>
  <c r="V10" i="7" s="1"/>
  <c r="W10" i="7" s="1"/>
  <c r="U15" i="7"/>
  <c r="V15" i="7" s="1"/>
  <c r="W15" i="7" s="1"/>
  <c r="N21" i="7"/>
  <c r="S21" i="7" s="1"/>
  <c r="Q15" i="7"/>
  <c r="R15" i="7" s="1"/>
  <c r="D113" i="12"/>
  <c r="D129" i="12"/>
  <c r="O54" i="7" s="1"/>
  <c r="D114" i="12"/>
  <c r="D106" i="12"/>
  <c r="O63" i="7" s="1"/>
  <c r="D107" i="12"/>
  <c r="N19" i="7"/>
  <c r="S19" i="7" s="1"/>
  <c r="C7" i="12"/>
  <c r="D7" i="12" s="1"/>
  <c r="O19" i="7" s="1"/>
  <c r="D103" i="12"/>
  <c r="D104" i="12"/>
  <c r="N6" i="7"/>
  <c r="U6" i="7" s="1"/>
  <c r="C10" i="12"/>
  <c r="D10" i="12" s="1"/>
  <c r="O6" i="7" s="1"/>
  <c r="Q6" i="7" s="1"/>
  <c r="N17" i="7"/>
  <c r="S17" i="7" s="1"/>
  <c r="D27" i="12"/>
  <c r="O17" i="7" s="1"/>
  <c r="D62" i="12"/>
  <c r="D63" i="12"/>
  <c r="O52" i="7" s="1"/>
  <c r="N18" i="7"/>
  <c r="S18" i="7" s="1"/>
  <c r="D14" i="12"/>
  <c r="D15" i="12"/>
  <c r="U43" i="7"/>
  <c r="U46" i="7"/>
  <c r="U44" i="7"/>
  <c r="U45" i="7"/>
  <c r="I66" i="7"/>
  <c r="U8" i="7"/>
  <c r="S8" i="7"/>
  <c r="Y63" i="7" l="1"/>
  <c r="Y52" i="7"/>
  <c r="T10" i="7"/>
  <c r="T9" i="7"/>
  <c r="X15" i="7"/>
  <c r="Y60" i="7"/>
  <c r="Y15" i="7"/>
  <c r="T13" i="7"/>
  <c r="Y64" i="7"/>
  <c r="Y10" i="7"/>
  <c r="Y9" i="7"/>
  <c r="X10" i="7"/>
  <c r="X9" i="7"/>
  <c r="Q19" i="7"/>
  <c r="R19" i="7" s="1"/>
  <c r="Q61" i="7"/>
  <c r="T61" i="7" s="1"/>
  <c r="Y61" i="7"/>
  <c r="Q54" i="7"/>
  <c r="Y54" i="7"/>
  <c r="Q17" i="7"/>
  <c r="R17" i="7" s="1"/>
  <c r="Q16" i="7"/>
  <c r="R16" i="7" s="1"/>
  <c r="X16" i="7" s="1"/>
  <c r="Y16" i="7"/>
  <c r="Q8" i="7"/>
  <c r="R8" i="7" s="1"/>
  <c r="Y8" i="7"/>
  <c r="D48" i="12"/>
  <c r="C57" i="12"/>
  <c r="C51" i="12"/>
  <c r="D51" i="12" s="1"/>
  <c r="C45" i="12"/>
  <c r="D45" i="12" s="1"/>
  <c r="C39" i="12"/>
  <c r="D39" i="12" s="1"/>
  <c r="D33" i="12"/>
  <c r="D31" i="12"/>
  <c r="C43" i="12"/>
  <c r="D43" i="12" s="1"/>
  <c r="C37" i="12"/>
  <c r="D37" i="12" s="1"/>
  <c r="C49" i="12"/>
  <c r="D49" i="12" s="1"/>
  <c r="C127" i="12"/>
  <c r="D127" i="12" s="1"/>
  <c r="D121" i="12"/>
  <c r="Q60" i="7"/>
  <c r="Q53" i="7"/>
  <c r="C53" i="12"/>
  <c r="D36" i="12"/>
  <c r="Q52" i="7"/>
  <c r="O51" i="7"/>
  <c r="Y51" i="7" s="1"/>
  <c r="O62" i="7"/>
  <c r="Q59" i="7"/>
  <c r="O58" i="7"/>
  <c r="O55" i="7"/>
  <c r="O57" i="7"/>
  <c r="Y57" i="7" s="1"/>
  <c r="Q7" i="7"/>
  <c r="Q14" i="7"/>
  <c r="R14" i="7" s="1"/>
  <c r="X14" i="7" s="1"/>
  <c r="V13" i="7"/>
  <c r="W13" i="7" s="1"/>
  <c r="X13" i="7" s="1"/>
  <c r="O12" i="7"/>
  <c r="Y12" i="7" s="1"/>
  <c r="O11" i="7"/>
  <c r="Y11" i="7" s="1"/>
  <c r="U19" i="7"/>
  <c r="V19" i="7" s="1"/>
  <c r="W19" i="7" s="1"/>
  <c r="U17" i="7"/>
  <c r="Y17" i="7" s="1"/>
  <c r="O56" i="7"/>
  <c r="D83" i="12"/>
  <c r="O22" i="7" s="1"/>
  <c r="Y22" i="7" s="1"/>
  <c r="D90" i="12"/>
  <c r="O47" i="7" s="1"/>
  <c r="Y47" i="7" s="1"/>
  <c r="D97" i="12"/>
  <c r="O43" i="7" s="1"/>
  <c r="Y43" i="7" s="1"/>
  <c r="D87" i="12"/>
  <c r="D120" i="12"/>
  <c r="D123" i="12"/>
  <c r="D93" i="12"/>
  <c r="O50" i="7" s="1"/>
  <c r="Y50" i="7" s="1"/>
  <c r="S6" i="7"/>
  <c r="T6" i="7" s="1"/>
  <c r="Q64" i="7"/>
  <c r="Q63" i="7"/>
  <c r="U18" i="7"/>
  <c r="V18" i="7" s="1"/>
  <c r="W18" i="7" s="1"/>
  <c r="D84" i="12"/>
  <c r="D98" i="12"/>
  <c r="O44" i="7" s="1"/>
  <c r="Y44" i="7" s="1"/>
  <c r="D117" i="12"/>
  <c r="D86" i="12"/>
  <c r="D100" i="12"/>
  <c r="O46" i="7" s="1"/>
  <c r="Y46" i="7" s="1"/>
  <c r="D92" i="12"/>
  <c r="O49" i="7" s="1"/>
  <c r="Y49" i="7" s="1"/>
  <c r="D119" i="12"/>
  <c r="R6" i="7"/>
  <c r="D85" i="12"/>
  <c r="D99" i="12"/>
  <c r="O45" i="7" s="1"/>
  <c r="Y45" i="7" s="1"/>
  <c r="D91" i="12"/>
  <c r="O48" i="7" s="1"/>
  <c r="Y48" i="7" s="1"/>
  <c r="D118" i="12"/>
  <c r="D82" i="12"/>
  <c r="D89" i="12"/>
  <c r="D96" i="12"/>
  <c r="D94" i="12"/>
  <c r="D23" i="12"/>
  <c r="O18" i="7" s="1"/>
  <c r="D25" i="12"/>
  <c r="D26" i="12"/>
  <c r="D24" i="12"/>
  <c r="T15" i="7"/>
  <c r="D137" i="12"/>
  <c r="V8" i="7"/>
  <c r="W8" i="7" s="1"/>
  <c r="V6" i="7"/>
  <c r="W6" i="7" s="1"/>
  <c r="Y6" i="7"/>
  <c r="V45" i="7"/>
  <c r="W45" i="7" s="1"/>
  <c r="V44" i="7"/>
  <c r="W44" i="7" s="1"/>
  <c r="V46" i="7"/>
  <c r="W46" i="7" s="1"/>
  <c r="V43" i="7"/>
  <c r="W43" i="7" s="1"/>
  <c r="U21" i="7"/>
  <c r="T17" i="7" l="1"/>
  <c r="T19" i="7"/>
  <c r="R61" i="7"/>
  <c r="X61" i="7" s="1"/>
  <c r="T16" i="7"/>
  <c r="X19" i="7"/>
  <c r="X8" i="7"/>
  <c r="Y19" i="7"/>
  <c r="Q56" i="7"/>
  <c r="R56" i="7" s="1"/>
  <c r="X56" i="7" s="1"/>
  <c r="Y56" i="7"/>
  <c r="Q58" i="7"/>
  <c r="R58" i="7" s="1"/>
  <c r="X58" i="7" s="1"/>
  <c r="Y58" i="7"/>
  <c r="T8" i="7"/>
  <c r="Q18" i="7"/>
  <c r="R18" i="7" s="1"/>
  <c r="X18" i="7" s="1"/>
  <c r="Y18" i="7"/>
  <c r="Q55" i="7"/>
  <c r="R55" i="7" s="1"/>
  <c r="X55" i="7" s="1"/>
  <c r="Y55" i="7"/>
  <c r="Q62" i="7"/>
  <c r="R62" i="7" s="1"/>
  <c r="X62" i="7" s="1"/>
  <c r="Y62" i="7"/>
  <c r="D57" i="12"/>
  <c r="C58" i="12"/>
  <c r="D58" i="12" s="1"/>
  <c r="T60" i="7"/>
  <c r="R60" i="7"/>
  <c r="X60" i="7" s="1"/>
  <c r="C54" i="12"/>
  <c r="D54" i="12" s="1"/>
  <c r="D53" i="12"/>
  <c r="T53" i="7"/>
  <c r="R53" i="7"/>
  <c r="X53" i="7" s="1"/>
  <c r="R52" i="7"/>
  <c r="X52" i="7" s="1"/>
  <c r="T52" i="7"/>
  <c r="Q49" i="7"/>
  <c r="Q47" i="7"/>
  <c r="Q48" i="7"/>
  <c r="Q50" i="7"/>
  <c r="T59" i="7"/>
  <c r="R59" i="7"/>
  <c r="X59" i="7" s="1"/>
  <c r="Q57" i="7"/>
  <c r="T7" i="7"/>
  <c r="R7" i="7"/>
  <c r="X7" i="7" s="1"/>
  <c r="T14" i="7"/>
  <c r="Q45" i="7"/>
  <c r="R45" i="7" s="1"/>
  <c r="X45" i="7" s="1"/>
  <c r="O31" i="7"/>
  <c r="Y31" i="7" s="1"/>
  <c r="Q22" i="7"/>
  <c r="R22" i="7" s="1"/>
  <c r="X22" i="7" s="1"/>
  <c r="O23" i="7"/>
  <c r="O35" i="7"/>
  <c r="Y35" i="7" s="1"/>
  <c r="O27" i="7"/>
  <c r="Y27" i="7" s="1"/>
  <c r="O40" i="7"/>
  <c r="Y40" i="7" s="1"/>
  <c r="Q11" i="7"/>
  <c r="Q12" i="7"/>
  <c r="V17" i="7"/>
  <c r="W17" i="7" s="1"/>
  <c r="X17" i="7" s="1"/>
  <c r="S20" i="7"/>
  <c r="X6" i="7"/>
  <c r="R54" i="7"/>
  <c r="X54" i="7" s="1"/>
  <c r="T54" i="7"/>
  <c r="O21" i="7"/>
  <c r="R63" i="7"/>
  <c r="X63" i="7" s="1"/>
  <c r="T63" i="7"/>
  <c r="R64" i="7"/>
  <c r="X64" i="7" s="1"/>
  <c r="T64" i="7"/>
  <c r="S65" i="7"/>
  <c r="V21" i="7"/>
  <c r="T18" i="7" l="1"/>
  <c r="T62" i="7"/>
  <c r="T58" i="7"/>
  <c r="T56" i="7"/>
  <c r="O24" i="7"/>
  <c r="Q24" i="7" s="1"/>
  <c r="Y23" i="7"/>
  <c r="Q21" i="7"/>
  <c r="R21" i="7" s="1"/>
  <c r="Y21" i="7"/>
  <c r="T55" i="7"/>
  <c r="Q51" i="7"/>
  <c r="R47" i="7"/>
  <c r="X47" i="7" s="1"/>
  <c r="T47" i="7"/>
  <c r="R48" i="7"/>
  <c r="X48" i="7" s="1"/>
  <c r="T48" i="7"/>
  <c r="R49" i="7"/>
  <c r="X49" i="7" s="1"/>
  <c r="T49" i="7"/>
  <c r="T50" i="7"/>
  <c r="R50" i="7"/>
  <c r="X50" i="7" s="1"/>
  <c r="T57" i="7"/>
  <c r="R57" i="7"/>
  <c r="X57" i="7" s="1"/>
  <c r="Q23" i="7"/>
  <c r="R23" i="7" s="1"/>
  <c r="X23" i="7" s="1"/>
  <c r="T45" i="7"/>
  <c r="T22" i="7"/>
  <c r="O28" i="7"/>
  <c r="Y28" i="7" s="1"/>
  <c r="Q27" i="7"/>
  <c r="O36" i="7"/>
  <c r="Y36" i="7" s="1"/>
  <c r="Q35" i="7"/>
  <c r="O41" i="7"/>
  <c r="Y41" i="7" s="1"/>
  <c r="Q40" i="7"/>
  <c r="O32" i="7"/>
  <c r="Y32" i="7" s="1"/>
  <c r="Q31" i="7"/>
  <c r="W20" i="7"/>
  <c r="V20" i="7"/>
  <c r="T12" i="7"/>
  <c r="R12" i="7"/>
  <c r="X12" i="7" s="1"/>
  <c r="T11" i="7"/>
  <c r="R11" i="7"/>
  <c r="X11" i="7" s="1"/>
  <c r="Q20" i="7"/>
  <c r="Q46" i="7"/>
  <c r="Q44" i="7"/>
  <c r="Q43" i="7"/>
  <c r="W21" i="7"/>
  <c r="V65" i="7"/>
  <c r="S66" i="7"/>
  <c r="X21" i="7" l="1"/>
  <c r="T21" i="7"/>
  <c r="O25" i="7"/>
  <c r="Y24" i="7"/>
  <c r="T51" i="7"/>
  <c r="R51" i="7"/>
  <c r="X51" i="7" s="1"/>
  <c r="T23" i="7"/>
  <c r="R35" i="7"/>
  <c r="X35" i="7" s="1"/>
  <c r="T35" i="7"/>
  <c r="O37" i="7"/>
  <c r="Y37" i="7" s="1"/>
  <c r="Q36" i="7"/>
  <c r="R24" i="7"/>
  <c r="X24" i="7" s="1"/>
  <c r="T24" i="7"/>
  <c r="R31" i="7"/>
  <c r="X31" i="7" s="1"/>
  <c r="T31" i="7"/>
  <c r="R27" i="7"/>
  <c r="X27" i="7" s="1"/>
  <c r="T27" i="7"/>
  <c r="O33" i="7"/>
  <c r="Y33" i="7" s="1"/>
  <c r="Q32" i="7"/>
  <c r="O29" i="7"/>
  <c r="Y29" i="7" s="1"/>
  <c r="Q28" i="7"/>
  <c r="R40" i="7"/>
  <c r="X40" i="7" s="1"/>
  <c r="T40" i="7"/>
  <c r="O42" i="7"/>
  <c r="Y42" i="7" s="1"/>
  <c r="Q41" i="7"/>
  <c r="T20" i="7"/>
  <c r="R20" i="7"/>
  <c r="X20" i="7" s="1"/>
  <c r="R44" i="7"/>
  <c r="X44" i="7" s="1"/>
  <c r="T44" i="7"/>
  <c r="R43" i="7"/>
  <c r="X43" i="7" s="1"/>
  <c r="T43" i="7"/>
  <c r="R46" i="7"/>
  <c r="X46" i="7" s="1"/>
  <c r="T46" i="7"/>
  <c r="W65" i="7"/>
  <c r="V66" i="7"/>
  <c r="O26" i="7" l="1"/>
  <c r="Y25" i="7"/>
  <c r="Q25" i="7"/>
  <c r="S69" i="7"/>
  <c r="R69" i="7"/>
  <c r="O30" i="7"/>
  <c r="Q29" i="7"/>
  <c r="R41" i="7"/>
  <c r="X41" i="7" s="1"/>
  <c r="T41" i="7"/>
  <c r="R32" i="7"/>
  <c r="X32" i="7" s="1"/>
  <c r="T32" i="7"/>
  <c r="Q42" i="7"/>
  <c r="O34" i="7"/>
  <c r="Y34" i="7" s="1"/>
  <c r="Q33" i="7"/>
  <c r="R36" i="7"/>
  <c r="X36" i="7" s="1"/>
  <c r="T36" i="7"/>
  <c r="O38" i="7"/>
  <c r="Y38" i="7" s="1"/>
  <c r="Q37" i="7"/>
  <c r="R28" i="7"/>
  <c r="X28" i="7" s="1"/>
  <c r="T28" i="7"/>
  <c r="W66" i="7"/>
  <c r="R25" i="7" l="1"/>
  <c r="X25" i="7" s="1"/>
  <c r="T25" i="7"/>
  <c r="Q30" i="7"/>
  <c r="R30" i="7" s="1"/>
  <c r="X30" i="7" s="1"/>
  <c r="Y30" i="7"/>
  <c r="Q26" i="7"/>
  <c r="Y26" i="7"/>
  <c r="R42" i="7"/>
  <c r="X42" i="7" s="1"/>
  <c r="T42" i="7"/>
  <c r="O39" i="7"/>
  <c r="Q38" i="7"/>
  <c r="R37" i="7"/>
  <c r="X37" i="7" s="1"/>
  <c r="T37" i="7"/>
  <c r="R33" i="7"/>
  <c r="X33" i="7" s="1"/>
  <c r="T33" i="7"/>
  <c r="R29" i="7"/>
  <c r="X29" i="7" s="1"/>
  <c r="T29" i="7"/>
  <c r="Q34" i="7"/>
  <c r="T30" i="7" l="1"/>
  <c r="Q39" i="7"/>
  <c r="T39" i="7" s="1"/>
  <c r="Y39" i="7"/>
  <c r="R26" i="7"/>
  <c r="X26" i="7" s="1"/>
  <c r="T26" i="7"/>
  <c r="R34" i="7"/>
  <c r="X34" i="7" s="1"/>
  <c r="T34" i="7"/>
  <c r="R38" i="7"/>
  <c r="X38" i="7" s="1"/>
  <c r="T38" i="7"/>
  <c r="Q65" i="7"/>
  <c r="Q66" i="7" s="1"/>
  <c r="R39" i="7" l="1"/>
  <c r="X39" i="7" s="1"/>
  <c r="T65" i="7"/>
  <c r="T66" i="7" s="1"/>
  <c r="R65" i="7" l="1"/>
  <c r="X65" i="7" s="1"/>
  <c r="R66" i="7" l="1"/>
  <c r="X66" i="7" s="1"/>
  <c r="R70" i="7"/>
  <c r="R71" i="7" s="1"/>
  <c r="R75" i="7" s="1"/>
  <c r="S70" i="7"/>
  <c r="B69" i="4" l="1"/>
  <c r="B70" i="4" s="1"/>
</calcChain>
</file>

<file path=xl/comments1.xml><?xml version="1.0" encoding="utf-8"?>
<comments xmlns="http://schemas.openxmlformats.org/spreadsheetml/2006/main">
  <authors>
    <author>WCNX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WCNX:</t>
        </r>
        <r>
          <rPr>
            <sz val="8"/>
            <color indexed="81"/>
            <rFont val="Tahoma"/>
            <family val="2"/>
          </rPr>
          <t xml:space="preserve">
Includes the Bill Areas: Yakima County, Grand View, Granger, Moxee, Selah, Toppenish, Union Gap, Yakima City
</t>
        </r>
      </text>
    </comment>
  </commentList>
</comments>
</file>

<file path=xl/sharedStrings.xml><?xml version="1.0" encoding="utf-8"?>
<sst xmlns="http://schemas.openxmlformats.org/spreadsheetml/2006/main" count="735" uniqueCount="625">
  <si>
    <t>Monthly Frequency</t>
  </si>
  <si>
    <t>Annual PU's</t>
  </si>
  <si>
    <t>Gross Up</t>
  </si>
  <si>
    <t>Totals</t>
  </si>
  <si>
    <t>Increase per ton</t>
  </si>
  <si>
    <t>Total Pick Ups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</si>
  <si>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</si>
  <si>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</si>
  <si>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</si>
  <si>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</si>
  <si>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</si>
  <si>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</si>
  <si>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</si>
  <si>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</si>
  <si>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</si>
  <si>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</si>
  <si>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</si>
  <si>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</si>
  <si>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</si>
  <si>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</si>
  <si>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</si>
  <si>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</si>
  <si>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</si>
  <si>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</si>
  <si>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</si>
  <si>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</si>
  <si>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</si>
  <si>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</si>
  <si>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</si>
  <si>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</si>
  <si>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</si>
  <si>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</si>
  <si>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</si>
  <si>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</si>
  <si>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</si>
  <si>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</si>
  <si>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</si>
  <si>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</si>
  <si>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Proposed Revenue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</si>
  <si>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</si>
  <si>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</si>
  <si>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</si>
  <si>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</si>
  <si>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</si>
  <si>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Company Increased Revenue</t>
  </si>
  <si>
    <t>Revised Tariff Rate</t>
  </si>
  <si>
    <t>Revised Revenue Increase</t>
  </si>
  <si>
    <t>Revised Revenue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</si>
  <si>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</si>
  <si>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</si>
  <si>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</si>
  <si>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</si>
  <si>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</si>
  <si>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</si>
  <si>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</si>
  <si>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</si>
  <si>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</si>
  <si>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</si>
  <si>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</si>
  <si>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</si>
  <si>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</si>
  <si>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</si>
  <si>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</si>
  <si>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</si>
  <si>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</si>
  <si>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</si>
  <si>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</si>
  <si>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</si>
  <si>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</si>
  <si>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</si>
  <si>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</si>
  <si>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</si>
  <si>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</si>
  <si>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</si>
  <si>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</si>
  <si>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</si>
  <si>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</si>
  <si>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</si>
  <si>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</si>
  <si>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</si>
  <si>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</si>
  <si>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</si>
  <si>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</si>
  <si>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</si>
  <si>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</si>
  <si>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</si>
  <si>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</si>
  <si>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Revenue</t>
  </si>
  <si>
    <t>Customers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</si>
  <si>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</si>
  <si>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</si>
  <si>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</si>
  <si>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</si>
  <si>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</si>
  <si>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</si>
  <si>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</si>
  <si>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</si>
  <si>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No Current Customers</t>
  </si>
  <si>
    <t>Average</t>
  </si>
  <si>
    <t>Service Code</t>
  </si>
  <si>
    <t>Service Code Description</t>
  </si>
  <si>
    <t>* not on meeks - calculated by staff</t>
  </si>
  <si>
    <t>6 yd container (2)</t>
  </si>
  <si>
    <t>4 yd container (2)</t>
  </si>
  <si>
    <t>3 yd container (2)</t>
  </si>
  <si>
    <t>1.5 yd container (2)</t>
  </si>
  <si>
    <t>Transfer Station</t>
  </si>
  <si>
    <t>1-20 GAL CAN WEEKLY SVC</t>
  </si>
  <si>
    <t>1-32 GAL CAN-WEEKLY SVC</t>
  </si>
  <si>
    <t>2-32 GAL CANS-WEEKLY SVC</t>
  </si>
  <si>
    <t>3-32 GAL CANS-WEEKLY SVC</t>
  </si>
  <si>
    <t>1-32 GAL CAN-ON CALL SVC</t>
  </si>
  <si>
    <t>EXTRA CAN/BAGS</t>
  </si>
  <si>
    <t>OVERFILL/OVERWEIGHT CHG</t>
  </si>
  <si>
    <t>1.5YD CONT 1X WEEKLY</t>
  </si>
  <si>
    <t>1.5YD CONT 2X WEEKLY</t>
  </si>
  <si>
    <t>8YD CONT 1X WEEKLY</t>
  </si>
  <si>
    <t>1.5YD TEMP CONT PU</t>
  </si>
  <si>
    <t>3-32 GAL CANS WKLY SVC</t>
  </si>
  <si>
    <t xml:space="preserve">Annual </t>
  </si>
  <si>
    <t>Monthly</t>
  </si>
  <si>
    <t>Tariff Rate</t>
  </si>
  <si>
    <t>Check</t>
  </si>
  <si>
    <t>Comments</t>
  </si>
  <si>
    <t>Oversized Container</t>
  </si>
  <si>
    <t>Mini Can</t>
  </si>
  <si>
    <t>1 Can Weekly</t>
  </si>
  <si>
    <t>2 Can Weekly</t>
  </si>
  <si>
    <t>3 Can Weekly</t>
  </si>
  <si>
    <t>4 Can Weekly</t>
  </si>
  <si>
    <t>5 Can Weekly</t>
  </si>
  <si>
    <t>96 Gal Weekly</t>
  </si>
  <si>
    <t>1 Can Monthly</t>
  </si>
  <si>
    <t>32 Gal Extra</t>
  </si>
  <si>
    <t>On-Call</t>
  </si>
  <si>
    <t>Item 230, Pg. 34</t>
  </si>
  <si>
    <t>1.5 Yard</t>
  </si>
  <si>
    <t>3 Yard</t>
  </si>
  <si>
    <t>4 Yard</t>
  </si>
  <si>
    <t>6 Yard</t>
  </si>
  <si>
    <t>8 Yard</t>
  </si>
  <si>
    <t>1.5 Yard - Special</t>
  </si>
  <si>
    <t>3 Yard - Special</t>
  </si>
  <si>
    <t>4 Yard - Special</t>
  </si>
  <si>
    <t>6 Yard - Special</t>
  </si>
  <si>
    <t>8 Yard - Special</t>
  </si>
  <si>
    <t>1.5 Yard - Temp</t>
  </si>
  <si>
    <t>96 Gal</t>
  </si>
  <si>
    <t>32 Gal</t>
  </si>
  <si>
    <t>32 Gal - Minimum</t>
  </si>
  <si>
    <t>35 gallon Can</t>
  </si>
  <si>
    <t>3 Yard - Temp</t>
  </si>
  <si>
    <t>4 Yard - Temp</t>
  </si>
  <si>
    <t>Item 55, Pg. 18</t>
  </si>
  <si>
    <t>6 Can Weekly</t>
  </si>
  <si>
    <t>64 Gal Weekly</t>
  </si>
  <si>
    <t>48 Gal Weekly</t>
  </si>
  <si>
    <t>Yakima Waste Systems, Inc. G-89</t>
  </si>
  <si>
    <t>Garbage</t>
  </si>
  <si>
    <t>Recycling</t>
  </si>
  <si>
    <t>Total 2014</t>
  </si>
  <si>
    <t>2014</t>
  </si>
  <si>
    <t>Yard Waste</t>
  </si>
  <si>
    <t>RESIDENTIAL SERVICES</t>
  </si>
  <si>
    <t>RESIDENTIAL GARBAGE</t>
  </si>
  <si>
    <t>RL020.0G1W001</t>
  </si>
  <si>
    <t>20 GL 1X WK 1</t>
  </si>
  <si>
    <t>RL032.0G1M001</t>
  </si>
  <si>
    <t>RL 32 GL 1X MO 1</t>
  </si>
  <si>
    <t>RL032.0G1W001</t>
  </si>
  <si>
    <t>RL 32 GL 1X WK 1</t>
  </si>
  <si>
    <t>RL032.0G1W002</t>
  </si>
  <si>
    <t>RL 32 GL 1X WK 2</t>
  </si>
  <si>
    <t>RL032.0G1W003</t>
  </si>
  <si>
    <t>RL 32 GL 1X WK 3</t>
  </si>
  <si>
    <t>RL032.0G1W004</t>
  </si>
  <si>
    <t>RL 32 GL 1X WK 4</t>
  </si>
  <si>
    <t>RL032.0G1W005</t>
  </si>
  <si>
    <t>RL 32 GL 1X WK 5</t>
  </si>
  <si>
    <t>RL032.0G1W006</t>
  </si>
  <si>
    <t>RL 32 GL 1X WK 6</t>
  </si>
  <si>
    <t>RL048.0G1W001</t>
  </si>
  <si>
    <t>RL 48 GL 1X WK 1</t>
  </si>
  <si>
    <t>RL064.0G1W001</t>
  </si>
  <si>
    <t>RL 64 GL 1X WK 1</t>
  </si>
  <si>
    <t>RL096.0G1W001</t>
  </si>
  <si>
    <t>RL 96 GL 1X WK 1</t>
  </si>
  <si>
    <t>RL32R-OC</t>
  </si>
  <si>
    <t>1 RL 32 GL ON CALL-RES</t>
  </si>
  <si>
    <t>EXTRA-RES</t>
  </si>
  <si>
    <t>EXTRA CAN, BAG, BOX - RES</t>
  </si>
  <si>
    <t>OS-RES</t>
  </si>
  <si>
    <t>OVERSIZE CAN - RES</t>
  </si>
  <si>
    <t>DEL-RES</t>
  </si>
  <si>
    <t>DELIVERY FEE - RES</t>
  </si>
  <si>
    <t>DISP-RES</t>
  </si>
  <si>
    <t>DISPOSAL FEE - RES</t>
  </si>
  <si>
    <t>SUNKENCAN-RES</t>
  </si>
  <si>
    <t>SUNKEN CAN FEE - RES</t>
  </si>
  <si>
    <t>WI1-RES</t>
  </si>
  <si>
    <t>WALK IN 6-25' - RES</t>
  </si>
  <si>
    <t>WI2-RES</t>
  </si>
  <si>
    <t>WALK IN 26-50' - RES</t>
  </si>
  <si>
    <t>WI3-RES</t>
  </si>
  <si>
    <t>WALK IN 51-75' - RES</t>
  </si>
  <si>
    <t>WI4-RES</t>
  </si>
  <si>
    <t>WALK IN 76-100' - RES</t>
  </si>
  <si>
    <t>WI5-RES</t>
  </si>
  <si>
    <t>WALK IN 101-125' - RES</t>
  </si>
  <si>
    <t>DRIVEIN-RES</t>
  </si>
  <si>
    <t>DRIVE IN SERVICE - RES</t>
  </si>
  <si>
    <t>DRIVEINEOW-RES</t>
  </si>
  <si>
    <t>DRIVE IN EOW CHARGE</t>
  </si>
  <si>
    <t>DRIVE-IN RES MTHLY</t>
  </si>
  <si>
    <t>DRIVE-IN SERVICE RES MONTHLY</t>
  </si>
  <si>
    <t>REDEL-RES</t>
  </si>
  <si>
    <t>REDELIVER FEE - RES</t>
  </si>
  <si>
    <t>REINSTATE-RES</t>
  </si>
  <si>
    <t>REINSTATE FEE - RES</t>
  </si>
  <si>
    <t>TRIP-RES</t>
  </si>
  <si>
    <t>TRIP FEE - RES</t>
  </si>
  <si>
    <t>TIME-RES</t>
  </si>
  <si>
    <t>TIME FEE 1 - RES</t>
  </si>
  <si>
    <t>ADJ-RES</t>
  </si>
  <si>
    <t>ADJUSTMENT RESIDENTIAL</t>
  </si>
  <si>
    <t>YFUEL-SERVICE</t>
  </si>
  <si>
    <t>FUEL &amp; MATERIAL SURCHARGE</t>
  </si>
  <si>
    <t>TOTAL RESIDENTIAL GARBAGE</t>
  </si>
  <si>
    <t>RESIDENTIAL RECYCLING</t>
  </si>
  <si>
    <t>SL064.0GEO001REC</t>
  </si>
  <si>
    <t>SL 64 GL EOW RECYCLE 1</t>
  </si>
  <si>
    <t>TOTAL RESIDENTIAL RECYCLING</t>
  </si>
  <si>
    <t>RESIDENTIAL YARD WASTE</t>
  </si>
  <si>
    <t>SL096.0GEO001GW</t>
  </si>
  <si>
    <t>SL 96 GL EOW GREENWASTE 1</t>
  </si>
  <si>
    <t>TOTAL RESIDENTIAL YARD WASTE</t>
  </si>
  <si>
    <t>COMMERCIAL SERVICES</t>
  </si>
  <si>
    <t>COMMERCIAL GARBAGE</t>
  </si>
  <si>
    <t>RL001.25Y1W001</t>
  </si>
  <si>
    <t>RL 1.25 YD 1X WK 1</t>
  </si>
  <si>
    <t>FL001.5Y1W001</t>
  </si>
  <si>
    <t>1.5 YD 1X WK 1</t>
  </si>
  <si>
    <t>FL001.5Y2W001</t>
  </si>
  <si>
    <t>1.5 YD 2X WK 1</t>
  </si>
  <si>
    <t>FL001.5Y3W001</t>
  </si>
  <si>
    <t>1.5 YD 3X WK 1</t>
  </si>
  <si>
    <t>FL001.5Y5W001</t>
  </si>
  <si>
    <t>FL 1.5 YD 5X WK 1</t>
  </si>
  <si>
    <t>RL001.5Y1W001</t>
  </si>
  <si>
    <t>RL 1.5 YD 1X WK 1</t>
  </si>
  <si>
    <t>RL001.5Y2W001</t>
  </si>
  <si>
    <t>RL 1.5 YD 2X WK 1</t>
  </si>
  <si>
    <t>RL001.5Y3W001</t>
  </si>
  <si>
    <t>RL 1.5 YD 3X WK 1</t>
  </si>
  <si>
    <t>RL001.25Y4W001</t>
  </si>
  <si>
    <t>RL 1.5 YD 4X WK 1</t>
  </si>
  <si>
    <t>RL001.5Y5W001</t>
  </si>
  <si>
    <t>RL 1.5 YD 5X WK 1</t>
  </si>
  <si>
    <t>RL001.5YEO001</t>
  </si>
  <si>
    <t>RL 1.5 YD EOW 1</t>
  </si>
  <si>
    <t>FL003.0Y1W001</t>
  </si>
  <si>
    <t>3 YD 1X WK 1</t>
  </si>
  <si>
    <t>FL003.0Y2W001</t>
  </si>
  <si>
    <t>3 YD 2X WK 1</t>
  </si>
  <si>
    <t>FL003.0Y3W001</t>
  </si>
  <si>
    <t>3 YD 3X WK 1</t>
  </si>
  <si>
    <t>FL003.0Y5W001</t>
  </si>
  <si>
    <t>3 YD 5X WK 1</t>
  </si>
  <si>
    <t>FL004.0Y1W001</t>
  </si>
  <si>
    <t>4 YD 1X WK 1</t>
  </si>
  <si>
    <t>FL004.0Y2W001</t>
  </si>
  <si>
    <t>4 YD 2X WK 1</t>
  </si>
  <si>
    <t>FL004.0Y3W001</t>
  </si>
  <si>
    <t>4 YD 3X WK 1</t>
  </si>
  <si>
    <t>FL004.0Y5W001</t>
  </si>
  <si>
    <t>FL 4 YD 5X WK 1</t>
  </si>
  <si>
    <t>FL006.0Y1W001</t>
  </si>
  <si>
    <t>6 YD 1X WK 1</t>
  </si>
  <si>
    <t>FL006.0Y2W001</t>
  </si>
  <si>
    <t>6 YD 2X WK 1</t>
  </si>
  <si>
    <t>FL006.0Y3W001</t>
  </si>
  <si>
    <t>6 YD 3X WK 1</t>
  </si>
  <si>
    <t>FL006.0Y4W001</t>
  </si>
  <si>
    <t>6 YD 4X WK 1</t>
  </si>
  <si>
    <t>FL006.0Y5W001</t>
  </si>
  <si>
    <t>6 YD 5X WK 1</t>
  </si>
  <si>
    <t>FL008.0Y1W001</t>
  </si>
  <si>
    <t>FL 8 YD 1X WK 1</t>
  </si>
  <si>
    <t>FL008.0Y2W001</t>
  </si>
  <si>
    <t>FL 8 YD 2X WK 1</t>
  </si>
  <si>
    <t>FL008.0Y3W001</t>
  </si>
  <si>
    <t>FL 8 YD 3X WK 1</t>
  </si>
  <si>
    <t>FL004.0Y1W001CMP</t>
  </si>
  <si>
    <t>4 YD 1X WK COMP 1</t>
  </si>
  <si>
    <t>FL1.5TC-COMM</t>
  </si>
  <si>
    <t>FL 1.5 YD TEMP - COMM</t>
  </si>
  <si>
    <t>RL1.5TC-COMM</t>
  </si>
  <si>
    <t>RL TEMPORARY 1.5 YD-COMM</t>
  </si>
  <si>
    <t>FL3TC-COMM</t>
  </si>
  <si>
    <t>FL 3 YD TEMP - COMM</t>
  </si>
  <si>
    <t>FL4TC-COMM</t>
  </si>
  <si>
    <t>FL 4 YD TEMP - COMM</t>
  </si>
  <si>
    <t>FL6TC-COMM</t>
  </si>
  <si>
    <t>FL 6 YD TEMP - COMM</t>
  </si>
  <si>
    <t>RL032.0G1W001COMM</t>
  </si>
  <si>
    <t>RL 32 GL 1X WK COMM 1</t>
  </si>
  <si>
    <t>RL032.0G1W002COMM</t>
  </si>
  <si>
    <t>RL 32 GL 1X WK COMM 2</t>
  </si>
  <si>
    <t>RL032.0G1W003COMM</t>
  </si>
  <si>
    <t>RL 32 GL 1X WK COMM 3</t>
  </si>
  <si>
    <t>RL032.0G1W004COMM</t>
  </si>
  <si>
    <t>RL 32 GL 1X WK COMM 4</t>
  </si>
  <si>
    <t>RL032.0G1W005COMM</t>
  </si>
  <si>
    <t>32 GL 1X WK COMM 5</t>
  </si>
  <si>
    <t>RL048.0G1W001COMM</t>
  </si>
  <si>
    <t>RL 48 GL 1X WK COMM 1</t>
  </si>
  <si>
    <t>RL064.0G1W001COMM</t>
  </si>
  <si>
    <t>RL 64 GL 1X WK COMM 1</t>
  </si>
  <si>
    <t>RL096.0G1W001COMM</t>
  </si>
  <si>
    <t>RL 96 GL 1X WK COMM 1</t>
  </si>
  <si>
    <t>ADD32GLCOM1W</t>
  </si>
  <si>
    <t>ADDTL 32 GL 1X WK COMM</t>
  </si>
  <si>
    <t>EP1.5-COMM</t>
  </si>
  <si>
    <t>EXTRA PICK UP 1.5 YD - CO</t>
  </si>
  <si>
    <t>EP3-COMM</t>
  </si>
  <si>
    <t>EXTRA PICK UP 3 YD - COMM</t>
  </si>
  <si>
    <t>EP4-COMM</t>
  </si>
  <si>
    <t>EXTRA PICK UP 4 YD - COMM</t>
  </si>
  <si>
    <t>EP6-COMM</t>
  </si>
  <si>
    <t>EXTRA PICK UP 6 YD - COMM</t>
  </si>
  <si>
    <t>EXTRA1TO4YD-COMM</t>
  </si>
  <si>
    <t>EXTRA PU 1 TO 4YD - COMM</t>
  </si>
  <si>
    <t>EXTRA5OVERYD-COMM</t>
  </si>
  <si>
    <t>EXTRA PU 5YD OVER - COMM</t>
  </si>
  <si>
    <t>EXTRA-COMM</t>
  </si>
  <si>
    <t>EXTRA CAN, BAG, BOX - COM</t>
  </si>
  <si>
    <t>OS-COMM</t>
  </si>
  <si>
    <t>OVERSIZE CAN - COMM</t>
  </si>
  <si>
    <t>DISP-COMM</t>
  </si>
  <si>
    <t>DISPOSAL FEE - COMM</t>
  </si>
  <si>
    <t>RT001.25Y0W000C</t>
  </si>
  <si>
    <t>RENTAL FEE 1.25 YD COMM</t>
  </si>
  <si>
    <t>RENT1.5-COMM</t>
  </si>
  <si>
    <t>RENTAL FEE 1.5 YD COMM</t>
  </si>
  <si>
    <t>RENT3-COMM</t>
  </si>
  <si>
    <t>RENTAL FEE 3 YD COMM</t>
  </si>
  <si>
    <t>RENT4-COMM</t>
  </si>
  <si>
    <t>RENTAL FEE 4 YD COMM</t>
  </si>
  <si>
    <t>RENT6-COMM</t>
  </si>
  <si>
    <t>RENTAL FEE 6 YD COMM</t>
  </si>
  <si>
    <t>RENT8-COMM</t>
  </si>
  <si>
    <t>RENTAL FEE 8 YD COMM</t>
  </si>
  <si>
    <t>RENT1.5TEMP-COMM</t>
  </si>
  <si>
    <t xml:space="preserve">RENTAL FEE 1.5 YD TEMP - </t>
  </si>
  <si>
    <t>RENT3TEMP-COMM</t>
  </si>
  <si>
    <t>RENTAL FEE 3 YD TEMP - CO</t>
  </si>
  <si>
    <t>RENT4TEMP-COMM</t>
  </si>
  <si>
    <t>RENTAL FEE 4YD TEMP - COM</t>
  </si>
  <si>
    <t>RENT6TEMP-COMM</t>
  </si>
  <si>
    <t>RENTAL FEE 6 YD TEMP - CO</t>
  </si>
  <si>
    <t>DRIVEIN-COMM</t>
  </si>
  <si>
    <t>DRIVE IN SERVICE - COMM</t>
  </si>
  <si>
    <t>ROLL-COMM</t>
  </si>
  <si>
    <t>ROLL OUT CHARGE - COMM</t>
  </si>
  <si>
    <t>WI1-COMM</t>
  </si>
  <si>
    <t>WALK IN 6-25' - COMM</t>
  </si>
  <si>
    <t>WI2-COMM</t>
  </si>
  <si>
    <t>WALK IN 26-50' - COMM</t>
  </si>
  <si>
    <t>WI3-COMM</t>
  </si>
  <si>
    <t>WALK IN 51-75 FT - COMM</t>
  </si>
  <si>
    <t>WI4-COMM</t>
  </si>
  <si>
    <t>WALK IN 76-100' - COMM</t>
  </si>
  <si>
    <t>SUNKENCAN-COMM</t>
  </si>
  <si>
    <t>SUNKEN CAN FEE - COMM</t>
  </si>
  <si>
    <t>CLEAN-COMM</t>
  </si>
  <si>
    <t>CONTAINER CLEANING FEE -</t>
  </si>
  <si>
    <t>CLEAN1.5YD-COMM</t>
  </si>
  <si>
    <t>CONT CLEAN 1.5 YD - COMM</t>
  </si>
  <si>
    <t>CLEAN2OVERYD-COMM</t>
  </si>
  <si>
    <t>CONT CLEAN 2YD OVER - COM</t>
  </si>
  <si>
    <t>CLEANPU7UNDER-COMM</t>
  </si>
  <si>
    <t>CLEAN PICKUP 7YD UNDER-CO</t>
  </si>
  <si>
    <t>PUREDEL1-COMM</t>
  </si>
  <si>
    <t>PU/REDEL UP TO 8 YDS - COMM</t>
  </si>
  <si>
    <t>CLEANPU8OVER-COMM</t>
  </si>
  <si>
    <t>CLEAN PICKUP 8YD OVER-COM</t>
  </si>
  <si>
    <t>DEL1.5-COMM</t>
  </si>
  <si>
    <t>DELIVERY FEE 1.5YD - COMM</t>
  </si>
  <si>
    <t>DEL3-COMM</t>
  </si>
  <si>
    <t>DELIVERY FEE 3YD - COMM</t>
  </si>
  <si>
    <t>DEL4-COMM</t>
  </si>
  <si>
    <t>DELIVERY FEE 4YD - COMM</t>
  </si>
  <si>
    <t>DEL6-COMM</t>
  </si>
  <si>
    <t>DELIVERY FEE 6YD - COMM</t>
  </si>
  <si>
    <t>DELTEMP-COMM</t>
  </si>
  <si>
    <t>DELIVERY FEE TEMP-COMM</t>
  </si>
  <si>
    <t>REINSTATE-COMM</t>
  </si>
  <si>
    <t>REINSTATE FEE - COMM</t>
  </si>
  <si>
    <t>TIME-COMM</t>
  </si>
  <si>
    <t>TIME FEE 1 - COMM</t>
  </si>
  <si>
    <t>TRIP1-COMM</t>
  </si>
  <si>
    <t>TRIP FEE - COMM</t>
  </si>
  <si>
    <t>UNLATCH-COMM</t>
  </si>
  <si>
    <t>UNLATCHING FEE-COMM</t>
  </si>
  <si>
    <t>UNLCKC</t>
  </si>
  <si>
    <t>UNLOCKING FEE - COMM</t>
  </si>
  <si>
    <t>REDEL1.5-COMM</t>
  </si>
  <si>
    <t>REDELIVERY FEE 1.5 YD - COMM</t>
  </si>
  <si>
    <t>REDEL3-COMM</t>
  </si>
  <si>
    <t>REDELIVERY FEE 3 YD - COMM</t>
  </si>
  <si>
    <t>REDEL4-COMM</t>
  </si>
  <si>
    <t>REDELIVERY FEE 4 YD - COMM</t>
  </si>
  <si>
    <t>REDEL6-COMM</t>
  </si>
  <si>
    <t>REDELIVERY FEE 6 YD - COMM</t>
  </si>
  <si>
    <t>REDEL-COMM</t>
  </si>
  <si>
    <t>REDELIVER FEE LVL 1 - COM</t>
  </si>
  <si>
    <t>ADJ-COM</t>
  </si>
  <si>
    <t>ADJUSTMENT COMMERCIAL</t>
  </si>
  <si>
    <t>YFUEL-RENT</t>
  </si>
  <si>
    <t>TOTAL COMMERCIAL GARBAGE</t>
  </si>
  <si>
    <t>DROP BOX SERVICES</t>
  </si>
  <si>
    <t>DROP BOX HAULS/RENTAL</t>
  </si>
  <si>
    <t>HAUL20-RO</t>
  </si>
  <si>
    <t>HAUL 20 YD - RO</t>
  </si>
  <si>
    <t>HAUL30-RO</t>
  </si>
  <si>
    <t>HAUL 30 YD - RO</t>
  </si>
  <si>
    <t>HAUL40-RO</t>
  </si>
  <si>
    <t>HAUL 40 YD - RO</t>
  </si>
  <si>
    <t>HAUL50-RO</t>
  </si>
  <si>
    <t>HAUL 50 YD - RO</t>
  </si>
  <si>
    <t>HAUL10-CP</t>
  </si>
  <si>
    <t>HAUL 10-18YD COMP - RO</t>
  </si>
  <si>
    <t>HAUL20-CP</t>
  </si>
  <si>
    <t>COMPACTOR HAUL 20 YD - RO</t>
  </si>
  <si>
    <t>HAUL25-CP</t>
  </si>
  <si>
    <t>COMPACTOR HAUL 25 YD - RO</t>
  </si>
  <si>
    <t>HAUL30-CP</t>
  </si>
  <si>
    <t>COMPACTOR HAUL 30 YD</t>
  </si>
  <si>
    <t>HAUL35-CP</t>
  </si>
  <si>
    <t>COMPACTOR HAUL 35 YD - RO</t>
  </si>
  <si>
    <t>HAUL36-CP</t>
  </si>
  <si>
    <t>HAUL 36YD COMP - RO</t>
  </si>
  <si>
    <t>HAUL40-CP</t>
  </si>
  <si>
    <t>COMPACTOR HAUL 40 YD</t>
  </si>
  <si>
    <t>HAUL20TEMP-RO</t>
  </si>
  <si>
    <t>HAUL 20 YD TEMP - RO</t>
  </si>
  <si>
    <t>HAUL30TEMP-RO</t>
  </si>
  <si>
    <t>HAUL 30 YD TEMP - RO</t>
  </si>
  <si>
    <t>HAUL40TEMP-RO</t>
  </si>
  <si>
    <t>HAUL 40 YD TEMP - RO</t>
  </si>
  <si>
    <t>DEL-RO</t>
  </si>
  <si>
    <t>DELIVERY FEE - RO</t>
  </si>
  <si>
    <t>RENT20MO-RO</t>
  </si>
  <si>
    <t>RENTAL FEE 20 YD MONTHLY</t>
  </si>
  <si>
    <t>RENT30MO-RO</t>
  </si>
  <si>
    <t>RENTAL FEE 30 YD MONTHLY</t>
  </si>
  <si>
    <t>RENT40MO-RO</t>
  </si>
  <si>
    <t>RENTAL FEE 40 YD MONTHLY</t>
  </si>
  <si>
    <t>RENT20DAY-RO</t>
  </si>
  <si>
    <t>RENTAL FEE 20 YD DAILY</t>
  </si>
  <si>
    <t>RENT30DAY-RO</t>
  </si>
  <si>
    <t>RENTAL FEE 30 YD DAILY</t>
  </si>
  <si>
    <t>RENT40DAY-RO</t>
  </si>
  <si>
    <t>RENTAL FEE 40 YD DAILY</t>
  </si>
  <si>
    <t>MILE-RO</t>
  </si>
  <si>
    <t>MILEAGE FEE - RO</t>
  </si>
  <si>
    <t>TIME-RO</t>
  </si>
  <si>
    <t>TIME FEE - RO</t>
  </si>
  <si>
    <t>ADJ-RO</t>
  </si>
  <si>
    <t>ADJUSTMENT ROLL OFF</t>
  </si>
  <si>
    <t>TOTAL DROP BOX HAULS/RENTAL</t>
  </si>
  <si>
    <t>PASSTHROUGH DISPOSAL</t>
  </si>
  <si>
    <t>DISP-RO</t>
  </si>
  <si>
    <t>DISPOSAL CHARGE - RO</t>
  </si>
  <si>
    <t>TOTAL PASSTHROUGH DISPOSAL</t>
  </si>
  <si>
    <t>Service Charges</t>
  </si>
  <si>
    <t>ADJ-FIN</t>
  </si>
  <si>
    <t>ADJUSTMENT FINANCE CHARGE</t>
  </si>
  <si>
    <t>FINCHG</t>
  </si>
  <si>
    <t>FINANCE CHARGE</t>
  </si>
  <si>
    <t>RETCKC</t>
  </si>
  <si>
    <t>RETURN CHECK CHARGE</t>
  </si>
  <si>
    <t>TOTAL SERVICE CHARGES</t>
  </si>
  <si>
    <t>TOTAL REVENUE</t>
  </si>
  <si>
    <t>Garbage:</t>
  </si>
  <si>
    <t>RO</t>
  </si>
  <si>
    <t>Other</t>
  </si>
  <si>
    <t>Items which can't be increased</t>
  </si>
  <si>
    <t>Minimum</t>
  </si>
  <si>
    <t>On Call</t>
  </si>
  <si>
    <t xml:space="preserve"> </t>
  </si>
  <si>
    <t>Additional</t>
  </si>
  <si>
    <t>Special Pickup:</t>
  </si>
  <si>
    <t>Disposal Summary</t>
  </si>
  <si>
    <t>Regulated</t>
  </si>
  <si>
    <t>Non-Regulated</t>
  </si>
  <si>
    <t>Packer Tons</t>
  </si>
  <si>
    <t>Packer $</t>
  </si>
  <si>
    <t>RO Tons</t>
  </si>
  <si>
    <t>RO $</t>
  </si>
  <si>
    <t>YW Tons</t>
  </si>
  <si>
    <t>YW $</t>
  </si>
  <si>
    <t>WD Tons</t>
  </si>
  <si>
    <t>WD $</t>
  </si>
  <si>
    <t>Total Tons</t>
  </si>
  <si>
    <t>Total Expense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</si>
  <si>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</si>
  <si>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</si>
  <si>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</si>
  <si>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</si>
  <si>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</si>
  <si>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</si>
  <si>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</si>
  <si>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</si>
  <si>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</si>
  <si>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</si>
  <si>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</si>
  <si>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</si>
  <si>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Accrual</t>
  </si>
  <si>
    <t>Per GL</t>
  </si>
  <si>
    <t>Difference</t>
  </si>
  <si>
    <t xml:space="preserve">Non-Reg </t>
  </si>
  <si>
    <t>4-32 GAL CANS-WEEKLY SVC</t>
  </si>
  <si>
    <t>5-32 GAL CANS-WEEKLY SVC</t>
  </si>
  <si>
    <t>6-32 GAL CANS-WEEKLY SVC</t>
  </si>
  <si>
    <t>1-64 GAL CART WEEKLY SVC</t>
  </si>
  <si>
    <t>1-48 GAL CART WEEKLY SVC</t>
  </si>
  <si>
    <t>1-96 GAL CARTS WEEKLY SVC</t>
  </si>
  <si>
    <t>48 gallon Can</t>
  </si>
  <si>
    <t>64 gallon Can</t>
  </si>
  <si>
    <t>96 gallon Can</t>
  </si>
  <si>
    <t>*  1.5 cans</t>
  </si>
  <si>
    <t>*  2 cans</t>
  </si>
  <si>
    <t>*  3 cans</t>
  </si>
  <si>
    <t>On Call/Oversize</t>
  </si>
  <si>
    <t>48 Gal Extra</t>
  </si>
  <si>
    <t>64 Gal Extra</t>
  </si>
  <si>
    <t>Item 100, Pg. 23</t>
  </si>
  <si>
    <t>Item 100, Pg. 24</t>
  </si>
  <si>
    <t>Item 105, Pg. 27</t>
  </si>
  <si>
    <t>32 gal</t>
  </si>
  <si>
    <t>48 Gal</t>
  </si>
  <si>
    <t>64 Gal</t>
  </si>
  <si>
    <t>Minimum Monthly Chrg</t>
  </si>
  <si>
    <t>Occasional Extra</t>
  </si>
  <si>
    <t>Each Additional Can/Unit</t>
  </si>
  <si>
    <t>Item 150, Pg. 28</t>
  </si>
  <si>
    <t xml:space="preserve">Loose Material </t>
  </si>
  <si>
    <t>Bulky Material</t>
  </si>
  <si>
    <t>1.25 Yard</t>
  </si>
  <si>
    <t>1.50 Yard</t>
  </si>
  <si>
    <t>Item 207, Pg. 32</t>
  </si>
  <si>
    <t>Snipes/Cheyne/County</t>
  </si>
  <si>
    <t>Item 240, Pg. 35</t>
  </si>
  <si>
    <t>1.25 Yard - Special</t>
  </si>
  <si>
    <t>1.25 Yard - Temp</t>
  </si>
  <si>
    <t>Item 240, Pg 36</t>
  </si>
  <si>
    <t>48 Gal - Special</t>
  </si>
  <si>
    <t>64 Gal - Special</t>
  </si>
  <si>
    <t>96 Gal - Special</t>
  </si>
  <si>
    <t>Item 245, Pg. 37</t>
  </si>
  <si>
    <t>32 Gal - Special</t>
  </si>
  <si>
    <t>32 Gal - Special Add'l Unit</t>
  </si>
  <si>
    <t>1.25YD CONT 1X WEEKLY</t>
  </si>
  <si>
    <t>1.5YD CONT 3X WEEKLY</t>
  </si>
  <si>
    <t>1.5YD CONT 5X WEEKLY</t>
  </si>
  <si>
    <t>1.5YD CONT EOW</t>
  </si>
  <si>
    <t xml:space="preserve">3YD CONT 2X WEEKLY </t>
  </si>
  <si>
    <t xml:space="preserve">3YD CONT 1X WEEKLY </t>
  </si>
  <si>
    <t xml:space="preserve">3YD CONT 3X WEEKLY </t>
  </si>
  <si>
    <t xml:space="preserve">3YD CONT 5X WEEKLY </t>
  </si>
  <si>
    <t xml:space="preserve">4YD CONT 1X WEEKLY </t>
  </si>
  <si>
    <t xml:space="preserve">4YD CONT 2X WEEKLY </t>
  </si>
  <si>
    <t xml:space="preserve">4YD CONT 3X WEEKLY </t>
  </si>
  <si>
    <t xml:space="preserve">4YD CONT 5X WEEKLY </t>
  </si>
  <si>
    <t xml:space="preserve">6YD CONT 1X WEEKLY </t>
  </si>
  <si>
    <t xml:space="preserve">6YD CONT 2X WEEKLY </t>
  </si>
  <si>
    <t xml:space="preserve">6YD CONT 3X WEEKLY </t>
  </si>
  <si>
    <t xml:space="preserve">6YD CONT 5X WEEKLY </t>
  </si>
  <si>
    <t xml:space="preserve">6YD CONT 4X WEEKLY </t>
  </si>
  <si>
    <t>8YD CONT 2X WEEKLY</t>
  </si>
  <si>
    <t>8YD CONT 3X WEEKLY</t>
  </si>
  <si>
    <t>3YD TEMP CONT PU</t>
  </si>
  <si>
    <t>4YD TEMP CONT PU</t>
  </si>
  <si>
    <t>6YD TEMP CONT PU</t>
  </si>
  <si>
    <t>4YD COMP</t>
  </si>
  <si>
    <t xml:space="preserve">1-32 GAL CAN Minimum </t>
  </si>
  <si>
    <t>1-48 GAL CAN WEEKLY SVC</t>
  </si>
  <si>
    <t>1-64 GAL CART CMML WKLY</t>
  </si>
  <si>
    <t>1-96 GAL CART CMML WKLY</t>
  </si>
  <si>
    <t>1-32 GAL CAN MONTHLY</t>
  </si>
  <si>
    <t xml:space="preserve">2-32 GAL CAN </t>
  </si>
  <si>
    <t>4-32 GAL CANS WKLY SVC</t>
  </si>
  <si>
    <t>5-32 GAL CANS WKLY SVC</t>
  </si>
  <si>
    <t>ADDITIONAL CAN WEEKLY</t>
  </si>
  <si>
    <t>Item 255, Pg. 38 (2:75 Compaction Ratio)</t>
  </si>
  <si>
    <t>1.5YD SPECIAL PU</t>
  </si>
  <si>
    <t>3YD SPECIAL PU</t>
  </si>
  <si>
    <t>4YD SPECIAL PU</t>
  </si>
  <si>
    <t>6YD SPECIAL PU</t>
  </si>
  <si>
    <t>OVERSIZE CAN COMM</t>
  </si>
  <si>
    <t>EXTRA 1-4 Yes</t>
  </si>
  <si>
    <t>OVER 4 YD</t>
  </si>
  <si>
    <t>EXTRA CAN/BAG/BOX</t>
  </si>
  <si>
    <t>3YD COMP</t>
  </si>
  <si>
    <t>Roll-Off</t>
  </si>
  <si>
    <t>No Customers</t>
  </si>
  <si>
    <t>Other no customer services listed on proposed rate schedule  are increased by the</t>
  </si>
  <si>
    <t>same rate as other identical services.  No separate calculation required.</t>
  </si>
  <si>
    <t>Company Calculated Rate</t>
  </si>
  <si>
    <t>Litter Receptacle</t>
  </si>
  <si>
    <t>Item 130, Pg. 28</t>
  </si>
  <si>
    <t>Minimum Monthly</t>
  </si>
  <si>
    <t>Dump Fee Calc References</t>
  </si>
  <si>
    <t>Dump Fee Calculation</t>
  </si>
  <si>
    <t>Current Tariff Rate</t>
  </si>
  <si>
    <t>Proposed Increase</t>
  </si>
  <si>
    <t>Jan. 1, 2014 - Dec. 31, 2014</t>
  </si>
  <si>
    <t>Note from Heather Garland: Customer Counts and Disposal Schedule are from Filing under TG-150435 audit, effective June 1, 2015.</t>
  </si>
  <si>
    <t>Note from Heather Garland: Customer Counts and Disposal Schedule are from Filing under TG-150435 audit, effective June 1, 2015.  The information shaded gray was taken directly from the audited file.</t>
  </si>
  <si>
    <t>6 Yard - Temp</t>
  </si>
  <si>
    <t>Effective 2-1-2017</t>
  </si>
  <si>
    <t>Proposed Rates Effective 2-1-2017</t>
  </si>
  <si>
    <t>New 2/1/2017 Rate</t>
  </si>
  <si>
    <t>Yakima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</si>
</sst>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_(&quot;$&quot;* #,##0.00_);_(&quot;$&quot;* \(#,##0.00\);_(&quot;$&quot;* &quot;-&quot;????_);_(@_)"/>
    <numFmt numFmtId="173" formatCode="[$-409]mmm\-yy;@"/>
    <numFmt numFmtId="174" formatCode="&quot;$&quot;#,##0\ ;\(&quot;$&quot;#,##0\)"/>
    <numFmt numFmtId="175" formatCode="&quot;$&quot;#,##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2"/>
      <name val="Arial MT"/>
    </font>
    <font>
      <b/>
      <u/>
      <sz val="11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46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6" fillId="0" borderId="0" applyFont="0" applyFill="0" applyBorder="0" applyAlignment="0" applyProtection="0"/>
    <xf numFmtId="14" fontId="2" fillId="0" borderId="0"/>
    <xf numFmtId="0" fontId="2" fillId="0" borderId="0"/>
    <xf numFmtId="1" fontId="2" fillId="0" borderId="0">
      <alignment horizontal="center"/>
    </xf>
    <xf numFmtId="0" fontId="51" fillId="35" borderId="0" applyNumberFormat="0" applyBorder="0" applyAlignment="0" applyProtection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9" fontId="5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53" fillId="0" borderId="0"/>
    <xf numFmtId="0" fontId="2" fillId="0" borderId="0"/>
    <xf numFmtId="43" fontId="1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36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16" borderId="0" applyNumberFormat="0" applyBorder="0" applyAlignment="0" applyProtection="0"/>
    <xf numFmtId="0" fontId="60" fillId="24" borderId="4" applyNumberFormat="0" applyAlignment="0" applyProtection="0"/>
    <xf numFmtId="0" fontId="60" fillId="12" borderId="4" applyNumberFormat="0" applyAlignment="0" applyProtection="0"/>
    <xf numFmtId="43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22" fillId="0" borderId="27" applyNumberFormat="0" applyFill="0" applyAlignment="0" applyProtection="0"/>
    <xf numFmtId="0" fontId="61" fillId="0" borderId="28" applyNumberFormat="0" applyFill="0" applyAlignment="0" applyProtection="0"/>
    <xf numFmtId="0" fontId="23" fillId="0" borderId="10" applyNumberFormat="0" applyFill="0" applyAlignment="0" applyProtection="0"/>
    <xf numFmtId="0" fontId="62" fillId="0" borderId="10" applyNumberFormat="0" applyFill="0" applyAlignment="0" applyProtection="0"/>
    <xf numFmtId="0" fontId="24" fillId="0" borderId="29" applyNumberFormat="0" applyFill="0" applyAlignment="0" applyProtection="0"/>
    <xf numFmtId="0" fontId="63" fillId="0" borderId="30" applyNumberFormat="0" applyFill="0" applyAlignment="0" applyProtection="0"/>
    <xf numFmtId="0" fontId="64" fillId="0" borderId="31" applyNumberFormat="0" applyFill="0" applyAlignment="0" applyProtection="0"/>
    <xf numFmtId="0" fontId="65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15" applyNumberFormat="0" applyFont="0" applyAlignment="0" applyProtection="0"/>
    <xf numFmtId="0" fontId="50" fillId="10" borderId="15" applyNumberFormat="0" applyFont="0" applyAlignment="0" applyProtection="0"/>
    <xf numFmtId="9" fontId="8" fillId="0" borderId="0" applyFont="0" applyFill="0" applyBorder="0" applyAlignment="0" applyProtection="0"/>
    <xf numFmtId="0" fontId="31" fillId="0" borderId="32" applyNumberFormat="0" applyFill="0" applyAlignment="0" applyProtection="0"/>
    <xf numFmtId="0" fontId="31" fillId="0" borderId="33" applyNumberFormat="0" applyFill="0" applyAlignment="0" applyProtection="0"/>
    <xf numFmtId="0" fontId="2" fillId="0" borderId="0"/>
    <xf numFmtId="0" fontId="2" fillId="0" borderId="0"/>
  </cellStyleXfs>
  <cellXfs count="264">
    <xf numFmtId="0" fontId="0" fillId="0" borderId="0" xfId="0"/>
    <xf numFmtId="43" fontId="0" fillId="0" borderId="0" xfId="1" applyFont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0" borderId="0" xfId="0" applyFont="1"/>
    <xf numFmtId="0" fontId="3" fillId="0" borderId="0" xfId="0" applyFont="1"/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Fill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43" fontId="0" fillId="0" borderId="0" xfId="1" applyFont="1" applyBorder="1" applyAlignment="1">
      <alignment horizontal="right"/>
    </xf>
    <xf numFmtId="166" fontId="0" fillId="0" borderId="1" xfId="1" applyNumberFormat="1" applyFont="1" applyBorder="1"/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0" fontId="11" fillId="0" borderId="0" xfId="4" applyFont="1" applyFill="1" applyBorder="1" applyAlignment="1">
      <alignment horizontal="left"/>
    </xf>
    <xf numFmtId="166" fontId="11" fillId="0" borderId="0" xfId="1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0" applyNumberFormat="1" applyFont="1" applyFill="1" applyBorder="1"/>
    <xf numFmtId="43" fontId="0" fillId="6" borderId="1" xfId="0" applyNumberFormat="1" applyFont="1" applyFill="1" applyBorder="1"/>
    <xf numFmtId="166" fontId="3" fillId="6" borderId="1" xfId="1" applyNumberFormat="1" applyFont="1" applyFill="1" applyBorder="1"/>
    <xf numFmtId="166" fontId="3" fillId="0" borderId="1" xfId="1" applyNumberFormat="1" applyFont="1" applyBorder="1" applyAlignment="1">
      <alignment horizontal="center"/>
    </xf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3" applyFont="1" applyBorder="1" applyAlignment="1">
      <alignment horizontal="left"/>
    </xf>
    <xf numFmtId="166" fontId="0" fillId="5" borderId="0" xfId="1" applyNumberFormat="1" applyFont="1" applyFill="1" applyBorder="1" applyAlignment="1">
      <alignment horizontal="righ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2" borderId="0" xfId="2" applyFont="1" applyFill="1" applyBorder="1"/>
    <xf numFmtId="44" fontId="3" fillId="6" borderId="1" xfId="2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0" fillId="32" borderId="0" xfId="0" applyFont="1" applyFill="1" applyBorder="1"/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right"/>
    </xf>
    <xf numFmtId="166" fontId="0" fillId="32" borderId="0" xfId="1" applyNumberFormat="1" applyFont="1" applyFill="1" applyBorder="1"/>
    <xf numFmtId="44" fontId="0" fillId="32" borderId="0" xfId="1" applyNumberFormat="1" applyFont="1" applyFill="1" applyBorder="1"/>
    <xf numFmtId="0" fontId="3" fillId="32" borderId="0" xfId="0" applyFont="1" applyFill="1" applyBorder="1"/>
    <xf numFmtId="43" fontId="0" fillId="0" borderId="1" xfId="1" applyFont="1" applyBorder="1" applyAlignment="1">
      <alignment horizontal="right"/>
    </xf>
    <xf numFmtId="43" fontId="0" fillId="0" borderId="1" xfId="1" applyFont="1" applyFill="1" applyBorder="1"/>
    <xf numFmtId="166" fontId="0" fillId="0" borderId="1" xfId="1" applyNumberFormat="1" applyFont="1" applyFill="1" applyBorder="1"/>
    <xf numFmtId="0" fontId="0" fillId="6" borderId="1" xfId="0" applyFont="1" applyFill="1" applyBorder="1" applyAlignment="1">
      <alignment horizontal="center" vertical="center"/>
    </xf>
    <xf numFmtId="3" fontId="3" fillId="6" borderId="1" xfId="0" applyNumberFormat="1" applyFont="1" applyFill="1" applyBorder="1"/>
    <xf numFmtId="0" fontId="0" fillId="0" borderId="0" xfId="0" applyFont="1" applyFill="1" applyBorder="1" applyAlignment="1"/>
    <xf numFmtId="0" fontId="11" fillId="0" borderId="1" xfId="273" applyFont="1" applyBorder="1" applyAlignment="1">
      <alignment horizontal="left"/>
    </xf>
    <xf numFmtId="0" fontId="11" fillId="0" borderId="0" xfId="273" applyFont="1" applyBorder="1" applyAlignment="1">
      <alignment horizontal="left"/>
    </xf>
    <xf numFmtId="166" fontId="0" fillId="5" borderId="0" xfId="1" applyNumberFormat="1" applyFont="1" applyFill="1" applyBorder="1"/>
    <xf numFmtId="0" fontId="0" fillId="5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44" fontId="0" fillId="0" borderId="1" xfId="2" applyFont="1" applyFill="1" applyBorder="1"/>
    <xf numFmtId="44" fontId="0" fillId="0" borderId="0" xfId="2" applyFont="1" applyBorder="1"/>
    <xf numFmtId="44" fontId="0" fillId="0" borderId="1" xfId="2" applyFont="1" applyBorder="1"/>
    <xf numFmtId="0" fontId="3" fillId="0" borderId="20" xfId="0" applyFont="1" applyBorder="1"/>
    <xf numFmtId="0" fontId="0" fillId="0" borderId="21" xfId="0" applyFont="1" applyBorder="1"/>
    <xf numFmtId="44" fontId="0" fillId="0" borderId="22" xfId="2" applyFont="1" applyBorder="1"/>
    <xf numFmtId="44" fontId="0" fillId="0" borderId="0" xfId="0" applyNumberFormat="1" applyFont="1" applyFill="1" applyBorder="1"/>
    <xf numFmtId="44" fontId="0" fillId="34" borderId="0" xfId="2" applyFont="1" applyFill="1"/>
    <xf numFmtId="165" fontId="0" fillId="34" borderId="0" xfId="2" applyNumberFormat="1" applyFont="1" applyFill="1"/>
    <xf numFmtId="44" fontId="0" fillId="34" borderId="1" xfId="2" applyFont="1" applyFill="1" applyBorder="1"/>
    <xf numFmtId="165" fontId="0" fillId="34" borderId="1" xfId="2" applyNumberFormat="1" applyFont="1" applyFill="1" applyBorder="1"/>
    <xf numFmtId="169" fontId="0" fillId="34" borderId="0" xfId="2" applyNumberFormat="1" applyFont="1" applyFill="1"/>
    <xf numFmtId="3" fontId="0" fillId="0" borderId="0" xfId="0" applyNumberFormat="1" applyFont="1" applyFill="1" applyBorder="1"/>
    <xf numFmtId="42" fontId="3" fillId="0" borderId="0" xfId="0" applyNumberFormat="1" applyFont="1" applyBorder="1"/>
    <xf numFmtId="0" fontId="0" fillId="5" borderId="0" xfId="0" applyFont="1" applyFill="1" applyBorder="1"/>
    <xf numFmtId="44" fontId="0" fillId="0" borderId="0" xfId="2" applyNumberFormat="1" applyFont="1" applyFill="1" applyBorder="1"/>
    <xf numFmtId="172" fontId="0" fillId="0" borderId="0" xfId="2" applyNumberFormat="1" applyFont="1" applyFill="1" applyBorder="1"/>
    <xf numFmtId="10" fontId="0" fillId="0" borderId="0" xfId="0" applyNumberFormat="1" applyFont="1" applyBorder="1"/>
    <xf numFmtId="10" fontId="0" fillId="0" borderId="0" xfId="0" applyNumberFormat="1" applyFont="1" applyFill="1" applyBorder="1"/>
    <xf numFmtId="13" fontId="0" fillId="0" borderId="0" xfId="0" applyNumberFormat="1" applyFont="1"/>
    <xf numFmtId="166" fontId="0" fillId="0" borderId="0" xfId="1" applyNumberFormat="1" applyFont="1" applyFill="1" applyBorder="1" applyAlignment="1">
      <alignment horizontal="right"/>
    </xf>
    <xf numFmtId="10" fontId="0" fillId="0" borderId="0" xfId="0" applyNumberFormat="1" applyFont="1"/>
    <xf numFmtId="166" fontId="0" fillId="0" borderId="0" xfId="0" applyNumberFormat="1" applyFont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3" fontId="0" fillId="0" borderId="0" xfId="0" applyNumberFormat="1" applyFont="1" applyBorder="1"/>
    <xf numFmtId="164" fontId="0" fillId="0" borderId="0" xfId="0" applyNumberFormat="1" applyFont="1" applyFill="1" applyBorder="1"/>
    <xf numFmtId="0" fontId="0" fillId="5" borderId="0" xfId="0" applyFont="1" applyFill="1" applyBorder="1" applyAlignment="1">
      <alignment horizontal="center" vertical="center"/>
    </xf>
    <xf numFmtId="43" fontId="0" fillId="5" borderId="0" xfId="1" applyNumberFormat="1" applyFont="1" applyFill="1" applyBorder="1"/>
    <xf numFmtId="166" fontId="0" fillId="5" borderId="0" xfId="1" applyNumberFormat="1" applyFont="1" applyFill="1" applyBorder="1" applyAlignment="1">
      <alignment horizontal="center" wrapText="1"/>
    </xf>
    <xf numFmtId="44" fontId="0" fillId="5" borderId="0" xfId="2" applyFont="1" applyFill="1" applyBorder="1"/>
    <xf numFmtId="3" fontId="0" fillId="0" borderId="0" xfId="2" applyNumberFormat="1" applyFont="1" applyFill="1" applyBorder="1"/>
    <xf numFmtId="3" fontId="3" fillId="0" borderId="0" xfId="0" applyNumberFormat="1" applyFont="1" applyBorder="1"/>
    <xf numFmtId="10" fontId="0" fillId="0" borderId="0" xfId="2" applyNumberFormat="1" applyFont="1" applyFill="1" applyBorder="1"/>
    <xf numFmtId="0" fontId="11" fillId="0" borderId="0" xfId="0" applyFont="1" applyBorder="1"/>
    <xf numFmtId="0" fontId="11" fillId="5" borderId="0" xfId="4" applyFont="1" applyFill="1" applyBorder="1" applyAlignment="1">
      <alignment horizontal="left"/>
    </xf>
    <xf numFmtId="166" fontId="11" fillId="5" borderId="0" xfId="1" applyNumberFormat="1" applyFont="1" applyFill="1" applyBorder="1"/>
    <xf numFmtId="43" fontId="11" fillId="5" borderId="0" xfId="0" applyNumberFormat="1" applyFont="1" applyFill="1" applyBorder="1"/>
    <xf numFmtId="0" fontId="11" fillId="5" borderId="0" xfId="0" applyFont="1" applyFill="1" applyBorder="1"/>
    <xf numFmtId="166" fontId="11" fillId="5" borderId="0" xfId="1" applyNumberFormat="1" applyFont="1" applyFill="1" applyBorder="1" applyAlignment="1">
      <alignment horizontal="left"/>
    </xf>
    <xf numFmtId="0" fontId="0" fillId="0" borderId="23" xfId="0" applyFont="1" applyBorder="1"/>
    <xf numFmtId="0" fontId="0" fillId="0" borderId="24" xfId="0" applyFont="1" applyBorder="1"/>
    <xf numFmtId="175" fontId="3" fillId="0" borderId="0" xfId="0" applyNumberFormat="1" applyFont="1" applyBorder="1"/>
    <xf numFmtId="175" fontId="0" fillId="0" borderId="0" xfId="2" applyNumberFormat="1" applyFont="1" applyFill="1" applyBorder="1"/>
    <xf numFmtId="3" fontId="3" fillId="0" borderId="0" xfId="0" applyNumberFormat="1" applyFont="1"/>
    <xf numFmtId="3" fontId="0" fillId="0" borderId="0" xfId="0" applyNumberFormat="1" applyFont="1"/>
    <xf numFmtId="3" fontId="0" fillId="6" borderId="25" xfId="0" applyNumberFormat="1" applyFont="1" applyFill="1" applyBorder="1" applyAlignment="1">
      <alignment horizontal="center"/>
    </xf>
    <xf numFmtId="3" fontId="0" fillId="0" borderId="22" xfId="2" applyNumberFormat="1" applyFont="1" applyBorder="1"/>
    <xf numFmtId="0" fontId="0" fillId="0" borderId="0" xfId="0" applyFont="1" applyAlignment="1">
      <alignment horizontal="left"/>
    </xf>
    <xf numFmtId="43" fontId="0" fillId="0" borderId="0" xfId="300" applyFont="1"/>
    <xf numFmtId="0" fontId="0" fillId="0" borderId="0" xfId="0" applyFont="1" applyFill="1"/>
    <xf numFmtId="0" fontId="3" fillId="0" borderId="0" xfId="0" applyFont="1" applyAlignment="1">
      <alignment horizontal="center"/>
    </xf>
    <xf numFmtId="41" fontId="0" fillId="0" borderId="0" xfId="0" applyNumberFormat="1" applyFont="1"/>
    <xf numFmtId="164" fontId="3" fillId="0" borderId="0" xfId="301" applyNumberFormat="1" applyFont="1"/>
    <xf numFmtId="43" fontId="3" fillId="0" borderId="0" xfId="0" applyNumberFormat="1" applyFont="1"/>
    <xf numFmtId="3" fontId="3" fillId="0" borderId="0" xfId="301" applyNumberFormat="1" applyFont="1"/>
    <xf numFmtId="164" fontId="0" fillId="0" borderId="0" xfId="0" applyNumberFormat="1" applyFont="1"/>
    <xf numFmtId="166" fontId="11" fillId="0" borderId="0" xfId="9" applyNumberFormat="1" applyFont="1" applyFill="1" applyBorder="1"/>
    <xf numFmtId="166" fontId="55" fillId="0" borderId="0" xfId="9" applyNumberFormat="1" applyFont="1" applyFill="1"/>
    <xf numFmtId="0" fontId="55" fillId="0" borderId="0" xfId="279" applyFont="1" applyFill="1"/>
    <xf numFmtId="0" fontId="55" fillId="0" borderId="0" xfId="279" applyFont="1"/>
    <xf numFmtId="43" fontId="3" fillId="0" borderId="0" xfId="1" applyFont="1" applyBorder="1" applyAlignment="1">
      <alignment horizontal="center"/>
    </xf>
    <xf numFmtId="0" fontId="56" fillId="2" borderId="0" xfId="279" applyFont="1" applyFill="1" applyAlignment="1">
      <alignment horizontal="center" wrapText="1"/>
    </xf>
    <xf numFmtId="43" fontId="0" fillId="2" borderId="1" xfId="300" applyFont="1" applyFill="1" applyBorder="1"/>
    <xf numFmtId="164" fontId="0" fillId="2" borderId="1" xfId="301" applyNumberFormat="1" applyFont="1" applyFill="1" applyBorder="1"/>
    <xf numFmtId="43" fontId="0" fillId="2" borderId="0" xfId="300" applyFont="1" applyFill="1" applyBorder="1" applyAlignment="1">
      <alignment horizontal="right"/>
    </xf>
    <xf numFmtId="10" fontId="0" fillId="2" borderId="0" xfId="0" applyNumberFormat="1" applyFont="1" applyFill="1" applyAlignment="1">
      <alignment horizontal="right"/>
    </xf>
    <xf numFmtId="0" fontId="55" fillId="2" borderId="0" xfId="279" applyFont="1" applyFill="1"/>
    <xf numFmtId="166" fontId="55" fillId="2" borderId="0" xfId="103" applyNumberFormat="1" applyFont="1" applyFill="1"/>
    <xf numFmtId="0" fontId="57" fillId="2" borderId="0" xfId="279" applyFont="1" applyFill="1" applyAlignment="1">
      <alignment horizontal="center"/>
    </xf>
    <xf numFmtId="0" fontId="55" fillId="2" borderId="0" xfId="279" applyFont="1" applyFill="1" applyAlignment="1">
      <alignment horizontal="center"/>
    </xf>
    <xf numFmtId="43" fontId="55" fillId="2" borderId="0" xfId="103" applyFont="1" applyFill="1" applyAlignment="1">
      <alignment horizontal="center"/>
    </xf>
    <xf numFmtId="166" fontId="0" fillId="2" borderId="0" xfId="0" applyNumberFormat="1" applyFont="1" applyFill="1"/>
    <xf numFmtId="43" fontId="57" fillId="2" borderId="0" xfId="103" applyFont="1" applyFill="1" applyAlignment="1">
      <alignment horizontal="center"/>
    </xf>
    <xf numFmtId="3" fontId="0" fillId="2" borderId="0" xfId="0" applyNumberFormat="1" applyFont="1" applyFill="1"/>
    <xf numFmtId="0" fontId="56" fillId="2" borderId="0" xfId="279" applyFont="1" applyFill="1" applyBorder="1" applyAlignment="1">
      <alignment horizontal="right"/>
    </xf>
    <xf numFmtId="0" fontId="11" fillId="2" borderId="0" xfId="0" applyFont="1" applyFill="1"/>
    <xf numFmtId="0" fontId="58" fillId="2" borderId="0" xfId="279" applyFont="1" applyFill="1" applyAlignment="1">
      <alignment horizontal="center"/>
    </xf>
    <xf numFmtId="166" fontId="12" fillId="2" borderId="26" xfId="103" applyNumberFormat="1" applyFont="1" applyFill="1" applyBorder="1"/>
    <xf numFmtId="43" fontId="3" fillId="6" borderId="0" xfId="1" applyFont="1" applyFill="1" applyBorder="1" applyAlignment="1">
      <alignment horizontal="center" wrapText="1"/>
    </xf>
    <xf numFmtId="0" fontId="9" fillId="2" borderId="0" xfId="0" applyFont="1" applyFill="1" applyBorder="1"/>
    <xf numFmtId="43" fontId="0" fillId="5" borderId="0" xfId="1" applyFont="1" applyFill="1" applyBorder="1" applyAlignment="1"/>
    <xf numFmtId="43" fontId="0" fillId="0" borderId="0" xfId="1" applyFont="1" applyFill="1" applyBorder="1" applyAlignment="1">
      <alignment horizontal="right"/>
    </xf>
    <xf numFmtId="43" fontId="0" fillId="0" borderId="0" xfId="1" applyFont="1" applyFill="1" applyBorder="1" applyAlignment="1"/>
    <xf numFmtId="0" fontId="0" fillId="2" borderId="0" xfId="0" applyFill="1"/>
    <xf numFmtId="44" fontId="0" fillId="2" borderId="1" xfId="301" applyFont="1" applyFill="1" applyBorder="1"/>
    <xf numFmtId="44" fontId="0" fillId="2" borderId="0" xfId="301" applyFont="1" applyFill="1" applyBorder="1"/>
    <xf numFmtId="164" fontId="3" fillId="2" borderId="0" xfId="301" applyNumberFormat="1" applyFont="1" applyFill="1"/>
    <xf numFmtId="43" fontId="3" fillId="2" borderId="0" xfId="300" applyFont="1" applyFill="1"/>
    <xf numFmtId="43" fontId="3" fillId="2" borderId="3" xfId="300" applyFont="1" applyFill="1" applyBorder="1"/>
    <xf numFmtId="164" fontId="3" fillId="2" borderId="3" xfId="301" applyNumberFormat="1" applyFont="1" applyFill="1" applyBorder="1"/>
    <xf numFmtId="164" fontId="0" fillId="2" borderId="0" xfId="0" applyNumberFormat="1" applyFont="1" applyFill="1"/>
    <xf numFmtId="43" fontId="55" fillId="2" borderId="0" xfId="103" applyFont="1" applyFill="1"/>
    <xf numFmtId="17" fontId="56" fillId="2" borderId="0" xfId="279" applyNumberFormat="1" applyFont="1" applyFill="1" applyAlignment="1">
      <alignment horizontal="center"/>
    </xf>
    <xf numFmtId="41" fontId="3" fillId="2" borderId="0" xfId="300" applyNumberFormat="1" applyFont="1" applyFill="1"/>
    <xf numFmtId="0" fontId="56" fillId="2" borderId="0" xfId="279" applyFont="1" applyFill="1"/>
    <xf numFmtId="0" fontId="55" fillId="2" borderId="0" xfId="279" applyFont="1" applyFill="1" applyBorder="1"/>
    <xf numFmtId="14" fontId="56" fillId="2" borderId="0" xfId="279" applyNumberFormat="1" applyFont="1" applyFill="1" applyAlignment="1">
      <alignment horizontal="center" wrapText="1"/>
    </xf>
    <xf numFmtId="166" fontId="56" fillId="2" borderId="0" xfId="103" applyNumberFormat="1" applyFont="1" applyFill="1" applyAlignment="1">
      <alignment horizontal="center" wrapText="1"/>
    </xf>
    <xf numFmtId="17" fontId="0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164" fontId="0" fillId="2" borderId="0" xfId="301" applyNumberFormat="1" applyFont="1" applyFill="1"/>
    <xf numFmtId="39" fontId="0" fillId="2" borderId="0" xfId="301" applyNumberFormat="1" applyFont="1" applyFill="1"/>
    <xf numFmtId="44" fontId="0" fillId="2" borderId="0" xfId="301" applyFont="1" applyFill="1"/>
    <xf numFmtId="43" fontId="3" fillId="2" borderId="0" xfId="300" applyFont="1" applyFill="1" applyBorder="1"/>
    <xf numFmtId="0" fontId="12" fillId="6" borderId="1" xfId="0" applyFont="1" applyFill="1" applyBorder="1" applyAlignment="1">
      <alignment horizontal="center" wrapText="1"/>
    </xf>
    <xf numFmtId="0" fontId="59" fillId="0" borderId="0" xfId="0" applyFont="1" applyBorder="1" applyAlignment="1"/>
    <xf numFmtId="43" fontId="55" fillId="2" borderId="0" xfId="103" applyNumberFormat="1" applyFont="1" applyFill="1"/>
    <xf numFmtId="166" fontId="0" fillId="2" borderId="0" xfId="103" applyNumberFormat="1" applyFont="1" applyFill="1"/>
    <xf numFmtId="0" fontId="55" fillId="2" borderId="0" xfId="0" applyFont="1" applyFill="1" applyAlignment="1">
      <alignment vertical="top"/>
    </xf>
    <xf numFmtId="0" fontId="56" fillId="2" borderId="0" xfId="279" applyFont="1" applyFill="1" applyAlignment="1">
      <alignment horizontal="right"/>
    </xf>
    <xf numFmtId="166" fontId="12" fillId="2" borderId="0" xfId="103" applyNumberFormat="1" applyFont="1" applyFill="1" applyBorder="1"/>
    <xf numFmtId="0" fontId="3" fillId="2" borderId="0" xfId="0" applyFont="1" applyFill="1" applyAlignment="1">
      <alignment horizontal="right"/>
    </xf>
    <xf numFmtId="166" fontId="3" fillId="2" borderId="0" xfId="103" applyNumberFormat="1" applyFont="1" applyFill="1" applyAlignment="1">
      <alignment horizontal="center"/>
    </xf>
    <xf numFmtId="0" fontId="0" fillId="2" borderId="0" xfId="0" applyFont="1" applyFill="1" applyAlignment="1">
      <alignment horizontal="right"/>
    </xf>
    <xf numFmtId="166" fontId="3" fillId="2" borderId="0" xfId="103" applyNumberFormat="1" applyFont="1" applyFill="1"/>
    <xf numFmtId="3" fontId="3" fillId="2" borderId="3" xfId="0" applyNumberFormat="1" applyFont="1" applyFill="1" applyBorder="1"/>
    <xf numFmtId="0" fontId="0" fillId="5" borderId="0" xfId="0" applyFont="1" applyFill="1" applyBorder="1" applyAlignment="1">
      <alignment vertical="center" textRotation="90"/>
    </xf>
    <xf numFmtId="0" fontId="0" fillId="6" borderId="1" xfId="0" applyFont="1" applyFill="1" applyBorder="1" applyAlignment="1">
      <alignment horizontal="center"/>
    </xf>
    <xf numFmtId="0" fontId="3" fillId="6" borderId="1" xfId="0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44" fontId="0" fillId="0" borderId="0" xfId="2" applyFont="1" applyFill="1" applyBorder="1"/>
    <xf numFmtId="166" fontId="0" fillId="0" borderId="0" xfId="1" applyNumberFormat="1" applyFont="1" applyFill="1" applyBorder="1"/>
    <xf numFmtId="0" fontId="0" fillId="32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44" fontId="0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Border="1"/>
    <xf numFmtId="0" fontId="0" fillId="5" borderId="0" xfId="0" applyFont="1" applyFill="1" applyBorder="1"/>
    <xf numFmtId="43" fontId="0" fillId="0" borderId="0" xfId="1" applyNumberFormat="1" applyFont="1" applyFill="1" applyBorder="1"/>
    <xf numFmtId="166" fontId="0" fillId="0" borderId="0" xfId="1" applyNumberFormat="1" applyFont="1" applyFill="1" applyBorder="1" applyAlignment="1">
      <alignment horizontal="right"/>
    </xf>
    <xf numFmtId="43" fontId="0" fillId="6" borderId="1" xfId="1" applyFont="1" applyFill="1" applyBorder="1"/>
    <xf numFmtId="166" fontId="3" fillId="6" borderId="1" xfId="1" applyNumberFormat="1" applyFont="1" applyFill="1" applyBorder="1" applyAlignment="1">
      <alignment horizontal="center" wrapText="1"/>
    </xf>
    <xf numFmtId="43" fontId="11" fillId="2" borderId="0" xfId="103" applyFont="1" applyFill="1" applyBorder="1"/>
    <xf numFmtId="0" fontId="56" fillId="2" borderId="0" xfId="279" applyFont="1" applyFill="1" applyBorder="1"/>
    <xf numFmtId="173" fontId="56" fillId="2" borderId="0" xfId="103" quotePrefix="1" applyNumberFormat="1" applyFont="1" applyFill="1" applyAlignment="1">
      <alignment horizontal="center" wrapText="1"/>
    </xf>
    <xf numFmtId="0" fontId="56" fillId="2" borderId="0" xfId="279" applyFont="1" applyFill="1" applyAlignment="1">
      <alignment horizontal="center"/>
    </xf>
    <xf numFmtId="3" fontId="3" fillId="2" borderId="0" xfId="0" applyNumberFormat="1" applyFont="1" applyFill="1"/>
    <xf numFmtId="43" fontId="0" fillId="2" borderId="0" xfId="300" applyFont="1" applyFill="1" applyBorder="1"/>
    <xf numFmtId="43" fontId="0" fillId="2" borderId="0" xfId="0" applyNumberFormat="1" applyFont="1" applyFill="1"/>
    <xf numFmtId="41" fontId="0" fillId="2" borderId="0" xfId="300" applyNumberFormat="1" applyFont="1" applyFill="1"/>
    <xf numFmtId="43" fontId="0" fillId="2" borderId="0" xfId="300" applyFont="1" applyFill="1" applyAlignment="1">
      <alignment horizontal="right"/>
    </xf>
    <xf numFmtId="0" fontId="54" fillId="2" borderId="0" xfId="0" applyFont="1" applyFill="1" applyAlignment="1">
      <alignment horizontal="center"/>
    </xf>
    <xf numFmtId="0" fontId="54" fillId="2" borderId="0" xfId="0" applyFont="1" applyFill="1" applyAlignment="1"/>
    <xf numFmtId="166" fontId="11" fillId="2" borderId="0" xfId="9" applyNumberFormat="1" applyFont="1" applyFill="1" applyBorder="1"/>
    <xf numFmtId="166" fontId="55" fillId="2" borderId="0" xfId="9" applyNumberFormat="1" applyFont="1" applyFill="1"/>
    <xf numFmtId="0" fontId="59" fillId="2" borderId="0" xfId="0" applyFont="1" applyFill="1" applyBorder="1" applyAlignment="1"/>
    <xf numFmtId="0" fontId="3" fillId="2" borderId="0" xfId="0" applyFont="1" applyFill="1"/>
    <xf numFmtId="43" fontId="0" fillId="2" borderId="0" xfId="300" applyFont="1" applyFill="1"/>
    <xf numFmtId="43" fontId="11" fillId="0" borderId="0" xfId="1" applyFont="1" applyFill="1" applyBorder="1"/>
    <xf numFmtId="43" fontId="0" fillId="5" borderId="0" xfId="1" applyFont="1" applyFill="1" applyBorder="1"/>
    <xf numFmtId="0" fontId="56" fillId="2" borderId="0" xfId="279" applyFont="1" applyFill="1" applyAlignment="1">
      <alignment horizontal="left"/>
    </xf>
    <xf numFmtId="0" fontId="58" fillId="2" borderId="0" xfId="279" applyFont="1" applyFill="1" applyAlignment="1">
      <alignment horizontal="left"/>
    </xf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 applyBorder="1" applyAlignment="1">
      <alignment horizontal="right"/>
    </xf>
    <xf numFmtId="0" fontId="0" fillId="0" borderId="0" xfId="0" applyFont="1"/>
    <xf numFmtId="0" fontId="0" fillId="5" borderId="0" xfId="0" applyFont="1" applyFill="1" applyBorder="1"/>
    <xf numFmtId="0" fontId="0" fillId="0" borderId="0" xfId="0" applyFont="1" applyFill="1"/>
    <xf numFmtId="0" fontId="3" fillId="2" borderId="0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6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43" fontId="3" fillId="2" borderId="0" xfId="300" applyFont="1" applyFill="1" applyBorder="1" applyAlignment="1">
      <alignment horizontal="center"/>
    </xf>
    <xf numFmtId="0" fontId="59" fillId="2" borderId="0" xfId="0" applyFont="1" applyFill="1" applyBorder="1" applyAlignment="1">
      <alignment horizontal="left" wrapText="1"/>
    </xf>
    <xf numFmtId="0" fontId="54" fillId="2" borderId="0" xfId="0" applyFont="1" applyFill="1" applyAlignment="1">
      <alignment horizontal="center"/>
    </xf>
  </cellXfs>
  <cellStyles count="408">
    <cellStyle name="20% - Accent1 2" xfId="40"/>
    <cellStyle name="20% - Accent1 2 2" xfId="363"/>
    <cellStyle name="20% - Accent1 3" xfId="39"/>
    <cellStyle name="20% - Accent1 3 2" xfId="364"/>
    <cellStyle name="20% - Accent2 2" xfId="42"/>
    <cellStyle name="20% - Accent2 3" xfId="41"/>
    <cellStyle name="20% - Accent3 2" xfId="44"/>
    <cellStyle name="20% - Accent3 3" xfId="43"/>
    <cellStyle name="20% - Accent4 2" xfId="46"/>
    <cellStyle name="20% - Accent4 2 2" xfId="365"/>
    <cellStyle name="20% - Accent4 3" xfId="45"/>
    <cellStyle name="20% - Accent4 3 2" xfId="366"/>
    <cellStyle name="20% - Accent5 2" xfId="48"/>
    <cellStyle name="20% - Accent5 3" xfId="47"/>
    <cellStyle name="20% - Accent6 2" xfId="50"/>
    <cellStyle name="20% - Accent6 3" xfId="49"/>
    <cellStyle name="40% - Accent1 2" xfId="52"/>
    <cellStyle name="40% - Accent1 3" xfId="51"/>
    <cellStyle name="40% - Accent1 3 2" xfId="367"/>
    <cellStyle name="40% - Accent2 2" xfId="54"/>
    <cellStyle name="40% - Accent2 3" xfId="53"/>
    <cellStyle name="40% - Accent3 2" xfId="56"/>
    <cellStyle name="40% - Accent3 3" xfId="55"/>
    <cellStyle name="40% - Accent4 2" xfId="58"/>
    <cellStyle name="40% - Accent4 3" xfId="57"/>
    <cellStyle name="40% - Accent4 3 2" xfId="368"/>
    <cellStyle name="40% - Accent5 2" xfId="60"/>
    <cellStyle name="40% - Accent5 3" xfId="59"/>
    <cellStyle name="40% - Accent6 2" xfId="62"/>
    <cellStyle name="40% - Accent6 3" xfId="61"/>
    <cellStyle name="40% - Accent6 3 2" xfId="369"/>
    <cellStyle name="60% - Accent1 2" xfId="64"/>
    <cellStyle name="60% - Accent1 2 2" xfId="370"/>
    <cellStyle name="60% - Accent1 3" xfId="63"/>
    <cellStyle name="60% - Accent1 3 2" xfId="371"/>
    <cellStyle name="60% - Accent2 2" xfId="66"/>
    <cellStyle name="60% - Accent2 3" xfId="65"/>
    <cellStyle name="60% - Accent3 2" xfId="68"/>
    <cellStyle name="60% - Accent3 3" xfId="67"/>
    <cellStyle name="60% - Accent3 3 2" xfId="372"/>
    <cellStyle name="60% - Accent4 2" xfId="70"/>
    <cellStyle name="60% - Accent4 3" xfId="69"/>
    <cellStyle name="60% - Accent4 3 2" xfId="373"/>
    <cellStyle name="60% - Accent5 2" xfId="72"/>
    <cellStyle name="60% - Accent5 2 2" xfId="374"/>
    <cellStyle name="60% - Accent5 3" xfId="71"/>
    <cellStyle name="60% - Accent6 2" xfId="74"/>
    <cellStyle name="60% - Accent6 3" xfId="73"/>
    <cellStyle name="Accent1 2" xfId="76"/>
    <cellStyle name="Accent1 2 2" xfId="375"/>
    <cellStyle name="Accent1 3" xfId="75"/>
    <cellStyle name="Accent1 3 2" xfId="376"/>
    <cellStyle name="Accent2 2" xfId="78"/>
    <cellStyle name="Accent2 3" xfId="77"/>
    <cellStyle name="Accent3 2" xfId="80"/>
    <cellStyle name="Accent3 2 2" xfId="377"/>
    <cellStyle name="Accent3 3" xfId="79"/>
    <cellStyle name="Accent4 2" xfId="82"/>
    <cellStyle name="Accent4 3" xfId="81"/>
    <cellStyle name="Accent5 2" xfId="84"/>
    <cellStyle name="Accent5 3" xfId="83"/>
    <cellStyle name="Accent6 2" xfId="86"/>
    <cellStyle name="Accent6 2 2" xfId="378"/>
    <cellStyle name="Accent6 3" xfId="85"/>
    <cellStyle name="Accounting" xfId="87"/>
    <cellStyle name="Accounting 2" xfId="88"/>
    <cellStyle name="Accounting 3" xfId="89"/>
    <cellStyle name="Accounting_2011-11" xfId="90"/>
    <cellStyle name="Bad 2" xfId="92"/>
    <cellStyle name="Bad 3" xfId="91"/>
    <cellStyle name="Budget" xfId="93"/>
    <cellStyle name="Budget 2" xfId="94"/>
    <cellStyle name="Budget 3" xfId="95"/>
    <cellStyle name="Budget_2011-11" xfId="96"/>
    <cellStyle name="Calculation 2" xfId="98"/>
    <cellStyle name="Calculation 2 2" xfId="379"/>
    <cellStyle name="Calculation 3" xfId="97"/>
    <cellStyle name="Calculation 3 2" xfId="380"/>
    <cellStyle name="Check Cell 2" xfId="100"/>
    <cellStyle name="Check Cell 3" xfId="99"/>
    <cellStyle name="combo" xfId="101"/>
    <cellStyle name="Comma" xfId="1" builtinId="3"/>
    <cellStyle name="Comma 10" xfId="103"/>
    <cellStyle name="Comma 11" xfId="104"/>
    <cellStyle name="Comma 12" xfId="102"/>
    <cellStyle name="Comma 12 2" xfId="276"/>
    <cellStyle name="Comma 12 3" xfId="282"/>
    <cellStyle name="Comma 13" xfId="283"/>
    <cellStyle name="Comma 14" xfId="284"/>
    <cellStyle name="Comma 15" xfId="285"/>
    <cellStyle name="Comma 16" xfId="286"/>
    <cellStyle name="Comma 17" xfId="302"/>
    <cellStyle name="Comma 17 2" xfId="381"/>
    <cellStyle name="Comma 18" xfId="303"/>
    <cellStyle name="Comma 18 2" xfId="304"/>
    <cellStyle name="Comma 18 3" xfId="382"/>
    <cellStyle name="Comma 19" xfId="300"/>
    <cellStyle name="Comma 2" xfId="5"/>
    <cellStyle name="Comma 2 2" xfId="6"/>
    <cellStyle name="Comma 2 2 2" xfId="305"/>
    <cellStyle name="Comma 2 3" xfId="105"/>
    <cellStyle name="Comma 2 4" xfId="306"/>
    <cellStyle name="Comma 2 4 2" xfId="383"/>
    <cellStyle name="Comma 2 5" xfId="362"/>
    <cellStyle name="Comma 2 6" xfId="7"/>
    <cellStyle name="Comma 2 6 2" xfId="8"/>
    <cellStyle name="Comma 3" xfId="9"/>
    <cellStyle name="Comma 3 2" xfId="106"/>
    <cellStyle name="Comma 3 2 2" xfId="107"/>
    <cellStyle name="Comma 3 3" xfId="287"/>
    <cellStyle name="Comma 3 4" xfId="307"/>
    <cellStyle name="Comma 4" xfId="108"/>
    <cellStyle name="Comma 4 2" xfId="109"/>
    <cellStyle name="Comma 4 2 2" xfId="288"/>
    <cellStyle name="Comma 4 2 3" xfId="308"/>
    <cellStyle name="Comma 4 3" xfId="110"/>
    <cellStyle name="Comma 4 3 2" xfId="289"/>
    <cellStyle name="Comma 4 3 3" xfId="309"/>
    <cellStyle name="Comma 4 4" xfId="290"/>
    <cellStyle name="Comma 4 4 2" xfId="310"/>
    <cellStyle name="Comma 4 4 3" xfId="311"/>
    <cellStyle name="Comma 4 5" xfId="111"/>
    <cellStyle name="Comma 4 5 2" xfId="312"/>
    <cellStyle name="Comma 4 6" xfId="280"/>
    <cellStyle name="Comma 5" xfId="112"/>
    <cellStyle name="Comma 5 2" xfId="313"/>
    <cellStyle name="Comma 5 3" xfId="314"/>
    <cellStyle name="Comma 6" xfId="113"/>
    <cellStyle name="Comma 6 2" xfId="315"/>
    <cellStyle name="Comma 7" xfId="114"/>
    <cellStyle name="Comma 8" xfId="115"/>
    <cellStyle name="Comma 9" xfId="116"/>
    <cellStyle name="Comma(2)" xfId="117"/>
    <cellStyle name="Comma0" xfId="316"/>
    <cellStyle name="Comma0 - Style2" xfId="118"/>
    <cellStyle name="Comma1 - Style1" xfId="119"/>
    <cellStyle name="Comments" xfId="120"/>
    <cellStyle name="Currency" xfId="2" builtinId="4"/>
    <cellStyle name="Currency 10" xfId="301"/>
    <cellStyle name="Currency 2" xfId="10"/>
    <cellStyle name="Currency 2 2" xfId="11"/>
    <cellStyle name="Currency 2 2 2" xfId="123"/>
    <cellStyle name="Currency 2 3" xfId="122"/>
    <cellStyle name="Currency 2 3 2" xfId="384"/>
    <cellStyle name="Currency 2 4" xfId="317"/>
    <cellStyle name="Currency 2 6" xfId="12"/>
    <cellStyle name="Currency 2 6 2" xfId="13"/>
    <cellStyle name="Currency 3" xfId="14"/>
    <cellStyle name="Currency 3 2" xfId="125"/>
    <cellStyle name="Currency 3 3" xfId="124"/>
    <cellStyle name="Currency 3 4" xfId="291"/>
    <cellStyle name="Currency 4" xfId="15"/>
    <cellStyle name="Currency 4 2" xfId="16"/>
    <cellStyle name="Currency 5" xfId="121"/>
    <cellStyle name="Currency 5 2" xfId="275"/>
    <cellStyle name="Currency 5 3" xfId="292"/>
    <cellStyle name="Currency 6" xfId="293"/>
    <cellStyle name="Currency 7" xfId="294"/>
    <cellStyle name="Currency 8" xfId="318"/>
    <cellStyle name="Currency 8 2" xfId="385"/>
    <cellStyle name="Currency 9" xfId="319"/>
    <cellStyle name="Currency0" xfId="320"/>
    <cellStyle name="Data Enter" xfId="126"/>
    <cellStyle name="date" xfId="321"/>
    <cellStyle name="Explanatory Text 2" xfId="128"/>
    <cellStyle name="Explanatory Text 3" xfId="127"/>
    <cellStyle name="F9ReportControlStyle_ctpInquire" xfId="322"/>
    <cellStyle name="FactSheet" xfId="129"/>
    <cellStyle name="fish" xfId="323"/>
    <cellStyle name="Good 2" xfId="131"/>
    <cellStyle name="Good 3" xfId="130"/>
    <cellStyle name="Good 4" xfId="324"/>
    <cellStyle name="Heading 1 2" xfId="133"/>
    <cellStyle name="Heading 1 2 2" xfId="386"/>
    <cellStyle name="Heading 1 3" xfId="132"/>
    <cellStyle name="Heading 1 3 2" xfId="387"/>
    <cellStyle name="Heading 2 2" xfId="135"/>
    <cellStyle name="Heading 2 2 2" xfId="388"/>
    <cellStyle name="Heading 2 3" xfId="134"/>
    <cellStyle name="Heading 2 3 2" xfId="389"/>
    <cellStyle name="Heading 3 2" xfId="137"/>
    <cellStyle name="Heading 3 2 2" xfId="390"/>
    <cellStyle name="Heading 3 3" xfId="136"/>
    <cellStyle name="Heading 3 3 2" xfId="391"/>
    <cellStyle name="Heading 4 2" xfId="139"/>
    <cellStyle name="Heading 4 3" xfId="138"/>
    <cellStyle name="Hyperlink 2" xfId="140"/>
    <cellStyle name="Hyperlink 3" xfId="141"/>
    <cellStyle name="Hyperlink 3 2" xfId="295"/>
    <cellStyle name="Input 2" xfId="143"/>
    <cellStyle name="Input 3" xfId="142"/>
    <cellStyle name="input(0)" xfId="144"/>
    <cellStyle name="Input(2)" xfId="145"/>
    <cellStyle name="Linked Cell 2" xfId="147"/>
    <cellStyle name="Linked Cell 2 2" xfId="392"/>
    <cellStyle name="Linked Cell 3" xfId="146"/>
    <cellStyle name="Neutral 2" xfId="149"/>
    <cellStyle name="Neutral 2 2" xfId="393"/>
    <cellStyle name="Neutral 3" xfId="148"/>
    <cellStyle name="New_normal" xfId="150"/>
    <cellStyle name="Normal" xfId="0" builtinId="0"/>
    <cellStyle name="Normal - Style1" xfId="151"/>
    <cellStyle name="Normal - Style2" xfId="152"/>
    <cellStyle name="Normal - Style3" xfId="153"/>
    <cellStyle name="Normal - Style4" xfId="154"/>
    <cellStyle name="Normal - Style5" xfId="155"/>
    <cellStyle name="Normal 10" xfId="156"/>
    <cellStyle name="Normal 10 2" xfId="17"/>
    <cellStyle name="Normal 10 2 2" xfId="325"/>
    <cellStyle name="Normal 10 2 3" xfId="394"/>
    <cellStyle name="Normal 10_2112 DF Schedule" xfId="326"/>
    <cellStyle name="Normal 11" xfId="157"/>
    <cellStyle name="Normal 11 2" xfId="327"/>
    <cellStyle name="Normal 12" xfId="158"/>
    <cellStyle name="Normal 12 2" xfId="395"/>
    <cellStyle name="Normal 13" xfId="159"/>
    <cellStyle name="Normal 13 2" xfId="396"/>
    <cellStyle name="Normal 14" xfId="160"/>
    <cellStyle name="Normal 14 2" xfId="397"/>
    <cellStyle name="Normal 15" xfId="161"/>
    <cellStyle name="Normal 15 2" xfId="398"/>
    <cellStyle name="Normal 16" xfId="162"/>
    <cellStyle name="Normal 16 2" xfId="328"/>
    <cellStyle name="Normal 17" xfId="163"/>
    <cellStyle name="Normal 17 2" xfId="329"/>
    <cellStyle name="Normal 18" xfId="164"/>
    <cellStyle name="Normal 18 2" xfId="330"/>
    <cellStyle name="Normal 19" xfId="165"/>
    <cellStyle name="Normal 19 2" xfId="331"/>
    <cellStyle name="Normal 2" xfId="18"/>
    <cellStyle name="Normal 2 10" xfId="332"/>
    <cellStyle name="Normal 2 11" xfId="333"/>
    <cellStyle name="Normal 2 2" xfId="19"/>
    <cellStyle name="Normal 2 2 2" xfId="167"/>
    <cellStyle name="Normal 2 2 2 2" xfId="334"/>
    <cellStyle name="Normal 2 2 3" xfId="166"/>
    <cellStyle name="Normal 2 2_Actual_Fuel" xfId="168"/>
    <cellStyle name="Normal 2 3" xfId="169"/>
    <cellStyle name="Normal 2 3 2" xfId="170"/>
    <cellStyle name="Normal 2 3 3" xfId="296"/>
    <cellStyle name="Normal 2 3_Consolidated Pro forma" xfId="335"/>
    <cellStyle name="Normal 2 4" xfId="297"/>
    <cellStyle name="Normal 2 5" xfId="298"/>
    <cellStyle name="Normal 2 6" xfId="336"/>
    <cellStyle name="Normal 2 7" xfId="337"/>
    <cellStyle name="Normal 2 8" xfId="338"/>
    <cellStyle name="Normal 2 9" xfId="339"/>
    <cellStyle name="Normal 2_2009 Regulated Price Out" xfId="34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20"/>
    <cellStyle name="Normal 3 2" xfId="182"/>
    <cellStyle name="Normal 3 2 2" xfId="341"/>
    <cellStyle name="Normal 3 3" xfId="181"/>
    <cellStyle name="Normal 3 4" xfId="281"/>
    <cellStyle name="Normal 3_2012 PR" xfId="183"/>
    <cellStyle name="Normal 30" xfId="184"/>
    <cellStyle name="Normal 31" xfId="185"/>
    <cellStyle name="Normal 32" xfId="186"/>
    <cellStyle name="Normal 33" xfId="187"/>
    <cellStyle name="Normal 34" xfId="188"/>
    <cellStyle name="Normal 35" xfId="189"/>
    <cellStyle name="Normal 36" xfId="190"/>
    <cellStyle name="Normal 37" xfId="191"/>
    <cellStyle name="Normal 38" xfId="192"/>
    <cellStyle name="Normal 39" xfId="193"/>
    <cellStyle name="Normal 4" xfId="21"/>
    <cellStyle name="Normal 4 2" xfId="194"/>
    <cellStyle name="Normal 4 3" xfId="342"/>
    <cellStyle name="Normal 4_Misc Pivot" xfId="343"/>
    <cellStyle name="Normal 40" xfId="195"/>
    <cellStyle name="Normal 41" xfId="196"/>
    <cellStyle name="Normal 42" xfId="197"/>
    <cellStyle name="Normal 43" xfId="198"/>
    <cellStyle name="Normal 44" xfId="199"/>
    <cellStyle name="Normal 45" xfId="200"/>
    <cellStyle name="Normal 46" xfId="201"/>
    <cellStyle name="Normal 47" xfId="202"/>
    <cellStyle name="Normal 48" xfId="203"/>
    <cellStyle name="Normal 49" xfId="204"/>
    <cellStyle name="Normal 5" xfId="22"/>
    <cellStyle name="Normal 5 2" xfId="205"/>
    <cellStyle name="Normal 5_2112 DF Schedule" xfId="344"/>
    <cellStyle name="Normal 50" xfId="206"/>
    <cellStyle name="Normal 51" xfId="207"/>
    <cellStyle name="Normal 52" xfId="208"/>
    <cellStyle name="Normal 53" xfId="209"/>
    <cellStyle name="Normal 54" xfId="210"/>
    <cellStyle name="Normal 55" xfId="211"/>
    <cellStyle name="Normal 56" xfId="212"/>
    <cellStyle name="Normal 57" xfId="213"/>
    <cellStyle name="Normal 58" xfId="214"/>
    <cellStyle name="Normal 59" xfId="215"/>
    <cellStyle name="Normal 6" xfId="23"/>
    <cellStyle name="Normal 6 2" xfId="216"/>
    <cellStyle name="Normal 60" xfId="217"/>
    <cellStyle name="Normal 61" xfId="218"/>
    <cellStyle name="Normal 62" xfId="219"/>
    <cellStyle name="Normal 63" xfId="220"/>
    <cellStyle name="Normal 64" xfId="221"/>
    <cellStyle name="Normal 65" xfId="222"/>
    <cellStyle name="Normal 66" xfId="223"/>
    <cellStyle name="Normal 67" xfId="224"/>
    <cellStyle name="Normal 68" xfId="225"/>
    <cellStyle name="Normal 69" xfId="226"/>
    <cellStyle name="Normal 7" xfId="227"/>
    <cellStyle name="Normal 7 2" xfId="345"/>
    <cellStyle name="Normal 70" xfId="228"/>
    <cellStyle name="Normal 71" xfId="229"/>
    <cellStyle name="Normal 72" xfId="230"/>
    <cellStyle name="Normal 73" xfId="231"/>
    <cellStyle name="Normal 74" xfId="232"/>
    <cellStyle name="Normal 75" xfId="233"/>
    <cellStyle name="Normal 76" xfId="234"/>
    <cellStyle name="Normal 77" xfId="235"/>
    <cellStyle name="Normal 78" xfId="236"/>
    <cellStyle name="Normal 79" xfId="237"/>
    <cellStyle name="Normal 8" xfId="238"/>
    <cellStyle name="Normal 8 2" xfId="346"/>
    <cellStyle name="Normal 80" xfId="239"/>
    <cellStyle name="Normal 81" xfId="240"/>
    <cellStyle name="Normal 82" xfId="241"/>
    <cellStyle name="Normal 83" xfId="242"/>
    <cellStyle name="Normal 84" xfId="38"/>
    <cellStyle name="Normal 84 2" xfId="277"/>
    <cellStyle name="Normal 84 3" xfId="399"/>
    <cellStyle name="Normal 85" xfId="251"/>
    <cellStyle name="Normal 85 2" xfId="400"/>
    <cellStyle name="Normal 86" xfId="269"/>
    <cellStyle name="Normal 87" xfId="270"/>
    <cellStyle name="Normal 88" xfId="271"/>
    <cellStyle name="Normal 89" xfId="272"/>
    <cellStyle name="Normal 9" xfId="243"/>
    <cellStyle name="Normal 9 2" xfId="347"/>
    <cellStyle name="Normal 90" xfId="273"/>
    <cellStyle name="Normal 91" xfId="278"/>
    <cellStyle name="Normal 92" xfId="361"/>
    <cellStyle name="Normal 93" xfId="406"/>
    <cellStyle name="Normal 94" xfId="407"/>
    <cellStyle name="Normal_Price out" xfId="4"/>
    <cellStyle name="Normal_Regulated Price Out 9-6-2011 Final HL" xfId="279"/>
    <cellStyle name="Note 2" xfId="245"/>
    <cellStyle name="Note 2 2" xfId="401"/>
    <cellStyle name="Note 3" xfId="244"/>
    <cellStyle name="Note 3 2" xfId="402"/>
    <cellStyle name="Notes" xfId="246"/>
    <cellStyle name="Output 2" xfId="248"/>
    <cellStyle name="Output 3" xfId="247"/>
    <cellStyle name="Percent" xfId="3" builtinId="5"/>
    <cellStyle name="Percent 2" xfId="24"/>
    <cellStyle name="Percent 2 2" xfId="25"/>
    <cellStyle name="Percent 2 2 2" xfId="250"/>
    <cellStyle name="Percent 2 3" xfId="348"/>
    <cellStyle name="Percent 2 4" xfId="299"/>
    <cellStyle name="Percent 2 6" xfId="26"/>
    <cellStyle name="Percent 3" xfId="27"/>
    <cellStyle name="Percent 3 2" xfId="28"/>
    <cellStyle name="Percent 4" xfId="29"/>
    <cellStyle name="Percent 4 2" xfId="349"/>
    <cellStyle name="Percent 4 3" xfId="350"/>
    <cellStyle name="Percent 5" xfId="252"/>
    <cellStyle name="Percent 6" xfId="253"/>
    <cellStyle name="Percent 7" xfId="249"/>
    <cellStyle name="Percent 7 2" xfId="274"/>
    <cellStyle name="Percent 7 3" xfId="403"/>
    <cellStyle name="Percent 8" xfId="351"/>
    <cellStyle name="Percent(1)" xfId="254"/>
    <cellStyle name="Percent(2)" xfId="255"/>
    <cellStyle name="PRM" xfId="256"/>
    <cellStyle name="PRM 2" xfId="257"/>
    <cellStyle name="PRM 3" xfId="258"/>
    <cellStyle name="PRM_2011-11" xfId="259"/>
    <cellStyle name="PS_Comma" xfId="30"/>
    <cellStyle name="PSChar" xfId="31"/>
    <cellStyle name="PSDate" xfId="32"/>
    <cellStyle name="PSDec" xfId="33"/>
    <cellStyle name="PSHeading" xfId="34"/>
    <cellStyle name="PSInt" xfId="35"/>
    <cellStyle name="PSSpacer" xfId="36"/>
    <cellStyle name="STYL0 - Style1" xfId="352"/>
    <cellStyle name="STYL1 - Style2" xfId="353"/>
    <cellStyle name="STYL2 - Style3" xfId="354"/>
    <cellStyle name="STYL3 - Style4" xfId="355"/>
    <cellStyle name="STYL4 - Style5" xfId="356"/>
    <cellStyle name="STYL5 - Style6" xfId="357"/>
    <cellStyle name="STYL6 - Style7" xfId="358"/>
    <cellStyle name="STYL7 - Style8" xfId="359"/>
    <cellStyle name="Style 1" xfId="260"/>
    <cellStyle name="Style 1 2" xfId="261"/>
    <cellStyle name="STYLE1" xfId="262"/>
    <cellStyle name="sub heading" xfId="360"/>
    <cellStyle name="Title 2" xfId="264"/>
    <cellStyle name="Title 3" xfId="263"/>
    <cellStyle name="Total 2" xfId="266"/>
    <cellStyle name="Total 2 2" xfId="404"/>
    <cellStyle name="Total 3" xfId="265"/>
    <cellStyle name="Total 3 2" xfId="405"/>
    <cellStyle name="Warning Text 2" xfId="268"/>
    <cellStyle name="Warning Text 3" xfId="267"/>
    <cellStyle name="WM_STANDARD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12.31.2010%20Test%20Year\Proforma%20Clark%20County%20101231%20Filing-Draft-FINAL%20VERSIO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Annual%20Reports\2180%20LeMay\2009\LeMay%20Annual%20Report%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LeMay\Master%20Truck%20Schedule\South_LeMay%20Master%20Truck%20Schedule-Shar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Yakima%20Waste%20Systems/Rate%20Case%205-1-2015/Final/Yakima%20Pro%20Forma%20Test%20Period%20Ending%2012-31-2014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95%20Yakima/2015%20Rate%20Filing/YTD%20Yakima%20Price%20Out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4\home$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2183-1%20Pacific%20Disp,%20Butlers%20Cove\Filing%20Possibly%202012\Filing\Audit\Final%20Outcome%208-14-2012\Pro%20Forma%20Pacific%20Disposal_Staff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son\Rate%20Increase%201-1-2013\1%20Filing%2011-14-2012\Revised%202-21-2013\staff%20Mason%20Proforma%209-30-2012-Linked%20Cust%20Count%20Fix%2012-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ControllerDir\Brent_Blair_Kortney\PO%20Report%20by%20Division\PO%20Report_v3b%202013-08-2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stern%20Region\WUTC\WIP%20Files\2010%20Clark%20County-%202009%20Vancouver\Misc%20Analsysis%20Non-Filing\Pro%20froma%208.31.2013%20for%20Budgets\Consolidated%20Pro%20forma%20Yea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YWS BS"/>
      <sheetName val="YWS - IS"/>
      <sheetName val="Yakima Consolidated IS"/>
      <sheetName val="Ratios"/>
      <sheetName val="Restating Adj "/>
      <sheetName val="Restating Detail"/>
      <sheetName val="Revenue Summary"/>
      <sheetName val="Pro-forma Adj"/>
      <sheetName val="Pro-forma Adj Detail"/>
      <sheetName val="Pro-forma"/>
      <sheetName val="LG-Total Company"/>
      <sheetName val="Packer Rts"/>
      <sheetName val="RO Rts"/>
      <sheetName val="Pckr,RO Rts"/>
      <sheetName val="Recycling"/>
      <sheetName val="YW Rts"/>
      <sheetName val="Explanations"/>
      <sheetName val="Yakima Regulated Price Out"/>
      <sheetName val="Final Proposed Rates"/>
      <sheetName val="Time Study"/>
      <sheetName val="DF Schedule"/>
      <sheetName val="Recycl Materials"/>
      <sheetName val="Depr Summary"/>
      <sheetName val="Depreciation"/>
      <sheetName val="Mgmt Salary Alloc"/>
      <sheetName val="Cust Count Summary"/>
      <sheetName val="Unit Counts"/>
      <sheetName val="WWR 2014"/>
      <sheetName val="JE 52335"/>
      <sheetName val="JE 57255"/>
      <sheetName val="JE 70095"/>
      <sheetName val="JE 70110"/>
      <sheetName val="JE 70255"/>
      <sheetName val="WCI BS"/>
      <sheetName val="WCI P&amp;L"/>
      <sheetName val="Corp OH"/>
      <sheetName val="Region OH"/>
      <sheetName val="YWS BS 12-31-2013"/>
    </sheetNames>
    <sheetDataSet>
      <sheetData sheetId="0"/>
      <sheetData sheetId="1"/>
      <sheetData sheetId="2"/>
      <sheetData sheetId="3">
        <row r="104">
          <cell r="C104">
            <v>3554753.86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9">
          <cell r="E39">
            <v>1.9455410458319406E-2</v>
          </cell>
        </row>
      </sheetData>
      <sheetData sheetId="15">
        <row r="38">
          <cell r="E38">
            <v>0.2048415812298495</v>
          </cell>
        </row>
      </sheetData>
      <sheetData sheetId="16">
        <row r="6">
          <cell r="J6">
            <v>-0.33190056278874469</v>
          </cell>
        </row>
      </sheetData>
      <sheetData sheetId="17">
        <row r="48">
          <cell r="C48">
            <v>12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 Count Summary"/>
      <sheetName val="Revenue Summary"/>
      <sheetName val="2014 2195_IS200"/>
      <sheetName val="Yakima Regulated Price Out"/>
      <sheetName val="Indian Nation Price Out"/>
      <sheetName val="Zillah Price Out"/>
      <sheetName val="Tieton Price Out"/>
      <sheetName val="Sunnyside Price Out"/>
      <sheetName val="Naches Price Out"/>
      <sheetName val="Mabton Price Out"/>
      <sheetName val="Commercial Recycling Price Out"/>
      <sheetName val="Pivot - Value"/>
      <sheetName val="Pivot"/>
      <sheetName val="MM001"/>
      <sheetName val="Bill Area Layout"/>
      <sheetName val="Reg Rates"/>
      <sheetName val="Non-Reg Rates"/>
    </sheetNames>
    <sheetDataSet>
      <sheetData sheetId="0"/>
      <sheetData sheetId="1">
        <row r="17">
          <cell r="B17">
            <v>9015855.8450000044</v>
          </cell>
        </row>
      </sheetData>
      <sheetData sheetId="2"/>
      <sheetData sheetId="3">
        <row r="44">
          <cell r="H44">
            <v>11402.854152206231</v>
          </cell>
        </row>
      </sheetData>
      <sheetData sheetId="4">
        <row r="32">
          <cell r="H32">
            <v>2261.3234367949112</v>
          </cell>
        </row>
      </sheetData>
      <sheetData sheetId="5">
        <row r="31">
          <cell r="H31">
            <v>911.83333333333326</v>
          </cell>
        </row>
      </sheetData>
      <sheetData sheetId="6">
        <row r="16">
          <cell r="H16">
            <v>291.40908128144031</v>
          </cell>
        </row>
      </sheetData>
      <sheetData sheetId="7">
        <row r="14">
          <cell r="E14">
            <v>44430.28</v>
          </cell>
        </row>
      </sheetData>
      <sheetData sheetId="8">
        <row r="21">
          <cell r="H21">
            <v>324.69726113058539</v>
          </cell>
        </row>
      </sheetData>
      <sheetData sheetId="9">
        <row r="16">
          <cell r="H16">
            <v>346.54504425569775</v>
          </cell>
        </row>
      </sheetData>
      <sheetData sheetId="10">
        <row r="58">
          <cell r="H58">
            <v>798.20768900809719</v>
          </cell>
        </row>
      </sheetData>
      <sheetData sheetId="11">
        <row r="84">
          <cell r="B84" t="str">
            <v>ADJ - SALESTAX</v>
          </cell>
          <cell r="C84" t="str">
            <v>ADJUST SALES TAX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8.84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8.84</v>
          </cell>
        </row>
        <row r="85">
          <cell r="B85" t="str">
            <v>ADJ - UTILITYTAX</v>
          </cell>
          <cell r="C85" t="str">
            <v>ADJUST CITY UTILITY TAX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17.25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17.25</v>
          </cell>
        </row>
        <row r="86">
          <cell r="B86" t="str">
            <v>ADJ-FIN</v>
          </cell>
          <cell r="C86" t="str">
            <v>ADJUSTMENT FINANCE CHARGE</v>
          </cell>
          <cell r="D86">
            <v>-63.11</v>
          </cell>
          <cell r="E86">
            <v>-115</v>
          </cell>
          <cell r="F86">
            <v>-37.739999999999995</v>
          </cell>
          <cell r="G86">
            <v>-221.19</v>
          </cell>
          <cell r="H86">
            <v>-109.76</v>
          </cell>
          <cell r="I86">
            <v>-30.58</v>
          </cell>
          <cell r="J86">
            <v>-106.53999999999999</v>
          </cell>
          <cell r="K86">
            <v>-42.92</v>
          </cell>
          <cell r="L86">
            <v>-49.15</v>
          </cell>
          <cell r="M86">
            <v>-781.48</v>
          </cell>
          <cell r="N86">
            <v>-570.58999999999992</v>
          </cell>
          <cell r="O86">
            <v>-32.839999999999996</v>
          </cell>
          <cell r="P86">
            <v>-2160.9</v>
          </cell>
        </row>
        <row r="87">
          <cell r="B87" t="str">
            <v>ADJ-TAX</v>
          </cell>
          <cell r="C87" t="str">
            <v>TAX ADJUSTMENT</v>
          </cell>
          <cell r="D87">
            <v>0</v>
          </cell>
          <cell r="E87">
            <v>-54.19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-54.19</v>
          </cell>
        </row>
        <row r="88">
          <cell r="B88" t="str">
            <v>BD</v>
          </cell>
          <cell r="C88" t="str">
            <v>BAD DEBT WRITE OFF</v>
          </cell>
          <cell r="D88">
            <v>-5171.5</v>
          </cell>
          <cell r="E88">
            <v>-7047.92</v>
          </cell>
          <cell r="F88">
            <v>-3054.56</v>
          </cell>
          <cell r="G88">
            <v>-2698.83</v>
          </cell>
          <cell r="H88">
            <v>-5657.85</v>
          </cell>
          <cell r="I88">
            <v>-3041.5200000000004</v>
          </cell>
          <cell r="J88">
            <v>-4107.1400000000003</v>
          </cell>
          <cell r="K88">
            <v>-5535.7999999999993</v>
          </cell>
          <cell r="L88">
            <v>-5408.5199999999995</v>
          </cell>
          <cell r="M88">
            <v>-3764.1099999999997</v>
          </cell>
          <cell r="N88">
            <v>-4152.6000000000004</v>
          </cell>
          <cell r="O88">
            <v>-5322.63</v>
          </cell>
          <cell r="P88">
            <v>-54962.979999999989</v>
          </cell>
        </row>
        <row r="89">
          <cell r="B89" t="str">
            <v>BDR</v>
          </cell>
          <cell r="C89" t="str">
            <v>BAD DEBT RECOVERY</v>
          </cell>
          <cell r="D89">
            <v>2552.35</v>
          </cell>
          <cell r="E89">
            <v>1755.71</v>
          </cell>
          <cell r="F89">
            <v>1766.36</v>
          </cell>
          <cell r="G89">
            <v>1678.96</v>
          </cell>
          <cell r="H89">
            <v>1169.96</v>
          </cell>
          <cell r="I89">
            <v>821.53</v>
          </cell>
          <cell r="J89">
            <v>516.12</v>
          </cell>
          <cell r="K89">
            <v>621.99</v>
          </cell>
          <cell r="L89">
            <v>1404.9</v>
          </cell>
          <cell r="M89">
            <v>1403.56</v>
          </cell>
          <cell r="N89">
            <v>1324.9999999999998</v>
          </cell>
          <cell r="O89">
            <v>976.2299999999999</v>
          </cell>
          <cell r="P89">
            <v>15992.67</v>
          </cell>
        </row>
        <row r="90">
          <cell r="C90" t="str">
            <v>FINANCE CHARGE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91">
          <cell r="B91" t="str">
            <v>FINCHG</v>
          </cell>
          <cell r="C91" t="str">
            <v>LATE FEE</v>
          </cell>
          <cell r="D91">
            <v>2188.42</v>
          </cell>
          <cell r="E91">
            <v>2701.84</v>
          </cell>
          <cell r="F91">
            <v>2335.33</v>
          </cell>
          <cell r="G91">
            <v>2233.12</v>
          </cell>
          <cell r="H91">
            <v>2357.3199999999997</v>
          </cell>
          <cell r="I91">
            <v>2478.59</v>
          </cell>
          <cell r="J91">
            <v>2205.6400000000003</v>
          </cell>
          <cell r="K91">
            <v>2391.63</v>
          </cell>
          <cell r="L91">
            <v>2240.08</v>
          </cell>
          <cell r="M91">
            <v>2140.13</v>
          </cell>
          <cell r="N91">
            <v>2676.27</v>
          </cell>
          <cell r="O91">
            <v>2185.2599999999998</v>
          </cell>
          <cell r="P91">
            <v>28133.63</v>
          </cell>
        </row>
        <row r="92">
          <cell r="B92" t="str">
            <v>MM</v>
          </cell>
          <cell r="C92" t="str">
            <v>MOVE MONEY</v>
          </cell>
          <cell r="D92">
            <v>-340.35000000000014</v>
          </cell>
          <cell r="E92">
            <v>77.79000000000002</v>
          </cell>
          <cell r="F92">
            <v>-76.63</v>
          </cell>
          <cell r="G92">
            <v>48.509999999999991</v>
          </cell>
          <cell r="H92">
            <v>-146.05000000000001</v>
          </cell>
          <cell r="I92">
            <v>77.230000000000018</v>
          </cell>
          <cell r="J92">
            <v>-28.139999999999986</v>
          </cell>
          <cell r="K92">
            <v>74.480000000000018</v>
          </cell>
          <cell r="L92">
            <v>-165.94000000000005</v>
          </cell>
          <cell r="M92">
            <v>98.589999999999918</v>
          </cell>
          <cell r="N92">
            <v>-136.87000000000012</v>
          </cell>
          <cell r="O92">
            <v>0</v>
          </cell>
          <cell r="P92">
            <v>-517.38000000000034</v>
          </cell>
        </row>
        <row r="93">
          <cell r="B93" t="str">
            <v>REFUND</v>
          </cell>
          <cell r="C93" t="str">
            <v>REFUND ISSUED</v>
          </cell>
          <cell r="D93">
            <v>8343.24</v>
          </cell>
          <cell r="E93">
            <v>8391.61</v>
          </cell>
          <cell r="F93">
            <v>5089.04</v>
          </cell>
          <cell r="G93">
            <v>0</v>
          </cell>
          <cell r="H93">
            <v>2137.64</v>
          </cell>
          <cell r="I93">
            <v>5714.67</v>
          </cell>
          <cell r="J93">
            <v>1692.15</v>
          </cell>
          <cell r="K93">
            <v>4905.55</v>
          </cell>
          <cell r="L93">
            <v>860.67000000000007</v>
          </cell>
          <cell r="M93">
            <v>821.42000000000007</v>
          </cell>
          <cell r="N93">
            <v>3992.71</v>
          </cell>
          <cell r="O93">
            <v>0</v>
          </cell>
          <cell r="P93">
            <v>41948.7</v>
          </cell>
        </row>
        <row r="94">
          <cell r="B94" t="str">
            <v>RETCK</v>
          </cell>
          <cell r="C94" t="str">
            <v>RETURN CHECK</v>
          </cell>
          <cell r="D94">
            <v>1702.1599999999999</v>
          </cell>
          <cell r="E94">
            <v>318.72000000000003</v>
          </cell>
          <cell r="F94">
            <v>164.79000000000002</v>
          </cell>
          <cell r="G94">
            <v>124.61</v>
          </cell>
          <cell r="H94">
            <v>236.01999999999998</v>
          </cell>
          <cell r="I94">
            <v>468.72</v>
          </cell>
          <cell r="J94">
            <v>1823.35</v>
          </cell>
          <cell r="K94">
            <v>179.02</v>
          </cell>
          <cell r="L94">
            <v>433.39000000000004</v>
          </cell>
          <cell r="M94">
            <v>332.39</v>
          </cell>
          <cell r="N94">
            <v>41.78</v>
          </cell>
          <cell r="O94">
            <v>117.48</v>
          </cell>
          <cell r="P94">
            <v>5942.4300000000012</v>
          </cell>
        </row>
        <row r="95">
          <cell r="B95" t="str">
            <v>RETCKC</v>
          </cell>
          <cell r="C95" t="str">
            <v>RETURN CHECK CHARGE</v>
          </cell>
          <cell r="D95">
            <v>43.86</v>
          </cell>
          <cell r="E95">
            <v>22.14</v>
          </cell>
          <cell r="F95">
            <v>33.21</v>
          </cell>
          <cell r="G95">
            <v>11.07</v>
          </cell>
          <cell r="H95">
            <v>44.28</v>
          </cell>
          <cell r="I95">
            <v>33.21</v>
          </cell>
          <cell r="J95">
            <v>44.28</v>
          </cell>
          <cell r="K95">
            <v>33.21</v>
          </cell>
          <cell r="L95">
            <v>44.28</v>
          </cell>
          <cell r="M95">
            <v>55.35</v>
          </cell>
          <cell r="N95">
            <v>11.07</v>
          </cell>
          <cell r="O95">
            <v>44.28</v>
          </cell>
          <cell r="P95">
            <v>420.24</v>
          </cell>
        </row>
        <row r="96">
          <cell r="B96" t="str">
            <v>UNCLAIMED</v>
          </cell>
          <cell r="C96" t="str">
            <v>UNCLAIMED PROPERTY</v>
          </cell>
          <cell r="D96">
            <v>5090.9400000000005</v>
          </cell>
          <cell r="E96">
            <v>5588.93</v>
          </cell>
          <cell r="F96">
            <v>167.17000000000002</v>
          </cell>
          <cell r="G96">
            <v>20.75</v>
          </cell>
          <cell r="H96">
            <v>19.850000000000001</v>
          </cell>
          <cell r="I96">
            <v>0</v>
          </cell>
          <cell r="J96">
            <v>0</v>
          </cell>
          <cell r="K96">
            <v>72.69</v>
          </cell>
          <cell r="L96">
            <v>0</v>
          </cell>
          <cell r="M96">
            <v>883.37</v>
          </cell>
          <cell r="N96">
            <v>0</v>
          </cell>
          <cell r="O96">
            <v>0</v>
          </cell>
          <cell r="P96">
            <v>11843.700000000003</v>
          </cell>
        </row>
        <row r="97">
          <cell r="B97" t="str">
            <v>WO</v>
          </cell>
          <cell r="C97" t="str">
            <v>SMALL BALANCE WRITE OFF</v>
          </cell>
          <cell r="D97">
            <v>248.88</v>
          </cell>
          <cell r="E97">
            <v>26.850000000000005</v>
          </cell>
          <cell r="F97">
            <v>0.28999999999999998</v>
          </cell>
          <cell r="G97">
            <v>1</v>
          </cell>
          <cell r="H97">
            <v>8.1999999999999993</v>
          </cell>
          <cell r="I97">
            <v>0</v>
          </cell>
          <cell r="J97">
            <v>0</v>
          </cell>
          <cell r="K97">
            <v>1.57</v>
          </cell>
          <cell r="L97">
            <v>2.74</v>
          </cell>
          <cell r="M97">
            <v>0</v>
          </cell>
          <cell r="N97">
            <v>0</v>
          </cell>
          <cell r="O97">
            <v>0</v>
          </cell>
          <cell r="P97">
            <v>289.53000000000003</v>
          </cell>
        </row>
        <row r="98">
          <cell r="B98" t="str">
            <v>COMMERCIAL</v>
          </cell>
          <cell r="D98">
            <v>361228.20000000013</v>
          </cell>
          <cell r="E98">
            <v>360464.66</v>
          </cell>
          <cell r="F98">
            <v>362878.79</v>
          </cell>
          <cell r="G98">
            <v>365732.74</v>
          </cell>
          <cell r="H98">
            <v>371229.96</v>
          </cell>
          <cell r="I98">
            <v>374488.21000000008</v>
          </cell>
          <cell r="J98">
            <v>380438.86000000022</v>
          </cell>
          <cell r="K98">
            <v>385941.38000000006</v>
          </cell>
          <cell r="L98">
            <v>393142.44000000012</v>
          </cell>
          <cell r="M98">
            <v>382152.95</v>
          </cell>
          <cell r="N98">
            <v>371795.85000000009</v>
          </cell>
          <cell r="O98">
            <v>381062.23999999993</v>
          </cell>
          <cell r="P98">
            <v>4490556.28</v>
          </cell>
        </row>
        <row r="99">
          <cell r="B99" t="str">
            <v>ADD32GLCOM1W</v>
          </cell>
          <cell r="C99" t="str">
            <v>ADDTL 32 GL 1X WK COMM</v>
          </cell>
          <cell r="D99">
            <v>0</v>
          </cell>
          <cell r="E99">
            <v>1.75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1.75</v>
          </cell>
        </row>
        <row r="100">
          <cell r="B100" t="str">
            <v>ADJ-COM</v>
          </cell>
          <cell r="C100" t="str">
            <v>ADJUSTMENT COMMERCIAL</v>
          </cell>
          <cell r="D100">
            <v>0</v>
          </cell>
          <cell r="E100">
            <v>650</v>
          </cell>
          <cell r="F100">
            <v>0</v>
          </cell>
          <cell r="G100">
            <v>45</v>
          </cell>
          <cell r="H100">
            <v>45</v>
          </cell>
          <cell r="I100">
            <v>250</v>
          </cell>
          <cell r="J100">
            <v>130</v>
          </cell>
          <cell r="K100">
            <v>5409.6</v>
          </cell>
          <cell r="L100">
            <v>5756.6</v>
          </cell>
          <cell r="M100">
            <v>2710.6</v>
          </cell>
          <cell r="N100">
            <v>-100</v>
          </cell>
          <cell r="O100">
            <v>5270</v>
          </cell>
          <cell r="P100">
            <v>20166.800000000003</v>
          </cell>
        </row>
        <row r="101">
          <cell r="B101" t="str">
            <v>CLEAN1.5YD-COMM</v>
          </cell>
          <cell r="C101" t="str">
            <v>CONT CLEAN 1.5 YD - COMM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30.24</v>
          </cell>
          <cell r="J101">
            <v>0</v>
          </cell>
          <cell r="K101">
            <v>120.96</v>
          </cell>
          <cell r="L101">
            <v>60.48</v>
          </cell>
          <cell r="M101">
            <v>43.04</v>
          </cell>
          <cell r="N101">
            <v>0</v>
          </cell>
          <cell r="O101">
            <v>30.24</v>
          </cell>
          <cell r="P101">
            <v>284.95999999999998</v>
          </cell>
        </row>
        <row r="102">
          <cell r="B102" t="str">
            <v>CLEAN2OVERYD-COMM</v>
          </cell>
          <cell r="C102" t="str">
            <v>CONT CLEAN 2YD OVER - COM</v>
          </cell>
          <cell r="D102">
            <v>29.1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100.8</v>
          </cell>
          <cell r="J102">
            <v>100.8</v>
          </cell>
          <cell r="K102">
            <v>0</v>
          </cell>
          <cell r="L102">
            <v>0</v>
          </cell>
          <cell r="M102">
            <v>161.28</v>
          </cell>
          <cell r="N102">
            <v>0</v>
          </cell>
          <cell r="O102">
            <v>0</v>
          </cell>
          <cell r="P102">
            <v>391.98</v>
          </cell>
        </row>
        <row r="103">
          <cell r="B103" t="str">
            <v>CLEAN-COMM</v>
          </cell>
          <cell r="C103" t="str">
            <v>CONT CLEANING FEE - COMM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30.24</v>
          </cell>
          <cell r="J103">
            <v>30.24</v>
          </cell>
          <cell r="K103">
            <v>0</v>
          </cell>
          <cell r="L103">
            <v>0</v>
          </cell>
          <cell r="M103">
            <v>30.24</v>
          </cell>
          <cell r="N103">
            <v>0</v>
          </cell>
          <cell r="O103">
            <v>0</v>
          </cell>
          <cell r="P103">
            <v>90.72</v>
          </cell>
        </row>
        <row r="104">
          <cell r="B104" t="str">
            <v>CLEANPU7UNDER-COMM</v>
          </cell>
          <cell r="C104" t="str">
            <v>CLEAN PICKUP 7YD UNDER-CO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43.04</v>
          </cell>
          <cell r="J104">
            <v>21.52</v>
          </cell>
          <cell r="K104">
            <v>64.56</v>
          </cell>
          <cell r="L104">
            <v>43.04</v>
          </cell>
          <cell r="M104">
            <v>0</v>
          </cell>
          <cell r="N104">
            <v>30.24</v>
          </cell>
          <cell r="O104">
            <v>0</v>
          </cell>
          <cell r="P104">
            <v>202.4</v>
          </cell>
        </row>
        <row r="105">
          <cell r="B105" t="str">
            <v>CLEANPU8OVER-COMM</v>
          </cell>
          <cell r="C105" t="str">
            <v>CLEAN PICKUP 8YD OVER-COM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34.35</v>
          </cell>
          <cell r="J105">
            <v>34.35</v>
          </cell>
          <cell r="K105">
            <v>0</v>
          </cell>
          <cell r="L105">
            <v>0</v>
          </cell>
          <cell r="M105">
            <v>34.35</v>
          </cell>
          <cell r="N105">
            <v>0</v>
          </cell>
          <cell r="O105">
            <v>0</v>
          </cell>
          <cell r="P105">
            <v>103.05000000000001</v>
          </cell>
        </row>
        <row r="106">
          <cell r="B106" t="str">
            <v>DEL1.5-COMM</v>
          </cell>
          <cell r="C106" t="str">
            <v>DELIVERY FEE 1.5YD - COMM</v>
          </cell>
          <cell r="D106">
            <v>252</v>
          </cell>
          <cell r="E106">
            <v>90</v>
          </cell>
          <cell r="F106">
            <v>468</v>
          </cell>
          <cell r="G106">
            <v>558</v>
          </cell>
          <cell r="H106">
            <v>198</v>
          </cell>
          <cell r="I106">
            <v>486</v>
          </cell>
          <cell r="J106">
            <v>504</v>
          </cell>
          <cell r="K106">
            <v>486</v>
          </cell>
          <cell r="L106">
            <v>468</v>
          </cell>
          <cell r="M106">
            <v>414</v>
          </cell>
          <cell r="N106">
            <v>324</v>
          </cell>
          <cell r="O106">
            <v>180</v>
          </cell>
          <cell r="P106">
            <v>4428</v>
          </cell>
        </row>
        <row r="107">
          <cell r="B107" t="str">
            <v>DEL3-COMM</v>
          </cell>
          <cell r="C107" t="str">
            <v>DELIVERY FEE 3YD - COMM</v>
          </cell>
          <cell r="D107">
            <v>43.54</v>
          </cell>
          <cell r="E107">
            <v>0</v>
          </cell>
          <cell r="F107">
            <v>84.44</v>
          </cell>
          <cell r="G107">
            <v>44.38</v>
          </cell>
          <cell r="H107">
            <v>86.6</v>
          </cell>
          <cell r="I107">
            <v>166.72</v>
          </cell>
          <cell r="J107">
            <v>88.759999999999991</v>
          </cell>
          <cell r="K107">
            <v>110.94999999999999</v>
          </cell>
          <cell r="L107">
            <v>133.13999999999999</v>
          </cell>
          <cell r="M107">
            <v>66.570000000000007</v>
          </cell>
          <cell r="N107">
            <v>0</v>
          </cell>
          <cell r="O107">
            <v>22.19</v>
          </cell>
          <cell r="P107">
            <v>847.29</v>
          </cell>
        </row>
        <row r="108">
          <cell r="B108" t="str">
            <v>DEL4-COMM</v>
          </cell>
          <cell r="C108" t="str">
            <v>DELIVERY FEE 4YD - COMM</v>
          </cell>
          <cell r="D108">
            <v>22.19</v>
          </cell>
          <cell r="E108">
            <v>44.38</v>
          </cell>
          <cell r="F108">
            <v>20.03</v>
          </cell>
          <cell r="G108">
            <v>41.19</v>
          </cell>
          <cell r="H108">
            <v>108.78999999999999</v>
          </cell>
          <cell r="I108">
            <v>64.41</v>
          </cell>
          <cell r="J108">
            <v>62.25</v>
          </cell>
          <cell r="K108">
            <v>42.22</v>
          </cell>
          <cell r="L108">
            <v>66.569999999999993</v>
          </cell>
          <cell r="M108">
            <v>22.19</v>
          </cell>
          <cell r="N108">
            <v>44.38</v>
          </cell>
          <cell r="O108">
            <v>22.19</v>
          </cell>
          <cell r="P108">
            <v>560.79000000000008</v>
          </cell>
        </row>
        <row r="109">
          <cell r="B109" t="str">
            <v>DEL6-COMM</v>
          </cell>
          <cell r="C109" t="str">
            <v>DELIVERY FEE 6YD - COMM</v>
          </cell>
          <cell r="D109">
            <v>25.79</v>
          </cell>
          <cell r="E109">
            <v>23.27</v>
          </cell>
          <cell r="F109">
            <v>69.81</v>
          </cell>
          <cell r="G109">
            <v>51.58</v>
          </cell>
          <cell r="H109">
            <v>123.91</v>
          </cell>
          <cell r="I109">
            <v>72.33</v>
          </cell>
          <cell r="J109">
            <v>219.51</v>
          </cell>
          <cell r="K109">
            <v>206.32</v>
          </cell>
          <cell r="L109">
            <v>412.64000000000004</v>
          </cell>
          <cell r="M109">
            <v>257.89999999999998</v>
          </cell>
          <cell r="N109">
            <v>0</v>
          </cell>
          <cell r="O109">
            <v>77.37</v>
          </cell>
          <cell r="P109">
            <v>1540.4299999999998</v>
          </cell>
        </row>
        <row r="110">
          <cell r="B110" t="str">
            <v>DELTEMP-COMM</v>
          </cell>
          <cell r="C110" t="str">
            <v>DELIVERY FEE TEMP-COMM</v>
          </cell>
          <cell r="D110">
            <v>0</v>
          </cell>
          <cell r="E110">
            <v>0</v>
          </cell>
          <cell r="F110">
            <v>0</v>
          </cell>
          <cell r="G110">
            <v>87.58</v>
          </cell>
          <cell r="H110">
            <v>0</v>
          </cell>
          <cell r="I110">
            <v>79.789999999999992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167.37</v>
          </cell>
        </row>
        <row r="111">
          <cell r="B111" t="str">
            <v>DISP-COMM</v>
          </cell>
          <cell r="C111" t="str">
            <v>DISPOSAL FEE - COMM</v>
          </cell>
          <cell r="D111">
            <v>44.15</v>
          </cell>
          <cell r="E111">
            <v>11.74</v>
          </cell>
          <cell r="F111">
            <v>17.61</v>
          </cell>
          <cell r="G111">
            <v>0</v>
          </cell>
          <cell r="H111">
            <v>0</v>
          </cell>
          <cell r="I111">
            <v>0</v>
          </cell>
          <cell r="J111">
            <v>22.61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96.11</v>
          </cell>
        </row>
        <row r="112">
          <cell r="B112" t="str">
            <v>DRIVEIN-COMM</v>
          </cell>
          <cell r="C112" t="str">
            <v>DRIVE IN SERVICE-COMM</v>
          </cell>
          <cell r="D112">
            <v>47.879999999999995</v>
          </cell>
          <cell r="E112">
            <v>47.879999999999995</v>
          </cell>
          <cell r="F112">
            <v>51.3</v>
          </cell>
          <cell r="G112">
            <v>43.61</v>
          </cell>
          <cell r="H112">
            <v>47.879999999999995</v>
          </cell>
          <cell r="I112">
            <v>47.879999999999995</v>
          </cell>
          <cell r="J112">
            <v>47.879999999999995</v>
          </cell>
          <cell r="K112">
            <v>51.3</v>
          </cell>
          <cell r="L112">
            <v>51.3</v>
          </cell>
          <cell r="M112">
            <v>59.86</v>
          </cell>
          <cell r="N112">
            <v>68.400000000000006</v>
          </cell>
          <cell r="O112">
            <v>70.11</v>
          </cell>
          <cell r="P112">
            <v>635.28000000000009</v>
          </cell>
        </row>
        <row r="113">
          <cell r="B113" t="str">
            <v>EP1.5-COMM</v>
          </cell>
          <cell r="C113" t="str">
            <v>EXTRA PICK UP 1.5 YD - CO</v>
          </cell>
          <cell r="D113">
            <v>70.28</v>
          </cell>
          <cell r="E113">
            <v>160.63999999999999</v>
          </cell>
          <cell r="F113">
            <v>100.39999999999999</v>
          </cell>
          <cell r="G113">
            <v>205.82</v>
          </cell>
          <cell r="H113">
            <v>220.88</v>
          </cell>
          <cell r="I113">
            <v>180.72000000000003</v>
          </cell>
          <cell r="J113">
            <v>180.72000000000003</v>
          </cell>
          <cell r="K113">
            <v>160.63999999999999</v>
          </cell>
          <cell r="L113">
            <v>220.88</v>
          </cell>
          <cell r="M113">
            <v>150.6</v>
          </cell>
          <cell r="N113">
            <v>150.6</v>
          </cell>
          <cell r="O113">
            <v>60.24</v>
          </cell>
          <cell r="P113">
            <v>1862.4199999999998</v>
          </cell>
        </row>
        <row r="114">
          <cell r="B114" t="str">
            <v>EP3-COMM</v>
          </cell>
          <cell r="C114" t="str">
            <v>EXTRA PICK UP 3 YD - COMM</v>
          </cell>
          <cell r="D114">
            <v>113.4</v>
          </cell>
          <cell r="E114">
            <v>113.4</v>
          </cell>
          <cell r="F114">
            <v>259.2</v>
          </cell>
          <cell r="G114">
            <v>145.80000000000001</v>
          </cell>
          <cell r="H114">
            <v>210.6</v>
          </cell>
          <cell r="I114">
            <v>64.8</v>
          </cell>
          <cell r="J114">
            <v>226.79999999999998</v>
          </cell>
          <cell r="K114">
            <v>162</v>
          </cell>
          <cell r="L114">
            <v>210.6</v>
          </cell>
          <cell r="M114">
            <v>113.4</v>
          </cell>
          <cell r="N114">
            <v>32.4</v>
          </cell>
          <cell r="O114">
            <v>16.2</v>
          </cell>
          <cell r="P114">
            <v>1668.6000000000001</v>
          </cell>
        </row>
        <row r="115">
          <cell r="B115" t="str">
            <v>EP4-COMM</v>
          </cell>
          <cell r="C115" t="str">
            <v>EXTRA PICK UP 4 YD - COMM</v>
          </cell>
          <cell r="D115">
            <v>97.5</v>
          </cell>
          <cell r="E115">
            <v>58.5</v>
          </cell>
          <cell r="F115">
            <v>58.5</v>
          </cell>
          <cell r="G115">
            <v>39</v>
          </cell>
          <cell r="H115">
            <v>195</v>
          </cell>
          <cell r="I115">
            <v>78</v>
          </cell>
          <cell r="J115">
            <v>175.5</v>
          </cell>
          <cell r="K115">
            <v>39</v>
          </cell>
          <cell r="L115">
            <v>78</v>
          </cell>
          <cell r="M115">
            <v>19.5</v>
          </cell>
          <cell r="N115">
            <v>117</v>
          </cell>
          <cell r="O115">
            <v>58.5</v>
          </cell>
          <cell r="P115">
            <v>1014</v>
          </cell>
        </row>
        <row r="116">
          <cell r="B116" t="str">
            <v>EP6-COMM</v>
          </cell>
          <cell r="C116" t="str">
            <v>EXTRA PICK UP 6 YD - COMM</v>
          </cell>
          <cell r="D116">
            <v>53.2</v>
          </cell>
          <cell r="E116">
            <v>79.8</v>
          </cell>
          <cell r="F116">
            <v>159.60000000000002</v>
          </cell>
          <cell r="G116">
            <v>53.2</v>
          </cell>
          <cell r="H116">
            <v>133</v>
          </cell>
          <cell r="I116">
            <v>186.2</v>
          </cell>
          <cell r="J116">
            <v>186.2</v>
          </cell>
          <cell r="K116">
            <v>159.6</v>
          </cell>
          <cell r="L116">
            <v>186.2</v>
          </cell>
          <cell r="M116">
            <v>319.20000000000005</v>
          </cell>
          <cell r="N116">
            <v>106.4</v>
          </cell>
          <cell r="O116">
            <v>106.4</v>
          </cell>
          <cell r="P116">
            <v>1729.0000000000002</v>
          </cell>
        </row>
        <row r="117">
          <cell r="B117" t="str">
            <v>EXTRA1TO4YD-COMM</v>
          </cell>
          <cell r="C117" t="str">
            <v>EXTRA PU 1 TO 4YD - COMM</v>
          </cell>
          <cell r="D117">
            <v>2029.1499999999996</v>
          </cell>
          <cell r="E117">
            <v>1798.52</v>
          </cell>
          <cell r="F117">
            <v>3098.0800000000004</v>
          </cell>
          <cell r="G117">
            <v>3877.9900000000002</v>
          </cell>
          <cell r="H117">
            <v>3120.92</v>
          </cell>
          <cell r="I117">
            <v>2332.04</v>
          </cell>
          <cell r="J117">
            <v>3010.2</v>
          </cell>
          <cell r="K117">
            <v>3003.28</v>
          </cell>
          <cell r="L117">
            <v>3044.8</v>
          </cell>
          <cell r="M117">
            <v>4041.2800000000007</v>
          </cell>
          <cell r="N117">
            <v>3471.76</v>
          </cell>
          <cell r="O117">
            <v>3394.2599999999998</v>
          </cell>
          <cell r="P117">
            <v>36222.280000000006</v>
          </cell>
        </row>
        <row r="118">
          <cell r="B118" t="str">
            <v>EXTRA5OVERYD-COMM</v>
          </cell>
          <cell r="C118" t="str">
            <v>EXTRA PU 5YD OVER - COMM</v>
          </cell>
          <cell r="D118">
            <v>31.1</v>
          </cell>
          <cell r="E118">
            <v>0</v>
          </cell>
          <cell r="F118">
            <v>0</v>
          </cell>
          <cell r="G118">
            <v>68.42</v>
          </cell>
          <cell r="H118">
            <v>74.64</v>
          </cell>
          <cell r="I118">
            <v>37.32</v>
          </cell>
          <cell r="J118">
            <v>0</v>
          </cell>
          <cell r="K118">
            <v>0</v>
          </cell>
          <cell r="L118">
            <v>105.74</v>
          </cell>
          <cell r="M118">
            <v>0</v>
          </cell>
          <cell r="N118">
            <v>0</v>
          </cell>
          <cell r="O118">
            <v>105.74</v>
          </cell>
          <cell r="P118">
            <v>422.96000000000004</v>
          </cell>
        </row>
        <row r="119">
          <cell r="B119" t="str">
            <v>EXTRA-COMM</v>
          </cell>
          <cell r="C119" t="str">
            <v>EXTRA CAN, BAG, BOX-COMM</v>
          </cell>
          <cell r="D119">
            <v>147.86000000000001</v>
          </cell>
          <cell r="E119">
            <v>65.12</v>
          </cell>
          <cell r="F119">
            <v>74.72999999999999</v>
          </cell>
          <cell r="G119">
            <v>116.38</v>
          </cell>
          <cell r="H119">
            <v>137.28</v>
          </cell>
          <cell r="I119">
            <v>255.83999999999997</v>
          </cell>
          <cell r="J119">
            <v>565.79999999999995</v>
          </cell>
          <cell r="K119">
            <v>311.95</v>
          </cell>
          <cell r="L119">
            <v>411.84000000000003</v>
          </cell>
          <cell r="M119">
            <v>149.62</v>
          </cell>
          <cell r="N119">
            <v>66.210000000000008</v>
          </cell>
          <cell r="O119">
            <v>184.32000000000005</v>
          </cell>
          <cell r="P119">
            <v>2486.9500000000003</v>
          </cell>
        </row>
        <row r="120">
          <cell r="B120" t="str">
            <v>FL001.5Y1W001</v>
          </cell>
          <cell r="C120" t="str">
            <v>FL 1.5 YD 1X WK 1</v>
          </cell>
          <cell r="D120">
            <v>7032.43</v>
          </cell>
          <cell r="E120">
            <v>6980.22</v>
          </cell>
          <cell r="F120">
            <v>6987.68</v>
          </cell>
          <cell r="G120">
            <v>6995.1500000000005</v>
          </cell>
          <cell r="H120">
            <v>7136.83</v>
          </cell>
          <cell r="I120">
            <v>7196.5</v>
          </cell>
          <cell r="J120">
            <v>7263.6</v>
          </cell>
          <cell r="K120">
            <v>7353.09</v>
          </cell>
          <cell r="L120">
            <v>7271.06</v>
          </cell>
          <cell r="M120">
            <v>7196.49</v>
          </cell>
          <cell r="N120">
            <v>7129.38</v>
          </cell>
          <cell r="O120">
            <v>7121.91</v>
          </cell>
          <cell r="P120">
            <v>85664.340000000011</v>
          </cell>
        </row>
        <row r="121">
          <cell r="B121" t="str">
            <v>FL001.5Y2W001</v>
          </cell>
          <cell r="C121" t="str">
            <v>FL 1.5 YD 2X WK 1</v>
          </cell>
          <cell r="D121">
            <v>827.92</v>
          </cell>
          <cell r="E121">
            <v>835.38</v>
          </cell>
          <cell r="F121">
            <v>835.38</v>
          </cell>
          <cell r="G121">
            <v>835.38</v>
          </cell>
          <cell r="H121">
            <v>835.38</v>
          </cell>
          <cell r="I121">
            <v>835.38</v>
          </cell>
          <cell r="J121">
            <v>835.38</v>
          </cell>
          <cell r="K121">
            <v>835.38</v>
          </cell>
          <cell r="L121">
            <v>835.38</v>
          </cell>
          <cell r="M121">
            <v>835.38</v>
          </cell>
          <cell r="N121">
            <v>835.38</v>
          </cell>
          <cell r="O121">
            <v>835.38</v>
          </cell>
          <cell r="P121">
            <v>10017.099999999999</v>
          </cell>
        </row>
        <row r="122">
          <cell r="B122" t="str">
            <v>FL001.5Y3W001</v>
          </cell>
          <cell r="C122" t="str">
            <v>FL 1.5 YD 3X WK 1</v>
          </cell>
          <cell r="D122">
            <v>447.5</v>
          </cell>
          <cell r="E122">
            <v>447.5</v>
          </cell>
          <cell r="F122">
            <v>447.5</v>
          </cell>
          <cell r="G122">
            <v>447.5</v>
          </cell>
          <cell r="H122">
            <v>447.5</v>
          </cell>
          <cell r="I122">
            <v>447.5</v>
          </cell>
          <cell r="J122">
            <v>447.5</v>
          </cell>
          <cell r="K122">
            <v>447.5</v>
          </cell>
          <cell r="L122">
            <v>447.5</v>
          </cell>
          <cell r="M122">
            <v>447.5</v>
          </cell>
          <cell r="N122">
            <v>447.5</v>
          </cell>
          <cell r="O122">
            <v>447.5</v>
          </cell>
          <cell r="P122">
            <v>5370</v>
          </cell>
        </row>
        <row r="123">
          <cell r="B123" t="str">
            <v>FL001.5Y5W001</v>
          </cell>
          <cell r="C123" t="str">
            <v>FL 1.5 YD 5X WK 1</v>
          </cell>
          <cell r="D123">
            <v>149.16999999999999</v>
          </cell>
          <cell r="E123">
            <v>149.16999999999999</v>
          </cell>
          <cell r="F123">
            <v>149.16999999999999</v>
          </cell>
          <cell r="G123">
            <v>149.16999999999999</v>
          </cell>
          <cell r="H123">
            <v>149.16999999999999</v>
          </cell>
          <cell r="I123">
            <v>149.16999999999999</v>
          </cell>
          <cell r="J123">
            <v>149.16999999999999</v>
          </cell>
          <cell r="K123">
            <v>149.16999999999999</v>
          </cell>
          <cell r="L123">
            <v>149.16999999999999</v>
          </cell>
          <cell r="M123">
            <v>149.16999999999999</v>
          </cell>
          <cell r="N123">
            <v>149.16999999999999</v>
          </cell>
          <cell r="O123">
            <v>149.16999999999999</v>
          </cell>
          <cell r="P123">
            <v>1790.0400000000002</v>
          </cell>
        </row>
        <row r="124">
          <cell r="B124" t="str">
            <v>FL003.0Y1W001</v>
          </cell>
          <cell r="C124" t="str">
            <v>FL 3 YD 1X WK 1</v>
          </cell>
          <cell r="D124">
            <v>22964.589999999997</v>
          </cell>
          <cell r="E124">
            <v>22850.780000000002</v>
          </cell>
          <cell r="F124">
            <v>22903.14</v>
          </cell>
          <cell r="G124">
            <v>23099.439999999995</v>
          </cell>
          <cell r="H124">
            <v>23112.53</v>
          </cell>
          <cell r="I124">
            <v>22955.469999999998</v>
          </cell>
          <cell r="J124">
            <v>23138.699999999997</v>
          </cell>
          <cell r="K124">
            <v>23086.35</v>
          </cell>
          <cell r="L124">
            <v>23060.199999999997</v>
          </cell>
          <cell r="M124">
            <v>23007.839999999997</v>
          </cell>
          <cell r="N124">
            <v>22798.44</v>
          </cell>
          <cell r="O124">
            <v>23086.350000000002</v>
          </cell>
          <cell r="P124">
            <v>276063.82999999996</v>
          </cell>
        </row>
        <row r="125">
          <cell r="B125" t="str">
            <v>FL003.0Y2W001</v>
          </cell>
          <cell r="C125" t="str">
            <v>FL 3 YD 2X WK 1</v>
          </cell>
          <cell r="D125">
            <v>9632.4</v>
          </cell>
          <cell r="E125">
            <v>9566.9600000000009</v>
          </cell>
          <cell r="F125">
            <v>9527.7000000000007</v>
          </cell>
          <cell r="G125">
            <v>9632.4</v>
          </cell>
          <cell r="H125">
            <v>9841.7999999999993</v>
          </cell>
          <cell r="I125">
            <v>9815.6299999999992</v>
          </cell>
          <cell r="J125">
            <v>9619.32</v>
          </cell>
          <cell r="K125">
            <v>9475.3499999999985</v>
          </cell>
          <cell r="L125">
            <v>9475.3499999999985</v>
          </cell>
          <cell r="M125">
            <v>9318.31</v>
          </cell>
          <cell r="N125">
            <v>9135.08</v>
          </cell>
          <cell r="O125">
            <v>9108.9</v>
          </cell>
          <cell r="P125">
            <v>114149.2</v>
          </cell>
        </row>
        <row r="126">
          <cell r="B126" t="str">
            <v>FL003.0Y3W001</v>
          </cell>
          <cell r="C126" t="str">
            <v>FL 3 YD 3X WK 1</v>
          </cell>
          <cell r="D126">
            <v>2826.9</v>
          </cell>
          <cell r="E126">
            <v>2826.9</v>
          </cell>
          <cell r="F126">
            <v>2826.9</v>
          </cell>
          <cell r="G126">
            <v>2826.9</v>
          </cell>
          <cell r="H126">
            <v>2826.9</v>
          </cell>
          <cell r="I126">
            <v>2826.9</v>
          </cell>
          <cell r="J126">
            <v>2875.2200000000003</v>
          </cell>
          <cell r="K126">
            <v>2983.9500000000003</v>
          </cell>
          <cell r="L126">
            <v>3075.5600000000004</v>
          </cell>
          <cell r="M126">
            <v>3141</v>
          </cell>
          <cell r="N126">
            <v>3141</v>
          </cell>
          <cell r="O126">
            <v>3141</v>
          </cell>
          <cell r="P126">
            <v>35319.130000000005</v>
          </cell>
        </row>
        <row r="127">
          <cell r="B127" t="str">
            <v>FL003.0Y5W001</v>
          </cell>
          <cell r="C127" t="str">
            <v>FL 3 YD 5X WK 1</v>
          </cell>
          <cell r="D127">
            <v>1832.25</v>
          </cell>
          <cell r="E127">
            <v>1832.25</v>
          </cell>
          <cell r="F127">
            <v>1832.25</v>
          </cell>
          <cell r="G127">
            <v>2094</v>
          </cell>
          <cell r="H127">
            <v>2094</v>
          </cell>
          <cell r="I127">
            <v>1989.3</v>
          </cell>
          <cell r="J127">
            <v>1832.25</v>
          </cell>
          <cell r="K127">
            <v>2054.7399999999998</v>
          </cell>
          <cell r="L127">
            <v>2094</v>
          </cell>
          <cell r="M127">
            <v>2094</v>
          </cell>
          <cell r="N127">
            <v>2094</v>
          </cell>
          <cell r="O127">
            <v>2198.6999999999998</v>
          </cell>
          <cell r="P127">
            <v>24041.74</v>
          </cell>
        </row>
        <row r="128">
          <cell r="B128" t="str">
            <v>FL004.0Y1W001</v>
          </cell>
          <cell r="C128" t="str">
            <v>FL 4 YD 1X WK 1</v>
          </cell>
          <cell r="D128">
            <v>13708.99</v>
          </cell>
          <cell r="E128">
            <v>13795.43</v>
          </cell>
          <cell r="F128">
            <v>13760.85</v>
          </cell>
          <cell r="G128">
            <v>13933.73</v>
          </cell>
          <cell r="H128">
            <v>13951.02</v>
          </cell>
          <cell r="I128">
            <v>14106.59</v>
          </cell>
          <cell r="J128">
            <v>14279.480000000001</v>
          </cell>
          <cell r="K128">
            <v>14383.199999999999</v>
          </cell>
          <cell r="L128">
            <v>14400.490000000002</v>
          </cell>
          <cell r="M128">
            <v>14452.36</v>
          </cell>
          <cell r="N128">
            <v>14296.77</v>
          </cell>
          <cell r="O128">
            <v>14452.359999999999</v>
          </cell>
          <cell r="P128">
            <v>169521.27</v>
          </cell>
        </row>
        <row r="129">
          <cell r="B129" t="str">
            <v>FL004.0Y1W001CMP</v>
          </cell>
          <cell r="C129" t="str">
            <v>FL 4 YD 1X WK COMP 1</v>
          </cell>
          <cell r="D129">
            <v>269.88</v>
          </cell>
          <cell r="E129">
            <v>308.07</v>
          </cell>
          <cell r="F129">
            <v>269.88</v>
          </cell>
          <cell r="G129">
            <v>269.88</v>
          </cell>
          <cell r="H129">
            <v>269.88</v>
          </cell>
          <cell r="I129">
            <v>269.88</v>
          </cell>
          <cell r="J129">
            <v>269.88</v>
          </cell>
          <cell r="K129">
            <v>311.39999999999998</v>
          </cell>
          <cell r="L129">
            <v>269.88</v>
          </cell>
          <cell r="M129">
            <v>269.88</v>
          </cell>
          <cell r="N129">
            <v>269.88</v>
          </cell>
          <cell r="O129">
            <v>269.88</v>
          </cell>
          <cell r="P129">
            <v>3318.2700000000009</v>
          </cell>
        </row>
        <row r="130">
          <cell r="B130" t="str">
            <v>FL004.0Y2W001</v>
          </cell>
          <cell r="C130" t="str">
            <v>FL 4 YD 2X WK 1</v>
          </cell>
          <cell r="D130">
            <v>10787.4</v>
          </cell>
          <cell r="E130">
            <v>10770.11</v>
          </cell>
          <cell r="F130">
            <v>10787.4</v>
          </cell>
          <cell r="G130">
            <v>10510.800000000001</v>
          </cell>
          <cell r="H130">
            <v>10441.640000000001</v>
          </cell>
          <cell r="I130">
            <v>10545.380000000001</v>
          </cell>
          <cell r="J130">
            <v>10631.81</v>
          </cell>
          <cell r="K130">
            <v>10424.36</v>
          </cell>
          <cell r="L130">
            <v>10372.5</v>
          </cell>
          <cell r="M130">
            <v>10579.95</v>
          </cell>
          <cell r="N130">
            <v>10562.66</v>
          </cell>
          <cell r="O130">
            <v>10649.1</v>
          </cell>
          <cell r="P130">
            <v>127063.11000000002</v>
          </cell>
        </row>
        <row r="131">
          <cell r="B131" t="str">
            <v>FL004.0Y2W001REC</v>
          </cell>
          <cell r="C131" t="str">
            <v>FL 4 YD 2X WK RECYCLE 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70.09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70.09</v>
          </cell>
        </row>
        <row r="132">
          <cell r="B132" t="str">
            <v>FL004.0Y3W001</v>
          </cell>
          <cell r="C132" t="str">
            <v>FL 4 YD 3X WK 1</v>
          </cell>
          <cell r="D132">
            <v>5808.5999999999995</v>
          </cell>
          <cell r="E132">
            <v>5808.5999999999995</v>
          </cell>
          <cell r="F132">
            <v>5808.5999999999995</v>
          </cell>
          <cell r="G132">
            <v>5808.5999999999995</v>
          </cell>
          <cell r="H132">
            <v>5808.5999999999995</v>
          </cell>
          <cell r="I132">
            <v>5808.5999999999995</v>
          </cell>
          <cell r="J132">
            <v>5514.71</v>
          </cell>
          <cell r="K132">
            <v>5756.74</v>
          </cell>
          <cell r="L132">
            <v>5808.5999999999995</v>
          </cell>
          <cell r="M132">
            <v>5756.74</v>
          </cell>
          <cell r="N132">
            <v>5808.5999999999995</v>
          </cell>
          <cell r="O132">
            <v>5956.44</v>
          </cell>
          <cell r="P132">
            <v>69453.429999999993</v>
          </cell>
        </row>
        <row r="133">
          <cell r="B133" t="str">
            <v>FL004.0Y5W001</v>
          </cell>
          <cell r="C133" t="str">
            <v>FL 4 YD 5X WK 1</v>
          </cell>
          <cell r="D133">
            <v>6901.82</v>
          </cell>
          <cell r="E133">
            <v>6901.82</v>
          </cell>
          <cell r="F133">
            <v>6815.38</v>
          </cell>
          <cell r="G133">
            <v>6223.5</v>
          </cell>
          <cell r="H133">
            <v>6223.5</v>
          </cell>
          <cell r="I133">
            <v>6223.5</v>
          </cell>
          <cell r="J133">
            <v>6102.49</v>
          </cell>
          <cell r="K133">
            <v>5877.75</v>
          </cell>
          <cell r="L133">
            <v>5877.75</v>
          </cell>
          <cell r="M133">
            <v>5877.75</v>
          </cell>
          <cell r="N133">
            <v>5877.75</v>
          </cell>
          <cell r="O133">
            <v>6016.05</v>
          </cell>
          <cell r="P133">
            <v>74919.060000000012</v>
          </cell>
        </row>
        <row r="134">
          <cell r="B134" t="str">
            <v>FL006.0Y1W001</v>
          </cell>
          <cell r="C134" t="str">
            <v>FL 6 YD 1X WK 1</v>
          </cell>
          <cell r="D134">
            <v>21596.5</v>
          </cell>
          <cell r="E134">
            <v>21808</v>
          </cell>
          <cell r="F134">
            <v>21690.5</v>
          </cell>
          <cell r="G134">
            <v>21737.5</v>
          </cell>
          <cell r="H134">
            <v>21573</v>
          </cell>
          <cell r="I134">
            <v>21338</v>
          </cell>
          <cell r="J134">
            <v>21808</v>
          </cell>
          <cell r="K134">
            <v>21949</v>
          </cell>
          <cell r="L134">
            <v>21996</v>
          </cell>
          <cell r="M134">
            <v>22301.5</v>
          </cell>
          <cell r="N134">
            <v>22184</v>
          </cell>
          <cell r="O134">
            <v>22748</v>
          </cell>
          <cell r="P134">
            <v>262730</v>
          </cell>
        </row>
        <row r="135">
          <cell r="B135" t="str">
            <v>FL006.0Y1W001REC</v>
          </cell>
          <cell r="C135" t="str">
            <v>FL 6 YD 1X WK RECYCLE 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641.28</v>
          </cell>
          <cell r="K135">
            <v>801.6</v>
          </cell>
          <cell r="L135">
            <v>641.28</v>
          </cell>
          <cell r="M135">
            <v>641.28</v>
          </cell>
          <cell r="N135">
            <v>0</v>
          </cell>
          <cell r="O135">
            <v>1282.56</v>
          </cell>
          <cell r="P135">
            <v>4007.9999999999995</v>
          </cell>
        </row>
        <row r="136">
          <cell r="B136" t="str">
            <v>FL006.0Y2W001</v>
          </cell>
          <cell r="C136" t="str">
            <v>FL 6 YD 2X WK 1</v>
          </cell>
          <cell r="D136">
            <v>22843.22</v>
          </cell>
          <cell r="E136">
            <v>22631.7</v>
          </cell>
          <cell r="F136">
            <v>22819.71</v>
          </cell>
          <cell r="G136">
            <v>23054.73</v>
          </cell>
          <cell r="H136">
            <v>23383.74</v>
          </cell>
          <cell r="I136">
            <v>23689.26</v>
          </cell>
          <cell r="J136">
            <v>23689.26</v>
          </cell>
          <cell r="K136">
            <v>23689.26</v>
          </cell>
          <cell r="L136">
            <v>23877.279999999999</v>
          </cell>
          <cell r="M136">
            <v>24041.8</v>
          </cell>
          <cell r="N136">
            <v>23971.279999999999</v>
          </cell>
          <cell r="O136">
            <v>24558.82</v>
          </cell>
          <cell r="P136">
            <v>282250.06</v>
          </cell>
        </row>
        <row r="137">
          <cell r="B137" t="str">
            <v>FL006.0Y2W001REC</v>
          </cell>
          <cell r="C137" t="str">
            <v>FL 6 YD 2X WK RECYCLE 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93.59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93.59</v>
          </cell>
        </row>
        <row r="138">
          <cell r="B138" t="str">
            <v>FL006.0Y3W001</v>
          </cell>
          <cell r="C138" t="str">
            <v>FL 6 YD 3X WK 1</v>
          </cell>
          <cell r="D138">
            <v>10575.38</v>
          </cell>
          <cell r="E138">
            <v>10152.36</v>
          </cell>
          <cell r="F138">
            <v>10152.36</v>
          </cell>
          <cell r="G138">
            <v>9978.82</v>
          </cell>
          <cell r="H138">
            <v>9870.35</v>
          </cell>
          <cell r="I138">
            <v>9870.35</v>
          </cell>
          <cell r="J138">
            <v>9987.85</v>
          </cell>
          <cell r="K138">
            <v>10434.370000000001</v>
          </cell>
          <cell r="L138">
            <v>10152.370000000001</v>
          </cell>
          <cell r="M138">
            <v>10130.650000000001</v>
          </cell>
          <cell r="N138">
            <v>9729.34</v>
          </cell>
          <cell r="O138">
            <v>9870.35</v>
          </cell>
          <cell r="P138">
            <v>120904.54999999999</v>
          </cell>
        </row>
        <row r="139">
          <cell r="B139" t="str">
            <v>FL006.0Y4W001</v>
          </cell>
          <cell r="C139" t="str">
            <v>FL 6 YD 4X WK 1</v>
          </cell>
          <cell r="D139">
            <v>1128.06</v>
          </cell>
          <cell r="E139">
            <v>1128.06</v>
          </cell>
          <cell r="F139">
            <v>1128.06</v>
          </cell>
          <cell r="G139">
            <v>1128.06</v>
          </cell>
          <cell r="H139">
            <v>1128.06</v>
          </cell>
          <cell r="I139">
            <v>1128.06</v>
          </cell>
          <cell r="J139">
            <v>1128.06</v>
          </cell>
          <cell r="K139">
            <v>1128.06</v>
          </cell>
          <cell r="L139">
            <v>1128.06</v>
          </cell>
          <cell r="M139">
            <v>1128.06</v>
          </cell>
          <cell r="N139">
            <v>1128.06</v>
          </cell>
          <cell r="O139">
            <v>1128.06</v>
          </cell>
          <cell r="P139">
            <v>13536.719999999996</v>
          </cell>
        </row>
        <row r="140">
          <cell r="B140" t="str">
            <v>FL006.0Y5W001</v>
          </cell>
          <cell r="C140" t="str">
            <v>FL 6 YD 5X WK 1</v>
          </cell>
          <cell r="D140">
            <v>11750.5</v>
          </cell>
          <cell r="E140">
            <v>11750.5</v>
          </cell>
          <cell r="F140">
            <v>11750.5</v>
          </cell>
          <cell r="G140">
            <v>11750.5</v>
          </cell>
          <cell r="H140">
            <v>11750.5</v>
          </cell>
          <cell r="I140">
            <v>11750.5</v>
          </cell>
          <cell r="J140">
            <v>11915.01</v>
          </cell>
          <cell r="K140">
            <v>12220.52</v>
          </cell>
          <cell r="L140">
            <v>12220.52</v>
          </cell>
          <cell r="M140">
            <v>12220.52</v>
          </cell>
          <cell r="N140">
            <v>12220.52</v>
          </cell>
          <cell r="O140">
            <v>12220.52</v>
          </cell>
          <cell r="P140">
            <v>143520.60999999999</v>
          </cell>
        </row>
        <row r="141">
          <cell r="B141" t="str">
            <v>FL008.0Y1W001</v>
          </cell>
          <cell r="C141" t="str">
            <v>FL 8 YD 1X WK 1</v>
          </cell>
          <cell r="D141">
            <v>254.6</v>
          </cell>
          <cell r="E141">
            <v>254.6</v>
          </cell>
          <cell r="F141">
            <v>254.6</v>
          </cell>
          <cell r="G141">
            <v>254.6</v>
          </cell>
          <cell r="H141">
            <v>254.6</v>
          </cell>
          <cell r="I141">
            <v>254.6</v>
          </cell>
          <cell r="J141">
            <v>763.8</v>
          </cell>
          <cell r="K141">
            <v>763.8</v>
          </cell>
          <cell r="L141">
            <v>763.8</v>
          </cell>
          <cell r="M141">
            <v>763.8</v>
          </cell>
          <cell r="N141">
            <v>254.6</v>
          </cell>
          <cell r="O141">
            <v>1273</v>
          </cell>
          <cell r="P141">
            <v>6110.4000000000005</v>
          </cell>
        </row>
        <row r="142">
          <cell r="B142" t="str">
            <v>FL008.0Y2W001</v>
          </cell>
          <cell r="C142" t="str">
            <v>FL 8 YD 2X WK 1</v>
          </cell>
          <cell r="D142">
            <v>254.6</v>
          </cell>
          <cell r="E142">
            <v>254.6</v>
          </cell>
          <cell r="F142">
            <v>254.6</v>
          </cell>
          <cell r="G142">
            <v>254.6</v>
          </cell>
          <cell r="H142">
            <v>254.6</v>
          </cell>
          <cell r="I142">
            <v>254.6</v>
          </cell>
          <cell r="J142">
            <v>509.2</v>
          </cell>
          <cell r="K142">
            <v>509.2</v>
          </cell>
          <cell r="L142">
            <v>509.2</v>
          </cell>
          <cell r="M142">
            <v>254.6</v>
          </cell>
          <cell r="N142">
            <v>0</v>
          </cell>
          <cell r="O142">
            <v>509.2</v>
          </cell>
          <cell r="P142">
            <v>3818.9999999999995</v>
          </cell>
        </row>
        <row r="143">
          <cell r="B143" t="str">
            <v>FL008.0Y3W001</v>
          </cell>
          <cell r="C143" t="str">
            <v>FL 8 YD 3X WK 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29.4</v>
          </cell>
          <cell r="N143">
            <v>381.91</v>
          </cell>
          <cell r="O143">
            <v>381.91</v>
          </cell>
          <cell r="P143">
            <v>793.22</v>
          </cell>
        </row>
        <row r="144">
          <cell r="B144" t="str">
            <v>FL1.5TC-COMM</v>
          </cell>
          <cell r="C144" t="str">
            <v>FL 1.5 YD TEMP - COMM</v>
          </cell>
          <cell r="D144">
            <v>9.52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9.52</v>
          </cell>
          <cell r="J144">
            <v>28.56</v>
          </cell>
          <cell r="K144">
            <v>38.08</v>
          </cell>
          <cell r="L144">
            <v>9.52</v>
          </cell>
          <cell r="M144">
            <v>0</v>
          </cell>
          <cell r="N144">
            <v>0</v>
          </cell>
          <cell r="O144">
            <v>9.52</v>
          </cell>
          <cell r="P144">
            <v>104.71999999999998</v>
          </cell>
        </row>
        <row r="145">
          <cell r="B145" t="str">
            <v>FL3TC-COMM</v>
          </cell>
          <cell r="C145" t="str">
            <v>FL 3 YD TEMP - COMM</v>
          </cell>
          <cell r="D145">
            <v>17.5</v>
          </cell>
          <cell r="E145">
            <v>35</v>
          </cell>
          <cell r="F145">
            <v>122.5</v>
          </cell>
          <cell r="G145">
            <v>87.5</v>
          </cell>
          <cell r="H145">
            <v>52.5</v>
          </cell>
          <cell r="I145">
            <v>210</v>
          </cell>
          <cell r="J145">
            <v>227.5</v>
          </cell>
          <cell r="K145">
            <v>192.5</v>
          </cell>
          <cell r="L145">
            <v>857.5</v>
          </cell>
          <cell r="M145">
            <v>157.5</v>
          </cell>
          <cell r="N145">
            <v>122.5</v>
          </cell>
          <cell r="O145">
            <v>122.5</v>
          </cell>
          <cell r="P145">
            <v>2205</v>
          </cell>
        </row>
        <row r="146">
          <cell r="B146" t="str">
            <v>FL4TC-COMM</v>
          </cell>
          <cell r="C146" t="str">
            <v>FL 4 YD TEMP - COMM</v>
          </cell>
          <cell r="D146">
            <v>45.5</v>
          </cell>
          <cell r="E146">
            <v>68.25</v>
          </cell>
          <cell r="F146">
            <v>136.5</v>
          </cell>
          <cell r="G146">
            <v>136.5</v>
          </cell>
          <cell r="H146">
            <v>204.75</v>
          </cell>
          <cell r="I146">
            <v>204.75</v>
          </cell>
          <cell r="J146">
            <v>318.5</v>
          </cell>
          <cell r="K146">
            <v>68.25</v>
          </cell>
          <cell r="L146">
            <v>159.25</v>
          </cell>
          <cell r="M146">
            <v>182</v>
          </cell>
          <cell r="N146">
            <v>113.75</v>
          </cell>
          <cell r="O146">
            <v>136.5</v>
          </cell>
          <cell r="P146">
            <v>1774.5</v>
          </cell>
        </row>
        <row r="147">
          <cell r="B147" t="str">
            <v>FL6TC-COMM</v>
          </cell>
          <cell r="C147" t="str">
            <v>FL 6 YD TEMP - COMM</v>
          </cell>
          <cell r="D147">
            <v>135.4</v>
          </cell>
          <cell r="E147">
            <v>81.239999999999995</v>
          </cell>
          <cell r="F147">
            <v>108.32</v>
          </cell>
          <cell r="G147">
            <v>189.56</v>
          </cell>
          <cell r="H147">
            <v>216.64</v>
          </cell>
          <cell r="I147">
            <v>270.8</v>
          </cell>
          <cell r="J147">
            <v>807.59999999999991</v>
          </cell>
          <cell r="K147">
            <v>593.84</v>
          </cell>
          <cell r="L147">
            <v>3997.2799999999997</v>
          </cell>
          <cell r="M147">
            <v>916.88</v>
          </cell>
          <cell r="N147">
            <v>352.03999999999996</v>
          </cell>
          <cell r="O147">
            <v>481.68</v>
          </cell>
          <cell r="P147">
            <v>8151.2800000000007</v>
          </cell>
        </row>
        <row r="148">
          <cell r="B148" t="str">
            <v>LCKC</v>
          </cell>
          <cell r="C148" t="str">
            <v>LOCK &amp; KEY FEE - COMM</v>
          </cell>
          <cell r="D148">
            <v>0</v>
          </cell>
          <cell r="E148">
            <v>-11</v>
          </cell>
          <cell r="F148">
            <v>33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22</v>
          </cell>
        </row>
        <row r="149">
          <cell r="B149" t="str">
            <v>OS-COMM</v>
          </cell>
          <cell r="C149" t="str">
            <v>OVERSIZE CAN - COMM</v>
          </cell>
          <cell r="D149">
            <v>10.32</v>
          </cell>
          <cell r="E149">
            <v>10.32</v>
          </cell>
          <cell r="F149">
            <v>8.6</v>
          </cell>
          <cell r="G149">
            <v>8.6</v>
          </cell>
          <cell r="H149">
            <v>8.6</v>
          </cell>
          <cell r="I149">
            <v>17.2</v>
          </cell>
          <cell r="J149">
            <v>17.2</v>
          </cell>
          <cell r="K149">
            <v>15.479999999999999</v>
          </cell>
          <cell r="L149">
            <v>21.72</v>
          </cell>
          <cell r="M149">
            <v>12.040000000000001</v>
          </cell>
          <cell r="N149">
            <v>6.88</v>
          </cell>
          <cell r="O149">
            <v>12.040000000000001</v>
          </cell>
          <cell r="P149">
            <v>149</v>
          </cell>
        </row>
        <row r="150">
          <cell r="B150" t="str">
            <v>PUREDEL1-COMM</v>
          </cell>
          <cell r="C150" t="str">
            <v>PU/REDEL UP TO 8 YDS - COMM</v>
          </cell>
          <cell r="D150">
            <v>20.7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21.52</v>
          </cell>
          <cell r="N150">
            <v>21.52</v>
          </cell>
          <cell r="O150">
            <v>0</v>
          </cell>
          <cell r="P150">
            <v>63.739999999999995</v>
          </cell>
        </row>
        <row r="151">
          <cell r="B151" t="str">
            <v>REDEL1.5-COMM</v>
          </cell>
          <cell r="C151" t="str">
            <v>REDELIVERY FEE 1.5 YD - COMM</v>
          </cell>
          <cell r="D151">
            <v>36</v>
          </cell>
          <cell r="E151">
            <v>90</v>
          </cell>
          <cell r="F151">
            <v>0</v>
          </cell>
          <cell r="G151">
            <v>36</v>
          </cell>
          <cell r="H151">
            <v>36</v>
          </cell>
          <cell r="I151">
            <v>72</v>
          </cell>
          <cell r="J151">
            <v>18</v>
          </cell>
          <cell r="K151">
            <v>54</v>
          </cell>
          <cell r="L151">
            <v>72</v>
          </cell>
          <cell r="M151">
            <v>54</v>
          </cell>
          <cell r="N151">
            <v>18</v>
          </cell>
          <cell r="O151">
            <v>21.52</v>
          </cell>
          <cell r="P151">
            <v>507.52</v>
          </cell>
        </row>
        <row r="152">
          <cell r="B152" t="str">
            <v>REDEL3-COMM</v>
          </cell>
          <cell r="C152" t="str">
            <v>REDELIVERY FEE 3 YD - COMM</v>
          </cell>
          <cell r="D152">
            <v>22.19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22.19</v>
          </cell>
        </row>
        <row r="153">
          <cell r="B153" t="str">
            <v>REDEL4-COMM</v>
          </cell>
          <cell r="C153" t="str">
            <v>REDELIVERY FEE 4 YD - COMM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22.19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22.19</v>
          </cell>
        </row>
        <row r="154">
          <cell r="B154" t="str">
            <v>REDEL6-COMM</v>
          </cell>
          <cell r="C154" t="str">
            <v>REDELIVERY FEE 6 YD - COMM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25.79</v>
          </cell>
          <cell r="K154">
            <v>0</v>
          </cell>
          <cell r="L154">
            <v>0</v>
          </cell>
          <cell r="M154">
            <v>25.79</v>
          </cell>
          <cell r="N154">
            <v>0</v>
          </cell>
          <cell r="O154">
            <v>0</v>
          </cell>
          <cell r="P154">
            <v>51.58</v>
          </cell>
        </row>
        <row r="155">
          <cell r="B155" t="str">
            <v>REDEL-COMM</v>
          </cell>
          <cell r="C155" t="str">
            <v>REDELIVERY FEE - COMM</v>
          </cell>
          <cell r="D155">
            <v>140.78</v>
          </cell>
          <cell r="E155">
            <v>90</v>
          </cell>
          <cell r="F155">
            <v>72</v>
          </cell>
          <cell r="G155">
            <v>54</v>
          </cell>
          <cell r="H155">
            <v>72</v>
          </cell>
          <cell r="I155">
            <v>90</v>
          </cell>
          <cell r="J155">
            <v>72</v>
          </cell>
          <cell r="K155">
            <v>72</v>
          </cell>
          <cell r="L155">
            <v>72</v>
          </cell>
          <cell r="M155">
            <v>36</v>
          </cell>
          <cell r="N155">
            <v>18</v>
          </cell>
          <cell r="O155">
            <v>36</v>
          </cell>
          <cell r="P155">
            <v>824.78</v>
          </cell>
        </row>
        <row r="156">
          <cell r="B156" t="str">
            <v>REINSTATE-COMM</v>
          </cell>
          <cell r="C156" t="str">
            <v>REINSTATE FEE - COMM</v>
          </cell>
          <cell r="D156">
            <v>445.34000000000003</v>
          </cell>
          <cell r="E156">
            <v>560.06999999999994</v>
          </cell>
          <cell r="F156">
            <v>365.76</v>
          </cell>
          <cell r="G156">
            <v>388.62</v>
          </cell>
          <cell r="H156">
            <v>274.32</v>
          </cell>
          <cell r="I156">
            <v>297.18</v>
          </cell>
          <cell r="J156">
            <v>320.04000000000002</v>
          </cell>
          <cell r="K156">
            <v>480.06</v>
          </cell>
          <cell r="L156">
            <v>343.33000000000004</v>
          </cell>
          <cell r="M156">
            <v>411.48</v>
          </cell>
          <cell r="N156">
            <v>400.05</v>
          </cell>
          <cell r="O156">
            <v>377.19000000000005</v>
          </cell>
          <cell r="P156">
            <v>4663.4400000000005</v>
          </cell>
        </row>
        <row r="157">
          <cell r="B157" t="str">
            <v>RENT1.5-COMM</v>
          </cell>
          <cell r="C157" t="str">
            <v>RENTAL FEE 1.5 YD COMM</v>
          </cell>
          <cell r="D157">
            <v>43072.67</v>
          </cell>
          <cell r="E157">
            <v>42930.81</v>
          </cell>
          <cell r="F157">
            <v>43156.62</v>
          </cell>
          <cell r="G157">
            <v>43601.49</v>
          </cell>
          <cell r="H157">
            <v>44913.96</v>
          </cell>
          <cell r="I157">
            <v>45528.57</v>
          </cell>
          <cell r="J157">
            <v>45806.75</v>
          </cell>
          <cell r="K157">
            <v>45917.279999999999</v>
          </cell>
          <cell r="L157">
            <v>46119.710000000006</v>
          </cell>
          <cell r="M157">
            <v>45101.94</v>
          </cell>
          <cell r="N157">
            <v>44648.820000000007</v>
          </cell>
          <cell r="O157">
            <v>44174.97</v>
          </cell>
          <cell r="P157">
            <v>534973.59000000008</v>
          </cell>
        </row>
        <row r="158">
          <cell r="B158" t="str">
            <v>RENT1.5TEMP-COMM</v>
          </cell>
          <cell r="C158" t="str">
            <v xml:space="preserve">RENTAL FEE 1.5 YD TEMP - </v>
          </cell>
          <cell r="D158">
            <v>350.28</v>
          </cell>
          <cell r="E158">
            <v>361.39</v>
          </cell>
          <cell r="F158">
            <v>412.45</v>
          </cell>
          <cell r="G158">
            <v>546.32999999999993</v>
          </cell>
          <cell r="H158">
            <v>704.88</v>
          </cell>
          <cell r="I158">
            <v>719.64</v>
          </cell>
          <cell r="J158">
            <v>773.64</v>
          </cell>
          <cell r="K158">
            <v>814.78</v>
          </cell>
          <cell r="L158">
            <v>772.2600000000001</v>
          </cell>
          <cell r="M158">
            <v>771.40000000000009</v>
          </cell>
          <cell r="N158">
            <v>604.43999999999994</v>
          </cell>
          <cell r="O158">
            <v>396.72</v>
          </cell>
          <cell r="P158">
            <v>7228.2099999999991</v>
          </cell>
        </row>
        <row r="159">
          <cell r="B159" t="str">
            <v>RENT3-COMM</v>
          </cell>
          <cell r="C159" t="str">
            <v>RENTAL FEE 3 YD COMM</v>
          </cell>
          <cell r="D159">
            <v>6552.36</v>
          </cell>
          <cell r="E159">
            <v>6548.85</v>
          </cell>
          <cell r="F159">
            <v>6544.44</v>
          </cell>
          <cell r="G159">
            <v>6606.18</v>
          </cell>
          <cell r="H159">
            <v>6638.5199999999995</v>
          </cell>
          <cell r="I159">
            <v>6597.36</v>
          </cell>
          <cell r="J159">
            <v>6601.77</v>
          </cell>
          <cell r="K159">
            <v>6588.54</v>
          </cell>
          <cell r="L159">
            <v>6592.46</v>
          </cell>
          <cell r="M159">
            <v>6567.96</v>
          </cell>
          <cell r="N159">
            <v>6494.46</v>
          </cell>
          <cell r="O159">
            <v>6555.0200000000013</v>
          </cell>
          <cell r="P159">
            <v>78887.920000000013</v>
          </cell>
        </row>
        <row r="160">
          <cell r="B160" t="str">
            <v>RENT3TEMP-COMM</v>
          </cell>
          <cell r="C160" t="str">
            <v>RENTAL FEE 3 YD TEMP - CO</v>
          </cell>
          <cell r="D160">
            <v>59.94</v>
          </cell>
          <cell r="E160">
            <v>64.8</v>
          </cell>
          <cell r="F160">
            <v>81.540000000000006</v>
          </cell>
          <cell r="G160">
            <v>82.08</v>
          </cell>
          <cell r="H160">
            <v>75.599999999999994</v>
          </cell>
          <cell r="I160">
            <v>98.82</v>
          </cell>
          <cell r="J160">
            <v>120.96000000000001</v>
          </cell>
          <cell r="K160">
            <v>120.96</v>
          </cell>
          <cell r="L160">
            <v>138.77999999999997</v>
          </cell>
          <cell r="M160">
            <v>145.26</v>
          </cell>
          <cell r="N160">
            <v>135</v>
          </cell>
          <cell r="O160">
            <v>119.34</v>
          </cell>
          <cell r="P160">
            <v>1243.08</v>
          </cell>
        </row>
        <row r="161">
          <cell r="B161" t="str">
            <v>RENT4-COMM</v>
          </cell>
          <cell r="C161" t="str">
            <v>RENTAL FEE 4 YD COMM</v>
          </cell>
          <cell r="D161">
            <v>4611.4000000000005</v>
          </cell>
          <cell r="E161">
            <v>4627.5</v>
          </cell>
          <cell r="F161">
            <v>4604.25</v>
          </cell>
          <cell r="G161">
            <v>4600.67</v>
          </cell>
          <cell r="H161">
            <v>4616.7700000000004</v>
          </cell>
          <cell r="I161">
            <v>4640.0099999999993</v>
          </cell>
          <cell r="J161">
            <v>4657.2</v>
          </cell>
          <cell r="K161">
            <v>4665.0600000000004</v>
          </cell>
          <cell r="L161">
            <v>4668.6400000000003</v>
          </cell>
          <cell r="M161">
            <v>4693.6900000000005</v>
          </cell>
          <cell r="N161">
            <v>4668.66</v>
          </cell>
          <cell r="O161">
            <v>4718.7300000000005</v>
          </cell>
          <cell r="P161">
            <v>55772.580000000009</v>
          </cell>
        </row>
        <row r="162">
          <cell r="B162" t="str">
            <v>RENT4TEMP-COMM</v>
          </cell>
          <cell r="C162" t="str">
            <v>RENTAL FEE 4YD TEMP - COM</v>
          </cell>
          <cell r="D162">
            <v>30.5</v>
          </cell>
          <cell r="E162">
            <v>55.510000000000005</v>
          </cell>
          <cell r="F162">
            <v>87.23</v>
          </cell>
          <cell r="G162">
            <v>66.489999999999995</v>
          </cell>
          <cell r="H162">
            <v>112.24000000000001</v>
          </cell>
          <cell r="I162">
            <v>93.33</v>
          </cell>
          <cell r="J162">
            <v>126.27</v>
          </cell>
          <cell r="K162">
            <v>98.210000000000008</v>
          </cell>
          <cell r="L162">
            <v>106.14</v>
          </cell>
          <cell r="M162">
            <v>84.18</v>
          </cell>
          <cell r="N162">
            <v>84.18</v>
          </cell>
          <cell r="O162">
            <v>61.000000000000007</v>
          </cell>
          <cell r="P162">
            <v>1005.2800000000002</v>
          </cell>
        </row>
        <row r="163">
          <cell r="B163" t="str">
            <v>RENT6-COMM</v>
          </cell>
          <cell r="C163" t="str">
            <v>RENTAL FEE 6 YD COMM</v>
          </cell>
          <cell r="D163">
            <v>6909.73</v>
          </cell>
          <cell r="E163">
            <v>6868.2699999999995</v>
          </cell>
          <cell r="F163">
            <v>6880.7</v>
          </cell>
          <cell r="G163">
            <v>6905.58</v>
          </cell>
          <cell r="H163">
            <v>6891.08</v>
          </cell>
          <cell r="I163">
            <v>6880.7</v>
          </cell>
          <cell r="J163">
            <v>6991.81</v>
          </cell>
          <cell r="K163">
            <v>7038.21</v>
          </cell>
          <cell r="L163">
            <v>7046.52</v>
          </cell>
          <cell r="M163">
            <v>7117.28</v>
          </cell>
          <cell r="N163">
            <v>7029.9299999999994</v>
          </cell>
          <cell r="O163">
            <v>7289.02</v>
          </cell>
          <cell r="P163">
            <v>83848.829999999987</v>
          </cell>
        </row>
        <row r="164">
          <cell r="B164" t="str">
            <v>RENT6TEMP-COMM</v>
          </cell>
          <cell r="C164" t="str">
            <v>RENTAL FEE 6 YD TEMP - CO</v>
          </cell>
          <cell r="D164">
            <v>75.599999999999994</v>
          </cell>
          <cell r="E164">
            <v>63</v>
          </cell>
          <cell r="F164">
            <v>82.8</v>
          </cell>
          <cell r="G164">
            <v>115.2</v>
          </cell>
          <cell r="H164">
            <v>137.69999999999999</v>
          </cell>
          <cell r="I164">
            <v>162</v>
          </cell>
          <cell r="J164">
            <v>187.2</v>
          </cell>
          <cell r="K164">
            <v>214.2</v>
          </cell>
          <cell r="L164">
            <v>257.39999999999998</v>
          </cell>
          <cell r="M164">
            <v>220.49999999999997</v>
          </cell>
          <cell r="N164">
            <v>158.4</v>
          </cell>
          <cell r="O164">
            <v>177.3</v>
          </cell>
          <cell r="P164">
            <v>1851.3</v>
          </cell>
        </row>
        <row r="165">
          <cell r="B165" t="str">
            <v>RENT8-COMM</v>
          </cell>
          <cell r="C165" t="str">
            <v>RENTAL FEE 8 YD COMM</v>
          </cell>
          <cell r="D165">
            <v>66.33</v>
          </cell>
          <cell r="E165">
            <v>66.33</v>
          </cell>
          <cell r="F165">
            <v>66.33</v>
          </cell>
          <cell r="G165">
            <v>66.33</v>
          </cell>
          <cell r="H165">
            <v>66.33</v>
          </cell>
          <cell r="I165">
            <v>66.33</v>
          </cell>
          <cell r="J165">
            <v>375.87</v>
          </cell>
          <cell r="K165">
            <v>375.87</v>
          </cell>
          <cell r="L165">
            <v>375.87</v>
          </cell>
          <cell r="M165">
            <v>358.87</v>
          </cell>
          <cell r="N165">
            <v>66.33</v>
          </cell>
          <cell r="O165">
            <v>685.41000000000008</v>
          </cell>
          <cell r="P165">
            <v>2636.2</v>
          </cell>
        </row>
        <row r="166">
          <cell r="B166" t="str">
            <v>RL001.25Y1W001</v>
          </cell>
          <cell r="C166" t="str">
            <v>RL 1.25 YD 1X WK 1</v>
          </cell>
          <cell r="D166">
            <v>26.02</v>
          </cell>
          <cell r="E166">
            <v>26.02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13.01</v>
          </cell>
          <cell r="O166">
            <v>26.02</v>
          </cell>
          <cell r="P166">
            <v>91.07</v>
          </cell>
        </row>
        <row r="167">
          <cell r="B167" t="str">
            <v>RL001.5Y1W001</v>
          </cell>
          <cell r="C167" t="str">
            <v>RL 1.5 YD 1X WK 1</v>
          </cell>
          <cell r="D167">
            <v>120426.65000000001</v>
          </cell>
          <cell r="E167">
            <v>120003.58</v>
          </cell>
          <cell r="F167">
            <v>120734.56</v>
          </cell>
          <cell r="G167">
            <v>122280.93000000001</v>
          </cell>
          <cell r="H167">
            <v>126301.64</v>
          </cell>
          <cell r="I167">
            <v>128184.90999999999</v>
          </cell>
          <cell r="J167">
            <v>128820.95000000001</v>
          </cell>
          <cell r="K167">
            <v>129052.22</v>
          </cell>
          <cell r="L167">
            <v>129621.12999999999</v>
          </cell>
          <cell r="M167">
            <v>126385.84</v>
          </cell>
          <cell r="N167">
            <v>125241.56</v>
          </cell>
          <cell r="O167">
            <v>123789.24</v>
          </cell>
          <cell r="P167">
            <v>1500843.21</v>
          </cell>
        </row>
        <row r="168">
          <cell r="B168" t="str">
            <v>RL001.5Y1W001REC</v>
          </cell>
          <cell r="C168" t="str">
            <v>RL 1.5 YD 1X WK RECYCLE 1</v>
          </cell>
          <cell r="D168">
            <v>20.440000000000001</v>
          </cell>
          <cell r="E168">
            <v>20.440000000000001</v>
          </cell>
          <cell r="F168">
            <v>20.440000000000001</v>
          </cell>
          <cell r="G168">
            <v>0</v>
          </cell>
          <cell r="H168">
            <v>0</v>
          </cell>
          <cell r="I168">
            <v>0</v>
          </cell>
          <cell r="J168">
            <v>31.76</v>
          </cell>
          <cell r="K168">
            <v>39.700000000000003</v>
          </cell>
          <cell r="L168">
            <v>31.76</v>
          </cell>
          <cell r="M168">
            <v>31.76</v>
          </cell>
          <cell r="N168">
            <v>0</v>
          </cell>
          <cell r="O168">
            <v>63.52</v>
          </cell>
          <cell r="P168">
            <v>259.82</v>
          </cell>
        </row>
        <row r="169">
          <cell r="B169" t="str">
            <v>RL001.5Y2W001</v>
          </cell>
          <cell r="C169" t="str">
            <v>RL 1.5 YD 2X WK 1</v>
          </cell>
          <cell r="D169">
            <v>5787.99</v>
          </cell>
          <cell r="E169">
            <v>5840.2</v>
          </cell>
          <cell r="F169">
            <v>5847.66</v>
          </cell>
          <cell r="G169">
            <v>5758.16</v>
          </cell>
          <cell r="H169">
            <v>5802.92</v>
          </cell>
          <cell r="I169">
            <v>5967</v>
          </cell>
          <cell r="J169">
            <v>5914.78</v>
          </cell>
          <cell r="K169">
            <v>5937.16</v>
          </cell>
          <cell r="L169">
            <v>5966.99</v>
          </cell>
          <cell r="M169">
            <v>6295.18</v>
          </cell>
          <cell r="N169">
            <v>5996.87</v>
          </cell>
          <cell r="O169">
            <v>5847.69</v>
          </cell>
          <cell r="P169">
            <v>70962.599999999991</v>
          </cell>
        </row>
        <row r="170">
          <cell r="B170" t="str">
            <v>RL001.5Y3W001</v>
          </cell>
          <cell r="C170" t="str">
            <v>RL 1.5 YD 3X WK 1</v>
          </cell>
          <cell r="D170">
            <v>268.5</v>
          </cell>
          <cell r="E170">
            <v>268.5</v>
          </cell>
          <cell r="F170">
            <v>268.5</v>
          </cell>
          <cell r="G170">
            <v>268.5</v>
          </cell>
          <cell r="H170">
            <v>268.5</v>
          </cell>
          <cell r="I170">
            <v>268.5</v>
          </cell>
          <cell r="J170">
            <v>268.5</v>
          </cell>
          <cell r="K170">
            <v>268.5</v>
          </cell>
          <cell r="L170">
            <v>268.5</v>
          </cell>
          <cell r="M170">
            <v>268.5</v>
          </cell>
          <cell r="N170">
            <v>268.5</v>
          </cell>
          <cell r="O170">
            <v>268.5</v>
          </cell>
          <cell r="P170">
            <v>3222</v>
          </cell>
        </row>
        <row r="171">
          <cell r="B171" t="str">
            <v>RL001.5Y5W001</v>
          </cell>
          <cell r="C171" t="str">
            <v>RL 1.5 YD 5X WK 1</v>
          </cell>
          <cell r="D171">
            <v>447.51</v>
          </cell>
          <cell r="E171">
            <v>447.51</v>
          </cell>
          <cell r="F171">
            <v>447.51</v>
          </cell>
          <cell r="G171">
            <v>447.51</v>
          </cell>
          <cell r="H171">
            <v>447.51</v>
          </cell>
          <cell r="I171">
            <v>447.51</v>
          </cell>
          <cell r="J171">
            <v>447.51</v>
          </cell>
          <cell r="K171">
            <v>447.51</v>
          </cell>
          <cell r="L171">
            <v>447.51</v>
          </cell>
          <cell r="M171">
            <v>447.51</v>
          </cell>
          <cell r="N171">
            <v>447.51</v>
          </cell>
          <cell r="O171">
            <v>447.51</v>
          </cell>
          <cell r="P171">
            <v>5370.1200000000017</v>
          </cell>
        </row>
        <row r="172">
          <cell r="B172" t="str">
            <v>RL001.5YEO001</v>
          </cell>
          <cell r="C172" t="str">
            <v>RL 1.5 YD EOW 1</v>
          </cell>
          <cell r="D172">
            <v>897</v>
          </cell>
          <cell r="E172">
            <v>897</v>
          </cell>
          <cell r="F172">
            <v>897</v>
          </cell>
          <cell r="G172">
            <v>897</v>
          </cell>
          <cell r="H172">
            <v>897</v>
          </cell>
          <cell r="I172">
            <v>897</v>
          </cell>
          <cell r="J172">
            <v>897</v>
          </cell>
          <cell r="K172">
            <v>897</v>
          </cell>
          <cell r="L172">
            <v>897</v>
          </cell>
          <cell r="M172">
            <v>897</v>
          </cell>
          <cell r="N172">
            <v>874.57999999999993</v>
          </cell>
          <cell r="O172">
            <v>867.1</v>
          </cell>
          <cell r="P172">
            <v>10711.68</v>
          </cell>
        </row>
        <row r="173">
          <cell r="B173" t="str">
            <v>RL032.0G1W001COMM</v>
          </cell>
          <cell r="C173" t="str">
            <v>RL 32 GL 1X WK COMM 1</v>
          </cell>
          <cell r="D173">
            <v>10621.77</v>
          </cell>
          <cell r="E173">
            <v>10610.59</v>
          </cell>
          <cell r="F173">
            <v>10601.22</v>
          </cell>
          <cell r="G173">
            <v>10542.57</v>
          </cell>
          <cell r="H173">
            <v>10583.61</v>
          </cell>
          <cell r="I173">
            <v>10601.220000000001</v>
          </cell>
          <cell r="J173">
            <v>10601.21</v>
          </cell>
          <cell r="K173">
            <v>10589.48</v>
          </cell>
          <cell r="L173">
            <v>10589.49</v>
          </cell>
          <cell r="M173">
            <v>10577.74</v>
          </cell>
          <cell r="N173">
            <v>10583.61</v>
          </cell>
          <cell r="O173">
            <v>10586.54</v>
          </cell>
          <cell r="P173">
            <v>127089.05000000002</v>
          </cell>
        </row>
        <row r="174">
          <cell r="B174" t="str">
            <v>RL032.0G1W002COMM</v>
          </cell>
          <cell r="C174" t="str">
            <v>RL 32 GL 1X WK COMM 2</v>
          </cell>
          <cell r="D174">
            <v>750.98</v>
          </cell>
          <cell r="E174">
            <v>748.16000000000008</v>
          </cell>
          <cell r="F174">
            <v>748.16000000000008</v>
          </cell>
          <cell r="G174">
            <v>736.47</v>
          </cell>
          <cell r="H174">
            <v>736.47</v>
          </cell>
          <cell r="I174">
            <v>713.09</v>
          </cell>
          <cell r="J174">
            <v>692.63000000000011</v>
          </cell>
          <cell r="K174">
            <v>689.71</v>
          </cell>
          <cell r="L174">
            <v>689.71</v>
          </cell>
          <cell r="M174">
            <v>721.86</v>
          </cell>
          <cell r="N174">
            <v>727.7</v>
          </cell>
          <cell r="O174">
            <v>724.78000000000009</v>
          </cell>
          <cell r="P174">
            <v>8679.7200000000012</v>
          </cell>
        </row>
        <row r="175">
          <cell r="B175" t="str">
            <v>RL032.0G1W003COMM</v>
          </cell>
          <cell r="C175" t="str">
            <v>RL 32 GL 1X WK COMM 3</v>
          </cell>
          <cell r="D175">
            <v>122.78</v>
          </cell>
          <cell r="E175">
            <v>122.78</v>
          </cell>
          <cell r="F175">
            <v>122.78</v>
          </cell>
          <cell r="G175">
            <v>122.78</v>
          </cell>
          <cell r="H175">
            <v>122.78</v>
          </cell>
          <cell r="I175">
            <v>122.78</v>
          </cell>
          <cell r="J175">
            <v>122.78</v>
          </cell>
          <cell r="K175">
            <v>122.78</v>
          </cell>
          <cell r="L175">
            <v>131.55000000000001</v>
          </cell>
          <cell r="M175">
            <v>140.32999999999998</v>
          </cell>
          <cell r="N175">
            <v>118.4</v>
          </cell>
          <cell r="O175">
            <v>105.24</v>
          </cell>
          <cell r="P175">
            <v>1477.76</v>
          </cell>
        </row>
        <row r="176">
          <cell r="B176" t="str">
            <v>RL032.0G1W004COMM</v>
          </cell>
          <cell r="C176" t="str">
            <v>RL 32 GL 1X WK COMM 4</v>
          </cell>
          <cell r="D176">
            <v>93.52</v>
          </cell>
          <cell r="E176">
            <v>93.52</v>
          </cell>
          <cell r="F176">
            <v>46.76</v>
          </cell>
          <cell r="G176">
            <v>46.76</v>
          </cell>
          <cell r="H176">
            <v>46.76</v>
          </cell>
          <cell r="I176">
            <v>46.76</v>
          </cell>
          <cell r="J176">
            <v>46.76</v>
          </cell>
          <cell r="K176">
            <v>46.76</v>
          </cell>
          <cell r="L176">
            <v>46.76</v>
          </cell>
          <cell r="M176">
            <v>46.76</v>
          </cell>
          <cell r="N176">
            <v>46.76</v>
          </cell>
          <cell r="O176">
            <v>23.38</v>
          </cell>
          <cell r="P176">
            <v>631.26</v>
          </cell>
        </row>
        <row r="177">
          <cell r="B177" t="str">
            <v>RL032.0G1W005COMM</v>
          </cell>
          <cell r="C177" t="str">
            <v>32 GL 1X WK COMM 5</v>
          </cell>
          <cell r="D177">
            <v>0</v>
          </cell>
          <cell r="E177">
            <v>0</v>
          </cell>
          <cell r="F177">
            <v>29.23</v>
          </cell>
          <cell r="G177">
            <v>29.23</v>
          </cell>
          <cell r="H177">
            <v>29.23</v>
          </cell>
          <cell r="I177">
            <v>29.23</v>
          </cell>
          <cell r="J177">
            <v>29.23</v>
          </cell>
          <cell r="K177">
            <v>29.23</v>
          </cell>
          <cell r="L177">
            <v>29.23</v>
          </cell>
          <cell r="M177">
            <v>29.23</v>
          </cell>
          <cell r="N177">
            <v>29.23</v>
          </cell>
          <cell r="O177">
            <v>29.23</v>
          </cell>
          <cell r="P177">
            <v>292.3</v>
          </cell>
        </row>
        <row r="178">
          <cell r="B178" t="str">
            <v>RL048.0G1W001COMM</v>
          </cell>
          <cell r="C178" t="str">
            <v>RL 48 GL 1X WK COMM 1</v>
          </cell>
          <cell r="D178">
            <v>523.78</v>
          </cell>
          <cell r="E178">
            <v>531.44000000000005</v>
          </cell>
          <cell r="F178">
            <v>531.44000000000005</v>
          </cell>
          <cell r="G178">
            <v>531.43999999999994</v>
          </cell>
          <cell r="H178">
            <v>551.88</v>
          </cell>
          <cell r="I178">
            <v>551.89</v>
          </cell>
          <cell r="J178">
            <v>599.08000000000004</v>
          </cell>
          <cell r="K178">
            <v>556.99</v>
          </cell>
          <cell r="L178">
            <v>567.21</v>
          </cell>
          <cell r="M178">
            <v>567.22</v>
          </cell>
          <cell r="N178">
            <v>572.33000000000004</v>
          </cell>
          <cell r="O178">
            <v>597.88</v>
          </cell>
          <cell r="P178">
            <v>6682.58</v>
          </cell>
        </row>
        <row r="179">
          <cell r="B179" t="str">
            <v>RL064.0G1W001COMM</v>
          </cell>
          <cell r="C179" t="str">
            <v>RL 64 GL 1X WK COMM 1</v>
          </cell>
          <cell r="D179">
            <v>105.59</v>
          </cell>
          <cell r="E179">
            <v>108.3</v>
          </cell>
          <cell r="F179">
            <v>113.72</v>
          </cell>
          <cell r="G179">
            <v>129.96</v>
          </cell>
          <cell r="H179">
            <v>129.96</v>
          </cell>
          <cell r="I179">
            <v>129.96</v>
          </cell>
          <cell r="J179">
            <v>127.25</v>
          </cell>
          <cell r="K179">
            <v>129.96</v>
          </cell>
          <cell r="L179">
            <v>129.96</v>
          </cell>
          <cell r="M179">
            <v>129.96</v>
          </cell>
          <cell r="N179">
            <v>129.96</v>
          </cell>
          <cell r="O179">
            <v>135.38</v>
          </cell>
          <cell r="P179">
            <v>1499.96</v>
          </cell>
        </row>
        <row r="180">
          <cell r="B180" t="str">
            <v>RL096.0G1W001COMM</v>
          </cell>
          <cell r="C180" t="str">
            <v>RL 96 GL 1X WK COMM 1</v>
          </cell>
          <cell r="D180">
            <v>812.63</v>
          </cell>
          <cell r="E180">
            <v>842.24</v>
          </cell>
          <cell r="F180">
            <v>845.53</v>
          </cell>
          <cell r="G180">
            <v>819.21</v>
          </cell>
          <cell r="H180">
            <v>829.07999999999993</v>
          </cell>
          <cell r="I180">
            <v>868.56000000000006</v>
          </cell>
          <cell r="J180">
            <v>931.07</v>
          </cell>
          <cell r="K180">
            <v>960.68000000000006</v>
          </cell>
          <cell r="L180">
            <v>1003.45</v>
          </cell>
          <cell r="M180">
            <v>1095.57</v>
          </cell>
          <cell r="N180">
            <v>1158.08</v>
          </cell>
          <cell r="O180">
            <v>1197.56</v>
          </cell>
          <cell r="P180">
            <v>11363.66</v>
          </cell>
        </row>
        <row r="181">
          <cell r="B181" t="str">
            <v>RL1.5TC-COMM</v>
          </cell>
          <cell r="C181" t="str">
            <v>RL TEMPORARY 1.5 YD-COMM</v>
          </cell>
          <cell r="D181">
            <v>408.28</v>
          </cell>
          <cell r="E181">
            <v>380.44</v>
          </cell>
          <cell r="F181">
            <v>647.36</v>
          </cell>
          <cell r="G181">
            <v>694.96</v>
          </cell>
          <cell r="H181">
            <v>818.72</v>
          </cell>
          <cell r="I181">
            <v>742.56</v>
          </cell>
          <cell r="J181">
            <v>894.88000000000011</v>
          </cell>
          <cell r="K181">
            <v>780.64</v>
          </cell>
          <cell r="L181">
            <v>837.76</v>
          </cell>
          <cell r="M181">
            <v>952</v>
          </cell>
          <cell r="N181">
            <v>590.24</v>
          </cell>
          <cell r="O181">
            <v>599.76</v>
          </cell>
          <cell r="P181">
            <v>8347.6</v>
          </cell>
        </row>
        <row r="182">
          <cell r="B182" t="str">
            <v>RL1TC-COMM</v>
          </cell>
          <cell r="C182" t="str">
            <v>RL TEMPORARY 1 YD-COMM</v>
          </cell>
          <cell r="D182">
            <v>9.52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9.52</v>
          </cell>
        </row>
        <row r="183">
          <cell r="B183" t="str">
            <v>ROLL-COMM</v>
          </cell>
          <cell r="C183" t="str">
            <v>ROLL OUT CHARGE - COMM</v>
          </cell>
          <cell r="D183">
            <v>482.51</v>
          </cell>
          <cell r="E183">
            <v>486.49</v>
          </cell>
          <cell r="F183">
            <v>510.37</v>
          </cell>
          <cell r="G183">
            <v>486.49</v>
          </cell>
          <cell r="H183">
            <v>482.51</v>
          </cell>
          <cell r="I183">
            <v>482.51</v>
          </cell>
          <cell r="J183">
            <v>507.81</v>
          </cell>
          <cell r="K183">
            <v>501.1</v>
          </cell>
          <cell r="L183">
            <v>547.21</v>
          </cell>
          <cell r="M183">
            <v>539.55000000000007</v>
          </cell>
          <cell r="N183">
            <v>535.57000000000005</v>
          </cell>
          <cell r="O183">
            <v>535.57000000000005</v>
          </cell>
          <cell r="P183">
            <v>6097.69</v>
          </cell>
        </row>
        <row r="184">
          <cell r="B184" t="str">
            <v>SUNKENCAN-COMM</v>
          </cell>
          <cell r="C184" t="str">
            <v>SUNKEN CAN FEE - COMM</v>
          </cell>
          <cell r="D184">
            <v>21.97</v>
          </cell>
          <cell r="E184">
            <v>21.97</v>
          </cell>
          <cell r="F184">
            <v>21.97</v>
          </cell>
          <cell r="G184">
            <v>25.01</v>
          </cell>
          <cell r="H184">
            <v>25.01</v>
          </cell>
          <cell r="I184">
            <v>25.01</v>
          </cell>
          <cell r="J184">
            <v>25.01</v>
          </cell>
          <cell r="K184">
            <v>25.01</v>
          </cell>
          <cell r="L184">
            <v>25.01</v>
          </cell>
          <cell r="M184">
            <v>25.01</v>
          </cell>
          <cell r="N184">
            <v>25.01</v>
          </cell>
          <cell r="O184">
            <v>25.01</v>
          </cell>
          <cell r="P184">
            <v>290.99999999999994</v>
          </cell>
        </row>
        <row r="185">
          <cell r="B185" t="str">
            <v>TIME-COMM</v>
          </cell>
          <cell r="C185" t="str">
            <v>TIME FEE 1 - COMM</v>
          </cell>
          <cell r="D185">
            <v>165.26</v>
          </cell>
          <cell r="E185">
            <v>279.66000000000003</v>
          </cell>
          <cell r="F185">
            <v>206.66</v>
          </cell>
          <cell r="G185">
            <v>27.6</v>
          </cell>
          <cell r="H185">
            <v>13.8</v>
          </cell>
          <cell r="I185">
            <v>219.69</v>
          </cell>
          <cell r="J185">
            <v>972.22</v>
          </cell>
          <cell r="K185">
            <v>110.4</v>
          </cell>
          <cell r="L185">
            <v>1322.08</v>
          </cell>
          <cell r="M185">
            <v>103.5</v>
          </cell>
          <cell r="N185">
            <v>61.65</v>
          </cell>
          <cell r="O185">
            <v>82.8</v>
          </cell>
          <cell r="P185">
            <v>3565.32</v>
          </cell>
        </row>
        <row r="186">
          <cell r="B186" t="str">
            <v>TRIP1-COMM</v>
          </cell>
          <cell r="C186" t="str">
            <v>TRIP FEE - COMM</v>
          </cell>
          <cell r="D186">
            <v>0</v>
          </cell>
          <cell r="E186">
            <v>0</v>
          </cell>
          <cell r="F186">
            <v>0</v>
          </cell>
          <cell r="G186">
            <v>26.24</v>
          </cell>
          <cell r="H186">
            <v>10.039999999999999</v>
          </cell>
          <cell r="I186">
            <v>4.1100000000000003</v>
          </cell>
          <cell r="J186">
            <v>0</v>
          </cell>
          <cell r="K186">
            <v>0</v>
          </cell>
          <cell r="L186">
            <v>0</v>
          </cell>
          <cell r="M186">
            <v>53.2</v>
          </cell>
          <cell r="N186">
            <v>0</v>
          </cell>
          <cell r="O186">
            <v>0</v>
          </cell>
          <cell r="P186">
            <v>93.59</v>
          </cell>
        </row>
        <row r="187">
          <cell r="B187" t="str">
            <v>UNLATCH-COMM</v>
          </cell>
          <cell r="C187" t="str">
            <v>UNLATCHING FEE-COMM</v>
          </cell>
          <cell r="D187">
            <v>307.37</v>
          </cell>
          <cell r="E187">
            <v>305.17999999999995</v>
          </cell>
          <cell r="F187">
            <v>306.33</v>
          </cell>
          <cell r="G187">
            <v>305.18</v>
          </cell>
          <cell r="H187">
            <v>305.13</v>
          </cell>
          <cell r="I187">
            <v>318.64</v>
          </cell>
          <cell r="J187">
            <v>314.84000000000003</v>
          </cell>
          <cell r="K187">
            <v>726.7</v>
          </cell>
          <cell r="L187">
            <v>890.31</v>
          </cell>
          <cell r="M187">
            <v>913.9799999999999</v>
          </cell>
          <cell r="N187">
            <v>901.55</v>
          </cell>
          <cell r="O187">
            <v>911.71999999999991</v>
          </cell>
          <cell r="P187">
            <v>6506.93</v>
          </cell>
        </row>
        <row r="188">
          <cell r="B188" t="str">
            <v>UNLCKC</v>
          </cell>
          <cell r="C188" t="str">
            <v>UNLOCKING FEE - COMM</v>
          </cell>
          <cell r="D188">
            <v>1683.93</v>
          </cell>
          <cell r="E188">
            <v>1686.2300000000002</v>
          </cell>
          <cell r="F188">
            <v>1668.63</v>
          </cell>
          <cell r="G188">
            <v>1668.94</v>
          </cell>
          <cell r="H188">
            <v>1715.96</v>
          </cell>
          <cell r="I188">
            <v>1693.85</v>
          </cell>
          <cell r="J188">
            <v>1674.36</v>
          </cell>
          <cell r="K188">
            <v>1685.9</v>
          </cell>
          <cell r="L188">
            <v>1780.2</v>
          </cell>
          <cell r="M188">
            <v>1787.89</v>
          </cell>
          <cell r="N188">
            <v>1769.3</v>
          </cell>
          <cell r="O188">
            <v>1785.67</v>
          </cell>
          <cell r="P188">
            <v>20600.86</v>
          </cell>
        </row>
        <row r="189">
          <cell r="B189" t="str">
            <v>WI1-COMM</v>
          </cell>
          <cell r="C189" t="str">
            <v>WALK IN 5-25 FT - COMM</v>
          </cell>
          <cell r="D189">
            <v>22.229999999999997</v>
          </cell>
          <cell r="E189">
            <v>26</v>
          </cell>
          <cell r="F189">
            <v>26</v>
          </cell>
          <cell r="G189">
            <v>23.4</v>
          </cell>
          <cell r="H189">
            <v>23.4</v>
          </cell>
          <cell r="I189">
            <v>23.4</v>
          </cell>
          <cell r="J189">
            <v>23.4</v>
          </cell>
          <cell r="K189">
            <v>23.4</v>
          </cell>
          <cell r="L189">
            <v>23.4</v>
          </cell>
          <cell r="M189">
            <v>23.4</v>
          </cell>
          <cell r="N189">
            <v>24.7</v>
          </cell>
          <cell r="O189">
            <v>24.7</v>
          </cell>
          <cell r="P189">
            <v>287.43</v>
          </cell>
        </row>
        <row r="190">
          <cell r="B190" t="str">
            <v>WI2-COMM</v>
          </cell>
          <cell r="C190" t="str">
            <v>WALK IN 26-50 FT - COMM</v>
          </cell>
          <cell r="D190">
            <v>3.82</v>
          </cell>
          <cell r="E190">
            <v>3.82</v>
          </cell>
          <cell r="F190">
            <v>3.82</v>
          </cell>
          <cell r="G190">
            <v>3.82</v>
          </cell>
          <cell r="H190">
            <v>3.82</v>
          </cell>
          <cell r="I190">
            <v>3.82</v>
          </cell>
          <cell r="J190">
            <v>3.82</v>
          </cell>
          <cell r="K190">
            <v>3.82</v>
          </cell>
          <cell r="L190">
            <v>3.82</v>
          </cell>
          <cell r="M190">
            <v>3.82</v>
          </cell>
          <cell r="N190">
            <v>3.82</v>
          </cell>
          <cell r="O190">
            <v>3.82</v>
          </cell>
          <cell r="P190">
            <v>45.839999999999996</v>
          </cell>
        </row>
        <row r="191">
          <cell r="B191" t="str">
            <v>WI4-COMM</v>
          </cell>
          <cell r="C191" t="str">
            <v>WALK IN 76-100 FT - COMM</v>
          </cell>
          <cell r="D191">
            <v>6.24</v>
          </cell>
          <cell r="E191">
            <v>6.24</v>
          </cell>
          <cell r="F191">
            <v>6.24</v>
          </cell>
          <cell r="G191">
            <v>6.24</v>
          </cell>
          <cell r="H191">
            <v>6.24</v>
          </cell>
          <cell r="I191">
            <v>6.24</v>
          </cell>
          <cell r="J191">
            <v>6.24</v>
          </cell>
          <cell r="K191">
            <v>6.24</v>
          </cell>
          <cell r="L191">
            <v>6.24</v>
          </cell>
          <cell r="M191">
            <v>6.24</v>
          </cell>
          <cell r="N191">
            <v>6.24</v>
          </cell>
          <cell r="O191">
            <v>6.24</v>
          </cell>
          <cell r="P191">
            <v>74.88000000000001</v>
          </cell>
        </row>
        <row r="192">
          <cell r="B192" t="str">
            <v>RESIDENTIAL</v>
          </cell>
          <cell r="D192">
            <v>145264.57500000004</v>
          </cell>
          <cell r="E192">
            <v>148267.82500000007</v>
          </cell>
          <cell r="F192">
            <v>148487.20499999999</v>
          </cell>
          <cell r="G192">
            <v>147281.41500000004</v>
          </cell>
          <cell r="H192">
            <v>146300.43</v>
          </cell>
          <cell r="I192">
            <v>147654.82</v>
          </cell>
          <cell r="J192">
            <v>147958.35500000004</v>
          </cell>
          <cell r="K192">
            <v>149351.61499999999</v>
          </cell>
          <cell r="L192">
            <v>146911.41000000003</v>
          </cell>
          <cell r="M192">
            <v>148382.41</v>
          </cell>
          <cell r="N192">
            <v>144937.59000000005</v>
          </cell>
          <cell r="O192">
            <v>148762.80500000002</v>
          </cell>
          <cell r="P192">
            <v>1769560.4550000003</v>
          </cell>
        </row>
        <row r="193">
          <cell r="B193" t="str">
            <v>ADJ-RES</v>
          </cell>
          <cell r="C193" t="str">
            <v>ADJUSTMENT RESIDENTIAL</v>
          </cell>
          <cell r="D193">
            <v>80.599999999999994</v>
          </cell>
          <cell r="E193">
            <v>45</v>
          </cell>
          <cell r="F193">
            <v>45</v>
          </cell>
          <cell r="G193">
            <v>178.04</v>
          </cell>
          <cell r="H193">
            <v>75</v>
          </cell>
          <cell r="I193">
            <v>0</v>
          </cell>
          <cell r="J193">
            <v>-121.02</v>
          </cell>
          <cell r="K193">
            <v>269</v>
          </cell>
          <cell r="L193">
            <v>0</v>
          </cell>
          <cell r="M193">
            <v>30</v>
          </cell>
          <cell r="N193">
            <v>0</v>
          </cell>
          <cell r="O193">
            <v>90</v>
          </cell>
          <cell r="P193">
            <v>691.62</v>
          </cell>
        </row>
        <row r="194">
          <cell r="B194" t="str">
            <v>DEL-RES</v>
          </cell>
          <cell r="C194" t="str">
            <v>DELIVERY FEE - RES</v>
          </cell>
          <cell r="D194">
            <v>14.78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14.78</v>
          </cell>
        </row>
        <row r="195">
          <cell r="B195" t="str">
            <v>DISP-RES</v>
          </cell>
          <cell r="C195" t="str">
            <v>DISPOSAL FEE - RES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22.24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22.24</v>
          </cell>
        </row>
        <row r="196">
          <cell r="B196" t="str">
            <v>DRIVE-IN RES MTHLY</v>
          </cell>
          <cell r="C196" t="str">
            <v>DRIVE-IN SERVICE RES MONTHLY</v>
          </cell>
          <cell r="D196">
            <v>9.48</v>
          </cell>
          <cell r="E196">
            <v>13.030000000000001</v>
          </cell>
          <cell r="F196">
            <v>16.36</v>
          </cell>
          <cell r="G196">
            <v>12.64</v>
          </cell>
          <cell r="H196">
            <v>9.48</v>
          </cell>
          <cell r="I196">
            <v>8.74</v>
          </cell>
          <cell r="J196">
            <v>15.8</v>
          </cell>
          <cell r="K196">
            <v>11.06</v>
          </cell>
          <cell r="L196">
            <v>14.22</v>
          </cell>
          <cell r="M196">
            <v>11.06</v>
          </cell>
          <cell r="N196">
            <v>14.22</v>
          </cell>
          <cell r="O196">
            <v>11.06</v>
          </cell>
          <cell r="P196">
            <v>147.15</v>
          </cell>
        </row>
        <row r="197">
          <cell r="B197" t="str">
            <v>DRIVEINEOW-RES</v>
          </cell>
          <cell r="C197" t="str">
            <v>DRIVE IN EOW CHARGE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3.42</v>
          </cell>
          <cell r="I197">
            <v>3.42</v>
          </cell>
          <cell r="J197">
            <v>6.84</v>
          </cell>
          <cell r="K197">
            <v>0</v>
          </cell>
          <cell r="L197">
            <v>6.84</v>
          </cell>
          <cell r="M197">
            <v>0</v>
          </cell>
          <cell r="N197">
            <v>6.84</v>
          </cell>
          <cell r="O197">
            <v>0</v>
          </cell>
          <cell r="P197">
            <v>27.36</v>
          </cell>
        </row>
        <row r="198">
          <cell r="B198" t="str">
            <v>DRIVEIN-RES</v>
          </cell>
          <cell r="C198" t="str">
            <v>DRIVE IN SERVICE - RES</v>
          </cell>
          <cell r="D198">
            <v>3114.53</v>
          </cell>
          <cell r="E198">
            <v>4197.3999999999996</v>
          </cell>
          <cell r="F198">
            <v>3090.86</v>
          </cell>
          <cell r="G198">
            <v>4243.4100000000008</v>
          </cell>
          <cell r="H198">
            <v>3044.67</v>
          </cell>
          <cell r="I198">
            <v>4167.28</v>
          </cell>
          <cell r="J198">
            <v>3013.06</v>
          </cell>
          <cell r="K198">
            <v>4210.92</v>
          </cell>
          <cell r="L198">
            <v>3022.09</v>
          </cell>
          <cell r="M198">
            <v>4216.0399999999991</v>
          </cell>
          <cell r="N198">
            <v>3025.8199999999997</v>
          </cell>
          <cell r="O198">
            <v>4212.630000000001</v>
          </cell>
          <cell r="P198">
            <v>43558.710000000006</v>
          </cell>
        </row>
        <row r="199">
          <cell r="B199" t="str">
            <v>EXTRA-RES</v>
          </cell>
          <cell r="C199" t="str">
            <v>EXTRA CAN, BAG, BOX-RES</v>
          </cell>
          <cell r="D199">
            <v>5608.5700000000006</v>
          </cell>
          <cell r="E199">
            <v>3120.2400000000002</v>
          </cell>
          <cell r="F199">
            <v>4508.97</v>
          </cell>
          <cell r="G199">
            <v>5321.72</v>
          </cell>
          <cell r="H199">
            <v>5486.4500000000007</v>
          </cell>
          <cell r="I199">
            <v>5716.7900000000009</v>
          </cell>
          <cell r="J199">
            <v>6715.52</v>
          </cell>
          <cell r="K199">
            <v>5843.5</v>
          </cell>
          <cell r="L199">
            <v>5319.9700000000012</v>
          </cell>
          <cell r="M199">
            <v>5005.43</v>
          </cell>
          <cell r="N199">
            <v>3852.33</v>
          </cell>
          <cell r="O199">
            <v>6950.4</v>
          </cell>
          <cell r="P199">
            <v>63449.890000000014</v>
          </cell>
        </row>
        <row r="200">
          <cell r="B200" t="str">
            <v>OS-RES</v>
          </cell>
          <cell r="C200" t="str">
            <v>OVERSIZE CAN - RES</v>
          </cell>
          <cell r="D200">
            <v>745.25</v>
          </cell>
          <cell r="E200">
            <v>633.27</v>
          </cell>
          <cell r="F200">
            <v>829.04</v>
          </cell>
          <cell r="G200">
            <v>889.55000000000007</v>
          </cell>
          <cell r="H200">
            <v>712.08</v>
          </cell>
          <cell r="I200">
            <v>839.67</v>
          </cell>
          <cell r="J200">
            <v>1025.74</v>
          </cell>
          <cell r="K200">
            <v>956.31999999999994</v>
          </cell>
          <cell r="L200">
            <v>811.84</v>
          </cell>
          <cell r="M200">
            <v>839.98</v>
          </cell>
          <cell r="N200">
            <v>565.88000000000011</v>
          </cell>
          <cell r="O200">
            <v>913.31999999999994</v>
          </cell>
          <cell r="P200">
            <v>9761.9399999999987</v>
          </cell>
        </row>
        <row r="201">
          <cell r="B201" t="str">
            <v>REDEL-RES</v>
          </cell>
          <cell r="C201" t="str">
            <v>REDELIVERY FEE - RES</v>
          </cell>
          <cell r="D201">
            <v>177.36</v>
          </cell>
          <cell r="E201">
            <v>236.48</v>
          </cell>
          <cell r="F201">
            <v>73.900000000000006</v>
          </cell>
          <cell r="G201">
            <v>147.80000000000001</v>
          </cell>
          <cell r="H201">
            <v>192.04000000000002</v>
          </cell>
          <cell r="I201">
            <v>103.46000000000001</v>
          </cell>
          <cell r="J201">
            <v>118.24</v>
          </cell>
          <cell r="K201">
            <v>236.48000000000002</v>
          </cell>
          <cell r="L201">
            <v>177.36</v>
          </cell>
          <cell r="M201">
            <v>162.57999999999998</v>
          </cell>
          <cell r="N201">
            <v>88.68</v>
          </cell>
          <cell r="O201">
            <v>103.46000000000001</v>
          </cell>
          <cell r="P201">
            <v>1817.84</v>
          </cell>
        </row>
        <row r="202">
          <cell r="B202" t="str">
            <v>REINSTATE-RES</v>
          </cell>
          <cell r="C202" t="str">
            <v>REINSTATE FEE - RES</v>
          </cell>
          <cell r="D202">
            <v>890.68000000000006</v>
          </cell>
          <cell r="E202">
            <v>742.95</v>
          </cell>
          <cell r="F202">
            <v>434.34000000000003</v>
          </cell>
          <cell r="G202">
            <v>720.08999999999992</v>
          </cell>
          <cell r="H202">
            <v>685.8</v>
          </cell>
          <cell r="I202">
            <v>480.06</v>
          </cell>
          <cell r="J202">
            <v>708.66000000000008</v>
          </cell>
          <cell r="K202">
            <v>828.31</v>
          </cell>
          <cell r="L202">
            <v>560.07000000000005</v>
          </cell>
          <cell r="M202">
            <v>685.8</v>
          </cell>
          <cell r="N202">
            <v>537.21</v>
          </cell>
          <cell r="O202">
            <v>697.23</v>
          </cell>
          <cell r="P202">
            <v>7971.2000000000007</v>
          </cell>
        </row>
        <row r="203">
          <cell r="B203" t="str">
            <v>RL020.0G1W001</v>
          </cell>
          <cell r="C203" t="str">
            <v>RL 20 GL 1X WK 1</v>
          </cell>
          <cell r="D203">
            <v>69.960000000000008</v>
          </cell>
          <cell r="E203">
            <v>72.41</v>
          </cell>
          <cell r="F203">
            <v>72.41</v>
          </cell>
          <cell r="G203">
            <v>62.660000000000004</v>
          </cell>
          <cell r="H203">
            <v>73.800000000000011</v>
          </cell>
          <cell r="I203">
            <v>72.41</v>
          </cell>
          <cell r="J203">
            <v>72.41</v>
          </cell>
          <cell r="K203">
            <v>72.41</v>
          </cell>
          <cell r="L203">
            <v>72.41</v>
          </cell>
          <cell r="M203">
            <v>72.41</v>
          </cell>
          <cell r="N203">
            <v>72.41</v>
          </cell>
          <cell r="O203">
            <v>72.41</v>
          </cell>
          <cell r="P203">
            <v>858.10999999999979</v>
          </cell>
        </row>
        <row r="204">
          <cell r="B204" t="str">
            <v>RL032.0G1M001</v>
          </cell>
          <cell r="C204" t="str">
            <v>RL 32 GL 1X MO 1</v>
          </cell>
          <cell r="D204">
            <v>156.4</v>
          </cell>
          <cell r="E204">
            <v>151.84</v>
          </cell>
          <cell r="F204">
            <v>164.32</v>
          </cell>
          <cell r="G204">
            <v>158.08000000000001</v>
          </cell>
          <cell r="H204">
            <v>160.16000000000003</v>
          </cell>
          <cell r="I204">
            <v>158.60000000000002</v>
          </cell>
          <cell r="J204">
            <v>154.44</v>
          </cell>
          <cell r="K204">
            <v>149.76</v>
          </cell>
          <cell r="L204">
            <v>141.44</v>
          </cell>
          <cell r="M204">
            <v>139.36000000000001</v>
          </cell>
          <cell r="N204">
            <v>145.6</v>
          </cell>
          <cell r="O204">
            <v>147.68</v>
          </cell>
          <cell r="P204">
            <v>1827.68</v>
          </cell>
        </row>
        <row r="205">
          <cell r="B205" t="str">
            <v>RL032.0G1W001</v>
          </cell>
          <cell r="C205" t="str">
            <v>RL 32 GL 1X WK 1</v>
          </cell>
          <cell r="D205">
            <v>20871.68</v>
          </cell>
          <cell r="E205">
            <v>21225.074999999997</v>
          </cell>
          <cell r="F205">
            <v>21057.294999999998</v>
          </cell>
          <cell r="G205">
            <v>20663.094999999998</v>
          </cell>
          <cell r="H205">
            <v>20426.334999999999</v>
          </cell>
          <cell r="I205">
            <v>20380.064999999999</v>
          </cell>
          <cell r="J205">
            <v>20219.735000000001</v>
          </cell>
          <cell r="K205">
            <v>20014.210000000003</v>
          </cell>
          <cell r="L205">
            <v>19762.645</v>
          </cell>
          <cell r="M205">
            <v>19598.8</v>
          </cell>
          <cell r="N205">
            <v>19663.325000000001</v>
          </cell>
          <cell r="O205">
            <v>19526.454999999998</v>
          </cell>
          <cell r="P205">
            <v>243408.71499999994</v>
          </cell>
        </row>
        <row r="206">
          <cell r="B206" t="str">
            <v>RL032.0G1W001SNR</v>
          </cell>
          <cell r="C206" t="str">
            <v>RL 32 GL 1X WK SENIOR 1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-1.75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-1.75</v>
          </cell>
        </row>
        <row r="207">
          <cell r="B207" t="str">
            <v>RL032.0G1W002</v>
          </cell>
          <cell r="C207" t="str">
            <v>RL 32 GL 1X WK 2</v>
          </cell>
          <cell r="D207">
            <v>32318.580000000005</v>
          </cell>
          <cell r="E207">
            <v>32893.794999999998</v>
          </cell>
          <cell r="F207">
            <v>32749.765000000003</v>
          </cell>
          <cell r="G207">
            <v>31972.280000000002</v>
          </cell>
          <cell r="H207">
            <v>31596.98</v>
          </cell>
          <cell r="I207">
            <v>31218.29</v>
          </cell>
          <cell r="J207">
            <v>31007.514999999999</v>
          </cell>
          <cell r="K207">
            <v>30610.479999999996</v>
          </cell>
          <cell r="L207">
            <v>30476.329999999994</v>
          </cell>
          <cell r="M207">
            <v>30192.045000000009</v>
          </cell>
          <cell r="N207">
            <v>29925.465000000004</v>
          </cell>
          <cell r="O207">
            <v>29787.85</v>
          </cell>
          <cell r="P207">
            <v>374749.375</v>
          </cell>
        </row>
        <row r="208">
          <cell r="B208" t="str">
            <v>RL032.0G1W003</v>
          </cell>
          <cell r="C208" t="str">
            <v>RL 32 GL 1X WK 3</v>
          </cell>
          <cell r="D208">
            <v>4912.3899999999994</v>
          </cell>
          <cell r="E208">
            <v>4936.5149999999994</v>
          </cell>
          <cell r="F208">
            <v>4884.5599999999995</v>
          </cell>
          <cell r="G208">
            <v>4699.375</v>
          </cell>
          <cell r="H208">
            <v>4709.29</v>
          </cell>
          <cell r="I208">
            <v>4717.7749999999996</v>
          </cell>
          <cell r="J208">
            <v>4713.51</v>
          </cell>
          <cell r="K208">
            <v>4702.1750000000002</v>
          </cell>
          <cell r="L208">
            <v>4625.8999999999996</v>
          </cell>
          <cell r="M208">
            <v>4555.33</v>
          </cell>
          <cell r="N208">
            <v>4522.8499999999995</v>
          </cell>
          <cell r="O208">
            <v>4511.5250000000005</v>
          </cell>
          <cell r="P208">
            <v>56491.195000000007</v>
          </cell>
        </row>
        <row r="209">
          <cell r="B209" t="str">
            <v>RL032.0G1W004</v>
          </cell>
          <cell r="C209" t="str">
            <v>RL 32 GL 1X WK 4</v>
          </cell>
          <cell r="D209">
            <v>875.2</v>
          </cell>
          <cell r="E209">
            <v>891.72500000000002</v>
          </cell>
          <cell r="F209">
            <v>858.07500000000005</v>
          </cell>
          <cell r="G209">
            <v>832.84</v>
          </cell>
          <cell r="H209">
            <v>837.8900000000001</v>
          </cell>
          <cell r="I209">
            <v>741.98</v>
          </cell>
          <cell r="J209">
            <v>797.50500000000011</v>
          </cell>
          <cell r="K209">
            <v>780.68000000000006</v>
          </cell>
          <cell r="L209">
            <v>773.94499999999994</v>
          </cell>
          <cell r="M209">
            <v>773.95</v>
          </cell>
          <cell r="N209">
            <v>760.49</v>
          </cell>
          <cell r="O209">
            <v>760.495</v>
          </cell>
          <cell r="P209">
            <v>9684.7750000000015</v>
          </cell>
        </row>
        <row r="210">
          <cell r="B210" t="str">
            <v>RL032.0G1W005</v>
          </cell>
          <cell r="C210" t="str">
            <v>RL 32 GL 1X WK 5</v>
          </cell>
          <cell r="D210">
            <v>78.25</v>
          </cell>
          <cell r="E210">
            <v>79.45</v>
          </cell>
          <cell r="F210">
            <v>63.56</v>
          </cell>
          <cell r="G210">
            <v>63.56</v>
          </cell>
          <cell r="H210">
            <v>63.56</v>
          </cell>
          <cell r="I210">
            <v>79.45</v>
          </cell>
          <cell r="J210">
            <v>79.45</v>
          </cell>
          <cell r="K210">
            <v>79.45</v>
          </cell>
          <cell r="L210">
            <v>79.45</v>
          </cell>
          <cell r="M210">
            <v>79.45</v>
          </cell>
          <cell r="N210">
            <v>79.45</v>
          </cell>
          <cell r="O210">
            <v>79.45</v>
          </cell>
          <cell r="P210">
            <v>904.5300000000002</v>
          </cell>
        </row>
        <row r="211">
          <cell r="B211" t="str">
            <v>RL032.0G1W006</v>
          </cell>
          <cell r="C211" t="str">
            <v>RL 32 GL 1X WK 6</v>
          </cell>
          <cell r="D211">
            <v>18.579999999999998</v>
          </cell>
          <cell r="E211">
            <v>18.579999999999998</v>
          </cell>
          <cell r="F211">
            <v>27.88</v>
          </cell>
          <cell r="G211">
            <v>18.579999999999998</v>
          </cell>
          <cell r="H211">
            <v>18.579999999999998</v>
          </cell>
          <cell r="I211">
            <v>18.579999999999998</v>
          </cell>
          <cell r="J211">
            <v>18.579999999999998</v>
          </cell>
          <cell r="K211">
            <v>18.579999999999998</v>
          </cell>
          <cell r="L211">
            <v>18.579999999999998</v>
          </cell>
          <cell r="M211">
            <v>18.579999999999998</v>
          </cell>
          <cell r="N211">
            <v>18.579999999999998</v>
          </cell>
          <cell r="O211">
            <v>18.579999999999998</v>
          </cell>
          <cell r="P211">
            <v>232.25999999999993</v>
          </cell>
        </row>
        <row r="212">
          <cell r="B212" t="str">
            <v>RL048.0G1W001</v>
          </cell>
          <cell r="C212" t="str">
            <v>RL 48 GL 1X WK 1</v>
          </cell>
          <cell r="D212">
            <v>6615.1350000000002</v>
          </cell>
          <cell r="E212">
            <v>6794.4750000000004</v>
          </cell>
          <cell r="F212">
            <v>6900.3349999999991</v>
          </cell>
          <cell r="G212">
            <v>6472.6050000000005</v>
          </cell>
          <cell r="H212">
            <v>6599.3899999999994</v>
          </cell>
          <cell r="I212">
            <v>6663.9950000000008</v>
          </cell>
          <cell r="J212">
            <v>6667.7849999999999</v>
          </cell>
          <cell r="K212">
            <v>6957.5249999999996</v>
          </cell>
          <cell r="L212">
            <v>6979.9299999999994</v>
          </cell>
          <cell r="M212">
            <v>7091.8899999999994</v>
          </cell>
          <cell r="N212">
            <v>7171.4699999999993</v>
          </cell>
          <cell r="O212">
            <v>7073.2199999999993</v>
          </cell>
          <cell r="P212">
            <v>81987.755000000005</v>
          </cell>
        </row>
        <row r="213">
          <cell r="B213" t="str">
            <v>RL064.0G1W001</v>
          </cell>
          <cell r="C213" t="str">
            <v>RL 64 GL 1X WK 1</v>
          </cell>
          <cell r="D213">
            <v>16937.785</v>
          </cell>
          <cell r="E213">
            <v>17471.075000000004</v>
          </cell>
          <cell r="F213">
            <v>17688</v>
          </cell>
          <cell r="G213">
            <v>16374.955</v>
          </cell>
          <cell r="H213">
            <v>16386.614999999998</v>
          </cell>
          <cell r="I213">
            <v>16339.935000000001</v>
          </cell>
          <cell r="J213">
            <v>16603.82</v>
          </cell>
          <cell r="K213">
            <v>16931.715</v>
          </cell>
          <cell r="L213">
            <v>16939.025000000001</v>
          </cell>
          <cell r="M213">
            <v>17183.780000000002</v>
          </cell>
          <cell r="N213">
            <v>17464.605</v>
          </cell>
          <cell r="O213">
            <v>17583.47</v>
          </cell>
          <cell r="P213">
            <v>203904.78</v>
          </cell>
        </row>
        <row r="214">
          <cell r="B214" t="str">
            <v>RL096.0G1W001</v>
          </cell>
          <cell r="C214" t="str">
            <v>RL 96 GL 1X WK 1</v>
          </cell>
          <cell r="D214">
            <v>27134.400000000001</v>
          </cell>
          <cell r="E214">
            <v>28094.579999999998</v>
          </cell>
          <cell r="F214">
            <v>28272.639999999996</v>
          </cell>
          <cell r="G214">
            <v>27270.570000000003</v>
          </cell>
          <cell r="H214">
            <v>27387.269999999997</v>
          </cell>
          <cell r="I214">
            <v>27756.27</v>
          </cell>
          <cell r="J214">
            <v>28220.43</v>
          </cell>
          <cell r="K214">
            <v>28491.59</v>
          </cell>
          <cell r="L214">
            <v>29077.920000000002</v>
          </cell>
          <cell r="M214">
            <v>29499.109999999997</v>
          </cell>
          <cell r="N214">
            <v>29517.360000000001</v>
          </cell>
          <cell r="O214">
            <v>29890.52</v>
          </cell>
          <cell r="P214">
            <v>340612.66</v>
          </cell>
        </row>
        <row r="215">
          <cell r="B215" t="str">
            <v>RL32R-OC</v>
          </cell>
          <cell r="C215" t="str">
            <v>1 RL 32 GL ON CALL-RES</v>
          </cell>
          <cell r="D215">
            <v>24.96</v>
          </cell>
          <cell r="E215">
            <v>4.16</v>
          </cell>
          <cell r="F215">
            <v>20.8</v>
          </cell>
          <cell r="G215">
            <v>12.48</v>
          </cell>
          <cell r="H215">
            <v>24.96</v>
          </cell>
          <cell r="I215">
            <v>29.12</v>
          </cell>
          <cell r="J215">
            <v>12.48</v>
          </cell>
          <cell r="K215">
            <v>8.32</v>
          </cell>
          <cell r="L215">
            <v>12.48</v>
          </cell>
          <cell r="M215">
            <v>29.12</v>
          </cell>
          <cell r="N215">
            <v>0</v>
          </cell>
          <cell r="O215">
            <v>4.16</v>
          </cell>
          <cell r="P215">
            <v>183.04</v>
          </cell>
        </row>
        <row r="216">
          <cell r="B216" t="str">
            <v>SL064.0GEO001REC</v>
          </cell>
          <cell r="C216" t="str">
            <v>SL 64 GL EOW RECYCLE 1</v>
          </cell>
          <cell r="D216">
            <v>19197.660000000003</v>
          </cell>
          <cell r="E216">
            <v>21170.120000000003</v>
          </cell>
          <cell r="F216">
            <v>21162.489999999998</v>
          </cell>
          <cell r="G216">
            <v>21192.9</v>
          </cell>
          <cell r="H216">
            <v>21282.190000000002</v>
          </cell>
          <cell r="I216">
            <v>21330.864999999998</v>
          </cell>
          <cell r="J216">
            <v>21030.71</v>
          </cell>
          <cell r="K216">
            <v>21187.269999999997</v>
          </cell>
          <cell r="L216">
            <v>21201.1</v>
          </cell>
          <cell r="M216">
            <v>21255.424999999999</v>
          </cell>
          <cell r="N216">
            <v>21112.95</v>
          </cell>
          <cell r="O216">
            <v>21045.3</v>
          </cell>
          <cell r="P216">
            <v>252168.97999999998</v>
          </cell>
        </row>
        <row r="217">
          <cell r="B217" t="str">
            <v>SL096.0GEO001GW</v>
          </cell>
          <cell r="C217" t="str">
            <v>SL 96 GL EOW GREENWASTE 1</v>
          </cell>
          <cell r="D217">
            <v>5195.4250000000002</v>
          </cell>
          <cell r="E217">
            <v>5116.375</v>
          </cell>
          <cell r="F217">
            <v>5429.5050000000001</v>
          </cell>
          <cell r="G217">
            <v>5654.7749999999996</v>
          </cell>
          <cell r="H217">
            <v>6352.65</v>
          </cell>
          <cell r="I217">
            <v>6481.4750000000004</v>
          </cell>
          <cell r="J217">
            <v>6589.2749999999996</v>
          </cell>
          <cell r="K217">
            <v>6645.87</v>
          </cell>
          <cell r="L217">
            <v>6670.1250000000009</v>
          </cell>
          <cell r="M217">
            <v>6602.75</v>
          </cell>
          <cell r="N217">
            <v>6201.2750000000005</v>
          </cell>
          <cell r="O217">
            <v>4915.68</v>
          </cell>
          <cell r="P217">
            <v>71855.179999999993</v>
          </cell>
        </row>
        <row r="218">
          <cell r="B218" t="str">
            <v>SUNKENCAN-RES</v>
          </cell>
          <cell r="C218" t="str">
            <v>SUNKEN CAN FEE - RES</v>
          </cell>
          <cell r="D218">
            <v>9.67</v>
          </cell>
          <cell r="E218">
            <v>21.78</v>
          </cell>
          <cell r="F218">
            <v>10.59</v>
          </cell>
          <cell r="G218">
            <v>20.57</v>
          </cell>
          <cell r="H218">
            <v>10.89</v>
          </cell>
          <cell r="I218">
            <v>19.97</v>
          </cell>
          <cell r="J218">
            <v>10.89</v>
          </cell>
          <cell r="K218">
            <v>19.36</v>
          </cell>
          <cell r="L218">
            <v>10.89</v>
          </cell>
          <cell r="M218">
            <v>19.36</v>
          </cell>
          <cell r="N218">
            <v>10.89</v>
          </cell>
          <cell r="O218">
            <v>18.16</v>
          </cell>
          <cell r="P218">
            <v>183.02</v>
          </cell>
        </row>
        <row r="219">
          <cell r="B219" t="str">
            <v>TIME-RES</v>
          </cell>
          <cell r="C219" t="str">
            <v>TIME FEE 1 - RES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82.63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82.63</v>
          </cell>
        </row>
        <row r="220">
          <cell r="B220" t="str">
            <v>TRIP-RES</v>
          </cell>
          <cell r="C220" t="str">
            <v>TRIP FEE - RES</v>
          </cell>
          <cell r="D220">
            <v>78.09</v>
          </cell>
          <cell r="E220">
            <v>57.540000000000006</v>
          </cell>
          <cell r="F220">
            <v>8.2200000000000006</v>
          </cell>
          <cell r="G220">
            <v>28.770000000000003</v>
          </cell>
          <cell r="H220">
            <v>41.100000000000009</v>
          </cell>
          <cell r="I220">
            <v>53.430000000000007</v>
          </cell>
          <cell r="J220">
            <v>53.43</v>
          </cell>
          <cell r="K220">
            <v>57.540000000000006</v>
          </cell>
          <cell r="L220">
            <v>41.1</v>
          </cell>
          <cell r="M220">
            <v>49.32</v>
          </cell>
          <cell r="N220">
            <v>65.760000000000005</v>
          </cell>
          <cell r="O220">
            <v>82.2</v>
          </cell>
          <cell r="P220">
            <v>616.50000000000011</v>
          </cell>
        </row>
        <row r="221">
          <cell r="B221" t="str">
            <v>WI1-RES</v>
          </cell>
          <cell r="C221" t="str">
            <v>WALK IN 5-25 FT - RES</v>
          </cell>
          <cell r="D221">
            <v>67.86</v>
          </cell>
          <cell r="E221">
            <v>87.16</v>
          </cell>
          <cell r="F221">
            <v>70.490000000000009</v>
          </cell>
          <cell r="G221">
            <v>85.7</v>
          </cell>
          <cell r="H221">
            <v>67.55</v>
          </cell>
          <cell r="I221">
            <v>88.93</v>
          </cell>
          <cell r="J221">
            <v>66.400000000000006</v>
          </cell>
          <cell r="K221">
            <v>86.580000000000013</v>
          </cell>
          <cell r="L221">
            <v>63.47</v>
          </cell>
          <cell r="M221">
            <v>86.58</v>
          </cell>
          <cell r="N221">
            <v>59.379999999999995</v>
          </cell>
          <cell r="O221">
            <v>86.58</v>
          </cell>
          <cell r="P221">
            <v>916.68000000000018</v>
          </cell>
        </row>
        <row r="222">
          <cell r="B222" t="str">
            <v>WI2-RES</v>
          </cell>
          <cell r="C222" t="str">
            <v>WALK IN 26-50 FT - RES</v>
          </cell>
          <cell r="D222">
            <v>16.45</v>
          </cell>
          <cell r="E222">
            <v>79.78</v>
          </cell>
          <cell r="F222">
            <v>17.68</v>
          </cell>
          <cell r="G222">
            <v>77.72999999999999</v>
          </cell>
          <cell r="H222">
            <v>13.16</v>
          </cell>
          <cell r="I222">
            <v>75.67</v>
          </cell>
          <cell r="J222">
            <v>13.16</v>
          </cell>
          <cell r="K222">
            <v>75.67</v>
          </cell>
          <cell r="L222">
            <v>13.16</v>
          </cell>
          <cell r="M222">
            <v>75.67</v>
          </cell>
          <cell r="N222">
            <v>15.629999999999999</v>
          </cell>
          <cell r="O222">
            <v>72.38</v>
          </cell>
          <cell r="P222">
            <v>546.1400000000001</v>
          </cell>
        </row>
        <row r="223">
          <cell r="B223" t="str">
            <v>WI3-RES</v>
          </cell>
          <cell r="C223" t="str">
            <v>WALK IN 51-75 FT - RES</v>
          </cell>
          <cell r="D223">
            <v>34.450000000000003</v>
          </cell>
          <cell r="E223">
            <v>46.64</v>
          </cell>
          <cell r="F223">
            <v>33.92</v>
          </cell>
          <cell r="G223">
            <v>46.64</v>
          </cell>
          <cell r="H223">
            <v>33.92</v>
          </cell>
          <cell r="I223">
            <v>46.64</v>
          </cell>
          <cell r="J223">
            <v>33.92</v>
          </cell>
          <cell r="K223">
            <v>46.64</v>
          </cell>
          <cell r="L223">
            <v>33.92</v>
          </cell>
          <cell r="M223">
            <v>46.64</v>
          </cell>
          <cell r="N223">
            <v>33.92</v>
          </cell>
          <cell r="O223">
            <v>46.64</v>
          </cell>
          <cell r="P223">
            <v>483.89</v>
          </cell>
        </row>
        <row r="224">
          <cell r="B224" t="str">
            <v>WI4-RES</v>
          </cell>
          <cell r="C224" t="str">
            <v>WALK IN 76-100 FT - RES</v>
          </cell>
          <cell r="D224">
            <v>10.4</v>
          </cell>
          <cell r="E224">
            <v>36.4</v>
          </cell>
          <cell r="F224">
            <v>-3.7999999999999989</v>
          </cell>
          <cell r="G224">
            <v>29.25</v>
          </cell>
          <cell r="H224">
            <v>5.2</v>
          </cell>
          <cell r="I224">
            <v>31.2</v>
          </cell>
          <cell r="J224">
            <v>5.2</v>
          </cell>
          <cell r="K224">
            <v>31.2</v>
          </cell>
          <cell r="L224">
            <v>5.2</v>
          </cell>
          <cell r="M224">
            <v>31.2</v>
          </cell>
          <cell r="N224">
            <v>5.2</v>
          </cell>
          <cell r="O224">
            <v>31.2</v>
          </cell>
          <cell r="P224">
            <v>217.84999999999997</v>
          </cell>
        </row>
        <row r="225">
          <cell r="B225" t="str">
            <v>WI5-RES</v>
          </cell>
          <cell r="C225" t="str">
            <v>WALK IN 101-125 FT - RES</v>
          </cell>
          <cell r="D225">
            <v>0</v>
          </cell>
          <cell r="E225">
            <v>29.98</v>
          </cell>
          <cell r="F225">
            <v>0</v>
          </cell>
          <cell r="G225">
            <v>30.75</v>
          </cell>
          <cell r="H225">
            <v>0</v>
          </cell>
          <cell r="I225">
            <v>30.75</v>
          </cell>
          <cell r="J225">
            <v>0</v>
          </cell>
          <cell r="K225">
            <v>30.75</v>
          </cell>
          <cell r="L225">
            <v>0</v>
          </cell>
          <cell r="M225">
            <v>30.75</v>
          </cell>
          <cell r="N225">
            <v>0</v>
          </cell>
          <cell r="O225">
            <v>30.75</v>
          </cell>
          <cell r="P225">
            <v>183.73000000000002</v>
          </cell>
        </row>
        <row r="226">
          <cell r="B226" t="str">
            <v>ROLL OFF</v>
          </cell>
          <cell r="D226">
            <v>209504.95000000004</v>
          </cell>
          <cell r="E226">
            <v>185777.19</v>
          </cell>
          <cell r="F226">
            <v>207202.03</v>
          </cell>
          <cell r="G226">
            <v>226626.28000000003</v>
          </cell>
          <cell r="H226">
            <v>213266.64</v>
          </cell>
          <cell r="I226">
            <v>230981.22999999998</v>
          </cell>
          <cell r="J226">
            <v>252666.12000000002</v>
          </cell>
          <cell r="K226">
            <v>231987.7</v>
          </cell>
          <cell r="L226">
            <v>246992.44999999998</v>
          </cell>
          <cell r="M226">
            <v>269034.70999999996</v>
          </cell>
          <cell r="N226">
            <v>221426.36</v>
          </cell>
          <cell r="O226">
            <v>246564.09999999995</v>
          </cell>
          <cell r="P226">
            <v>2742029.76</v>
          </cell>
        </row>
        <row r="227">
          <cell r="B227" t="str">
            <v>ADJ-RO</v>
          </cell>
          <cell r="C227" t="str">
            <v>ADJUSTMENT ROLL OFF</v>
          </cell>
          <cell r="D227">
            <v>2459.0700000000002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-3.69</v>
          </cell>
          <cell r="K227">
            <v>0</v>
          </cell>
          <cell r="L227">
            <v>0</v>
          </cell>
          <cell r="M227">
            <v>-357.27</v>
          </cell>
          <cell r="N227">
            <v>0</v>
          </cell>
          <cell r="O227">
            <v>0</v>
          </cell>
          <cell r="P227">
            <v>2098.11</v>
          </cell>
        </row>
        <row r="228">
          <cell r="B228" t="str">
            <v>DEL-RO</v>
          </cell>
          <cell r="C228" t="str">
            <v>DELIVERY FEE - RO</v>
          </cell>
          <cell r="D228">
            <v>1966.56</v>
          </cell>
          <cell r="E228">
            <v>1728.72</v>
          </cell>
          <cell r="F228">
            <v>2840.04</v>
          </cell>
          <cell r="G228">
            <v>3498.6000000000004</v>
          </cell>
          <cell r="H228">
            <v>3375.12</v>
          </cell>
          <cell r="I228">
            <v>2881.2000000000003</v>
          </cell>
          <cell r="J228">
            <v>2798.88</v>
          </cell>
          <cell r="K228">
            <v>3622.08</v>
          </cell>
          <cell r="L228">
            <v>2881.2</v>
          </cell>
          <cell r="M228">
            <v>3333.96</v>
          </cell>
          <cell r="N228">
            <v>2836.1699999999996</v>
          </cell>
          <cell r="O228">
            <v>1934.5200000000002</v>
          </cell>
          <cell r="P228">
            <v>33697.050000000003</v>
          </cell>
        </row>
        <row r="229">
          <cell r="B229" t="str">
            <v>DISP-RO</v>
          </cell>
          <cell r="C229" t="str">
            <v>DISPOSAL CHARGE - RO</v>
          </cell>
          <cell r="D229">
            <v>84967.07</v>
          </cell>
          <cell r="E229">
            <v>76399.850000000006</v>
          </cell>
          <cell r="F229">
            <v>84985.170000000013</v>
          </cell>
          <cell r="G229">
            <v>94565.09</v>
          </cell>
          <cell r="H229">
            <v>84684.2</v>
          </cell>
          <cell r="I229">
            <v>101140.70999999999</v>
          </cell>
          <cell r="J229">
            <v>111540.26000000001</v>
          </cell>
          <cell r="K229">
            <v>94985.86</v>
          </cell>
          <cell r="L229">
            <v>100833.86000000002</v>
          </cell>
          <cell r="M229">
            <v>114420.93000000001</v>
          </cell>
          <cell r="N229">
            <v>96352.59</v>
          </cell>
          <cell r="O229">
            <v>102847.48999999999</v>
          </cell>
          <cell r="P229">
            <v>1147723.08</v>
          </cell>
        </row>
        <row r="230">
          <cell r="B230" t="str">
            <v>HAUL10-CP</v>
          </cell>
          <cell r="C230" t="str">
            <v>HAUL 10-18YD COMP - RO</v>
          </cell>
          <cell r="D230">
            <v>2565.38</v>
          </cell>
          <cell r="E230">
            <v>2295.34</v>
          </cell>
          <cell r="F230">
            <v>2430.36</v>
          </cell>
          <cell r="G230">
            <v>2565.38</v>
          </cell>
          <cell r="H230">
            <v>2700.4</v>
          </cell>
          <cell r="I230">
            <v>2700.4</v>
          </cell>
          <cell r="J230">
            <v>2565.38</v>
          </cell>
          <cell r="K230">
            <v>2565.38</v>
          </cell>
          <cell r="L230">
            <v>2295.34</v>
          </cell>
          <cell r="M230">
            <v>2700.4</v>
          </cell>
          <cell r="N230">
            <v>1890.28</v>
          </cell>
          <cell r="O230">
            <v>2700.4</v>
          </cell>
          <cell r="P230">
            <v>29974.440000000002</v>
          </cell>
        </row>
        <row r="231">
          <cell r="B231" t="str">
            <v>HAUL20-CP</v>
          </cell>
          <cell r="C231" t="str">
            <v>COMPACTOR HAUL 20 YD - RO</v>
          </cell>
          <cell r="D231">
            <v>2659.4100000000003</v>
          </cell>
          <cell r="E231">
            <v>2248.48</v>
          </cell>
          <cell r="F231">
            <v>2389.0100000000002</v>
          </cell>
          <cell r="G231">
            <v>2529.54</v>
          </cell>
          <cell r="H231">
            <v>2389.0099999999998</v>
          </cell>
          <cell r="I231">
            <v>2327.21</v>
          </cell>
          <cell r="J231">
            <v>2731.8700000000003</v>
          </cell>
          <cell r="K231">
            <v>2670.07</v>
          </cell>
          <cell r="L231">
            <v>2529.54</v>
          </cell>
          <cell r="M231">
            <v>3091.6600000000003</v>
          </cell>
          <cell r="N231">
            <v>2248.48</v>
          </cell>
          <cell r="O231">
            <v>3372.7200000000003</v>
          </cell>
          <cell r="P231">
            <v>31187</v>
          </cell>
        </row>
        <row r="232">
          <cell r="B232" t="str">
            <v>HAUL20REC-RO</v>
          </cell>
          <cell r="C232" t="str">
            <v>HAUL 20 YD RECYCLE - RO</v>
          </cell>
          <cell r="D232">
            <v>0</v>
          </cell>
          <cell r="E232">
            <v>78.73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78.73</v>
          </cell>
        </row>
        <row r="233">
          <cell r="B233" t="str">
            <v>HAUL20-RO</v>
          </cell>
          <cell r="C233" t="str">
            <v>HAUL 20 YD - RO</v>
          </cell>
          <cell r="D233">
            <v>14937.84</v>
          </cell>
          <cell r="E233">
            <v>12370.119999999999</v>
          </cell>
          <cell r="F233">
            <v>14722.509999999998</v>
          </cell>
          <cell r="G233">
            <v>15509.81</v>
          </cell>
          <cell r="H233">
            <v>16533.3</v>
          </cell>
          <cell r="I233">
            <v>14958.7</v>
          </cell>
          <cell r="J233">
            <v>14801.240000000002</v>
          </cell>
          <cell r="K233">
            <v>13620.29</v>
          </cell>
          <cell r="L233">
            <v>13777.75</v>
          </cell>
          <cell r="M233">
            <v>15982.19</v>
          </cell>
          <cell r="N233">
            <v>13157.419999999998</v>
          </cell>
          <cell r="O233">
            <v>14958.700000000003</v>
          </cell>
          <cell r="P233">
            <v>175329.87</v>
          </cell>
        </row>
        <row r="234">
          <cell r="B234" t="str">
            <v>HAUL20TEMP-RO</v>
          </cell>
          <cell r="C234" t="str">
            <v>HAUL 20 YD TEMP - RO</v>
          </cell>
          <cell r="D234">
            <v>1023.49</v>
          </cell>
          <cell r="E234">
            <v>472.38</v>
          </cell>
          <cell r="F234">
            <v>1102.22</v>
          </cell>
          <cell r="G234">
            <v>1495.87</v>
          </cell>
          <cell r="H234">
            <v>1495.87</v>
          </cell>
          <cell r="I234">
            <v>1574.6</v>
          </cell>
          <cell r="J234">
            <v>1810.79</v>
          </cell>
          <cell r="K234">
            <v>2676.8199999999997</v>
          </cell>
          <cell r="L234">
            <v>1810.79</v>
          </cell>
          <cell r="M234">
            <v>2283.17</v>
          </cell>
          <cell r="N234">
            <v>2046.98</v>
          </cell>
          <cell r="O234">
            <v>1417.1399999999999</v>
          </cell>
          <cell r="P234">
            <v>19210.120000000003</v>
          </cell>
        </row>
        <row r="235">
          <cell r="B235" t="str">
            <v>HAUL25-CP</v>
          </cell>
          <cell r="C235" t="str">
            <v>COMPACTOR HAUL 25 YD - RO</v>
          </cell>
          <cell r="D235">
            <v>4304.21</v>
          </cell>
          <cell r="E235">
            <v>3386.46</v>
          </cell>
          <cell r="F235">
            <v>3232.53</v>
          </cell>
          <cell r="G235">
            <v>3694.32</v>
          </cell>
          <cell r="H235">
            <v>3540.39</v>
          </cell>
          <cell r="I235">
            <v>3694.32</v>
          </cell>
          <cell r="J235">
            <v>3386.46</v>
          </cell>
          <cell r="K235">
            <v>3078.6</v>
          </cell>
          <cell r="L235">
            <v>3694.32</v>
          </cell>
          <cell r="M235">
            <v>3848.25</v>
          </cell>
          <cell r="N235">
            <v>2616.81</v>
          </cell>
          <cell r="O235">
            <v>4310.04</v>
          </cell>
          <cell r="P235">
            <v>42786.71</v>
          </cell>
        </row>
        <row r="236">
          <cell r="B236" t="str">
            <v>HAUL30-CP</v>
          </cell>
          <cell r="C236" t="str">
            <v>COMPACTOR HAUL 30 YD - RO</v>
          </cell>
          <cell r="D236">
            <v>1833.6999999999998</v>
          </cell>
          <cell r="E236">
            <v>1667</v>
          </cell>
          <cell r="F236">
            <v>2167.1</v>
          </cell>
          <cell r="G236">
            <v>1667</v>
          </cell>
          <cell r="H236">
            <v>1333.6</v>
          </cell>
          <cell r="I236">
            <v>1500.3</v>
          </cell>
          <cell r="J236">
            <v>2000.4</v>
          </cell>
          <cell r="K236">
            <v>2000.4</v>
          </cell>
          <cell r="L236">
            <v>1176.68</v>
          </cell>
          <cell r="M236">
            <v>1833.7</v>
          </cell>
          <cell r="N236">
            <v>1667</v>
          </cell>
          <cell r="O236">
            <v>1500.3</v>
          </cell>
          <cell r="P236">
            <v>20347.179999999997</v>
          </cell>
        </row>
        <row r="237">
          <cell r="B237" t="str">
            <v>HAUL30REC-RO</v>
          </cell>
          <cell r="C237" t="str">
            <v>HAUL 30 YD RECYCLE - RO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882.86</v>
          </cell>
          <cell r="K237">
            <v>160.52000000000001</v>
          </cell>
          <cell r="L237">
            <v>802.6</v>
          </cell>
          <cell r="M237">
            <v>401.3</v>
          </cell>
          <cell r="N237">
            <v>0</v>
          </cell>
          <cell r="O237">
            <v>561.82000000000005</v>
          </cell>
          <cell r="P237">
            <v>2809.1000000000004</v>
          </cell>
        </row>
        <row r="238">
          <cell r="B238" t="str">
            <v>HAUL30-RO</v>
          </cell>
          <cell r="C238" t="str">
            <v>HAUL 30 YD - RO</v>
          </cell>
          <cell r="D238">
            <v>39403.199999999997</v>
          </cell>
          <cell r="E238">
            <v>33178.239999999998</v>
          </cell>
          <cell r="F238">
            <v>36707.839999999997</v>
          </cell>
          <cell r="G238">
            <v>40046.22</v>
          </cell>
          <cell r="H238">
            <v>36531.360000000001</v>
          </cell>
          <cell r="I238">
            <v>39266.800000000003</v>
          </cell>
          <cell r="J238">
            <v>42708.160000000003</v>
          </cell>
          <cell r="K238">
            <v>39002.080000000002</v>
          </cell>
          <cell r="L238">
            <v>45355.360000000001</v>
          </cell>
          <cell r="M238">
            <v>45534.35</v>
          </cell>
          <cell r="N238">
            <v>37590.240000000005</v>
          </cell>
          <cell r="O238">
            <v>41463.290000000008</v>
          </cell>
          <cell r="P238">
            <v>476787.1399999999</v>
          </cell>
        </row>
        <row r="239">
          <cell r="B239" t="str">
            <v>HAUL30TEMP-RO</v>
          </cell>
          <cell r="C239" t="str">
            <v>HAUL 30 YD TEMP - RO</v>
          </cell>
          <cell r="D239">
            <v>882.4</v>
          </cell>
          <cell r="E239">
            <v>529.43999999999994</v>
          </cell>
          <cell r="F239">
            <v>2382.48</v>
          </cell>
          <cell r="G239">
            <v>2206</v>
          </cell>
          <cell r="H239">
            <v>3176.64</v>
          </cell>
          <cell r="I239">
            <v>2911.92</v>
          </cell>
          <cell r="J239">
            <v>3617.84</v>
          </cell>
          <cell r="K239">
            <v>4764.96</v>
          </cell>
          <cell r="L239">
            <v>5464.2000000000007</v>
          </cell>
          <cell r="M239">
            <v>4059.04</v>
          </cell>
          <cell r="N239">
            <v>3088.3999999999996</v>
          </cell>
          <cell r="O239">
            <v>3441.36</v>
          </cell>
          <cell r="P239">
            <v>36524.68</v>
          </cell>
        </row>
        <row r="240">
          <cell r="B240" t="str">
            <v>HAUL35-CP</v>
          </cell>
          <cell r="C240" t="str">
            <v>COMPACTOR HAUL 35 YD - RO</v>
          </cell>
          <cell r="D240">
            <v>794.72</v>
          </cell>
          <cell r="E240">
            <v>596.04</v>
          </cell>
          <cell r="F240">
            <v>397.36</v>
          </cell>
          <cell r="G240">
            <v>596.04</v>
          </cell>
          <cell r="H240">
            <v>596.04</v>
          </cell>
          <cell r="I240">
            <v>397.36</v>
          </cell>
          <cell r="J240">
            <v>596.04</v>
          </cell>
          <cell r="K240">
            <v>596.04</v>
          </cell>
          <cell r="L240">
            <v>397.36</v>
          </cell>
          <cell r="M240">
            <v>596.04</v>
          </cell>
          <cell r="N240">
            <v>1390.76</v>
          </cell>
          <cell r="O240">
            <v>794.72</v>
          </cell>
          <cell r="P240">
            <v>7748.5199999999995</v>
          </cell>
        </row>
        <row r="241">
          <cell r="B241" t="str">
            <v>HAUL36-CP</v>
          </cell>
          <cell r="C241" t="str">
            <v>HAUL 36YD COMP - RO</v>
          </cell>
          <cell r="D241">
            <v>198.68</v>
          </cell>
          <cell r="E241">
            <v>198.68</v>
          </cell>
          <cell r="F241">
            <v>0</v>
          </cell>
          <cell r="G241">
            <v>0</v>
          </cell>
          <cell r="H241">
            <v>0</v>
          </cell>
          <cell r="I241">
            <v>198.68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198.68</v>
          </cell>
          <cell r="O241">
            <v>0</v>
          </cell>
          <cell r="P241">
            <v>794.72</v>
          </cell>
        </row>
        <row r="242">
          <cell r="B242" t="str">
            <v>HAUL40-CP</v>
          </cell>
          <cell r="C242" t="str">
            <v>COMPACTOR HAUL 40 YD - RO</v>
          </cell>
          <cell r="D242">
            <v>3568.71</v>
          </cell>
          <cell r="E242">
            <v>3178.88</v>
          </cell>
          <cell r="F242">
            <v>3774.92</v>
          </cell>
          <cell r="G242">
            <v>3973.6</v>
          </cell>
          <cell r="H242">
            <v>3774.92</v>
          </cell>
          <cell r="I242">
            <v>3973.6</v>
          </cell>
          <cell r="J242">
            <v>3774.92</v>
          </cell>
          <cell r="K242">
            <v>4172.28</v>
          </cell>
          <cell r="L242">
            <v>3377.56</v>
          </cell>
          <cell r="M242">
            <v>4370.96</v>
          </cell>
          <cell r="N242">
            <v>3377.56</v>
          </cell>
          <cell r="O242">
            <v>3774.92</v>
          </cell>
          <cell r="P242">
            <v>45092.829999999987</v>
          </cell>
        </row>
        <row r="243">
          <cell r="B243" t="str">
            <v>HAUL40-RO</v>
          </cell>
          <cell r="C243" t="str">
            <v>HAUL 40 YD - RO</v>
          </cell>
          <cell r="D243">
            <v>19297.66</v>
          </cell>
          <cell r="E243">
            <v>18438.2</v>
          </cell>
          <cell r="F243">
            <v>18546.66</v>
          </cell>
          <cell r="G243">
            <v>18872.04</v>
          </cell>
          <cell r="H243">
            <v>19631.22</v>
          </cell>
          <cell r="I243">
            <v>18754.900000000001</v>
          </cell>
          <cell r="J243">
            <v>21583.54</v>
          </cell>
          <cell r="K243">
            <v>19305.879999999997</v>
          </cell>
          <cell r="L243">
            <v>19048.519999999997</v>
          </cell>
          <cell r="M243">
            <v>22125.78</v>
          </cell>
          <cell r="N243">
            <v>16377.46</v>
          </cell>
          <cell r="O243">
            <v>20715.859999999997</v>
          </cell>
          <cell r="P243">
            <v>232697.71999999997</v>
          </cell>
        </row>
        <row r="244">
          <cell r="B244" t="str">
            <v>HAUL40TEMP-RO</v>
          </cell>
          <cell r="C244" t="str">
            <v>HAUL 40 YD TEMP - RO</v>
          </cell>
          <cell r="D244">
            <v>216.92</v>
          </cell>
          <cell r="E244">
            <v>542.29999999999995</v>
          </cell>
          <cell r="F244">
            <v>759.21999999999991</v>
          </cell>
          <cell r="G244">
            <v>3358.15</v>
          </cell>
          <cell r="H244">
            <v>1409.98</v>
          </cell>
          <cell r="I244">
            <v>1952.2800000000002</v>
          </cell>
          <cell r="J244">
            <v>1518.44</v>
          </cell>
          <cell r="K244">
            <v>1518.44</v>
          </cell>
          <cell r="L244">
            <v>2060.7399999999998</v>
          </cell>
          <cell r="M244">
            <v>1952.28</v>
          </cell>
          <cell r="N244">
            <v>2928.42</v>
          </cell>
          <cell r="O244">
            <v>1952.28</v>
          </cell>
          <cell r="P244">
            <v>20169.45</v>
          </cell>
        </row>
        <row r="245">
          <cell r="B245" t="str">
            <v>HAUL50-RO</v>
          </cell>
          <cell r="C245" t="str">
            <v>HAUL 50 YD - RO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1301.52</v>
          </cell>
          <cell r="K245">
            <v>325.38</v>
          </cell>
          <cell r="L245">
            <v>1193.06</v>
          </cell>
          <cell r="M245">
            <v>2603.04</v>
          </cell>
          <cell r="N245">
            <v>0</v>
          </cell>
          <cell r="O245">
            <v>3253.8</v>
          </cell>
          <cell r="P245">
            <v>8676.7999999999993</v>
          </cell>
        </row>
        <row r="246">
          <cell r="B246" t="str">
            <v>MILE-RO</v>
          </cell>
          <cell r="C246" t="str">
            <v>MILEAGE FEE - RO</v>
          </cell>
          <cell r="D246">
            <v>3933.82</v>
          </cell>
          <cell r="E246">
            <v>3370.86</v>
          </cell>
          <cell r="F246">
            <v>3800.6600000000003</v>
          </cell>
          <cell r="G246">
            <v>3997.1400000000003</v>
          </cell>
          <cell r="H246">
            <v>3730.05</v>
          </cell>
          <cell r="I246">
            <v>4261.03</v>
          </cell>
          <cell r="J246">
            <v>6618.92</v>
          </cell>
          <cell r="K246">
            <v>5398.61</v>
          </cell>
          <cell r="L246">
            <v>6425.5099999999993</v>
          </cell>
          <cell r="M246">
            <v>7315.81</v>
          </cell>
          <cell r="N246">
            <v>5206.72</v>
          </cell>
          <cell r="O246">
            <v>5506.26</v>
          </cell>
          <cell r="P246">
            <v>59565.39</v>
          </cell>
        </row>
        <row r="247">
          <cell r="B247" t="str">
            <v>RENT20DAY-RO</v>
          </cell>
          <cell r="C247" t="str">
            <v>RENTAL FEE 20 YD DAILY</v>
          </cell>
          <cell r="D247">
            <v>4132.0999999999995</v>
          </cell>
          <cell r="E247">
            <v>4947.2499999999991</v>
          </cell>
          <cell r="F247">
            <v>5632.55</v>
          </cell>
          <cell r="G247">
            <v>6471.8499999999995</v>
          </cell>
          <cell r="H247">
            <v>6310.1500000000005</v>
          </cell>
          <cell r="I247">
            <v>5828.9000000000005</v>
          </cell>
          <cell r="J247">
            <v>5251.29</v>
          </cell>
          <cell r="K247">
            <v>6032.95</v>
          </cell>
          <cell r="L247">
            <v>5917.0000000000009</v>
          </cell>
          <cell r="M247">
            <v>6402.5500000000011</v>
          </cell>
          <cell r="N247">
            <v>6860.7</v>
          </cell>
          <cell r="O247">
            <v>6248.55</v>
          </cell>
          <cell r="P247">
            <v>70035.839999999997</v>
          </cell>
        </row>
        <row r="248">
          <cell r="B248" t="str">
            <v>RENT20MO-RO</v>
          </cell>
          <cell r="C248" t="str">
            <v>RENTAL FEE 20 YD MONTHLY</v>
          </cell>
          <cell r="D248">
            <v>2529.4299999999998</v>
          </cell>
          <cell r="E248">
            <v>2524.71</v>
          </cell>
          <cell r="F248">
            <v>2488.12</v>
          </cell>
          <cell r="G248">
            <v>2488.12</v>
          </cell>
          <cell r="H248">
            <v>2420.84</v>
          </cell>
          <cell r="I248">
            <v>2412.5100000000002</v>
          </cell>
          <cell r="J248">
            <v>2333.5</v>
          </cell>
          <cell r="K248">
            <v>2231.9899999999998</v>
          </cell>
          <cell r="L248">
            <v>2266.1400000000003</v>
          </cell>
          <cell r="M248">
            <v>2222.5500000000002</v>
          </cell>
          <cell r="N248">
            <v>2268.58</v>
          </cell>
          <cell r="O248">
            <v>2270.9400000000005</v>
          </cell>
          <cell r="P248">
            <v>28457.43</v>
          </cell>
        </row>
        <row r="249">
          <cell r="B249" t="str">
            <v>RENT30DAY-RO</v>
          </cell>
          <cell r="C249" t="str">
            <v>RENTAL FEE 30 YD DAILY</v>
          </cell>
          <cell r="D249">
            <v>9389.0400000000009</v>
          </cell>
          <cell r="E249">
            <v>9493.92</v>
          </cell>
          <cell r="F249">
            <v>10661.279999999999</v>
          </cell>
          <cell r="G249">
            <v>11071.68</v>
          </cell>
          <cell r="H249">
            <v>11837.76</v>
          </cell>
          <cell r="I249">
            <v>12997.8</v>
          </cell>
          <cell r="J249">
            <v>12476.16</v>
          </cell>
          <cell r="K249">
            <v>13597.380000000001</v>
          </cell>
          <cell r="L249">
            <v>13675.579999999996</v>
          </cell>
          <cell r="M249">
            <v>13456.559999999998</v>
          </cell>
          <cell r="N249">
            <v>12415.57</v>
          </cell>
          <cell r="O249">
            <v>13274.159999999998</v>
          </cell>
          <cell r="P249">
            <v>144346.89000000001</v>
          </cell>
        </row>
        <row r="250">
          <cell r="B250" t="str">
            <v>RENT30MO-RO</v>
          </cell>
          <cell r="C250" t="str">
            <v>RENTAL FEE 30 YD MONTHLY</v>
          </cell>
          <cell r="D250">
            <v>3401.21</v>
          </cell>
          <cell r="E250">
            <v>3413.6</v>
          </cell>
          <cell r="F250">
            <v>3413.6</v>
          </cell>
          <cell r="G250">
            <v>3380.89</v>
          </cell>
          <cell r="H250">
            <v>3370.93</v>
          </cell>
          <cell r="I250">
            <v>3413.6</v>
          </cell>
          <cell r="J250">
            <v>3498.94</v>
          </cell>
          <cell r="K250">
            <v>3541.6099999999997</v>
          </cell>
          <cell r="L250">
            <v>6016.47</v>
          </cell>
          <cell r="M250">
            <v>6016.47</v>
          </cell>
          <cell r="N250">
            <v>2297.0700000000002</v>
          </cell>
          <cell r="O250">
            <v>4774.13</v>
          </cell>
          <cell r="P250">
            <v>46538.52</v>
          </cell>
        </row>
        <row r="251">
          <cell r="B251" t="str">
            <v>RENT40DAY-RO</v>
          </cell>
          <cell r="C251" t="str">
            <v>RENTAL FEE 40 YD DAILY</v>
          </cell>
          <cell r="D251">
            <v>2736.7599999999998</v>
          </cell>
          <cell r="E251">
            <v>3062.8</v>
          </cell>
          <cell r="F251">
            <v>3206.0600000000004</v>
          </cell>
          <cell r="G251">
            <v>2880.0200000000004</v>
          </cell>
          <cell r="H251">
            <v>3033.16</v>
          </cell>
          <cell r="I251">
            <v>1906.84</v>
          </cell>
          <cell r="J251">
            <v>3092.44</v>
          </cell>
          <cell r="K251">
            <v>3774.1600000000003</v>
          </cell>
          <cell r="L251">
            <v>3788.98</v>
          </cell>
          <cell r="M251">
            <v>3477.76</v>
          </cell>
          <cell r="N251">
            <v>3230.7599999999998</v>
          </cell>
          <cell r="O251">
            <v>3527.16</v>
          </cell>
          <cell r="P251">
            <v>37716.899999999994</v>
          </cell>
        </row>
        <row r="252">
          <cell r="B252" t="str">
            <v>RENT40MO-RO</v>
          </cell>
          <cell r="C252" t="str">
            <v>RENTAL FEE 40 YD MONTHLY</v>
          </cell>
          <cell r="D252">
            <v>876.60000000000014</v>
          </cell>
          <cell r="E252">
            <v>876.60000000000014</v>
          </cell>
          <cell r="F252">
            <v>876.60000000000014</v>
          </cell>
          <cell r="G252">
            <v>920.43000000000006</v>
          </cell>
          <cell r="H252">
            <v>925.3</v>
          </cell>
          <cell r="I252">
            <v>925.3</v>
          </cell>
          <cell r="J252">
            <v>925.3</v>
          </cell>
          <cell r="K252">
            <v>925.3</v>
          </cell>
          <cell r="L252">
            <v>891.21</v>
          </cell>
          <cell r="M252">
            <v>876.60000000000014</v>
          </cell>
          <cell r="N252">
            <v>886.34000000000015</v>
          </cell>
          <cell r="O252">
            <v>925.3</v>
          </cell>
          <cell r="P252">
            <v>10830.880000000001</v>
          </cell>
        </row>
        <row r="253">
          <cell r="B253" t="str">
            <v>STGRNT</v>
          </cell>
          <cell r="C253" t="str">
            <v>STORAGE CONTAINER RENT</v>
          </cell>
          <cell r="D253">
            <v>1385.5700000000002</v>
          </cell>
          <cell r="E253">
            <v>510</v>
          </cell>
          <cell r="F253">
            <v>425</v>
          </cell>
          <cell r="G253">
            <v>425</v>
          </cell>
          <cell r="H253">
            <v>425</v>
          </cell>
          <cell r="I253">
            <v>481.7</v>
          </cell>
          <cell r="J253">
            <v>359.94</v>
          </cell>
          <cell r="K253">
            <v>300</v>
          </cell>
          <cell r="L253">
            <v>300</v>
          </cell>
          <cell r="M253">
            <v>300</v>
          </cell>
          <cell r="N253">
            <v>222.31</v>
          </cell>
          <cell r="O253">
            <v>200</v>
          </cell>
          <cell r="P253">
            <v>5334.52</v>
          </cell>
        </row>
        <row r="254">
          <cell r="B254" t="str">
            <v>TIME-RO</v>
          </cell>
          <cell r="C254" t="str">
            <v>TIME FEE - RO</v>
          </cell>
          <cell r="D254">
            <v>41.400000000000006</v>
          </cell>
          <cell r="E254">
            <v>268.58999999999997</v>
          </cell>
          <cell r="F254">
            <v>260.74</v>
          </cell>
          <cell r="G254">
            <v>413.49</v>
          </cell>
          <cell r="H254">
            <v>41.4</v>
          </cell>
          <cell r="I254">
            <v>520.56999999999994</v>
          </cell>
          <cell r="J254">
            <v>494.72</v>
          </cell>
          <cell r="K254">
            <v>1120.6200000000001</v>
          </cell>
          <cell r="L254">
            <v>1012.68</v>
          </cell>
          <cell r="M254">
            <v>186.63</v>
          </cell>
          <cell r="N254">
            <v>271.06</v>
          </cell>
          <cell r="O254">
            <v>838.24</v>
          </cell>
          <cell r="P254">
            <v>5470.14</v>
          </cell>
        </row>
        <row r="255">
          <cell r="B255" t="str">
            <v>SURC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YFUEL-RENT</v>
          </cell>
          <cell r="C256" t="str">
            <v>FUEL &amp; MATERIAL SURCHARGE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B257" t="str">
            <v>YFUEL-SERVICE</v>
          </cell>
          <cell r="C257" t="str">
            <v>FUEL &amp; MATERIAL SURCHARGE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</sheetData>
      <sheetData sheetId="12"/>
      <sheetData sheetId="13"/>
      <sheetData sheetId="14"/>
      <sheetData sheetId="15">
        <row r="4">
          <cell r="B4" t="str">
            <v>ACCOUNTING</v>
          </cell>
          <cell r="C4" t="str">
            <v>Code ID</v>
          </cell>
          <cell r="D4" t="str">
            <v>Billcycle</v>
          </cell>
        </row>
        <row r="5">
          <cell r="B5" t="str">
            <v>ADD32GLCOM1W</v>
          </cell>
          <cell r="C5" t="str">
            <v>ADDTL 32 GL 1X WK COMM</v>
          </cell>
          <cell r="D5">
            <v>1.75</v>
          </cell>
        </row>
        <row r="6">
          <cell r="B6" t="str">
            <v>CLEAN10-RO</v>
          </cell>
          <cell r="C6" t="str">
            <v>CLEANING FEE 10 YD - RO</v>
          </cell>
          <cell r="D6">
            <v>50.4</v>
          </cell>
        </row>
        <row r="7">
          <cell r="B7" t="str">
            <v>CLEAN20-RO</v>
          </cell>
          <cell r="C7" t="str">
            <v>CLEANING FEE 20 YD - RO</v>
          </cell>
          <cell r="D7">
            <v>100.8</v>
          </cell>
        </row>
        <row r="8">
          <cell r="B8" t="str">
            <v>CLEAN30-RO</v>
          </cell>
          <cell r="C8" t="str">
            <v>CLEANING FEE 30 YD - RO</v>
          </cell>
          <cell r="D8">
            <v>151.19999999999999</v>
          </cell>
        </row>
        <row r="9">
          <cell r="B9" t="str">
            <v>CLEAN40-RO</v>
          </cell>
          <cell r="C9" t="str">
            <v>CLEANING FEE 40 YD - RO</v>
          </cell>
          <cell r="D9">
            <v>201.6</v>
          </cell>
        </row>
        <row r="10">
          <cell r="B10" t="str">
            <v>CLEAN50-RO</v>
          </cell>
          <cell r="C10" t="str">
            <v>CLEANING FEE 50 YD - RO</v>
          </cell>
          <cell r="D10">
            <v>252</v>
          </cell>
        </row>
        <row r="11">
          <cell r="B11" t="str">
            <v>CLEAN8-COMM</v>
          </cell>
          <cell r="C11" t="str">
            <v>CLEANING FEE 8 YD - COMM</v>
          </cell>
          <cell r="D11">
            <v>40.32</v>
          </cell>
        </row>
        <row r="12">
          <cell r="B12" t="str">
            <v>CLEAN-COMM</v>
          </cell>
          <cell r="C12" t="str">
            <v>CONT CLEANING FEE - COMM</v>
          </cell>
          <cell r="D12">
            <v>30.24</v>
          </cell>
        </row>
        <row r="13">
          <cell r="B13" t="str">
            <v>COMMERCIAL</v>
          </cell>
          <cell r="C13" t="str">
            <v>Code ID</v>
          </cell>
          <cell r="D13" t="str">
            <v>Billcycle</v>
          </cell>
        </row>
        <row r="14">
          <cell r="B14" t="str">
            <v>DEL1.5-COMM</v>
          </cell>
          <cell r="C14" t="str">
            <v>DELIVERY FEE 1.5YD - COMM</v>
          </cell>
          <cell r="D14">
            <v>18</v>
          </cell>
        </row>
        <row r="15">
          <cell r="B15" t="str">
            <v>DEL3-COMM</v>
          </cell>
          <cell r="C15" t="str">
            <v>DELIVERY FEE 3YD - COMM</v>
          </cell>
          <cell r="D15">
            <v>22.19</v>
          </cell>
        </row>
        <row r="16">
          <cell r="B16" t="str">
            <v>DEL4-COMM</v>
          </cell>
          <cell r="C16" t="str">
            <v>DELIVERY FEE 4YD - COMM</v>
          </cell>
          <cell r="D16">
            <v>22.19</v>
          </cell>
        </row>
        <row r="17">
          <cell r="B17" t="str">
            <v>DEL6-COMM</v>
          </cell>
          <cell r="C17" t="str">
            <v>DELIVERY FEE 6YD - COMM</v>
          </cell>
          <cell r="D17">
            <v>25.79</v>
          </cell>
        </row>
        <row r="18">
          <cell r="B18" t="str">
            <v>DEL-RO</v>
          </cell>
          <cell r="C18" t="str">
            <v>DELIVERY FEE - RO</v>
          </cell>
          <cell r="D18">
            <v>41.16</v>
          </cell>
        </row>
        <row r="19">
          <cell r="B19" t="str">
            <v>DISP-RO</v>
          </cell>
          <cell r="C19" t="str">
            <v>DISPOSAL CHARGE - RO</v>
          </cell>
          <cell r="D19">
            <v>30.89</v>
          </cell>
        </row>
        <row r="20">
          <cell r="B20" t="str">
            <v>DRIVE-IN RES MTHLY</v>
          </cell>
          <cell r="C20" t="str">
            <v>DRIVE-IN SERVICE RES MONTHLY</v>
          </cell>
          <cell r="D20">
            <v>1.58</v>
          </cell>
        </row>
        <row r="21">
          <cell r="B21" t="str">
            <v>DRIVEIN-COMM</v>
          </cell>
          <cell r="C21" t="str">
            <v>DRIVE IN SERVICE-COMM</v>
          </cell>
          <cell r="D21">
            <v>3.42</v>
          </cell>
        </row>
        <row r="22">
          <cell r="B22" t="str">
            <v>DRIVEINEOW-RES</v>
          </cell>
          <cell r="C22" t="str">
            <v>DRIVE IN EOW CHARGE</v>
          </cell>
          <cell r="D22">
            <v>3.42</v>
          </cell>
        </row>
        <row r="23">
          <cell r="B23" t="str">
            <v>DRIVEIN-RES</v>
          </cell>
          <cell r="C23" t="str">
            <v>DRIVE IN SERVICE - RES</v>
          </cell>
          <cell r="D23">
            <v>6.84</v>
          </cell>
        </row>
        <row r="24">
          <cell r="B24" t="str">
            <v>EP1.5-COMM</v>
          </cell>
          <cell r="C24" t="str">
            <v>EXTRA PICK UP 1.5 YD - CO</v>
          </cell>
          <cell r="D24">
            <v>10.039999999999999</v>
          </cell>
        </row>
        <row r="25">
          <cell r="B25" t="str">
            <v>EP3-COMM</v>
          </cell>
          <cell r="C25" t="str">
            <v>EXTRA PICK UP 3 YD - COMM</v>
          </cell>
          <cell r="D25">
            <v>16.2</v>
          </cell>
        </row>
        <row r="26">
          <cell r="B26" t="str">
            <v>EP4-COMM</v>
          </cell>
          <cell r="C26" t="str">
            <v>EXTRA PICK UP 4 YD - COMM</v>
          </cell>
          <cell r="D26">
            <v>19.5</v>
          </cell>
        </row>
        <row r="27">
          <cell r="B27" t="str">
            <v>EP6-COMM</v>
          </cell>
          <cell r="C27" t="str">
            <v>EXTRA PICK UP 6 YD - COMM</v>
          </cell>
          <cell r="D27">
            <v>26.6</v>
          </cell>
        </row>
        <row r="28">
          <cell r="B28" t="str">
            <v>EXTRA1TO4YD-COMM</v>
          </cell>
          <cell r="C28" t="str">
            <v>EXTRA PU 1 TO 4YD - COMM</v>
          </cell>
          <cell r="D28">
            <v>6.92</v>
          </cell>
        </row>
        <row r="29">
          <cell r="B29" t="str">
            <v>EXTRA5OVERYD-COMM</v>
          </cell>
          <cell r="C29" t="str">
            <v>EXTRA PU 5YD OVER - COMM</v>
          </cell>
          <cell r="D29">
            <v>6.22</v>
          </cell>
        </row>
        <row r="30">
          <cell r="B30" t="str">
            <v>EXTRA-COMM</v>
          </cell>
          <cell r="C30" t="str">
            <v>EXTRA CAN, BAG, BOX-COMM</v>
          </cell>
          <cell r="D30">
            <v>2.08</v>
          </cell>
        </row>
        <row r="31">
          <cell r="B31" t="str">
            <v>EXTRA-RES</v>
          </cell>
          <cell r="C31" t="str">
            <v>EXTRA CAN, BAG, BOX-RES</v>
          </cell>
          <cell r="D31">
            <v>2.0299999999999998</v>
          </cell>
        </row>
        <row r="32">
          <cell r="B32" t="str">
            <v>FL004.0Y1W001CMP</v>
          </cell>
          <cell r="C32" t="str">
            <v>FL 4 YD 1X WK COMP 1</v>
          </cell>
          <cell r="D32">
            <v>41.52</v>
          </cell>
        </row>
        <row r="33">
          <cell r="B33" t="str">
            <v>FL006.0Y1W001</v>
          </cell>
          <cell r="C33" t="str">
            <v>FL 6 YD 1X WK 1</v>
          </cell>
          <cell r="D33">
            <v>94</v>
          </cell>
        </row>
        <row r="34">
          <cell r="B34" t="str">
            <v>FL008.0Y3W001</v>
          </cell>
          <cell r="C34" t="str">
            <v>FL 8 YD 3X WK 1</v>
          </cell>
          <cell r="D34">
            <v>381.91</v>
          </cell>
        </row>
        <row r="35">
          <cell r="B35" t="str">
            <v>FL008.0Y4W001</v>
          </cell>
          <cell r="C35" t="str">
            <v>FL 8 YD 4X WK 1</v>
          </cell>
          <cell r="D35">
            <v>509.21</v>
          </cell>
        </row>
        <row r="36">
          <cell r="B36" t="str">
            <v>FL008.0Y5W001</v>
          </cell>
          <cell r="C36" t="str">
            <v>FL 8 YD 5X WK 1</v>
          </cell>
          <cell r="D36">
            <v>636.51</v>
          </cell>
        </row>
        <row r="37">
          <cell r="B37" t="str">
            <v>FL1.5TC-COMM</v>
          </cell>
          <cell r="C37" t="str">
            <v>FL 1.5 YD TEMP - COMM</v>
          </cell>
          <cell r="D37">
            <v>9.52</v>
          </cell>
        </row>
        <row r="38">
          <cell r="B38" t="str">
            <v>FL3TC-COMM</v>
          </cell>
          <cell r="C38" t="str">
            <v>FL 3 YD TEMP - COMM</v>
          </cell>
          <cell r="D38">
            <v>17.5</v>
          </cell>
        </row>
        <row r="39">
          <cell r="B39" t="str">
            <v>FL4TC-COMM</v>
          </cell>
          <cell r="C39" t="str">
            <v>FL 4 YD TEMP - COMM</v>
          </cell>
          <cell r="D39">
            <v>22.75</v>
          </cell>
        </row>
        <row r="40">
          <cell r="B40" t="str">
            <v>FL6TC-COMM</v>
          </cell>
          <cell r="C40" t="str">
            <v>FL 6 YD TEMP - COMM</v>
          </cell>
          <cell r="D40">
            <v>27.08</v>
          </cell>
        </row>
        <row r="41">
          <cell r="B41" t="str">
            <v>GRANGER</v>
          </cell>
          <cell r="C41" t="str">
            <v>(blank)</v>
          </cell>
          <cell r="D41" t="str">
            <v>(blank)</v>
          </cell>
        </row>
        <row r="42">
          <cell r="B42" t="str">
            <v>HAUL10-CP</v>
          </cell>
          <cell r="C42" t="str">
            <v>HAUL 10-18YD COMP - RO</v>
          </cell>
          <cell r="D42">
            <v>135.02000000000001</v>
          </cell>
        </row>
        <row r="43">
          <cell r="B43" t="str">
            <v>HAUL20-CP</v>
          </cell>
          <cell r="C43" t="str">
            <v>COMPACTOR HAUL 20 YD - RO</v>
          </cell>
          <cell r="D43">
            <v>140.53</v>
          </cell>
        </row>
        <row r="44">
          <cell r="B44" t="str">
            <v>HAUL20-RO</v>
          </cell>
          <cell r="C44" t="str">
            <v>HAUL 20 YD - RO</v>
          </cell>
          <cell r="D44">
            <v>78.73</v>
          </cell>
        </row>
        <row r="45">
          <cell r="B45" t="str">
            <v>HAUL20TEMP-RO</v>
          </cell>
          <cell r="C45" t="str">
            <v>HAUL 20 YD TEMP - RO</v>
          </cell>
          <cell r="D45">
            <v>78.73</v>
          </cell>
        </row>
        <row r="46">
          <cell r="B46" t="str">
            <v>HAUL25-CP</v>
          </cell>
          <cell r="C46" t="str">
            <v>COMPACTOR HAUL 25 YD - RO</v>
          </cell>
          <cell r="D46">
            <v>153.93</v>
          </cell>
        </row>
        <row r="47">
          <cell r="B47" t="str">
            <v>HAUL30-CP</v>
          </cell>
          <cell r="C47" t="str">
            <v>COMPACTOR HAUL 30 YD - RO</v>
          </cell>
          <cell r="D47">
            <v>166.7</v>
          </cell>
        </row>
        <row r="48">
          <cell r="B48" t="str">
            <v>HAUL30-RO</v>
          </cell>
          <cell r="C48" t="str">
            <v>HAUL 30 YD - RO</v>
          </cell>
          <cell r="D48">
            <v>88.24</v>
          </cell>
        </row>
        <row r="49">
          <cell r="B49" t="str">
            <v>HAUL30TEMP-RO</v>
          </cell>
          <cell r="C49" t="str">
            <v>HAUL 30 YD TEMP - RO</v>
          </cell>
          <cell r="D49">
            <v>88.24</v>
          </cell>
        </row>
        <row r="50">
          <cell r="B50" t="str">
            <v>HAUL35-CP</v>
          </cell>
          <cell r="C50" t="str">
            <v>COMPACTOR HAUL 35 YD - RO</v>
          </cell>
          <cell r="D50">
            <v>198.68</v>
          </cell>
        </row>
        <row r="51">
          <cell r="B51" t="str">
            <v>HAUL36-CP</v>
          </cell>
          <cell r="C51" t="str">
            <v>HAUL 36YD COMP - RO</v>
          </cell>
          <cell r="D51">
            <v>198.68</v>
          </cell>
        </row>
        <row r="52">
          <cell r="B52" t="str">
            <v>HAUL40-CP</v>
          </cell>
          <cell r="C52" t="str">
            <v>COMPACTOR HAUL 40 YD - RO</v>
          </cell>
          <cell r="D52">
            <v>198.68</v>
          </cell>
        </row>
        <row r="53">
          <cell r="B53" t="str">
            <v>HAUL40-RO</v>
          </cell>
          <cell r="C53" t="str">
            <v>HAUL 40 YD - RO</v>
          </cell>
          <cell r="D53">
            <v>108.46</v>
          </cell>
        </row>
        <row r="54">
          <cell r="B54" t="str">
            <v>HAUL40TEMP-RO</v>
          </cell>
          <cell r="C54" t="str">
            <v>HAUL 40 YD TEMP - RO</v>
          </cell>
          <cell r="D54">
            <v>108.46</v>
          </cell>
        </row>
        <row r="55">
          <cell r="B55" t="str">
            <v>HAUL50-RO</v>
          </cell>
          <cell r="C55" t="str">
            <v>HAUL 50 YD - RO</v>
          </cell>
          <cell r="D55">
            <v>108.46</v>
          </cell>
        </row>
        <row r="56">
          <cell r="B56" t="str">
            <v>HAUL50TEMP-RO</v>
          </cell>
          <cell r="C56" t="str">
            <v>HAUL 50 YD TEMP - RO</v>
          </cell>
          <cell r="D56">
            <v>108.46</v>
          </cell>
        </row>
        <row r="57">
          <cell r="B57" t="str">
            <v>MILE-RO</v>
          </cell>
          <cell r="C57" t="str">
            <v>MILEAGE FEE - RO</v>
          </cell>
          <cell r="D57">
            <v>3.07</v>
          </cell>
        </row>
        <row r="58">
          <cell r="B58" t="str">
            <v>OS-RES</v>
          </cell>
          <cell r="C58" t="str">
            <v>OVERSIZE CAN - RES</v>
          </cell>
          <cell r="D58">
            <v>1.72</v>
          </cell>
        </row>
        <row r="59">
          <cell r="B59" t="str">
            <v>PUREDEL1-COMM</v>
          </cell>
          <cell r="C59" t="str">
            <v>PU/REDEL UP TO 8 YDS - COMM</v>
          </cell>
          <cell r="D59">
            <v>21.52</v>
          </cell>
        </row>
        <row r="60">
          <cell r="B60" t="str">
            <v>PUREDEL1-RO</v>
          </cell>
          <cell r="C60" t="str">
            <v>PU/REDEL OVER 8 YDS - RO</v>
          </cell>
          <cell r="D60">
            <v>34.35</v>
          </cell>
        </row>
        <row r="61">
          <cell r="B61" t="str">
            <v>REDEL1.5-COMM</v>
          </cell>
          <cell r="C61" t="str">
            <v>REDELIVERY FEE 1.5 YD - COMM</v>
          </cell>
          <cell r="D61">
            <v>18</v>
          </cell>
        </row>
        <row r="62">
          <cell r="B62" t="str">
            <v>REDEL3-COMM</v>
          </cell>
          <cell r="C62" t="str">
            <v>REDELIVERY FEE 3 YD - COMM</v>
          </cell>
          <cell r="D62">
            <v>22.19</v>
          </cell>
        </row>
        <row r="63">
          <cell r="B63" t="str">
            <v>REDEL4-COMM</v>
          </cell>
          <cell r="C63" t="str">
            <v>REDELIVERY FEE 4 YD - COMM</v>
          </cell>
          <cell r="D63">
            <v>22.19</v>
          </cell>
        </row>
        <row r="64">
          <cell r="B64" t="str">
            <v>REDEL6-COMM</v>
          </cell>
          <cell r="C64" t="str">
            <v>REDELIVERY FEE 6 YD - COMM</v>
          </cell>
          <cell r="D64">
            <v>25.79</v>
          </cell>
        </row>
        <row r="65">
          <cell r="B65" t="str">
            <v>REDEL-RES</v>
          </cell>
          <cell r="C65" t="str">
            <v>REDELIVERY FEE - RES</v>
          </cell>
          <cell r="D65">
            <v>14.78</v>
          </cell>
        </row>
        <row r="66">
          <cell r="B66" t="str">
            <v>REINSTATE-COMM</v>
          </cell>
          <cell r="C66" t="str">
            <v>REINSTATE FEE - COMM</v>
          </cell>
          <cell r="D66">
            <v>11.43</v>
          </cell>
        </row>
        <row r="67">
          <cell r="B67" t="str">
            <v>REINSTATE-RES</v>
          </cell>
          <cell r="C67" t="str">
            <v>REINSTATE FEE - RES</v>
          </cell>
          <cell r="D67">
            <v>11.43</v>
          </cell>
        </row>
        <row r="68">
          <cell r="B68" t="str">
            <v>RENT1.5-COMM</v>
          </cell>
          <cell r="C68" t="str">
            <v>RENTAL FEE 1.5 YD COMM</v>
          </cell>
          <cell r="D68">
            <v>9.7200000000000006</v>
          </cell>
        </row>
        <row r="69">
          <cell r="B69" t="str">
            <v>RENT1.5TEMP-COMM</v>
          </cell>
          <cell r="C69" t="str">
            <v>RENTAL FEE 1.5 YD TEMP -</v>
          </cell>
          <cell r="D69">
            <v>0.36</v>
          </cell>
        </row>
        <row r="70">
          <cell r="B70" t="str">
            <v>RENT20DAY-RO</v>
          </cell>
          <cell r="C70" t="str">
            <v>RENTAL FEE 20 YD DAILY</v>
          </cell>
          <cell r="D70">
            <v>3.85</v>
          </cell>
        </row>
        <row r="71">
          <cell r="B71" t="str">
            <v>RENT20MO-RO</v>
          </cell>
          <cell r="C71" t="str">
            <v>RENTAL FEE 20 YD MONTHLY</v>
          </cell>
          <cell r="D71">
            <v>36.590000000000003</v>
          </cell>
        </row>
        <row r="72">
          <cell r="B72" t="str">
            <v>RENT30DAY-RO</v>
          </cell>
          <cell r="C72" t="str">
            <v>RENTAL FEE 30 YD DAILY</v>
          </cell>
          <cell r="D72">
            <v>4.5599999999999996</v>
          </cell>
        </row>
        <row r="73">
          <cell r="B73" t="str">
            <v>RENT30MO-RO</v>
          </cell>
          <cell r="C73" t="str">
            <v>RENTAL FEE 30 YD MONTHLY</v>
          </cell>
          <cell r="D73">
            <v>42.67</v>
          </cell>
        </row>
        <row r="74">
          <cell r="B74" t="str">
            <v>RENT40DAY-RO</v>
          </cell>
          <cell r="C74" t="str">
            <v>RENTAL FEE 40 YD DAILY</v>
          </cell>
          <cell r="D74">
            <v>4.9400000000000004</v>
          </cell>
        </row>
        <row r="75">
          <cell r="B75" t="str">
            <v>RENT40MO-RO</v>
          </cell>
          <cell r="C75" t="str">
            <v>RENTAL FEE 40 YD MONTHLY</v>
          </cell>
          <cell r="D75">
            <v>48.7</v>
          </cell>
        </row>
        <row r="76">
          <cell r="B76" t="str">
            <v>RENT6-COMM</v>
          </cell>
          <cell r="C76" t="str">
            <v>RENTAL FEE 6 YD COMM</v>
          </cell>
          <cell r="D76">
            <v>16.579999999999998</v>
          </cell>
        </row>
        <row r="77">
          <cell r="B77" t="str">
            <v>RESIDENTIAL</v>
          </cell>
          <cell r="C77" t="str">
            <v>Code ID</v>
          </cell>
          <cell r="D77" t="str">
            <v>Billcycle</v>
          </cell>
        </row>
        <row r="78">
          <cell r="B78" t="str">
            <v>RETCKC</v>
          </cell>
          <cell r="C78" t="str">
            <v>RETURN CHECK CHARGE</v>
          </cell>
          <cell r="D78">
            <v>11.07</v>
          </cell>
        </row>
        <row r="79">
          <cell r="B79" t="str">
            <v>RL001.25Y1W001</v>
          </cell>
          <cell r="C79" t="str">
            <v>RL 1.25 YD 1X WK 1</v>
          </cell>
          <cell r="D79">
            <v>26.02</v>
          </cell>
        </row>
        <row r="80">
          <cell r="B80" t="str">
            <v>RL001.5Y1W001</v>
          </cell>
          <cell r="C80" t="str">
            <v>RL 1.5 YD 1X WK 1</v>
          </cell>
          <cell r="D80">
            <v>29.83</v>
          </cell>
        </row>
        <row r="81">
          <cell r="B81" t="str">
            <v>RL001.5Y2W001</v>
          </cell>
          <cell r="C81" t="str">
            <v>RL 1.5 YD 2X WK 1</v>
          </cell>
          <cell r="D81">
            <v>59.67</v>
          </cell>
        </row>
        <row r="82">
          <cell r="B82" t="str">
            <v>RL001.5Y3W001</v>
          </cell>
          <cell r="C82" t="str">
            <v>RL 1.5 YD 3X WK 1</v>
          </cell>
          <cell r="D82">
            <v>89.5</v>
          </cell>
        </row>
        <row r="83">
          <cell r="B83" t="str">
            <v>RL001.5Y5W001</v>
          </cell>
          <cell r="C83" t="str">
            <v>RL 1.5 YD 5X WK 1</v>
          </cell>
          <cell r="D83">
            <v>149.16999999999999</v>
          </cell>
        </row>
        <row r="84">
          <cell r="B84" t="str">
            <v>RL001.5YEO001</v>
          </cell>
          <cell r="C84" t="str">
            <v>RL 1.5 YD EOW 1</v>
          </cell>
          <cell r="D84">
            <v>14.95</v>
          </cell>
        </row>
        <row r="85">
          <cell r="B85" t="str">
            <v>RL020.0G1W001</v>
          </cell>
          <cell r="C85" t="str">
            <v>RL 20 GL 1X WK 1</v>
          </cell>
          <cell r="D85">
            <v>11.14</v>
          </cell>
        </row>
        <row r="86">
          <cell r="B86" t="str">
            <v>RL032.0G1M001</v>
          </cell>
          <cell r="C86" t="str">
            <v>RL 32 GL 1X MO 1</v>
          </cell>
          <cell r="D86">
            <v>8.32</v>
          </cell>
        </row>
        <row r="87">
          <cell r="B87" t="str">
            <v>RL032.0G1W001</v>
          </cell>
          <cell r="C87" t="str">
            <v>RL 32 GL 1X WK 1</v>
          </cell>
          <cell r="D87">
            <v>13.94</v>
          </cell>
        </row>
        <row r="88">
          <cell r="B88" t="str">
            <v>RL032.0G1W001COMM</v>
          </cell>
          <cell r="C88" t="str">
            <v>RL 32 GL 1X WK COMM 1</v>
          </cell>
          <cell r="D88">
            <v>5.87</v>
          </cell>
        </row>
        <row r="89">
          <cell r="B89" t="str">
            <v>RL032.0G1W002</v>
          </cell>
          <cell r="C89" t="str">
            <v>RL 32 GL 1X WK 2</v>
          </cell>
          <cell r="D89">
            <v>18.3</v>
          </cell>
        </row>
        <row r="90">
          <cell r="B90" t="str">
            <v>RL032.0G1W002COMM</v>
          </cell>
          <cell r="C90" t="str">
            <v>RL 32 GL 1X WK COMM 2</v>
          </cell>
          <cell r="D90">
            <v>11.69</v>
          </cell>
        </row>
        <row r="91">
          <cell r="B91" t="str">
            <v>RL032.0G1W003</v>
          </cell>
          <cell r="C91" t="str">
            <v>RL 32 GL 1X WK 3</v>
          </cell>
          <cell r="D91">
            <v>22.6</v>
          </cell>
        </row>
        <row r="92">
          <cell r="B92" t="str">
            <v>RL032.0G1W003COMM</v>
          </cell>
          <cell r="C92" t="str">
            <v>RL 32 GL 1X WK COMM 3</v>
          </cell>
          <cell r="D92">
            <v>17.54</v>
          </cell>
        </row>
        <row r="93">
          <cell r="B93" t="str">
            <v>RL032.0G1W004</v>
          </cell>
          <cell r="C93" t="str">
            <v>RL 32 GL 1X WK 4</v>
          </cell>
          <cell r="D93">
            <v>26.92</v>
          </cell>
        </row>
        <row r="94">
          <cell r="B94" t="str">
            <v>RL032.0G1W004COMM</v>
          </cell>
          <cell r="C94" t="str">
            <v>RL 32 GL 1X WK COMM 4</v>
          </cell>
          <cell r="D94">
            <v>23.38</v>
          </cell>
        </row>
        <row r="95">
          <cell r="B95" t="str">
            <v>RL032.0G1W005</v>
          </cell>
          <cell r="C95" t="str">
            <v>RL 32 GL 1X WK 5</v>
          </cell>
          <cell r="D95">
            <v>31.78</v>
          </cell>
        </row>
        <row r="96">
          <cell r="B96" t="str">
            <v>RL032.0G1W005COMM</v>
          </cell>
          <cell r="C96" t="str">
            <v>32 GL 1X WK COMM 5</v>
          </cell>
          <cell r="D96">
            <v>29.23</v>
          </cell>
        </row>
        <row r="97">
          <cell r="B97" t="str">
            <v>RL032.0G1W006</v>
          </cell>
          <cell r="C97" t="str">
            <v>RL 32 GL 1X WK 6</v>
          </cell>
          <cell r="D97">
            <v>37.159999999999997</v>
          </cell>
        </row>
        <row r="98">
          <cell r="B98" t="str">
            <v>RL048.0G1W001</v>
          </cell>
          <cell r="C98" t="str">
            <v>RL 48 GL 1X WK 1</v>
          </cell>
          <cell r="D98">
            <v>19.899999999999999</v>
          </cell>
        </row>
        <row r="99">
          <cell r="B99" t="str">
            <v>RL048.0G1W001COMM</v>
          </cell>
          <cell r="C99" t="str">
            <v>RL 48 GL 1X WK COMM 1</v>
          </cell>
          <cell r="D99">
            <v>10.220000000000001</v>
          </cell>
        </row>
        <row r="100">
          <cell r="B100" t="str">
            <v>RL064.0G1W001</v>
          </cell>
          <cell r="C100" t="str">
            <v>RL 64 GL 1X WK 1</v>
          </cell>
          <cell r="D100">
            <v>20.9</v>
          </cell>
        </row>
        <row r="101">
          <cell r="B101" t="str">
            <v>RL064.0G1W001COMM</v>
          </cell>
          <cell r="C101" t="str">
            <v>RL 64 GL 1X WK COMM 1</v>
          </cell>
          <cell r="D101">
            <v>10.83</v>
          </cell>
        </row>
        <row r="102">
          <cell r="B102" t="str">
            <v>RL096.0G1W001</v>
          </cell>
          <cell r="C102" t="str">
            <v>RL 96 GL 1X WK 1</v>
          </cell>
          <cell r="D102">
            <v>25.44</v>
          </cell>
        </row>
        <row r="103">
          <cell r="B103" t="str">
            <v>RL096.0G1W001COMM</v>
          </cell>
          <cell r="C103" t="str">
            <v>RL 96 GL 1X WK COMM 1</v>
          </cell>
          <cell r="D103">
            <v>13.16</v>
          </cell>
        </row>
        <row r="104">
          <cell r="B104" t="str">
            <v>RL096.0G1W001REC</v>
          </cell>
          <cell r="C104" t="str">
            <v>RL 96 GL 1X WK REC COMM 1</v>
          </cell>
          <cell r="D104">
            <v>9.6199999999999992</v>
          </cell>
        </row>
        <row r="105">
          <cell r="B105" t="str">
            <v>RL1.5TC-COMM</v>
          </cell>
          <cell r="C105" t="str">
            <v>RL TEMPORARY 1.5 YD-COMM</v>
          </cell>
          <cell r="D105">
            <v>9.52</v>
          </cell>
        </row>
        <row r="106">
          <cell r="B106" t="str">
            <v>RL32R-OC</v>
          </cell>
          <cell r="C106" t="str">
            <v>1 RL 32 GL ON CALL-RES</v>
          </cell>
          <cell r="D106">
            <v>4.16</v>
          </cell>
        </row>
        <row r="107">
          <cell r="B107" t="str">
            <v>ROLL OFF</v>
          </cell>
          <cell r="C107" t="str">
            <v>Code ID</v>
          </cell>
          <cell r="D107" t="str">
            <v>Billcycle</v>
          </cell>
        </row>
        <row r="108">
          <cell r="B108" t="str">
            <v>ROLLCART-COMM</v>
          </cell>
          <cell r="C108" t="str">
            <v>ROLL OUT CART CHARGE -COM</v>
          </cell>
          <cell r="D108">
            <v>1.1499999999999999</v>
          </cell>
        </row>
        <row r="109">
          <cell r="B109" t="str">
            <v>ROLL-COMM</v>
          </cell>
          <cell r="C109" t="str">
            <v>ROLL OUT CHARGE - COMM</v>
          </cell>
          <cell r="D109">
            <v>3.98</v>
          </cell>
        </row>
        <row r="110">
          <cell r="B110" t="str">
            <v>RT001.25Y0W000C</v>
          </cell>
          <cell r="C110" t="str">
            <v>RENTAL FEE 1.25 YD COMM</v>
          </cell>
          <cell r="D110">
            <v>9.51</v>
          </cell>
        </row>
        <row r="111">
          <cell r="B111" t="str">
            <v>RT001.25YTMP00X</v>
          </cell>
          <cell r="C111" t="str">
            <v>RENTAL FEE 1.25 YD TEMP -</v>
          </cell>
          <cell r="D111">
            <v>0.36</v>
          </cell>
        </row>
        <row r="112">
          <cell r="B112" t="str">
            <v>STGRNT</v>
          </cell>
          <cell r="C112" t="str">
            <v>STORAGE CONTAINER RENT</v>
          </cell>
          <cell r="D112">
            <v>85</v>
          </cell>
        </row>
        <row r="113">
          <cell r="B113" t="str">
            <v>SUNKENCAN-COMM</v>
          </cell>
          <cell r="C113" t="str">
            <v>SUNKEN CAN FEE - COMM</v>
          </cell>
          <cell r="D113">
            <v>0.61</v>
          </cell>
        </row>
        <row r="114">
          <cell r="B114" t="str">
            <v>SUNKENCAN-RES</v>
          </cell>
          <cell r="C114" t="str">
            <v>SUNKEN CAN FEE - RES</v>
          </cell>
          <cell r="D114">
            <v>1.21</v>
          </cell>
        </row>
        <row r="115">
          <cell r="B115" t="str">
            <v>TRIP-RES</v>
          </cell>
          <cell r="C115" t="str">
            <v>TRIP FEE - RES</v>
          </cell>
          <cell r="D115">
            <v>4.1100000000000003</v>
          </cell>
        </row>
        <row r="116">
          <cell r="B116" t="str">
            <v>UNLCKC</v>
          </cell>
          <cell r="C116" t="str">
            <v>UNLOCKING FEE - COMM</v>
          </cell>
          <cell r="D116">
            <v>1.1499999999999999</v>
          </cell>
        </row>
        <row r="117">
          <cell r="B117" t="str">
            <v>WI1-RES</v>
          </cell>
          <cell r="C117" t="str">
            <v>WALK IN 5-25 FT - RES</v>
          </cell>
          <cell r="D117">
            <v>2.34</v>
          </cell>
        </row>
        <row r="118">
          <cell r="B118" t="str">
            <v>WI2-RES</v>
          </cell>
          <cell r="C118" t="str">
            <v>WALK IN 26-50 FT - RES</v>
          </cell>
          <cell r="D118">
            <v>3.29</v>
          </cell>
        </row>
        <row r="119">
          <cell r="B119" t="str">
            <v>WI3-RES</v>
          </cell>
          <cell r="C119" t="str">
            <v>WALK IN 51-75 FT - RES</v>
          </cell>
          <cell r="D119">
            <v>4.24</v>
          </cell>
        </row>
        <row r="120">
          <cell r="B120" t="str">
            <v>WI4-RES</v>
          </cell>
          <cell r="C120" t="str">
            <v>WALK IN 76-100 FT - RES</v>
          </cell>
          <cell r="D120">
            <v>5.2</v>
          </cell>
        </row>
        <row r="121">
          <cell r="B121" t="str">
            <v>ACCOUNTING</v>
          </cell>
          <cell r="C121" t="str">
            <v>Code ID</v>
          </cell>
          <cell r="D121" t="str">
            <v>Billcycle</v>
          </cell>
        </row>
        <row r="122">
          <cell r="B122" t="str">
            <v>ADD32GLCOM1W</v>
          </cell>
          <cell r="C122" t="str">
            <v>ADDTL 32 GL 1X WK COMM</v>
          </cell>
          <cell r="D122">
            <v>1.75</v>
          </cell>
        </row>
        <row r="123">
          <cell r="B123" t="str">
            <v>CLEAN10-RO</v>
          </cell>
          <cell r="C123" t="str">
            <v>CLEANING FEE 10 YD - RO</v>
          </cell>
          <cell r="D123">
            <v>50.4</v>
          </cell>
        </row>
        <row r="124">
          <cell r="B124" t="str">
            <v>CLEAN20-RO</v>
          </cell>
          <cell r="C124" t="str">
            <v>CLEANING FEE 20 YD - RO</v>
          </cell>
          <cell r="D124">
            <v>100.8</v>
          </cell>
        </row>
        <row r="125">
          <cell r="B125" t="str">
            <v>CLEAN30-RO</v>
          </cell>
          <cell r="C125" t="str">
            <v>CLEANING FEE 30 YD - RO</v>
          </cell>
          <cell r="D125">
            <v>151.19999999999999</v>
          </cell>
        </row>
        <row r="126">
          <cell r="B126" t="str">
            <v>CLEAN40-RO</v>
          </cell>
          <cell r="C126" t="str">
            <v>CLEANING FEE 40 YD - RO</v>
          </cell>
          <cell r="D126">
            <v>201.6</v>
          </cell>
        </row>
        <row r="127">
          <cell r="B127" t="str">
            <v>CLEAN50-RO</v>
          </cell>
          <cell r="C127" t="str">
            <v>CLEANING FEE 50 YD - RO</v>
          </cell>
          <cell r="D127">
            <v>252</v>
          </cell>
        </row>
        <row r="128">
          <cell r="B128" t="str">
            <v>CLEAN8-COMM</v>
          </cell>
          <cell r="C128" t="str">
            <v>CLEANING FEE 8 YD - COMM</v>
          </cell>
          <cell r="D128">
            <v>40.32</v>
          </cell>
        </row>
        <row r="129">
          <cell r="B129" t="str">
            <v>CLEAN-COMM</v>
          </cell>
          <cell r="C129" t="str">
            <v>CONT CLEANING FEE - COMM</v>
          </cell>
          <cell r="D129">
            <v>30.24</v>
          </cell>
        </row>
        <row r="130">
          <cell r="B130" t="str">
            <v>COMMERCIAL</v>
          </cell>
          <cell r="C130" t="str">
            <v>Code ID</v>
          </cell>
          <cell r="D130" t="str">
            <v>Billcycle</v>
          </cell>
        </row>
        <row r="131">
          <cell r="B131" t="str">
            <v>DEL1.5-COMM</v>
          </cell>
          <cell r="C131" t="str">
            <v>DELIVERY FEE 1.5YD - COMM</v>
          </cell>
          <cell r="D131">
            <v>18</v>
          </cell>
        </row>
        <row r="132">
          <cell r="B132" t="str">
            <v>DEL3-COMM</v>
          </cell>
          <cell r="C132" t="str">
            <v>DELIVERY FEE 3YD - COMM</v>
          </cell>
          <cell r="D132">
            <v>22.19</v>
          </cell>
        </row>
        <row r="133">
          <cell r="B133" t="str">
            <v>DEL4-COMM</v>
          </cell>
          <cell r="C133" t="str">
            <v>DELIVERY FEE 4YD - COMM</v>
          </cell>
          <cell r="D133">
            <v>22.19</v>
          </cell>
        </row>
        <row r="134">
          <cell r="B134" t="str">
            <v>DEL6-COMM</v>
          </cell>
          <cell r="C134" t="str">
            <v>DELIVERY FEE 6YD - COMM</v>
          </cell>
          <cell r="D134">
            <v>25.79</v>
          </cell>
        </row>
        <row r="135">
          <cell r="B135" t="str">
            <v>DEL-RO</v>
          </cell>
          <cell r="C135" t="str">
            <v>DELIVERY FEE - RO</v>
          </cell>
          <cell r="D135">
            <v>41.16</v>
          </cell>
        </row>
        <row r="136">
          <cell r="B136" t="str">
            <v>DISP-RO</v>
          </cell>
          <cell r="C136" t="str">
            <v>DISPOSAL CHARGE - RO</v>
          </cell>
          <cell r="D136">
            <v>30.89</v>
          </cell>
        </row>
        <row r="137">
          <cell r="B137" t="str">
            <v>DRIVE-IN RES MTHLY</v>
          </cell>
          <cell r="C137" t="str">
            <v>DRIVE-IN SERVICE RES MONTHLY</v>
          </cell>
          <cell r="D137">
            <v>1.58</v>
          </cell>
        </row>
        <row r="138">
          <cell r="B138" t="str">
            <v>DRIVEIN-COMM</v>
          </cell>
          <cell r="C138" t="str">
            <v>DRIVE IN SERVICE-COMM</v>
          </cell>
          <cell r="D138">
            <v>3.42</v>
          </cell>
        </row>
        <row r="139">
          <cell r="B139" t="str">
            <v>DRIVEINEOW-RES</v>
          </cell>
          <cell r="C139" t="str">
            <v>DRIVE IN EOW CHARGE</v>
          </cell>
          <cell r="D139">
            <v>3.42</v>
          </cell>
        </row>
        <row r="140">
          <cell r="B140" t="str">
            <v>DRIVEIN-RES</v>
          </cell>
          <cell r="C140" t="str">
            <v>DRIVE IN SERVICE - RES</v>
          </cell>
          <cell r="D140">
            <v>6.84</v>
          </cell>
        </row>
        <row r="141">
          <cell r="B141" t="str">
            <v>EP1.5-COMM</v>
          </cell>
          <cell r="C141" t="str">
            <v>EXTRA PICK UP 1.5 YD - CO</v>
          </cell>
          <cell r="D141">
            <v>10.039999999999999</v>
          </cell>
        </row>
        <row r="142">
          <cell r="B142" t="str">
            <v>EP3-COMM</v>
          </cell>
          <cell r="C142" t="str">
            <v>EXTRA PICK UP 3 YD - COMM</v>
          </cell>
          <cell r="D142">
            <v>16.2</v>
          </cell>
        </row>
        <row r="143">
          <cell r="B143" t="str">
            <v>EP4-COMM</v>
          </cell>
          <cell r="C143" t="str">
            <v>EXTRA PICK UP 4 YD - COMM</v>
          </cell>
          <cell r="D143">
            <v>19.5</v>
          </cell>
        </row>
        <row r="144">
          <cell r="B144" t="str">
            <v>EP6-COMM</v>
          </cell>
          <cell r="C144" t="str">
            <v>EXTRA PICK UP 6 YD - COMM</v>
          </cell>
          <cell r="D144">
            <v>26.6</v>
          </cell>
        </row>
        <row r="145">
          <cell r="B145" t="str">
            <v>EXTRA1TO4YD-COMM</v>
          </cell>
          <cell r="C145" t="str">
            <v>EXTRA PU 1 TO 4YD - COMM</v>
          </cell>
          <cell r="D145">
            <v>6.92</v>
          </cell>
        </row>
        <row r="146">
          <cell r="B146" t="str">
            <v>EXTRA5OVERYD-COMM</v>
          </cell>
          <cell r="C146" t="str">
            <v>EXTRA PU 5YD OVER - COMM</v>
          </cell>
          <cell r="D146">
            <v>6.22</v>
          </cell>
        </row>
        <row r="147">
          <cell r="B147" t="str">
            <v>EXTRA-COMM</v>
          </cell>
          <cell r="C147" t="str">
            <v>EXTRA CAN, BAG, BOX-COMM</v>
          </cell>
          <cell r="D147">
            <v>2.08</v>
          </cell>
        </row>
        <row r="148">
          <cell r="B148" t="str">
            <v>EXTRA-RES</v>
          </cell>
          <cell r="C148" t="str">
            <v>EXTRA CAN, BAG, BOX-RES</v>
          </cell>
          <cell r="D148">
            <v>2.0299999999999998</v>
          </cell>
        </row>
        <row r="149">
          <cell r="B149" t="str">
            <v>FL004.0Y1W001CMP</v>
          </cell>
          <cell r="C149" t="str">
            <v>FL 4 YD 1X WK COMP 1</v>
          </cell>
          <cell r="D149">
            <v>41.52</v>
          </cell>
        </row>
        <row r="150">
          <cell r="B150" t="str">
            <v>FL008.0Y3W001</v>
          </cell>
          <cell r="C150" t="str">
            <v>FL 8 YD 3X WK 1</v>
          </cell>
          <cell r="D150">
            <v>381.91</v>
          </cell>
        </row>
        <row r="151">
          <cell r="B151" t="str">
            <v>FL008.0Y4W001</v>
          </cell>
          <cell r="C151" t="str">
            <v>FL 8 YD 4X WK 1</v>
          </cell>
          <cell r="D151">
            <v>509.21</v>
          </cell>
        </row>
        <row r="152">
          <cell r="B152" t="str">
            <v>FL008.0Y5W001</v>
          </cell>
          <cell r="C152" t="str">
            <v>FL 8 YD 5X WK 1</v>
          </cell>
          <cell r="D152">
            <v>636.51</v>
          </cell>
        </row>
        <row r="153">
          <cell r="B153" t="str">
            <v>FL1.5TC-COMM</v>
          </cell>
          <cell r="C153" t="str">
            <v>FL 1.5 YD TEMP - COMM</v>
          </cell>
          <cell r="D153">
            <v>9.52</v>
          </cell>
        </row>
        <row r="154">
          <cell r="B154" t="str">
            <v>FL3TC-COMM</v>
          </cell>
          <cell r="C154" t="str">
            <v>FL 3 YD TEMP - COMM</v>
          </cell>
          <cell r="D154">
            <v>17.5</v>
          </cell>
        </row>
        <row r="155">
          <cell r="B155" t="str">
            <v>FL4TC-COMM</v>
          </cell>
          <cell r="C155" t="str">
            <v>FL 4 YD TEMP - COMM</v>
          </cell>
          <cell r="D155">
            <v>22.75</v>
          </cell>
        </row>
        <row r="156">
          <cell r="B156" t="str">
            <v>FL6TC-COMM</v>
          </cell>
          <cell r="C156" t="str">
            <v>FL 6 YD TEMP - COMM</v>
          </cell>
          <cell r="D156">
            <v>27.08</v>
          </cell>
        </row>
        <row r="157">
          <cell r="B157" t="str">
            <v>HAUL10-CP</v>
          </cell>
          <cell r="C157" t="str">
            <v>HAUL 10-18YD COMP - RO</v>
          </cell>
          <cell r="D157">
            <v>135.02000000000001</v>
          </cell>
        </row>
        <row r="158">
          <cell r="B158" t="str">
            <v>HAUL20TEMP-RO</v>
          </cell>
          <cell r="C158" t="str">
            <v>HAUL 20 YD TEMP - RO</v>
          </cell>
          <cell r="D158">
            <v>78.73</v>
          </cell>
        </row>
        <row r="159">
          <cell r="B159" t="str">
            <v>HAUL25-CP</v>
          </cell>
          <cell r="C159" t="str">
            <v>COMPACTOR HAUL 25 YD - RO</v>
          </cell>
          <cell r="D159">
            <v>153.93</v>
          </cell>
        </row>
        <row r="160">
          <cell r="B160" t="str">
            <v>HAUL30-CP</v>
          </cell>
          <cell r="C160" t="str">
            <v>COMPACTOR HAUL 30 YD - RO</v>
          </cell>
          <cell r="D160">
            <v>166.7</v>
          </cell>
        </row>
        <row r="161">
          <cell r="B161" t="str">
            <v>HAUL30TEMP-RO</v>
          </cell>
          <cell r="C161" t="str">
            <v>HAUL 30 YD TEMP - RO</v>
          </cell>
          <cell r="D161">
            <v>88.24</v>
          </cell>
        </row>
        <row r="162">
          <cell r="B162" t="str">
            <v>HAUL35-CP</v>
          </cell>
          <cell r="C162" t="str">
            <v>COMPACTOR HAUL 35 YD - RO</v>
          </cell>
          <cell r="D162">
            <v>198.68</v>
          </cell>
        </row>
        <row r="163">
          <cell r="B163" t="str">
            <v>HAUL36-CP</v>
          </cell>
          <cell r="C163" t="str">
            <v>HAUL 36YD COMP - RO</v>
          </cell>
          <cell r="D163">
            <v>198.68</v>
          </cell>
        </row>
        <row r="164">
          <cell r="B164" t="str">
            <v>HAUL40-CP</v>
          </cell>
          <cell r="C164" t="str">
            <v>COMPACTOR HAUL 40 YD - RO</v>
          </cell>
          <cell r="D164">
            <v>198.68</v>
          </cell>
        </row>
        <row r="165">
          <cell r="B165" t="str">
            <v>HAUL40-RO</v>
          </cell>
          <cell r="C165" t="str">
            <v>HAUL 40 YD - RO</v>
          </cell>
          <cell r="D165">
            <v>108.46</v>
          </cell>
        </row>
        <row r="166">
          <cell r="B166" t="str">
            <v>HAUL40TEMP-RO</v>
          </cell>
          <cell r="C166" t="str">
            <v>HAUL 40 YD TEMP - RO</v>
          </cell>
          <cell r="D166">
            <v>108.46</v>
          </cell>
        </row>
        <row r="167">
          <cell r="B167" t="str">
            <v>HAUL50-RO</v>
          </cell>
          <cell r="C167" t="str">
            <v>HAUL 50 YD - RO</v>
          </cell>
          <cell r="D167">
            <v>108.46</v>
          </cell>
        </row>
        <row r="168">
          <cell r="B168" t="str">
            <v>HAUL50TEMP-RO</v>
          </cell>
          <cell r="C168" t="str">
            <v>HAUL 50 YD TEMP - RO</v>
          </cell>
          <cell r="D168">
            <v>108.46</v>
          </cell>
        </row>
        <row r="169">
          <cell r="B169" t="str">
            <v>MABTON</v>
          </cell>
          <cell r="C169" t="str">
            <v>(blank)</v>
          </cell>
          <cell r="D169" t="str">
            <v>(blank)</v>
          </cell>
        </row>
        <row r="170">
          <cell r="B170" t="str">
            <v>MILE-RO</v>
          </cell>
          <cell r="C170" t="str">
            <v>MILEAGE FEE - RO</v>
          </cell>
          <cell r="D170">
            <v>3.07</v>
          </cell>
        </row>
        <row r="171">
          <cell r="B171" t="str">
            <v>OS-RES</v>
          </cell>
          <cell r="C171" t="str">
            <v>OVERSIZE CAN - RES</v>
          </cell>
          <cell r="D171">
            <v>1.72</v>
          </cell>
        </row>
        <row r="172">
          <cell r="B172" t="str">
            <v>PUREDEL1-COMM</v>
          </cell>
          <cell r="C172" t="str">
            <v>PU/REDEL UP TO 8 YDS - COMM</v>
          </cell>
          <cell r="D172">
            <v>21.52</v>
          </cell>
        </row>
        <row r="173">
          <cell r="B173" t="str">
            <v>PUREDEL1-RO</v>
          </cell>
          <cell r="C173" t="str">
            <v>PU/REDEL OVER 8 YDS - RO</v>
          </cell>
          <cell r="D173">
            <v>34.35</v>
          </cell>
        </row>
        <row r="174">
          <cell r="B174" t="str">
            <v>REDEL1.5-COMM</v>
          </cell>
          <cell r="C174" t="str">
            <v>REDELIVERY FEE 1.5 YD - COMM</v>
          </cell>
          <cell r="D174">
            <v>18</v>
          </cell>
        </row>
        <row r="175">
          <cell r="B175" t="str">
            <v>REDEL3-COMM</v>
          </cell>
          <cell r="C175" t="str">
            <v>REDELIVERY FEE 3 YD - COMM</v>
          </cell>
          <cell r="D175">
            <v>22.19</v>
          </cell>
        </row>
        <row r="176">
          <cell r="B176" t="str">
            <v>REDEL4-COMM</v>
          </cell>
          <cell r="C176" t="str">
            <v>REDELIVERY FEE 4 YD - COMM</v>
          </cell>
          <cell r="D176">
            <v>22.19</v>
          </cell>
        </row>
        <row r="177">
          <cell r="B177" t="str">
            <v>REDEL6-COMM</v>
          </cell>
          <cell r="C177" t="str">
            <v>REDELIVERY FEE 6 YD - COMM</v>
          </cell>
          <cell r="D177">
            <v>25.79</v>
          </cell>
        </row>
        <row r="178">
          <cell r="B178" t="str">
            <v>REDEL-RES</v>
          </cell>
          <cell r="C178" t="str">
            <v>REDELIVERY FEE - RES</v>
          </cell>
          <cell r="D178">
            <v>14.78</v>
          </cell>
        </row>
        <row r="179">
          <cell r="B179" t="str">
            <v>REINSTATE-COMM</v>
          </cell>
          <cell r="C179" t="str">
            <v>REINSTATE FEE - COMM</v>
          </cell>
          <cell r="D179">
            <v>11.43</v>
          </cell>
        </row>
        <row r="180">
          <cell r="B180" t="str">
            <v>REINSTATE-RES</v>
          </cell>
          <cell r="C180" t="str">
            <v>REINSTATE FEE - RES</v>
          </cell>
          <cell r="D180">
            <v>11.43</v>
          </cell>
        </row>
        <row r="181">
          <cell r="B181" t="str">
            <v>RENT1.5-COMM</v>
          </cell>
          <cell r="C181" t="str">
            <v>RENTAL FEE 1.5 YD COMM</v>
          </cell>
          <cell r="D181">
            <v>9.7200000000000006</v>
          </cell>
        </row>
        <row r="182">
          <cell r="B182" t="str">
            <v>RENT1.5TEMP-COMM</v>
          </cell>
          <cell r="C182" t="str">
            <v>RENTAL FEE 1.5 YD TEMP -</v>
          </cell>
          <cell r="D182">
            <v>0.36</v>
          </cell>
        </row>
        <row r="183">
          <cell r="B183" t="str">
            <v>RENT20DAY-RO</v>
          </cell>
          <cell r="C183" t="str">
            <v>RENTAL FEE 20 YD DAILY</v>
          </cell>
          <cell r="D183">
            <v>3.85</v>
          </cell>
        </row>
        <row r="184">
          <cell r="B184" t="str">
            <v>RENT20MO-RO</v>
          </cell>
          <cell r="C184" t="str">
            <v>RENTAL FEE 20 YD MONTHLY</v>
          </cell>
          <cell r="D184">
            <v>36.590000000000003</v>
          </cell>
        </row>
        <row r="185">
          <cell r="B185" t="str">
            <v>RENT30DAY-RO</v>
          </cell>
          <cell r="C185" t="str">
            <v>RENTAL FEE 30 YD DAILY</v>
          </cell>
          <cell r="D185">
            <v>4.5599999999999996</v>
          </cell>
        </row>
        <row r="186">
          <cell r="B186" t="str">
            <v>RENT30MO-RO</v>
          </cell>
          <cell r="C186" t="str">
            <v>RENTAL FEE 30 YD MONTHLY</v>
          </cell>
          <cell r="D186">
            <v>42.67</v>
          </cell>
        </row>
        <row r="187">
          <cell r="B187" t="str">
            <v>RENT40DAY-RO</v>
          </cell>
          <cell r="C187" t="str">
            <v>RENTAL FEE 40 YD DAILY</v>
          </cell>
          <cell r="D187">
            <v>4.9400000000000004</v>
          </cell>
        </row>
        <row r="188">
          <cell r="B188" t="str">
            <v>RENT40MO-RO</v>
          </cell>
          <cell r="C188" t="str">
            <v>RENTAL FEE 40 YD MONTHLY</v>
          </cell>
          <cell r="D188">
            <v>48.7</v>
          </cell>
        </row>
        <row r="189">
          <cell r="B189" t="str">
            <v>RESIDENTIAL</v>
          </cell>
          <cell r="C189" t="str">
            <v>Code ID</v>
          </cell>
          <cell r="D189" t="str">
            <v>Billcycle</v>
          </cell>
        </row>
        <row r="190">
          <cell r="B190" t="str">
            <v>RETCKC</v>
          </cell>
          <cell r="C190" t="str">
            <v>RETURN CHECK CHARGE</v>
          </cell>
          <cell r="D190">
            <v>11.07</v>
          </cell>
        </row>
        <row r="191">
          <cell r="B191" t="str">
            <v>RL001.25Y1W001</v>
          </cell>
          <cell r="C191" t="str">
            <v>RL 1.25 YD 1X WK 1</v>
          </cell>
          <cell r="D191">
            <v>26.02</v>
          </cell>
        </row>
        <row r="192">
          <cell r="B192" t="str">
            <v>RL001.5Y1W001</v>
          </cell>
          <cell r="C192" t="str">
            <v>RL 1.5 YD 1X WK 1</v>
          </cell>
          <cell r="D192">
            <v>29.83</v>
          </cell>
        </row>
        <row r="193">
          <cell r="B193" t="str">
            <v>RL001.5Y2W001</v>
          </cell>
          <cell r="C193" t="str">
            <v>RL 1.5 YD 2X WK 1</v>
          </cell>
          <cell r="D193">
            <v>59.67</v>
          </cell>
        </row>
        <row r="194">
          <cell r="B194" t="str">
            <v>RL001.5Y3W001</v>
          </cell>
          <cell r="C194" t="str">
            <v>RL 1.5 YD 3X WK 1</v>
          </cell>
          <cell r="D194">
            <v>89.5</v>
          </cell>
        </row>
        <row r="195">
          <cell r="B195" t="str">
            <v>RL001.5Y5W001</v>
          </cell>
          <cell r="C195" t="str">
            <v>RL 1.5 YD 5X WK 1</v>
          </cell>
          <cell r="D195">
            <v>149.16999999999999</v>
          </cell>
        </row>
        <row r="196">
          <cell r="B196" t="str">
            <v>RL001.5YEO001</v>
          </cell>
          <cell r="C196" t="str">
            <v>RL 1.5 YD EOW 1</v>
          </cell>
          <cell r="D196">
            <v>14.95</v>
          </cell>
        </row>
        <row r="197">
          <cell r="B197" t="str">
            <v>RL020.0G1W001</v>
          </cell>
          <cell r="C197" t="str">
            <v>RL 20 GL 1X WK 1</v>
          </cell>
          <cell r="D197">
            <v>11.14</v>
          </cell>
        </row>
        <row r="198">
          <cell r="B198" t="str">
            <v>RL032.0G1M001</v>
          </cell>
          <cell r="C198" t="str">
            <v>RL 32 GL 1X MO 1</v>
          </cell>
          <cell r="D198">
            <v>8.32</v>
          </cell>
        </row>
        <row r="199">
          <cell r="B199" t="str">
            <v>RL032.0G1W001</v>
          </cell>
          <cell r="C199" t="str">
            <v>RL 32 GL 1X WK 1</v>
          </cell>
          <cell r="D199">
            <v>13.94</v>
          </cell>
        </row>
        <row r="200">
          <cell r="B200" t="str">
            <v>RL032.0G1W001COMM</v>
          </cell>
          <cell r="C200" t="str">
            <v>RL 32 GL 1X WK COMM 1</v>
          </cell>
          <cell r="D200">
            <v>5.87</v>
          </cell>
        </row>
        <row r="201">
          <cell r="B201" t="str">
            <v>RL032.0G1W002</v>
          </cell>
          <cell r="C201" t="str">
            <v>RL 32 GL 1X WK 2</v>
          </cell>
          <cell r="D201">
            <v>18.3</v>
          </cell>
        </row>
        <row r="202">
          <cell r="B202" t="str">
            <v>RL032.0G1W002COMM</v>
          </cell>
          <cell r="C202" t="str">
            <v>RL 32 GL 1X WK COMM 2</v>
          </cell>
          <cell r="D202">
            <v>11.69</v>
          </cell>
        </row>
        <row r="203">
          <cell r="B203" t="str">
            <v>RL032.0G1W003</v>
          </cell>
          <cell r="C203" t="str">
            <v>RL 32 GL 1X WK 3</v>
          </cell>
          <cell r="D203">
            <v>22.6</v>
          </cell>
        </row>
        <row r="204">
          <cell r="B204" t="str">
            <v>RL032.0G1W003COMM</v>
          </cell>
          <cell r="C204" t="str">
            <v>RL 32 GL 1X WK COMM 3</v>
          </cell>
          <cell r="D204">
            <v>17.54</v>
          </cell>
        </row>
        <row r="205">
          <cell r="B205" t="str">
            <v>RL032.0G1W004</v>
          </cell>
          <cell r="C205" t="str">
            <v>RL 32 GL 1X WK 4</v>
          </cell>
          <cell r="D205">
            <v>26.92</v>
          </cell>
        </row>
        <row r="206">
          <cell r="B206" t="str">
            <v>RL032.0G1W004COMM</v>
          </cell>
          <cell r="C206" t="str">
            <v>RL 32 GL 1X WK COMM 4</v>
          </cell>
          <cell r="D206">
            <v>23.38</v>
          </cell>
        </row>
        <row r="207">
          <cell r="B207" t="str">
            <v>RL032.0G1W005</v>
          </cell>
          <cell r="C207" t="str">
            <v>RL 32 GL 1X WK 5</v>
          </cell>
          <cell r="D207">
            <v>31.78</v>
          </cell>
        </row>
        <row r="208">
          <cell r="B208" t="str">
            <v>RL032.0G1W005COMM</v>
          </cell>
          <cell r="C208" t="str">
            <v>32 GL 1X WK COMM 5</v>
          </cell>
          <cell r="D208">
            <v>29.23</v>
          </cell>
        </row>
        <row r="209">
          <cell r="B209" t="str">
            <v>RL032.0G1W006</v>
          </cell>
          <cell r="C209" t="str">
            <v>RL 32 GL 1X WK 6</v>
          </cell>
          <cell r="D209">
            <v>37.159999999999997</v>
          </cell>
        </row>
        <row r="210">
          <cell r="B210" t="str">
            <v>RL048.0G1W001</v>
          </cell>
          <cell r="C210" t="str">
            <v>RL 48 GL 1X WK 1</v>
          </cell>
          <cell r="D210">
            <v>19.899999999999999</v>
          </cell>
        </row>
        <row r="211">
          <cell r="B211" t="str">
            <v>RL048.0G1W001COMM</v>
          </cell>
          <cell r="C211" t="str">
            <v>RL 48 GL 1X WK COMM 1</v>
          </cell>
          <cell r="D211">
            <v>10.220000000000001</v>
          </cell>
        </row>
        <row r="212">
          <cell r="B212" t="str">
            <v>RL064.0G1W001</v>
          </cell>
          <cell r="C212" t="str">
            <v>RL 64 GL 1X WK 1</v>
          </cell>
          <cell r="D212">
            <v>20.9</v>
          </cell>
        </row>
        <row r="213">
          <cell r="B213" t="str">
            <v>RL064.0G1W001COMM</v>
          </cell>
          <cell r="C213" t="str">
            <v>RL 64 GL 1X WK COMM 1</v>
          </cell>
          <cell r="D213">
            <v>10.83</v>
          </cell>
        </row>
        <row r="214">
          <cell r="B214" t="str">
            <v>RL096.0G1W001</v>
          </cell>
          <cell r="C214" t="str">
            <v>RL 96 GL 1X WK 1</v>
          </cell>
          <cell r="D214">
            <v>25.44</v>
          </cell>
        </row>
        <row r="215">
          <cell r="B215" t="str">
            <v>RL096.0G1W001COMM</v>
          </cell>
          <cell r="C215" t="str">
            <v>RL 96 GL 1X WK COMM 1</v>
          </cell>
          <cell r="D215">
            <v>13.16</v>
          </cell>
        </row>
        <row r="216">
          <cell r="B216" t="str">
            <v>RL096.0G1W001REC</v>
          </cell>
          <cell r="C216" t="str">
            <v>RL 96 GL 1X WK REC COMM 1</v>
          </cell>
          <cell r="D216">
            <v>9.6199999999999992</v>
          </cell>
        </row>
        <row r="217">
          <cell r="B217" t="str">
            <v>RL1.5TC-COMM</v>
          </cell>
          <cell r="C217" t="str">
            <v>RL TEMPORARY 1.5 YD-COMM</v>
          </cell>
          <cell r="D217">
            <v>9.52</v>
          </cell>
        </row>
        <row r="218">
          <cell r="B218" t="str">
            <v>RL32R-OC</v>
          </cell>
          <cell r="C218" t="str">
            <v>1 RL 32 GL ON CALL-RES</v>
          </cell>
          <cell r="D218">
            <v>4.16</v>
          </cell>
        </row>
        <row r="219">
          <cell r="B219" t="str">
            <v>ROLL OFF</v>
          </cell>
          <cell r="C219" t="str">
            <v>Code ID</v>
          </cell>
          <cell r="D219" t="str">
            <v>Billcycle</v>
          </cell>
        </row>
        <row r="220">
          <cell r="B220" t="str">
            <v>ROLLCART-COMM</v>
          </cell>
          <cell r="C220" t="str">
            <v>ROLL OUT CART CHARGE -COM</v>
          </cell>
          <cell r="D220">
            <v>1.1499999999999999</v>
          </cell>
        </row>
        <row r="221">
          <cell r="B221" t="str">
            <v>ROLL-COMM</v>
          </cell>
          <cell r="C221" t="str">
            <v>ROLL OUT CHARGE - COMM</v>
          </cell>
          <cell r="D221">
            <v>3.98</v>
          </cell>
        </row>
        <row r="222">
          <cell r="B222" t="str">
            <v>RT001.25Y0W000C</v>
          </cell>
          <cell r="C222" t="str">
            <v>RENTAL FEE 1.25 YD COMM</v>
          </cell>
          <cell r="D222">
            <v>9.51</v>
          </cell>
        </row>
        <row r="223">
          <cell r="B223" t="str">
            <v>RT001.25YTMP00X</v>
          </cell>
          <cell r="C223" t="str">
            <v>RENTAL FEE 1.25 YD TEMP -</v>
          </cell>
          <cell r="D223">
            <v>0.36</v>
          </cell>
        </row>
        <row r="224">
          <cell r="B224" t="str">
            <v>STGRNT</v>
          </cell>
          <cell r="C224" t="str">
            <v>STORAGE CONTAINER RENT</v>
          </cell>
          <cell r="D224">
            <v>85</v>
          </cell>
        </row>
        <row r="225">
          <cell r="B225" t="str">
            <v>SUNKENCAN-COMM</v>
          </cell>
          <cell r="C225" t="str">
            <v>SUNKEN CAN FEE - COMM</v>
          </cell>
          <cell r="D225">
            <v>0.61</v>
          </cell>
        </row>
        <row r="226">
          <cell r="B226" t="str">
            <v>SUNKENCAN-RES</v>
          </cell>
          <cell r="C226" t="str">
            <v>SUNKEN CAN FEE - RES</v>
          </cell>
          <cell r="D226">
            <v>1.21</v>
          </cell>
        </row>
        <row r="227">
          <cell r="B227" t="str">
            <v>TRIP-RES</v>
          </cell>
          <cell r="C227" t="str">
            <v>TRIP FEE - RES</v>
          </cell>
          <cell r="D227">
            <v>4.1100000000000003</v>
          </cell>
        </row>
        <row r="228">
          <cell r="B228" t="str">
            <v>UNLCKC</v>
          </cell>
          <cell r="C228" t="str">
            <v>UNLOCKING FEE - COMM</v>
          </cell>
          <cell r="D228">
            <v>1.1499999999999999</v>
          </cell>
        </row>
        <row r="229">
          <cell r="B229" t="str">
            <v>WI1-RES</v>
          </cell>
          <cell r="C229" t="str">
            <v>WALK IN 5-25 FT - RES</v>
          </cell>
          <cell r="D229">
            <v>2.34</v>
          </cell>
        </row>
        <row r="230">
          <cell r="B230" t="str">
            <v>WI2-RES</v>
          </cell>
          <cell r="C230" t="str">
            <v>WALK IN 26-50 FT - RES</v>
          </cell>
          <cell r="D230">
            <v>3.29</v>
          </cell>
        </row>
        <row r="231">
          <cell r="B231" t="str">
            <v>WI3-RES</v>
          </cell>
          <cell r="C231" t="str">
            <v>WALK IN 51-75 FT - RES</v>
          </cell>
          <cell r="D231">
            <v>4.24</v>
          </cell>
        </row>
        <row r="232">
          <cell r="B232" t="str">
            <v>WI4-RES</v>
          </cell>
          <cell r="C232" t="str">
            <v>WALK IN 76-100 FT - RES</v>
          </cell>
          <cell r="D232">
            <v>5.2</v>
          </cell>
        </row>
        <row r="233">
          <cell r="B233" t="str">
            <v>ACCOUNTING</v>
          </cell>
          <cell r="C233" t="str">
            <v>Code ID</v>
          </cell>
          <cell r="D233" t="str">
            <v>Billcycle</v>
          </cell>
        </row>
        <row r="234">
          <cell r="B234" t="str">
            <v>ADD32GLCOM1W</v>
          </cell>
          <cell r="C234" t="str">
            <v>ADDTL 32 GL 1X WK COMM</v>
          </cell>
          <cell r="D234">
            <v>1.75</v>
          </cell>
        </row>
        <row r="235">
          <cell r="B235" t="str">
            <v>CLEAN10-RO</v>
          </cell>
          <cell r="C235" t="str">
            <v>CLEANING FEE 10 YD - RO</v>
          </cell>
          <cell r="D235">
            <v>50.4</v>
          </cell>
        </row>
        <row r="236">
          <cell r="B236" t="str">
            <v>CLEAN20-RO</v>
          </cell>
          <cell r="C236" t="str">
            <v>CLEANING FEE 20 YD - RO</v>
          </cell>
          <cell r="D236">
            <v>100.8</v>
          </cell>
        </row>
        <row r="237">
          <cell r="B237" t="str">
            <v>CLEAN30-RO</v>
          </cell>
          <cell r="C237" t="str">
            <v>CLEANING FEE 30 YD - RO</v>
          </cell>
          <cell r="D237">
            <v>151.19999999999999</v>
          </cell>
        </row>
        <row r="238">
          <cell r="B238" t="str">
            <v>CLEAN40-RO</v>
          </cell>
          <cell r="C238" t="str">
            <v>CLEANING FEE 40 YD - RO</v>
          </cell>
          <cell r="D238">
            <v>201.6</v>
          </cell>
        </row>
        <row r="239">
          <cell r="B239" t="str">
            <v>CLEAN50-RO</v>
          </cell>
          <cell r="C239" t="str">
            <v>CLEANING FEE 50 YD - RO</v>
          </cell>
          <cell r="D239">
            <v>252</v>
          </cell>
        </row>
        <row r="240">
          <cell r="B240" t="str">
            <v>CLEAN8-COMM</v>
          </cell>
          <cell r="C240" t="str">
            <v>CLEANING FEE 8 YD - COMM</v>
          </cell>
          <cell r="D240">
            <v>40.32</v>
          </cell>
        </row>
        <row r="241">
          <cell r="B241" t="str">
            <v>CLEAN-COMM</v>
          </cell>
          <cell r="C241" t="str">
            <v>CONT CLEANING FEE - COMM</v>
          </cell>
          <cell r="D241">
            <v>30.24</v>
          </cell>
        </row>
        <row r="242">
          <cell r="B242" t="str">
            <v>COMMERCIAL</v>
          </cell>
          <cell r="C242" t="str">
            <v>Code ID</v>
          </cell>
          <cell r="D242" t="str">
            <v>Billcycle</v>
          </cell>
        </row>
        <row r="243">
          <cell r="B243" t="str">
            <v>DEL1.5-COMM</v>
          </cell>
          <cell r="C243" t="str">
            <v>DELIVERY FEE 1.5YD - COMM</v>
          </cell>
          <cell r="D243">
            <v>18</v>
          </cell>
        </row>
        <row r="244">
          <cell r="B244" t="str">
            <v>DEL3-COMM</v>
          </cell>
          <cell r="C244" t="str">
            <v>DELIVERY FEE 3YD - COMM</v>
          </cell>
          <cell r="D244">
            <v>22.19</v>
          </cell>
        </row>
        <row r="245">
          <cell r="B245" t="str">
            <v>DEL4-COMM</v>
          </cell>
          <cell r="C245" t="str">
            <v>DELIVERY FEE 4YD - COMM</v>
          </cell>
          <cell r="D245">
            <v>22.19</v>
          </cell>
        </row>
        <row r="246">
          <cell r="B246" t="str">
            <v>DEL6-COMM</v>
          </cell>
          <cell r="C246" t="str">
            <v>DELIVERY FEE 6YD - COMM</v>
          </cell>
          <cell r="D246">
            <v>25.79</v>
          </cell>
        </row>
        <row r="247">
          <cell r="B247" t="str">
            <v>DEL-RO</v>
          </cell>
          <cell r="C247" t="str">
            <v>DELIVERY FEE - RO</v>
          </cell>
          <cell r="D247">
            <v>41.16</v>
          </cell>
        </row>
        <row r="248">
          <cell r="B248" t="str">
            <v>DISP-RO</v>
          </cell>
          <cell r="C248" t="str">
            <v>DISPOSAL CHARGE - RO</v>
          </cell>
          <cell r="D248">
            <v>30.89</v>
          </cell>
        </row>
        <row r="249">
          <cell r="B249" t="str">
            <v>DRIVE-IN RES MTHLY</v>
          </cell>
          <cell r="C249" t="str">
            <v>DRIVE-IN SERVICE RES MONTHLY</v>
          </cell>
          <cell r="D249">
            <v>1.58</v>
          </cell>
        </row>
        <row r="250">
          <cell r="B250" t="str">
            <v>DRIVEIN-COMM</v>
          </cell>
          <cell r="C250" t="str">
            <v>DRIVE IN SERVICE-COMM</v>
          </cell>
          <cell r="D250">
            <v>3.42</v>
          </cell>
        </row>
        <row r="251">
          <cell r="B251" t="str">
            <v>DRIVEINEOW-RES</v>
          </cell>
          <cell r="C251" t="str">
            <v>DRIVE IN EOW CHARGE</v>
          </cell>
          <cell r="D251">
            <v>3.42</v>
          </cell>
        </row>
        <row r="252">
          <cell r="B252" t="str">
            <v>DRIVEIN-RES</v>
          </cell>
          <cell r="C252" t="str">
            <v>DRIVE IN SERVICE - RES</v>
          </cell>
          <cell r="D252">
            <v>6.84</v>
          </cell>
        </row>
        <row r="253">
          <cell r="B253" t="str">
            <v>EP1.5-COMM</v>
          </cell>
          <cell r="C253" t="str">
            <v>EXTRA PICK UP 1.5 YD - CO</v>
          </cell>
          <cell r="D253">
            <v>10.039999999999999</v>
          </cell>
        </row>
        <row r="254">
          <cell r="B254" t="str">
            <v>EP3-COMM</v>
          </cell>
          <cell r="C254" t="str">
            <v>EXTRA PICK UP 3 YD - COMM</v>
          </cell>
          <cell r="D254">
            <v>16.2</v>
          </cell>
        </row>
        <row r="255">
          <cell r="B255" t="str">
            <v>EP4-COMM</v>
          </cell>
          <cell r="C255" t="str">
            <v>EXTRA PICK UP 4 YD - COMM</v>
          </cell>
          <cell r="D255">
            <v>19.5</v>
          </cell>
        </row>
        <row r="256">
          <cell r="B256" t="str">
            <v>EP6-COMM</v>
          </cell>
          <cell r="C256" t="str">
            <v>EXTRA PICK UP 6 YD - COMM</v>
          </cell>
          <cell r="D256">
            <v>26.6</v>
          </cell>
        </row>
        <row r="257">
          <cell r="B257" t="str">
            <v>EXTRA1TO4YD-COMM</v>
          </cell>
          <cell r="C257" t="str">
            <v>EXTRA PU 1 TO 4YD - COMM</v>
          </cell>
          <cell r="D257">
            <v>6.92</v>
          </cell>
        </row>
        <row r="258">
          <cell r="B258" t="str">
            <v>EXTRA5OVERYD-COMM</v>
          </cell>
          <cell r="C258" t="str">
            <v>EXTRA PU 5YD OVER - COMM</v>
          </cell>
          <cell r="D258">
            <v>6.22</v>
          </cell>
        </row>
        <row r="259">
          <cell r="B259" t="str">
            <v>EXTRA-COMM</v>
          </cell>
          <cell r="C259" t="str">
            <v>EXTRA CAN, BAG, BOX-COMM</v>
          </cell>
          <cell r="D259">
            <v>2.08</v>
          </cell>
        </row>
        <row r="260">
          <cell r="B260" t="str">
            <v>EXTRA-RES</v>
          </cell>
          <cell r="C260" t="str">
            <v>EXTRA CAN, BAG, BOX-RES</v>
          </cell>
          <cell r="D260">
            <v>2.0299999999999998</v>
          </cell>
        </row>
        <row r="261">
          <cell r="B261" t="str">
            <v>FL004.0Y1W001CMP</v>
          </cell>
          <cell r="C261" t="str">
            <v>FL 4 YD 1X WK COMP 1</v>
          </cell>
          <cell r="D261">
            <v>41.52</v>
          </cell>
        </row>
        <row r="262">
          <cell r="B262" t="str">
            <v>FL008.0Y3W001</v>
          </cell>
          <cell r="C262" t="str">
            <v>FL 8 YD 3X WK 1</v>
          </cell>
          <cell r="D262">
            <v>381.91</v>
          </cell>
        </row>
        <row r="263">
          <cell r="B263" t="str">
            <v>FL008.0Y4W001</v>
          </cell>
          <cell r="C263" t="str">
            <v>FL 8 YD 4X WK 1</v>
          </cell>
          <cell r="D263">
            <v>509.21</v>
          </cell>
        </row>
        <row r="264">
          <cell r="B264" t="str">
            <v>FL008.0Y5W001</v>
          </cell>
          <cell r="C264" t="str">
            <v>FL 8 YD 5X WK 1</v>
          </cell>
          <cell r="D264">
            <v>636.51</v>
          </cell>
        </row>
        <row r="265">
          <cell r="B265" t="str">
            <v>FL1.5TC-COMM</v>
          </cell>
          <cell r="C265" t="str">
            <v>FL 1.5 YD TEMP - COMM</v>
          </cell>
          <cell r="D265">
            <v>9.52</v>
          </cell>
        </row>
        <row r="266">
          <cell r="B266" t="str">
            <v>FL3TC-COMM</v>
          </cell>
          <cell r="C266" t="str">
            <v>FL 3 YD TEMP - COMM</v>
          </cell>
          <cell r="D266">
            <v>17.5</v>
          </cell>
        </row>
        <row r="267">
          <cell r="B267" t="str">
            <v>FL4TC-COMM</v>
          </cell>
          <cell r="C267" t="str">
            <v>FL 4 YD TEMP - COMM</v>
          </cell>
          <cell r="D267">
            <v>22.75</v>
          </cell>
        </row>
        <row r="268">
          <cell r="B268" t="str">
            <v>FL6TC-COMM</v>
          </cell>
          <cell r="C268" t="str">
            <v>FL 6 YD TEMP - COMM</v>
          </cell>
          <cell r="D268">
            <v>27.08</v>
          </cell>
        </row>
        <row r="269">
          <cell r="B269" t="str">
            <v>HAUL10-CP</v>
          </cell>
          <cell r="C269" t="str">
            <v>HAUL 10-18YD COMP - RO</v>
          </cell>
          <cell r="D269">
            <v>135.02000000000001</v>
          </cell>
        </row>
        <row r="270">
          <cell r="B270" t="str">
            <v>HAUL20-CP</v>
          </cell>
          <cell r="C270" t="str">
            <v>COMPACTOR HAUL 20 YD - RO</v>
          </cell>
          <cell r="D270">
            <v>140.53</v>
          </cell>
        </row>
        <row r="271">
          <cell r="B271" t="str">
            <v>HAUL20-RO</v>
          </cell>
          <cell r="C271" t="str">
            <v>HAUL 20 YD - RO</v>
          </cell>
          <cell r="D271">
            <v>78.73</v>
          </cell>
        </row>
        <row r="272">
          <cell r="B272" t="str">
            <v>HAUL20TEMP-RO</v>
          </cell>
          <cell r="C272" t="str">
            <v>HAUL 20 YD TEMP - RO</v>
          </cell>
          <cell r="D272">
            <v>78.73</v>
          </cell>
        </row>
        <row r="273">
          <cell r="B273" t="str">
            <v>HAUL25-CP</v>
          </cell>
          <cell r="C273" t="str">
            <v>COMPACTOR HAUL 25 YD - RO</v>
          </cell>
          <cell r="D273">
            <v>153.93</v>
          </cell>
        </row>
        <row r="274">
          <cell r="B274" t="str">
            <v>HAUL30-CP</v>
          </cell>
          <cell r="C274" t="str">
            <v>COMPACTOR HAUL 30 YD - RO</v>
          </cell>
          <cell r="D274">
            <v>166.7</v>
          </cell>
        </row>
        <row r="275">
          <cell r="B275" t="str">
            <v>HAUL30-RO</v>
          </cell>
          <cell r="C275" t="str">
            <v>HAUL 30 YD - RO</v>
          </cell>
          <cell r="D275">
            <v>88.24</v>
          </cell>
        </row>
        <row r="276">
          <cell r="B276" t="str">
            <v>HAUL30TEMP-RO</v>
          </cell>
          <cell r="C276" t="str">
            <v>HAUL 30 YD TEMP - RO</v>
          </cell>
          <cell r="D276">
            <v>88.24</v>
          </cell>
        </row>
        <row r="277">
          <cell r="B277" t="str">
            <v>HAUL35-CP</v>
          </cell>
          <cell r="C277" t="str">
            <v>COMPACTOR HAUL 35 YD - RO</v>
          </cell>
          <cell r="D277">
            <v>198.68</v>
          </cell>
        </row>
        <row r="278">
          <cell r="B278" t="str">
            <v>HAUL36-CP</v>
          </cell>
          <cell r="C278" t="str">
            <v>HAUL 36YD COMP - RO</v>
          </cell>
          <cell r="D278">
            <v>198.68</v>
          </cell>
        </row>
        <row r="279">
          <cell r="B279" t="str">
            <v>HAUL40-CP</v>
          </cell>
          <cell r="C279" t="str">
            <v>COMPACTOR HAUL 40 YD - RO</v>
          </cell>
          <cell r="D279">
            <v>198.68</v>
          </cell>
        </row>
        <row r="280">
          <cell r="B280" t="str">
            <v>HAUL40-RO</v>
          </cell>
          <cell r="C280" t="str">
            <v>HAUL 40 YD - RO</v>
          </cell>
          <cell r="D280">
            <v>108.46</v>
          </cell>
        </row>
        <row r="281">
          <cell r="B281" t="str">
            <v>HAUL40TEMP-RO</v>
          </cell>
          <cell r="C281" t="str">
            <v>HAUL 40 YD TEMP - RO</v>
          </cell>
          <cell r="D281">
            <v>108.46</v>
          </cell>
        </row>
        <row r="282">
          <cell r="B282" t="str">
            <v>HAUL50-RO</v>
          </cell>
          <cell r="C282" t="str">
            <v>HAUL 50 YD - RO</v>
          </cell>
          <cell r="D282">
            <v>108.46</v>
          </cell>
        </row>
        <row r="283">
          <cell r="B283" t="str">
            <v>HAUL50TEMP-RO</v>
          </cell>
          <cell r="C283" t="str">
            <v>HAUL 50 YD TEMP - RO</v>
          </cell>
          <cell r="D283">
            <v>108.46</v>
          </cell>
        </row>
        <row r="284">
          <cell r="B284" t="str">
            <v>MILE-RO</v>
          </cell>
          <cell r="C284" t="str">
            <v>MILEAGE FEE - RO</v>
          </cell>
          <cell r="D284">
            <v>3.07</v>
          </cell>
        </row>
        <row r="285">
          <cell r="B285" t="str">
            <v>NACHES</v>
          </cell>
          <cell r="C285" t="str">
            <v>(blank)</v>
          </cell>
          <cell r="D285" t="str">
            <v>(blank)</v>
          </cell>
        </row>
        <row r="286">
          <cell r="B286" t="str">
            <v>OS-RES</v>
          </cell>
          <cell r="C286" t="str">
            <v>OVERSIZE CAN - RES</v>
          </cell>
          <cell r="D286">
            <v>1.72</v>
          </cell>
        </row>
        <row r="287">
          <cell r="B287" t="str">
            <v>PUREDEL1-COMM</v>
          </cell>
          <cell r="C287" t="str">
            <v>PU/REDEL UP TO 8 YDS - COMM</v>
          </cell>
          <cell r="D287">
            <v>21.52</v>
          </cell>
        </row>
        <row r="288">
          <cell r="B288" t="str">
            <v>PUREDEL1-RO</v>
          </cell>
          <cell r="C288" t="str">
            <v>PU/REDEL OVER 8 YDS - RO</v>
          </cell>
          <cell r="D288">
            <v>34.35</v>
          </cell>
        </row>
        <row r="289">
          <cell r="B289" t="str">
            <v>REDEL1.5-COMM</v>
          </cell>
          <cell r="C289" t="str">
            <v>REDELIVERY FEE 1.5 YD - COMM</v>
          </cell>
          <cell r="D289">
            <v>18</v>
          </cell>
        </row>
        <row r="290">
          <cell r="B290" t="str">
            <v>REDEL3-COMM</v>
          </cell>
          <cell r="C290" t="str">
            <v>REDELIVERY FEE 3 YD - COMM</v>
          </cell>
          <cell r="D290">
            <v>22.19</v>
          </cell>
        </row>
        <row r="291">
          <cell r="B291" t="str">
            <v>REDEL4-COMM</v>
          </cell>
          <cell r="C291" t="str">
            <v>REDELIVERY FEE 4 YD - COMM</v>
          </cell>
          <cell r="D291">
            <v>22.19</v>
          </cell>
        </row>
        <row r="292">
          <cell r="B292" t="str">
            <v>REDEL6-COMM</v>
          </cell>
          <cell r="C292" t="str">
            <v>REDELIVERY FEE 6 YD - COMM</v>
          </cell>
          <cell r="D292">
            <v>25.79</v>
          </cell>
        </row>
        <row r="293">
          <cell r="B293" t="str">
            <v>REDEL-RES</v>
          </cell>
          <cell r="C293" t="str">
            <v>REDELIVERY FEE - RES</v>
          </cell>
          <cell r="D293">
            <v>14.78</v>
          </cell>
        </row>
        <row r="294">
          <cell r="B294" t="str">
            <v>REINSTATE-COMM</v>
          </cell>
          <cell r="C294" t="str">
            <v>REINSTATE FEE - COMM</v>
          </cell>
          <cell r="D294">
            <v>11.43</v>
          </cell>
        </row>
        <row r="295">
          <cell r="B295" t="str">
            <v>REINSTATE-RES</v>
          </cell>
          <cell r="C295" t="str">
            <v>REINSTATE FEE - RES</v>
          </cell>
          <cell r="D295">
            <v>11.43</v>
          </cell>
        </row>
        <row r="296">
          <cell r="B296" t="str">
            <v>RENT1.5-COMM</v>
          </cell>
          <cell r="C296" t="str">
            <v>RENTAL FEE 1.5 YD COMM</v>
          </cell>
          <cell r="D296">
            <v>9.7200000000000006</v>
          </cell>
        </row>
        <row r="297">
          <cell r="B297" t="str">
            <v>RENT1.5TEMP-COMM</v>
          </cell>
          <cell r="C297" t="str">
            <v>RENTAL FEE 1.5 YD TEMP -</v>
          </cell>
          <cell r="D297">
            <v>0.36</v>
          </cell>
        </row>
        <row r="298">
          <cell r="B298" t="str">
            <v>RENT20DAY-RO</v>
          </cell>
          <cell r="C298" t="str">
            <v>RENTAL FEE 20 YD DAILY</v>
          </cell>
          <cell r="D298">
            <v>3.85</v>
          </cell>
        </row>
        <row r="299">
          <cell r="B299" t="str">
            <v>RENT20MO-RO</v>
          </cell>
          <cell r="C299" t="str">
            <v>RENTAL FEE 20 YD MONTHLY</v>
          </cell>
          <cell r="D299">
            <v>36.590000000000003</v>
          </cell>
        </row>
        <row r="300">
          <cell r="B300" t="str">
            <v>RENT30DAY-RO</v>
          </cell>
          <cell r="C300" t="str">
            <v>RENTAL FEE 30 YD DAILY</v>
          </cell>
          <cell r="D300">
            <v>4.5599999999999996</v>
          </cell>
        </row>
        <row r="301">
          <cell r="B301" t="str">
            <v>RENT30MO-RO</v>
          </cell>
          <cell r="C301" t="str">
            <v>RENTAL FEE 30 YD MONTHLY</v>
          </cell>
          <cell r="D301">
            <v>42.67</v>
          </cell>
        </row>
        <row r="302">
          <cell r="B302" t="str">
            <v>RENT40DAY-RO</v>
          </cell>
          <cell r="C302" t="str">
            <v>RENTAL FEE 40 YD DAILY</v>
          </cell>
          <cell r="D302">
            <v>4.9400000000000004</v>
          </cell>
        </row>
        <row r="303">
          <cell r="B303" t="str">
            <v>RENT40MO-RO</v>
          </cell>
          <cell r="C303" t="str">
            <v>RENTAL FEE 40 YD MONTHLY</v>
          </cell>
          <cell r="D303">
            <v>48.7</v>
          </cell>
        </row>
        <row r="304">
          <cell r="B304" t="str">
            <v>RESIDENTIAL</v>
          </cell>
          <cell r="C304" t="str">
            <v>Code ID</v>
          </cell>
          <cell r="D304" t="str">
            <v>Billcycle</v>
          </cell>
        </row>
        <row r="305">
          <cell r="B305" t="str">
            <v>RETCKC</v>
          </cell>
          <cell r="C305" t="str">
            <v>RETURN CHECK CHARGE</v>
          </cell>
          <cell r="D305">
            <v>11.07</v>
          </cell>
        </row>
        <row r="306">
          <cell r="B306" t="str">
            <v>RL001.25Y1W001</v>
          </cell>
          <cell r="C306" t="str">
            <v>RL 1.25 YD 1X WK 1</v>
          </cell>
          <cell r="D306">
            <v>26.02</v>
          </cell>
        </row>
        <row r="307">
          <cell r="B307" t="str">
            <v>RL001.5Y1W001</v>
          </cell>
          <cell r="C307" t="str">
            <v>RL 1.5 YD 1X WK 1</v>
          </cell>
          <cell r="D307">
            <v>29.83</v>
          </cell>
        </row>
        <row r="308">
          <cell r="B308" t="str">
            <v>RL001.5Y2W001</v>
          </cell>
          <cell r="C308" t="str">
            <v>RL 1.5 YD 2X WK 1</v>
          </cell>
          <cell r="D308">
            <v>59.67</v>
          </cell>
        </row>
        <row r="309">
          <cell r="B309" t="str">
            <v>RL001.5Y3W001</v>
          </cell>
          <cell r="C309" t="str">
            <v>RL 1.5 YD 3X WK 1</v>
          </cell>
          <cell r="D309">
            <v>89.5</v>
          </cell>
        </row>
        <row r="310">
          <cell r="B310" t="str">
            <v>RL001.5Y5W001</v>
          </cell>
          <cell r="C310" t="str">
            <v>RL 1.5 YD 5X WK 1</v>
          </cell>
          <cell r="D310">
            <v>149.16999999999999</v>
          </cell>
        </row>
        <row r="311">
          <cell r="B311" t="str">
            <v>RL001.5YEO001</v>
          </cell>
          <cell r="C311" t="str">
            <v>RL 1.5 YD EOW 1</v>
          </cell>
          <cell r="D311">
            <v>14.95</v>
          </cell>
        </row>
        <row r="312">
          <cell r="B312" t="str">
            <v>RL020.0G1W001</v>
          </cell>
          <cell r="C312" t="str">
            <v>RL 20 GL 1X WK 1</v>
          </cell>
          <cell r="D312">
            <v>11.14</v>
          </cell>
        </row>
        <row r="313">
          <cell r="B313" t="str">
            <v>RL032.0G1M001</v>
          </cell>
          <cell r="C313" t="str">
            <v>RL 32 GL 1X MO 1</v>
          </cell>
          <cell r="D313">
            <v>8.32</v>
          </cell>
        </row>
        <row r="314">
          <cell r="B314" t="str">
            <v>RL032.0G1W001</v>
          </cell>
          <cell r="C314" t="str">
            <v>RL 32 GL 1X WK 1</v>
          </cell>
          <cell r="D314">
            <v>13.94</v>
          </cell>
        </row>
        <row r="315">
          <cell r="B315" t="str">
            <v>RL032.0G1W001COMM</v>
          </cell>
          <cell r="C315" t="str">
            <v>RL 32 GL 1X WK COMM 1</v>
          </cell>
          <cell r="D315">
            <v>5.87</v>
          </cell>
        </row>
        <row r="316">
          <cell r="B316" t="str">
            <v>RL032.0G1W002</v>
          </cell>
          <cell r="C316" t="str">
            <v>RL 32 GL 1X WK 2</v>
          </cell>
          <cell r="D316">
            <v>18.3</v>
          </cell>
        </row>
        <row r="317">
          <cell r="B317" t="str">
            <v>RL032.0G1W002COMM</v>
          </cell>
          <cell r="C317" t="str">
            <v>RL 32 GL 1X WK COMM 2</v>
          </cell>
          <cell r="D317">
            <v>11.69</v>
          </cell>
        </row>
        <row r="318">
          <cell r="B318" t="str">
            <v>RL032.0G1W003</v>
          </cell>
          <cell r="C318" t="str">
            <v>RL 32 GL 1X WK 3</v>
          </cell>
          <cell r="D318">
            <v>22.6</v>
          </cell>
        </row>
        <row r="319">
          <cell r="B319" t="str">
            <v>RL032.0G1W003COMM</v>
          </cell>
          <cell r="C319" t="str">
            <v>RL 32 GL 1X WK COMM 3</v>
          </cell>
          <cell r="D319">
            <v>17.54</v>
          </cell>
        </row>
        <row r="320">
          <cell r="B320" t="str">
            <v>RL032.0G1W004</v>
          </cell>
          <cell r="C320" t="str">
            <v>RL 32 GL 1X WK 4</v>
          </cell>
          <cell r="D320">
            <v>26.92</v>
          </cell>
        </row>
        <row r="321">
          <cell r="B321" t="str">
            <v>RL032.0G1W004COMM</v>
          </cell>
          <cell r="C321" t="str">
            <v>RL 32 GL 1X WK COMM 4</v>
          </cell>
          <cell r="D321">
            <v>23.38</v>
          </cell>
        </row>
        <row r="322">
          <cell r="B322" t="str">
            <v>RL032.0G1W005</v>
          </cell>
          <cell r="C322" t="str">
            <v>RL 32 GL 1X WK 5</v>
          </cell>
          <cell r="D322">
            <v>31.78</v>
          </cell>
        </row>
        <row r="323">
          <cell r="B323" t="str">
            <v>RL032.0G1W005COMM</v>
          </cell>
          <cell r="C323" t="str">
            <v>32 GL 1X WK COMM 5</v>
          </cell>
          <cell r="D323">
            <v>29.23</v>
          </cell>
        </row>
        <row r="324">
          <cell r="B324" t="str">
            <v>RL032.0G1W006</v>
          </cell>
          <cell r="C324" t="str">
            <v>RL 32 GL 1X WK 6</v>
          </cell>
          <cell r="D324">
            <v>37.159999999999997</v>
          </cell>
        </row>
        <row r="325">
          <cell r="B325" t="str">
            <v>RL048.0G1W001</v>
          </cell>
          <cell r="C325" t="str">
            <v>RL 48 GL 1X WK 1</v>
          </cell>
          <cell r="D325">
            <v>19.899999999999999</v>
          </cell>
        </row>
        <row r="326">
          <cell r="B326" t="str">
            <v>RL048.0G1W001COMM</v>
          </cell>
          <cell r="C326" t="str">
            <v>RL 48 GL 1X WK COMM 1</v>
          </cell>
          <cell r="D326">
            <v>10.220000000000001</v>
          </cell>
        </row>
        <row r="327">
          <cell r="B327" t="str">
            <v>RL064.0G1W001</v>
          </cell>
          <cell r="C327" t="str">
            <v>RL 64 GL 1X WK 1</v>
          </cell>
          <cell r="D327">
            <v>20.9</v>
          </cell>
        </row>
        <row r="328">
          <cell r="B328" t="str">
            <v>RL064.0G1W001COMM</v>
          </cell>
          <cell r="C328" t="str">
            <v>RL 64 GL 1X WK COMM 1</v>
          </cell>
          <cell r="D328">
            <v>10.83</v>
          </cell>
        </row>
        <row r="329">
          <cell r="B329" t="str">
            <v>RL096.0G1W001</v>
          </cell>
          <cell r="C329" t="str">
            <v>RL 96 GL 1X WK 1</v>
          </cell>
          <cell r="D329">
            <v>25.44</v>
          </cell>
        </row>
        <row r="330">
          <cell r="B330" t="str">
            <v>RL096.0G1W001COMM</v>
          </cell>
          <cell r="C330" t="str">
            <v>RL 96 GL 1X WK COMM 1</v>
          </cell>
          <cell r="D330">
            <v>13.16</v>
          </cell>
        </row>
        <row r="331">
          <cell r="B331" t="str">
            <v>RL096.0G1W001REC</v>
          </cell>
          <cell r="C331" t="str">
            <v>RL 96 GL 1X WK REC COMM 1</v>
          </cell>
          <cell r="D331">
            <v>9.6199999999999992</v>
          </cell>
        </row>
        <row r="332">
          <cell r="B332" t="str">
            <v>RL1.5TC-COMM</v>
          </cell>
          <cell r="C332" t="str">
            <v>RL TEMPORARY 1.5 YD-COMM</v>
          </cell>
          <cell r="D332">
            <v>9.52</v>
          </cell>
        </row>
        <row r="333">
          <cell r="B333" t="str">
            <v>RL32R-OC</v>
          </cell>
          <cell r="C333" t="str">
            <v>1 RL 32 GL ON CALL-RES</v>
          </cell>
          <cell r="D333">
            <v>4.16</v>
          </cell>
        </row>
        <row r="334">
          <cell r="B334" t="str">
            <v>ROLL OFF</v>
          </cell>
          <cell r="C334" t="str">
            <v>Code ID</v>
          </cell>
          <cell r="D334" t="str">
            <v>Billcycle</v>
          </cell>
        </row>
        <row r="335">
          <cell r="B335" t="str">
            <v>ROLLCART-COMM</v>
          </cell>
          <cell r="C335" t="str">
            <v>ROLL OUT CART CHARGE -COM</v>
          </cell>
          <cell r="D335">
            <v>1.1499999999999999</v>
          </cell>
        </row>
        <row r="336">
          <cell r="B336" t="str">
            <v>ROLL-COMM</v>
          </cell>
          <cell r="C336" t="str">
            <v>ROLL OUT CHARGE - COMM</v>
          </cell>
          <cell r="D336">
            <v>3.98</v>
          </cell>
        </row>
        <row r="337">
          <cell r="B337" t="str">
            <v>RT001.25Y0W000C</v>
          </cell>
          <cell r="C337" t="str">
            <v>RENTAL FEE 1.25 YD COMM</v>
          </cell>
          <cell r="D337">
            <v>9.51</v>
          </cell>
        </row>
        <row r="338">
          <cell r="B338" t="str">
            <v>RT001.25YTMP00X</v>
          </cell>
          <cell r="C338" t="str">
            <v>RENTAL FEE 1.25 YD TEMP -</v>
          </cell>
          <cell r="D338">
            <v>0.36</v>
          </cell>
        </row>
        <row r="339">
          <cell r="B339" t="str">
            <v>SL064.0GEO001REC</v>
          </cell>
          <cell r="C339" t="str">
            <v>SL 64 GL EOW RECYCLE 1</v>
          </cell>
          <cell r="D339">
            <v>16.399999999999999</v>
          </cell>
        </row>
        <row r="340">
          <cell r="B340" t="str">
            <v>SL096.0GEO001GW</v>
          </cell>
          <cell r="C340" t="str">
            <v>SL 96 GL EOW GREENWASTE 1</v>
          </cell>
          <cell r="D340">
            <v>21.56</v>
          </cell>
        </row>
        <row r="341">
          <cell r="B341" t="str">
            <v>STGRNT</v>
          </cell>
          <cell r="C341" t="str">
            <v>STORAGE CONTAINER RENT</v>
          </cell>
          <cell r="D341">
            <v>85</v>
          </cell>
        </row>
        <row r="342">
          <cell r="B342" t="str">
            <v>SUNKENCAN-COMM</v>
          </cell>
          <cell r="C342" t="str">
            <v>SUNKEN CAN FEE - COMM</v>
          </cell>
          <cell r="D342">
            <v>0.61</v>
          </cell>
        </row>
        <row r="343">
          <cell r="B343" t="str">
            <v>SUNKENCAN-RES</v>
          </cell>
          <cell r="C343" t="str">
            <v>SUNKEN CAN FEE - RES</v>
          </cell>
          <cell r="D343">
            <v>1.21</v>
          </cell>
        </row>
        <row r="344">
          <cell r="B344" t="str">
            <v>TRIP-RES</v>
          </cell>
          <cell r="C344" t="str">
            <v>TRIP FEE - RES</v>
          </cell>
          <cell r="D344">
            <v>4.1100000000000003</v>
          </cell>
        </row>
        <row r="345">
          <cell r="B345" t="str">
            <v>UNLCKC</v>
          </cell>
          <cell r="C345" t="str">
            <v>UNLOCKING FEE - COMM</v>
          </cell>
          <cell r="D345">
            <v>1.1499999999999999</v>
          </cell>
        </row>
        <row r="346">
          <cell r="B346" t="str">
            <v>WI1-RES</v>
          </cell>
          <cell r="C346" t="str">
            <v>WALK IN 5-25 FT - RES</v>
          </cell>
          <cell r="D346">
            <v>2.34</v>
          </cell>
        </row>
        <row r="347">
          <cell r="B347" t="str">
            <v>WI2-RES</v>
          </cell>
          <cell r="C347" t="str">
            <v>WALK IN 26-50 FT - RES</v>
          </cell>
          <cell r="D347">
            <v>3.29</v>
          </cell>
        </row>
        <row r="348">
          <cell r="B348" t="str">
            <v>WI3-RES</v>
          </cell>
          <cell r="C348" t="str">
            <v>WALK IN 51-75 FT - RES</v>
          </cell>
          <cell r="D348">
            <v>4.24</v>
          </cell>
        </row>
        <row r="349">
          <cell r="B349" t="str">
            <v>WI4-RES</v>
          </cell>
          <cell r="C349" t="str">
            <v>WALK IN 76-100 FT - RES</v>
          </cell>
          <cell r="D349">
            <v>5.2</v>
          </cell>
        </row>
        <row r="350">
          <cell r="B350" t="str">
            <v>ACCOUNTING</v>
          </cell>
          <cell r="C350" t="str">
            <v>Code ID</v>
          </cell>
          <cell r="D350" t="str">
            <v>Billcycle</v>
          </cell>
        </row>
        <row r="351">
          <cell r="B351" t="str">
            <v>ADD32GLCOM1W</v>
          </cell>
          <cell r="C351" t="str">
            <v>ADDTL 32 GL 1X WK COMM</v>
          </cell>
          <cell r="D351">
            <v>5.83</v>
          </cell>
        </row>
        <row r="352">
          <cell r="B352" t="str">
            <v>COMMERCIAL</v>
          </cell>
          <cell r="C352" t="str">
            <v>Code ID</v>
          </cell>
          <cell r="D352" t="str">
            <v>Billcycle</v>
          </cell>
        </row>
        <row r="353">
          <cell r="B353" t="str">
            <v>DEL1.5-COMM</v>
          </cell>
          <cell r="C353" t="str">
            <v>DELIVERY FEE 1.5YD - COMM</v>
          </cell>
          <cell r="D353">
            <v>18.36</v>
          </cell>
        </row>
        <row r="354">
          <cell r="B354" t="str">
            <v>DEL3-COMM</v>
          </cell>
          <cell r="C354" t="str">
            <v>DELIVERY FEE 3YD - COMM</v>
          </cell>
          <cell r="D354">
            <v>22.63</v>
          </cell>
        </row>
        <row r="355">
          <cell r="B355" t="str">
            <v>DEL4-COMM</v>
          </cell>
          <cell r="C355" t="str">
            <v>DELIVERY FEE 4YD - COMM</v>
          </cell>
          <cell r="D355">
            <v>22.63</v>
          </cell>
        </row>
        <row r="356">
          <cell r="B356" t="str">
            <v>DEL6-COMM</v>
          </cell>
          <cell r="C356" t="str">
            <v>DELIVERY FEE 6YD - COMM</v>
          </cell>
          <cell r="D356">
            <v>26.3</v>
          </cell>
        </row>
        <row r="357">
          <cell r="B357" t="str">
            <v>DEL-RO</v>
          </cell>
          <cell r="C357" t="str">
            <v>DELIVERY FEE - RO</v>
          </cell>
          <cell r="D357">
            <v>28.66</v>
          </cell>
        </row>
        <row r="358">
          <cell r="B358" t="str">
            <v>DISP-RO</v>
          </cell>
          <cell r="C358" t="str">
            <v>DISPOSAL CHARGE - RO</v>
          </cell>
          <cell r="D358">
            <v>30.89</v>
          </cell>
        </row>
        <row r="359">
          <cell r="B359" t="str">
            <v>DRIVEIN-COMM</v>
          </cell>
          <cell r="C359" t="str">
            <v>DRIVE IN SERVICE-COMM</v>
          </cell>
          <cell r="D359">
            <v>2.91</v>
          </cell>
        </row>
        <row r="360">
          <cell r="B360" t="str">
            <v>DRIVEIN-RES</v>
          </cell>
          <cell r="C360" t="str">
            <v>DRIVE IN SERVICE - RES</v>
          </cell>
          <cell r="D360">
            <v>6.52</v>
          </cell>
        </row>
        <row r="361">
          <cell r="B361" t="str">
            <v>EP1.5-COMM</v>
          </cell>
          <cell r="C361" t="str">
            <v>EXTRA PICK UP 1.5 YD - CO</v>
          </cell>
          <cell r="D361">
            <v>9.99</v>
          </cell>
        </row>
        <row r="362">
          <cell r="B362" t="str">
            <v>EP3-COMM</v>
          </cell>
          <cell r="C362" t="str">
            <v>EXTRA PICK UP 3 YD - COMM</v>
          </cell>
          <cell r="D362">
            <v>16.03</v>
          </cell>
        </row>
        <row r="363">
          <cell r="B363" t="str">
            <v>EP4-COMM</v>
          </cell>
          <cell r="C363" t="str">
            <v>EXTRA PICK UP 4 YD - COMM</v>
          </cell>
          <cell r="D363">
            <v>19.28</v>
          </cell>
        </row>
        <row r="364">
          <cell r="B364" t="str">
            <v>EP6-COMM</v>
          </cell>
          <cell r="C364" t="str">
            <v>EXTRA PICK UP 6 YD - COMM</v>
          </cell>
          <cell r="D364">
            <v>26.18</v>
          </cell>
        </row>
        <row r="365">
          <cell r="B365" t="str">
            <v>EXTRA-RES</v>
          </cell>
          <cell r="C365" t="str">
            <v>EXTRA CAN, BAG, BOX-RES</v>
          </cell>
          <cell r="D365">
            <v>1.95</v>
          </cell>
        </row>
        <row r="366">
          <cell r="B366" t="str">
            <v>FL1.5TC-COMM</v>
          </cell>
          <cell r="C366" t="str">
            <v>FL 1.5 YD TEMP - COMM</v>
          </cell>
          <cell r="D366">
            <v>8.76</v>
          </cell>
        </row>
        <row r="367">
          <cell r="B367" t="str">
            <v>FL3TC-COMM</v>
          </cell>
          <cell r="C367" t="str">
            <v>FL 3 YD TEMP - COMM</v>
          </cell>
          <cell r="D367">
            <v>16.11</v>
          </cell>
        </row>
        <row r="368">
          <cell r="B368" t="str">
            <v>FL4TC-COMM</v>
          </cell>
          <cell r="C368" t="str">
            <v>FL 4 YD TEMP - COMM</v>
          </cell>
          <cell r="D368">
            <v>21.03</v>
          </cell>
        </row>
        <row r="369">
          <cell r="B369" t="str">
            <v>FL6TC-COMM</v>
          </cell>
          <cell r="C369" t="str">
            <v>FL 6 YD TEMP - COMM</v>
          </cell>
          <cell r="D369">
            <v>24.92</v>
          </cell>
        </row>
        <row r="370">
          <cell r="B370" t="str">
            <v>HAUL20-CP</v>
          </cell>
          <cell r="C370" t="str">
            <v>COMPACTOR HAUL 20 YD - RO</v>
          </cell>
          <cell r="D370">
            <v>105.92</v>
          </cell>
        </row>
        <row r="371">
          <cell r="B371" t="str">
            <v>HAUL20-RO</v>
          </cell>
          <cell r="C371" t="str">
            <v>HAUL 20 YD - RO</v>
          </cell>
          <cell r="D371">
            <v>91.67</v>
          </cell>
        </row>
        <row r="372">
          <cell r="B372" t="str">
            <v>HAUL20TEMP-RO</v>
          </cell>
          <cell r="C372" t="str">
            <v>HAUL 20 YD TEMP - RO</v>
          </cell>
          <cell r="D372">
            <v>59.36</v>
          </cell>
        </row>
        <row r="373">
          <cell r="B373" t="str">
            <v>HAUL25-CP</v>
          </cell>
          <cell r="C373" t="str">
            <v>COMPACTOR HAUL 25 YD - RO</v>
          </cell>
          <cell r="D373">
            <v>116.12</v>
          </cell>
        </row>
        <row r="374">
          <cell r="B374" t="str">
            <v>HAUL30-CP</v>
          </cell>
          <cell r="C374" t="str">
            <v>COMPACTOR HAUL 30 YD - RO</v>
          </cell>
          <cell r="D374">
            <v>125.74</v>
          </cell>
        </row>
        <row r="375">
          <cell r="B375" t="str">
            <v>HAUL30-RO</v>
          </cell>
          <cell r="C375" t="str">
            <v>HAUL 30 YD - RO</v>
          </cell>
          <cell r="D375">
            <v>66.56</v>
          </cell>
        </row>
        <row r="376">
          <cell r="B376" t="str">
            <v>HAUL30TEMP-RO</v>
          </cell>
          <cell r="C376" t="str">
            <v>HAUL 30 YD TEMP - RO</v>
          </cell>
          <cell r="D376">
            <v>66.56</v>
          </cell>
        </row>
        <row r="377">
          <cell r="B377" t="str">
            <v>HAUL35-CP</v>
          </cell>
          <cell r="C377" t="str">
            <v>COMPACTOR HAUL 35 YD - RO</v>
          </cell>
          <cell r="D377">
            <v>149.85</v>
          </cell>
        </row>
        <row r="378">
          <cell r="B378" t="str">
            <v>HAUL40-CP</v>
          </cell>
          <cell r="C378" t="str">
            <v>COMPACTOR HAUL 40 YD - RO</v>
          </cell>
          <cell r="D378">
            <v>149.85</v>
          </cell>
        </row>
        <row r="379">
          <cell r="B379" t="str">
            <v>HAUL40-RO</v>
          </cell>
          <cell r="C379" t="str">
            <v>HAUL 40 YD - RO</v>
          </cell>
          <cell r="D379">
            <v>81.83</v>
          </cell>
        </row>
        <row r="380">
          <cell r="B380" t="str">
            <v>HAUL40TEMP-RO</v>
          </cell>
          <cell r="C380" t="str">
            <v>HAUL 40 YD TEMP - RO</v>
          </cell>
          <cell r="D380">
            <v>81.83</v>
          </cell>
        </row>
        <row r="381">
          <cell r="B381" t="str">
            <v>HAUL50-RO</v>
          </cell>
          <cell r="C381" t="str">
            <v>HAUL 50 YD - RO</v>
          </cell>
          <cell r="D381">
            <v>81.83</v>
          </cell>
        </row>
        <row r="382">
          <cell r="B382" t="str">
            <v>HAUL50TEMP-RO</v>
          </cell>
          <cell r="C382" t="str">
            <v>HAUL 50 YD TEMP - RO</v>
          </cell>
          <cell r="D382">
            <v>81.83</v>
          </cell>
        </row>
        <row r="383">
          <cell r="B383" t="str">
            <v>OS-RES</v>
          </cell>
          <cell r="C383" t="str">
            <v>OVERSIZE CAN - RES</v>
          </cell>
          <cell r="D383">
            <v>1.66</v>
          </cell>
        </row>
        <row r="384">
          <cell r="B384" t="str">
            <v>REDEL-RES</v>
          </cell>
          <cell r="C384" t="str">
            <v>REDELIVERY FEE - RES</v>
          </cell>
          <cell r="D384">
            <v>14.02</v>
          </cell>
        </row>
        <row r="385">
          <cell r="B385" t="str">
            <v>REINSTATE-COMM</v>
          </cell>
          <cell r="C385" t="str">
            <v>REINSTATE FEE - COMM</v>
          </cell>
          <cell r="D385">
            <v>5.0999999999999996</v>
          </cell>
        </row>
        <row r="386">
          <cell r="B386" t="str">
            <v>REINSTATE-RES</v>
          </cell>
          <cell r="C386" t="str">
            <v>REINSTATE FEE - RES</v>
          </cell>
          <cell r="D386">
            <v>5.0999999999999996</v>
          </cell>
        </row>
        <row r="387">
          <cell r="B387" t="str">
            <v>RENT1.5-COMM</v>
          </cell>
          <cell r="C387" t="str">
            <v>RENTAL FEE 1.5 YD COMM</v>
          </cell>
          <cell r="D387">
            <v>9.3000000000000007</v>
          </cell>
        </row>
        <row r="388">
          <cell r="B388" t="str">
            <v>RENT1.5TEMP-COMM</v>
          </cell>
          <cell r="C388" t="str">
            <v>RENTAL FEE 1.5 YD TEMP -</v>
          </cell>
          <cell r="D388">
            <v>0.34</v>
          </cell>
        </row>
        <row r="389">
          <cell r="B389" t="str">
            <v>RENT20DAY-RO</v>
          </cell>
          <cell r="C389" t="str">
            <v>RENTAL FEE 20 YD DAILY</v>
          </cell>
          <cell r="D389">
            <v>2.88</v>
          </cell>
        </row>
        <row r="390">
          <cell r="B390" t="str">
            <v>RENT20MO-RO</v>
          </cell>
          <cell r="C390" t="str">
            <v>RENTAL FEE 20 YD MONTHLY</v>
          </cell>
          <cell r="D390">
            <v>37.14</v>
          </cell>
        </row>
        <row r="391">
          <cell r="B391" t="str">
            <v>RENT30DAY-RO</v>
          </cell>
          <cell r="C391" t="str">
            <v>RENTAL FEE 30 YD DAILY</v>
          </cell>
          <cell r="D391">
            <v>3.45</v>
          </cell>
        </row>
        <row r="392">
          <cell r="B392" t="str">
            <v>RENT30MO-RO</v>
          </cell>
          <cell r="C392" t="str">
            <v>RENTAL FEE 30 YD MONTHLY</v>
          </cell>
          <cell r="D392">
            <v>32.130000000000003</v>
          </cell>
        </row>
        <row r="393">
          <cell r="B393" t="str">
            <v>RENT40DAY-RO</v>
          </cell>
          <cell r="C393" t="str">
            <v>RENTAL FEE 40 YD DAILY</v>
          </cell>
          <cell r="D393">
            <v>3.74</v>
          </cell>
        </row>
        <row r="394">
          <cell r="B394" t="str">
            <v>RENT40MO-RO</v>
          </cell>
          <cell r="C394" t="str">
            <v>RENTAL FEE 40 YD MONTHLY</v>
          </cell>
          <cell r="D394">
            <v>36.72</v>
          </cell>
        </row>
        <row r="395">
          <cell r="B395" t="str">
            <v>RESIDENTIAL</v>
          </cell>
          <cell r="C395" t="str">
            <v>Code ID</v>
          </cell>
          <cell r="D395" t="str">
            <v>Billcycle</v>
          </cell>
        </row>
        <row r="396">
          <cell r="B396" t="str">
            <v>RETCKC</v>
          </cell>
          <cell r="C396" t="str">
            <v>RETURN CHECK CHARGE</v>
          </cell>
          <cell r="D396">
            <v>10</v>
          </cell>
        </row>
        <row r="397">
          <cell r="B397" t="str">
            <v>RL001.25Y1W001</v>
          </cell>
          <cell r="C397" t="str">
            <v>RL 1.25 YD 1X WK 1</v>
          </cell>
          <cell r="D397">
            <v>25.79</v>
          </cell>
        </row>
        <row r="398">
          <cell r="B398" t="str">
            <v>RL001.5Y1W001</v>
          </cell>
          <cell r="C398" t="str">
            <v>RL 1.5 YD 1X WK 1</v>
          </cell>
          <cell r="D398">
            <v>29.28</v>
          </cell>
        </row>
        <row r="399">
          <cell r="B399" t="str">
            <v>RL001.5Y2W001</v>
          </cell>
          <cell r="C399" t="str">
            <v>RL 1.5 YD 2X WK 1</v>
          </cell>
          <cell r="D399">
            <v>58.56</v>
          </cell>
        </row>
        <row r="400">
          <cell r="B400" t="str">
            <v>RL001.5Y3W001</v>
          </cell>
          <cell r="C400" t="str">
            <v>RL 1.5 YD 3X WK 1</v>
          </cell>
          <cell r="D400">
            <v>117.07</v>
          </cell>
        </row>
        <row r="401">
          <cell r="B401" t="str">
            <v>RL001.5Y5W001</v>
          </cell>
          <cell r="C401" t="str">
            <v>RL 1.5 YD 5X WK 1</v>
          </cell>
          <cell r="D401">
            <v>146.41999999999999</v>
          </cell>
        </row>
        <row r="402">
          <cell r="B402" t="str">
            <v>RL020.0G1W001</v>
          </cell>
          <cell r="C402" t="str">
            <v>RL 20 GL 1X WK 1</v>
          </cell>
          <cell r="D402">
            <v>10.77</v>
          </cell>
        </row>
        <row r="403">
          <cell r="B403" t="str">
            <v>RL032.0G1M001</v>
          </cell>
          <cell r="C403" t="str">
            <v>RL 32 GL 1X MO 1</v>
          </cell>
          <cell r="D403">
            <v>7.75</v>
          </cell>
        </row>
        <row r="404">
          <cell r="B404" t="str">
            <v>RL032.0G1W001</v>
          </cell>
          <cell r="C404" t="str">
            <v>RL 32 GL 1X WK 1</v>
          </cell>
          <cell r="D404">
            <v>13.54</v>
          </cell>
        </row>
        <row r="405">
          <cell r="B405" t="str">
            <v>RL032.0G1W001COMM</v>
          </cell>
          <cell r="C405" t="str">
            <v>RL 32 GL 1X WK COMM 1</v>
          </cell>
          <cell r="D405">
            <v>5.98</v>
          </cell>
        </row>
        <row r="406">
          <cell r="B406" t="str">
            <v>RL032.0G1W002</v>
          </cell>
          <cell r="C406" t="str">
            <v>RL 32 GL 1X WK 2</v>
          </cell>
          <cell r="D406">
            <v>17.97</v>
          </cell>
        </row>
        <row r="407">
          <cell r="B407" t="str">
            <v>RL032.0G1W003</v>
          </cell>
          <cell r="C407" t="str">
            <v>RL 32 GL 1X WK 3</v>
          </cell>
          <cell r="D407">
            <v>22.46</v>
          </cell>
        </row>
        <row r="408">
          <cell r="B408" t="str">
            <v>RL032.0G1W004</v>
          </cell>
          <cell r="C408" t="str">
            <v>RL 32 GL 1X WK 4</v>
          </cell>
          <cell r="D408">
            <v>26.94</v>
          </cell>
        </row>
        <row r="409">
          <cell r="B409" t="str">
            <v>RL032.0G1W005</v>
          </cell>
          <cell r="C409" t="str">
            <v>RL 32 GL 1X WK 5</v>
          </cell>
          <cell r="D409">
            <v>31.96</v>
          </cell>
        </row>
        <row r="410">
          <cell r="B410" t="str">
            <v>RL032.0G1W006</v>
          </cell>
          <cell r="C410" t="str">
            <v>RL 32 GL 1X WK 6</v>
          </cell>
          <cell r="D410">
            <v>37.450000000000003</v>
          </cell>
        </row>
        <row r="411">
          <cell r="B411" t="str">
            <v>RL048.0G1W001</v>
          </cell>
          <cell r="C411" t="str">
            <v>RL 48 GL 1X WK 1</v>
          </cell>
          <cell r="D411">
            <v>19.29</v>
          </cell>
        </row>
        <row r="412">
          <cell r="B412" t="str">
            <v>RL048.0G1W001COMM</v>
          </cell>
          <cell r="C412" t="str">
            <v>RL 48 GL 1X WK COMM 1</v>
          </cell>
          <cell r="D412">
            <v>9.7200000000000006</v>
          </cell>
        </row>
        <row r="413">
          <cell r="B413" t="str">
            <v>RL064.0G1W001</v>
          </cell>
          <cell r="C413" t="str">
            <v>RL 64 GL 1X WK 1</v>
          </cell>
          <cell r="D413">
            <v>20.420000000000002</v>
          </cell>
        </row>
        <row r="414">
          <cell r="B414" t="str">
            <v>RL064.0G1W001COMM</v>
          </cell>
          <cell r="C414" t="str">
            <v>RL 64 GL 1X WK COMM 1</v>
          </cell>
          <cell r="D414">
            <v>10.38</v>
          </cell>
        </row>
        <row r="415">
          <cell r="B415" t="str">
            <v>RL096.0G1W001</v>
          </cell>
          <cell r="C415" t="str">
            <v>RL 96 GL 1X WK 1</v>
          </cell>
          <cell r="D415">
            <v>25.11</v>
          </cell>
        </row>
        <row r="416">
          <cell r="B416" t="str">
            <v>RL096.0G1W001COMM</v>
          </cell>
          <cell r="C416" t="str">
            <v>RL 96 GL 1X WK COMM 1</v>
          </cell>
          <cell r="D416">
            <v>12.71</v>
          </cell>
        </row>
        <row r="417">
          <cell r="B417" t="str">
            <v>RL1.5TC-COMM</v>
          </cell>
          <cell r="C417" t="str">
            <v>RL TEMPORARY 1.5 YD-COMM</v>
          </cell>
          <cell r="D417">
            <v>9.48</v>
          </cell>
        </row>
        <row r="418">
          <cell r="B418" t="str">
            <v>ROLL OFF</v>
          </cell>
          <cell r="C418" t="str">
            <v>Code ID</v>
          </cell>
          <cell r="D418" t="str">
            <v>Billcycle</v>
          </cell>
        </row>
        <row r="419">
          <cell r="B419" t="str">
            <v>RT001.25Y0W000C</v>
          </cell>
          <cell r="C419" t="str">
            <v>RENTAL FEE 1.25 YD COMM</v>
          </cell>
          <cell r="D419">
            <v>9.1</v>
          </cell>
        </row>
        <row r="420">
          <cell r="B420" t="str">
            <v>RT001.25YTMP00X</v>
          </cell>
          <cell r="C420" t="str">
            <v>RENTAL FEE 1.25 YD TEMP -</v>
          </cell>
          <cell r="D420">
            <v>0.34</v>
          </cell>
        </row>
        <row r="421">
          <cell r="B421" t="str">
            <v>SELAH</v>
          </cell>
          <cell r="C421" t="str">
            <v>(blank)</v>
          </cell>
          <cell r="D421" t="str">
            <v>(blank)</v>
          </cell>
        </row>
        <row r="422">
          <cell r="B422" t="str">
            <v>SL064.0GEO001REC</v>
          </cell>
          <cell r="C422" t="str">
            <v>SL 64 GL EOW RECYCLE 1</v>
          </cell>
          <cell r="D422">
            <v>7.05</v>
          </cell>
        </row>
        <row r="423">
          <cell r="B423" t="str">
            <v>SL096.0GEO001GW</v>
          </cell>
          <cell r="C423" t="str">
            <v>SL 96 GL EOW GREENWASTE 1</v>
          </cell>
          <cell r="D423">
            <v>9.91</v>
          </cell>
        </row>
        <row r="424">
          <cell r="B424" t="str">
            <v>STGRNT</v>
          </cell>
          <cell r="C424" t="str">
            <v>STORAGE CONTAINER RENT</v>
          </cell>
          <cell r="D424">
            <v>86.7</v>
          </cell>
        </row>
        <row r="425">
          <cell r="B425" t="str">
            <v>TRIP-RES</v>
          </cell>
          <cell r="C425" t="str">
            <v>TRIP FEE - RES</v>
          </cell>
          <cell r="D425">
            <v>3.92</v>
          </cell>
        </row>
        <row r="426">
          <cell r="B426" t="str">
            <v>UNLCKC</v>
          </cell>
          <cell r="C426" t="str">
            <v>UNLOCKING FEE - COMM</v>
          </cell>
          <cell r="D426">
            <v>1.1000000000000001</v>
          </cell>
        </row>
        <row r="427">
          <cell r="B427" t="str">
            <v>WI1-RES</v>
          </cell>
          <cell r="C427" t="str">
            <v>WALK IN 5-25 FT - RES</v>
          </cell>
          <cell r="D427">
            <v>2.2000000000000002</v>
          </cell>
        </row>
        <row r="428">
          <cell r="B428" t="str">
            <v>WI2-RES</v>
          </cell>
          <cell r="C428" t="str">
            <v>WALK IN 26-50 FT - RES</v>
          </cell>
          <cell r="D428">
            <v>3.18</v>
          </cell>
        </row>
        <row r="429">
          <cell r="B429" t="str">
            <v>WI3-RES</v>
          </cell>
          <cell r="C429" t="str">
            <v>WALK IN 51-75 FT - RES</v>
          </cell>
          <cell r="D429">
            <v>4.16</v>
          </cell>
        </row>
        <row r="430">
          <cell r="B430" t="str">
            <v>WI4-RES</v>
          </cell>
          <cell r="C430" t="str">
            <v>WALK IN 76-100 FT - RES</v>
          </cell>
          <cell r="D430">
            <v>5.12</v>
          </cell>
        </row>
        <row r="431">
          <cell r="B431" t="str">
            <v>ACCOUNTING</v>
          </cell>
          <cell r="C431" t="str">
            <v>Code ID</v>
          </cell>
          <cell r="D431" t="str">
            <v>Billcycle</v>
          </cell>
        </row>
        <row r="432">
          <cell r="B432" t="str">
            <v>CLEAN10-RO</v>
          </cell>
          <cell r="C432" t="str">
            <v>CLEANING FEE 10 YD - RO</v>
          </cell>
          <cell r="D432">
            <v>50.4</v>
          </cell>
        </row>
        <row r="433">
          <cell r="B433" t="str">
            <v>CLEAN20-RO</v>
          </cell>
          <cell r="C433" t="str">
            <v>CLEANING FEE 20 YD - RO</v>
          </cell>
          <cell r="D433">
            <v>100.8</v>
          </cell>
        </row>
        <row r="434">
          <cell r="B434" t="str">
            <v>CLEAN30-RO</v>
          </cell>
          <cell r="C434" t="str">
            <v>CLEANING FEE 30 YD - RO</v>
          </cell>
          <cell r="D434">
            <v>151.19999999999999</v>
          </cell>
        </row>
        <row r="435">
          <cell r="B435" t="str">
            <v>CLEAN40-RO</v>
          </cell>
          <cell r="C435" t="str">
            <v>CLEANING FEE 40 YD - RO</v>
          </cell>
          <cell r="D435">
            <v>201.6</v>
          </cell>
        </row>
        <row r="436">
          <cell r="B436" t="str">
            <v>CLEAN50-RO</v>
          </cell>
          <cell r="C436" t="str">
            <v>CLEANING FEE 50 YD - RO</v>
          </cell>
          <cell r="D436">
            <v>252</v>
          </cell>
        </row>
        <row r="437">
          <cell r="B437" t="str">
            <v>CLEAN8-COMM</v>
          </cell>
          <cell r="C437" t="str">
            <v>CLEANING FEE 8 YD - COMM</v>
          </cell>
          <cell r="D437">
            <v>40.32</v>
          </cell>
        </row>
        <row r="438">
          <cell r="B438" t="str">
            <v>CLEAN-COMM</v>
          </cell>
          <cell r="C438" t="str">
            <v>CONT CLEANING FEE - COMM</v>
          </cell>
          <cell r="D438">
            <v>30.24</v>
          </cell>
        </row>
        <row r="439">
          <cell r="B439" t="str">
            <v>COMMERCIAL</v>
          </cell>
          <cell r="C439" t="str">
            <v>Code ID</v>
          </cell>
          <cell r="D439" t="str">
            <v>Billcycle</v>
          </cell>
        </row>
        <row r="440">
          <cell r="B440" t="str">
            <v>DEL1.5-COMM</v>
          </cell>
          <cell r="C440" t="str">
            <v>DELIVERY FEE 1.5YD - COMM</v>
          </cell>
          <cell r="D440">
            <v>18</v>
          </cell>
        </row>
        <row r="441">
          <cell r="B441" t="str">
            <v>DEL3-COMM</v>
          </cell>
          <cell r="C441" t="str">
            <v>DELIVERY FEE 3YD - COMM</v>
          </cell>
          <cell r="D441">
            <v>22.19</v>
          </cell>
        </row>
        <row r="442">
          <cell r="B442" t="str">
            <v>DEL4-COMM</v>
          </cell>
          <cell r="C442" t="str">
            <v>DELIVERY FEE 4YD - COMM</v>
          </cell>
          <cell r="D442">
            <v>22.19</v>
          </cell>
        </row>
        <row r="443">
          <cell r="B443" t="str">
            <v>DEL6-COMM</v>
          </cell>
          <cell r="C443" t="str">
            <v>DELIVERY FEE 6YD - COMM</v>
          </cell>
          <cell r="D443">
            <v>25.79</v>
          </cell>
        </row>
        <row r="444">
          <cell r="B444" t="str">
            <v>DEL-RO</v>
          </cell>
          <cell r="C444" t="str">
            <v>DELIVERY FEE - RO</v>
          </cell>
          <cell r="D444">
            <v>41.16</v>
          </cell>
        </row>
        <row r="445">
          <cell r="B445" t="str">
            <v>DISP-RO</v>
          </cell>
          <cell r="C445" t="str">
            <v>DISPOSAL CHARGE - RO</v>
          </cell>
          <cell r="D445">
            <v>30.89</v>
          </cell>
        </row>
        <row r="446">
          <cell r="B446" t="str">
            <v>DRIVE-IN RES MTHLY</v>
          </cell>
          <cell r="C446" t="str">
            <v>DRIVE-IN SERVICE RES MONTHLY</v>
          </cell>
          <cell r="D446">
            <v>1.58</v>
          </cell>
        </row>
        <row r="447">
          <cell r="B447" t="str">
            <v>DRIVEINEOW-RES</v>
          </cell>
          <cell r="C447" t="str">
            <v>DRIVE IN EOW CHARGE</v>
          </cell>
          <cell r="D447">
            <v>3.42</v>
          </cell>
        </row>
        <row r="448">
          <cell r="B448" t="str">
            <v>EP1.5-COMM</v>
          </cell>
          <cell r="C448" t="str">
            <v>EXTRA PICK UP 1.5 YD - CO</v>
          </cell>
          <cell r="D448">
            <v>10.039999999999999</v>
          </cell>
        </row>
        <row r="449">
          <cell r="B449" t="str">
            <v>EP3-COMM</v>
          </cell>
          <cell r="C449" t="str">
            <v>EXTRA PICK UP 3 YD - COMM</v>
          </cell>
          <cell r="D449">
            <v>16.2</v>
          </cell>
        </row>
        <row r="450">
          <cell r="B450" t="str">
            <v>EP4-COMM</v>
          </cell>
          <cell r="C450" t="str">
            <v>EXTRA PICK UP 4 YD - COMM</v>
          </cell>
          <cell r="D450">
            <v>19.5</v>
          </cell>
        </row>
        <row r="451">
          <cell r="B451" t="str">
            <v>EP6-COMM</v>
          </cell>
          <cell r="C451" t="str">
            <v>EXTRA PICK UP 6 YD - COMM</v>
          </cell>
          <cell r="D451">
            <v>26.6</v>
          </cell>
        </row>
        <row r="452">
          <cell r="B452" t="str">
            <v>EXTRA1TO4YD-COMM</v>
          </cell>
          <cell r="C452" t="str">
            <v>EXTRA PU 1 TO 4YD - COMM</v>
          </cell>
          <cell r="D452">
            <v>6.92</v>
          </cell>
        </row>
        <row r="453">
          <cell r="B453" t="str">
            <v>EXTRA5OVERYD-COMM</v>
          </cell>
          <cell r="C453" t="str">
            <v>EXTRA PU 5YD OVER - COMM</v>
          </cell>
          <cell r="D453">
            <v>6.22</v>
          </cell>
        </row>
        <row r="454">
          <cell r="B454" t="str">
            <v>EXTRA-COMM</v>
          </cell>
          <cell r="C454" t="str">
            <v>EXTRA CAN, BAG, BOX-COMM</v>
          </cell>
          <cell r="D454">
            <v>2.08</v>
          </cell>
        </row>
        <row r="455">
          <cell r="B455" t="str">
            <v>FL004.0Y1W001CMP</v>
          </cell>
          <cell r="C455" t="str">
            <v>FL 4 YD 1X WK COMP 1</v>
          </cell>
          <cell r="D455">
            <v>41.52</v>
          </cell>
        </row>
        <row r="456">
          <cell r="B456" t="str">
            <v>FL1.5TC-COMM</v>
          </cell>
          <cell r="C456" t="str">
            <v>FL 1.5 YD TEMP - COMM</v>
          </cell>
          <cell r="D456">
            <v>9.52</v>
          </cell>
        </row>
        <row r="457">
          <cell r="B457" t="str">
            <v>FL3TC-COMM</v>
          </cell>
          <cell r="C457" t="str">
            <v>FL 3 YD TEMP - COMM</v>
          </cell>
          <cell r="D457">
            <v>17.5</v>
          </cell>
        </row>
        <row r="458">
          <cell r="B458" t="str">
            <v>FL4TC-COMM</v>
          </cell>
          <cell r="C458" t="str">
            <v>FL 4 YD TEMP - COMM</v>
          </cell>
          <cell r="D458">
            <v>22.75</v>
          </cell>
        </row>
        <row r="459">
          <cell r="B459" t="str">
            <v>FL6TC-COMM</v>
          </cell>
          <cell r="C459" t="str">
            <v>FL 6 YD TEMP - COMM</v>
          </cell>
          <cell r="D459">
            <v>27.08</v>
          </cell>
        </row>
        <row r="460">
          <cell r="B460" t="str">
            <v>HAUL10-CP</v>
          </cell>
          <cell r="C460" t="str">
            <v>HAUL 10-18YD COMP - RO</v>
          </cell>
          <cell r="D460">
            <v>135.02000000000001</v>
          </cell>
        </row>
        <row r="461">
          <cell r="B461" t="str">
            <v>HAUL20-CP</v>
          </cell>
          <cell r="C461" t="str">
            <v>COMPACTOR HAUL 20 YD - RO</v>
          </cell>
          <cell r="D461">
            <v>140.53</v>
          </cell>
        </row>
        <row r="462">
          <cell r="B462" t="str">
            <v>HAUL20-RO</v>
          </cell>
          <cell r="C462" t="str">
            <v>HAUL 20 YD - RO</v>
          </cell>
          <cell r="D462">
            <v>78.73</v>
          </cell>
        </row>
        <row r="463">
          <cell r="B463" t="str">
            <v>HAUL25-CP</v>
          </cell>
          <cell r="C463" t="str">
            <v>COMPACTOR HAUL 25 YD - RO</v>
          </cell>
          <cell r="D463">
            <v>153.93</v>
          </cell>
        </row>
        <row r="464">
          <cell r="B464" t="str">
            <v>HAUL30-CP</v>
          </cell>
          <cell r="C464" t="str">
            <v>COMPACTOR HAUL 30 YD - RO</v>
          </cell>
          <cell r="D464">
            <v>166.7</v>
          </cell>
        </row>
        <row r="465">
          <cell r="B465" t="str">
            <v>HAUL30-RO</v>
          </cell>
          <cell r="C465" t="str">
            <v>HAUL 30 YD - RO</v>
          </cell>
          <cell r="D465">
            <v>88.24</v>
          </cell>
        </row>
        <row r="466">
          <cell r="B466" t="str">
            <v>HAUL35-CP</v>
          </cell>
          <cell r="C466" t="str">
            <v>COMPACTOR HAUL 35 YD - RO</v>
          </cell>
          <cell r="D466">
            <v>198.68</v>
          </cell>
        </row>
        <row r="467">
          <cell r="B467" t="str">
            <v>HAUL36-CP</v>
          </cell>
          <cell r="C467" t="str">
            <v>HAUL 36YD COMP - RO</v>
          </cell>
          <cell r="D467">
            <v>198.68</v>
          </cell>
        </row>
        <row r="468">
          <cell r="B468" t="str">
            <v>HAUL40-CP</v>
          </cell>
          <cell r="C468" t="str">
            <v>COMPACTOR HAUL 40 YD - RO</v>
          </cell>
          <cell r="D468">
            <v>198.68</v>
          </cell>
        </row>
        <row r="469">
          <cell r="B469" t="str">
            <v>HAUL40-RO</v>
          </cell>
          <cell r="C469" t="str">
            <v>HAUL 40 YD - RO</v>
          </cell>
          <cell r="D469">
            <v>108.46</v>
          </cell>
        </row>
        <row r="470">
          <cell r="B470" t="str">
            <v>HAUL50-RO</v>
          </cell>
          <cell r="C470" t="str">
            <v>HAUL 50 YD - RO</v>
          </cell>
          <cell r="D470">
            <v>108.46</v>
          </cell>
        </row>
        <row r="471">
          <cell r="B471" t="str">
            <v>MILE-RO</v>
          </cell>
          <cell r="C471" t="str">
            <v>MILEAGE FEE - RO</v>
          </cell>
          <cell r="D471">
            <v>3.07</v>
          </cell>
        </row>
        <row r="472">
          <cell r="B472" t="str">
            <v>OS-RES</v>
          </cell>
          <cell r="C472" t="str">
            <v>OVERSIZE CAN - RES</v>
          </cell>
          <cell r="D472">
            <v>1.72</v>
          </cell>
        </row>
        <row r="473">
          <cell r="B473" t="str">
            <v>PUREDEL1-COMM</v>
          </cell>
          <cell r="C473" t="str">
            <v>PU/REDEL UP TO 8 YDS - COMM</v>
          </cell>
          <cell r="D473">
            <v>21.52</v>
          </cell>
        </row>
        <row r="474">
          <cell r="B474" t="str">
            <v>PUREDEL1-RO</v>
          </cell>
          <cell r="C474" t="str">
            <v>PU/REDEL OVER 8 YDS - RO</v>
          </cell>
          <cell r="D474">
            <v>34.35</v>
          </cell>
        </row>
        <row r="475">
          <cell r="B475" t="str">
            <v>REDEL1.5-COMM</v>
          </cell>
          <cell r="C475" t="str">
            <v>REDELIVERY FEE 1.5 YD - COMM</v>
          </cell>
          <cell r="D475">
            <v>18</v>
          </cell>
        </row>
        <row r="476">
          <cell r="B476" t="str">
            <v>REDEL3-COMM</v>
          </cell>
          <cell r="C476" t="str">
            <v>REDELIVERY FEE 3 YD - COMM</v>
          </cell>
          <cell r="D476">
            <v>22.19</v>
          </cell>
        </row>
        <row r="477">
          <cell r="B477" t="str">
            <v>REDEL4-COMM</v>
          </cell>
          <cell r="C477" t="str">
            <v>REDELIVERY FEE 4 YD - COMM</v>
          </cell>
          <cell r="D477">
            <v>22.19</v>
          </cell>
        </row>
        <row r="478">
          <cell r="B478" t="str">
            <v>REDEL6-COMM</v>
          </cell>
          <cell r="C478" t="str">
            <v>REDELIVERY FEE 6 YD - COMM</v>
          </cell>
          <cell r="D478">
            <v>25.79</v>
          </cell>
        </row>
        <row r="479">
          <cell r="B479" t="str">
            <v>REDEL-RES</v>
          </cell>
          <cell r="C479" t="str">
            <v>REDELIVERY FEE - RES</v>
          </cell>
          <cell r="D479">
            <v>14.78</v>
          </cell>
        </row>
        <row r="480">
          <cell r="B480" t="str">
            <v>REINSTATE-COMM</v>
          </cell>
          <cell r="C480" t="str">
            <v>REINSTATE FEE - COMM</v>
          </cell>
          <cell r="D480">
            <v>11.43</v>
          </cell>
        </row>
        <row r="481">
          <cell r="B481" t="str">
            <v>REINSTATE-RES</v>
          </cell>
          <cell r="C481" t="str">
            <v>REINSTATE FEE - RES</v>
          </cell>
          <cell r="D481">
            <v>11.43</v>
          </cell>
        </row>
        <row r="482">
          <cell r="B482" t="str">
            <v>RENT1.5-COMM</v>
          </cell>
          <cell r="C482" t="str">
            <v>RENTAL FEE 1.5 YD COMM</v>
          </cell>
          <cell r="D482">
            <v>9.7200000000000006</v>
          </cell>
        </row>
        <row r="483">
          <cell r="B483" t="str">
            <v>RENT1.5TEMP-COMM</v>
          </cell>
          <cell r="C483" t="str">
            <v>RENTAL FEE 1.5 YD TEMP -</v>
          </cell>
          <cell r="D483">
            <v>0.36</v>
          </cell>
        </row>
        <row r="484">
          <cell r="B484" t="str">
            <v>RENT20DAY-RO</v>
          </cell>
          <cell r="C484" t="str">
            <v>RENTAL FEE 20 YD DAILY</v>
          </cell>
          <cell r="D484">
            <v>3.85</v>
          </cell>
        </row>
        <row r="485">
          <cell r="B485" t="str">
            <v>RENT20MO-RO</v>
          </cell>
          <cell r="C485" t="str">
            <v>RENTAL FEE 20 YD MONTHLY</v>
          </cell>
          <cell r="D485">
            <v>36.590000000000003</v>
          </cell>
        </row>
        <row r="486">
          <cell r="B486" t="str">
            <v>RENT30DAY-RO</v>
          </cell>
          <cell r="C486" t="str">
            <v>RENTAL FEE 30 YD DAILY</v>
          </cell>
          <cell r="D486">
            <v>4.5599999999999996</v>
          </cell>
        </row>
        <row r="487">
          <cell r="B487" t="str">
            <v>RENT30MO-RO</v>
          </cell>
          <cell r="C487" t="str">
            <v>RENTAL FEE 30 YD MONTHLY</v>
          </cell>
          <cell r="D487">
            <v>42.67</v>
          </cell>
        </row>
        <row r="488">
          <cell r="B488" t="str">
            <v>RENT40DAY-RO</v>
          </cell>
          <cell r="C488" t="str">
            <v>RENTAL FEE 40 YD DAILY</v>
          </cell>
          <cell r="D488">
            <v>4.9400000000000004</v>
          </cell>
        </row>
        <row r="489">
          <cell r="B489" t="str">
            <v>RENT40MO-RO</v>
          </cell>
          <cell r="C489" t="str">
            <v>RENTAL FEE 40 YD MONTHLY</v>
          </cell>
          <cell r="D489">
            <v>48.7</v>
          </cell>
        </row>
        <row r="490">
          <cell r="B490" t="str">
            <v>RESIDENTIAL</v>
          </cell>
          <cell r="C490" t="str">
            <v>Code ID</v>
          </cell>
          <cell r="D490" t="str">
            <v>Billcycle</v>
          </cell>
        </row>
        <row r="491">
          <cell r="B491" t="str">
            <v>RETCKC</v>
          </cell>
          <cell r="C491" t="str">
            <v>RETURN CHECK CHARGE</v>
          </cell>
          <cell r="D491">
            <v>11.07</v>
          </cell>
        </row>
        <row r="492">
          <cell r="B492" t="str">
            <v>RL001.5Y1W001</v>
          </cell>
          <cell r="C492" t="str">
            <v>RL 1.5 YD 1X WK 1</v>
          </cell>
          <cell r="D492">
            <v>29.83</v>
          </cell>
        </row>
        <row r="493">
          <cell r="B493" t="str">
            <v>RL001.5Y2W001</v>
          </cell>
          <cell r="C493" t="str">
            <v>RL 1.5 YD 2X WK 1</v>
          </cell>
          <cell r="D493">
            <v>59.67</v>
          </cell>
        </row>
        <row r="494">
          <cell r="B494" t="str">
            <v>RL001.5Y3W001</v>
          </cell>
          <cell r="C494" t="str">
            <v>RL 1.5 YD 3X WK 1</v>
          </cell>
          <cell r="D494">
            <v>89.5</v>
          </cell>
        </row>
        <row r="495">
          <cell r="B495" t="str">
            <v>RL001.5Y5W001</v>
          </cell>
          <cell r="C495" t="str">
            <v>RL 1.5 YD 5X WK 1</v>
          </cell>
          <cell r="D495">
            <v>149.16999999999999</v>
          </cell>
        </row>
        <row r="496">
          <cell r="B496" t="str">
            <v>RL020.0G1W001</v>
          </cell>
          <cell r="C496" t="str">
            <v>RL 20 GL 1X WK 1</v>
          </cell>
          <cell r="D496">
            <v>11.14</v>
          </cell>
        </row>
        <row r="497">
          <cell r="B497" t="str">
            <v>RL032.0G1M001</v>
          </cell>
          <cell r="C497" t="str">
            <v>RL 32 GL 1X MO 1</v>
          </cell>
          <cell r="D497">
            <v>8.32</v>
          </cell>
        </row>
        <row r="498">
          <cell r="B498" t="str">
            <v>RL032.0G1W001</v>
          </cell>
          <cell r="C498" t="str">
            <v>RL 32 GL 1X WK 1</v>
          </cell>
          <cell r="D498">
            <v>13.94</v>
          </cell>
        </row>
        <row r="499">
          <cell r="B499" t="str">
            <v>RL032.0G1W001COMM</v>
          </cell>
          <cell r="C499" t="str">
            <v>RL 32 GL 1X WK COMM 1</v>
          </cell>
          <cell r="D499">
            <v>5.87</v>
          </cell>
        </row>
        <row r="500">
          <cell r="B500" t="str">
            <v>RL032.0G1W002</v>
          </cell>
          <cell r="C500" t="str">
            <v>RL 32 GL 1X WK 2</v>
          </cell>
          <cell r="D500">
            <v>18.3</v>
          </cell>
        </row>
        <row r="501">
          <cell r="B501" t="str">
            <v>RL032.0G1W002COMM</v>
          </cell>
          <cell r="C501" t="str">
            <v>RL 32 GL 1X WK COMM 2</v>
          </cell>
          <cell r="D501">
            <v>11.69</v>
          </cell>
        </row>
        <row r="502">
          <cell r="B502" t="str">
            <v>RL032.0G1W003</v>
          </cell>
          <cell r="C502" t="str">
            <v>RL 32 GL 1X WK 3</v>
          </cell>
          <cell r="D502">
            <v>22.6</v>
          </cell>
        </row>
        <row r="503">
          <cell r="B503" t="str">
            <v>RL032.0G1W003COMM</v>
          </cell>
          <cell r="C503" t="str">
            <v>RL 32 GL 1X WK COMM 3</v>
          </cell>
          <cell r="D503">
            <v>17.54</v>
          </cell>
        </row>
        <row r="504">
          <cell r="B504" t="str">
            <v>RL032.0G1W004</v>
          </cell>
          <cell r="C504" t="str">
            <v>RL 32 GL 1X WK 4</v>
          </cell>
          <cell r="D504">
            <v>26.92</v>
          </cell>
        </row>
        <row r="505">
          <cell r="B505" t="str">
            <v>RL032.0G1W004COMM</v>
          </cell>
          <cell r="C505" t="str">
            <v>RL 32 GL 1X WK COMM 4</v>
          </cell>
          <cell r="D505">
            <v>23.38</v>
          </cell>
        </row>
        <row r="506">
          <cell r="B506" t="str">
            <v>RL032.0G1W005</v>
          </cell>
          <cell r="C506" t="str">
            <v>RL 32 GL 1X WK 5</v>
          </cell>
          <cell r="D506">
            <v>31.78</v>
          </cell>
        </row>
        <row r="507">
          <cell r="B507" t="str">
            <v>RL032.0G1W005COMM</v>
          </cell>
          <cell r="C507" t="str">
            <v>32 GL 1X WK COMM 5</v>
          </cell>
          <cell r="D507">
            <v>29.23</v>
          </cell>
        </row>
        <row r="508">
          <cell r="B508" t="str">
            <v>RL032.0G1W006</v>
          </cell>
          <cell r="C508" t="str">
            <v>RL 32 GL 1X WK 6</v>
          </cell>
          <cell r="D508">
            <v>37.159999999999997</v>
          </cell>
        </row>
        <row r="509">
          <cell r="B509" t="str">
            <v>RL048.0G1W001</v>
          </cell>
          <cell r="C509" t="str">
            <v>RL 48 GL 1X WK 1</v>
          </cell>
          <cell r="D509">
            <v>19.899999999999999</v>
          </cell>
        </row>
        <row r="510">
          <cell r="B510" t="str">
            <v>RL048.0G1W001COMM</v>
          </cell>
          <cell r="C510" t="str">
            <v>RL 48 GL 1X WK COMM 1</v>
          </cell>
          <cell r="D510">
            <v>10.220000000000001</v>
          </cell>
        </row>
        <row r="511">
          <cell r="B511" t="str">
            <v>RL064.0G1W001</v>
          </cell>
          <cell r="C511" t="str">
            <v>RL 64 GL 1X WK 1</v>
          </cell>
          <cell r="D511">
            <v>20.9</v>
          </cell>
        </row>
        <row r="512">
          <cell r="B512" t="str">
            <v>RL064.0G1W001COMM</v>
          </cell>
          <cell r="C512" t="str">
            <v>RL 64 GL 1X WK COMM 1</v>
          </cell>
          <cell r="D512">
            <v>10.83</v>
          </cell>
        </row>
        <row r="513">
          <cell r="B513" t="str">
            <v>RL096.0G1W001</v>
          </cell>
          <cell r="C513" t="str">
            <v>RL 96 GL 1X WK 1</v>
          </cell>
          <cell r="D513">
            <v>25.44</v>
          </cell>
        </row>
        <row r="514">
          <cell r="B514" t="str">
            <v>RL096.0G1W001COMM</v>
          </cell>
          <cell r="C514" t="str">
            <v>RL 96 GL 1X WK COMM 1</v>
          </cell>
          <cell r="D514">
            <v>13.16</v>
          </cell>
        </row>
        <row r="515">
          <cell r="B515" t="str">
            <v>RL096.0G1W001REC</v>
          </cell>
          <cell r="C515" t="str">
            <v>RL 96 GL 1X WK REC COMM 1</v>
          </cell>
          <cell r="D515">
            <v>9.6199999999999992</v>
          </cell>
        </row>
        <row r="516">
          <cell r="B516" t="str">
            <v>RL1.5TC-COMM</v>
          </cell>
          <cell r="C516" t="str">
            <v>RL TEMPORARY 1.5 YD-COMM</v>
          </cell>
          <cell r="D516">
            <v>9.52</v>
          </cell>
        </row>
        <row r="517">
          <cell r="B517" t="str">
            <v>RL32R-OC</v>
          </cell>
          <cell r="C517" t="str">
            <v>1 RL 32 GL ON CALL-RES</v>
          </cell>
          <cell r="D517">
            <v>4.16</v>
          </cell>
        </row>
        <row r="518">
          <cell r="B518" t="str">
            <v>ROLL OFF</v>
          </cell>
          <cell r="C518" t="str">
            <v>Code ID</v>
          </cell>
          <cell r="D518" t="str">
            <v>Billcycle</v>
          </cell>
        </row>
        <row r="519">
          <cell r="B519" t="str">
            <v>ROLLCART-COMM</v>
          </cell>
          <cell r="C519" t="str">
            <v>ROLL OUT CART CHARGE -COM</v>
          </cell>
          <cell r="D519">
            <v>1.1499999999999999</v>
          </cell>
        </row>
        <row r="520">
          <cell r="B520" t="str">
            <v>ROLL-COMM</v>
          </cell>
          <cell r="C520" t="str">
            <v>ROLL OUT CHARGE - COMM</v>
          </cell>
          <cell r="D520">
            <v>3.98</v>
          </cell>
        </row>
        <row r="521">
          <cell r="B521" t="str">
            <v>RT001.25Y0W000C</v>
          </cell>
          <cell r="C521" t="str">
            <v>RENTAL FEE 1.25 YD COMM</v>
          </cell>
          <cell r="D521">
            <v>9.51</v>
          </cell>
        </row>
        <row r="522">
          <cell r="B522" t="str">
            <v>RT001.25YTMP00X</v>
          </cell>
          <cell r="C522" t="str">
            <v>RENTAL FEE 1.25 YD TEMP -</v>
          </cell>
          <cell r="D522">
            <v>0.36</v>
          </cell>
        </row>
        <row r="523">
          <cell r="B523" t="str">
            <v>SL064.0GEO001REC</v>
          </cell>
          <cell r="C523" t="str">
            <v>SL 64 GL EOW RECYCLE 1</v>
          </cell>
          <cell r="D523">
            <v>16.399999999999999</v>
          </cell>
        </row>
        <row r="524">
          <cell r="B524" t="str">
            <v>SL096.0GEO001GW</v>
          </cell>
          <cell r="C524" t="str">
            <v>SL 96 GL EOW GREENWASTE 1</v>
          </cell>
          <cell r="D524">
            <v>21.56</v>
          </cell>
        </row>
        <row r="525">
          <cell r="B525" t="str">
            <v>STGRNT</v>
          </cell>
          <cell r="C525" t="str">
            <v>STORAGE CONTAINER RENT</v>
          </cell>
          <cell r="D525">
            <v>85</v>
          </cell>
        </row>
        <row r="526">
          <cell r="B526" t="str">
            <v>SUNKENCAN-COMM</v>
          </cell>
          <cell r="C526" t="str">
            <v>SUNKEN CAN FEE - COMM</v>
          </cell>
          <cell r="D526">
            <v>0.61</v>
          </cell>
        </row>
        <row r="527">
          <cell r="B527" t="str">
            <v>SUNKENCAN-RES</v>
          </cell>
          <cell r="C527" t="str">
            <v>SUNKEN CAN FEE - RES</v>
          </cell>
          <cell r="D527">
            <v>1.21</v>
          </cell>
        </row>
        <row r="528">
          <cell r="B528" t="str">
            <v>TRIP-RES</v>
          </cell>
          <cell r="C528" t="str">
            <v>TRIP FEE - RES</v>
          </cell>
          <cell r="D528">
            <v>4.1100000000000003</v>
          </cell>
        </row>
        <row r="529">
          <cell r="B529" t="str">
            <v>UNION GAP</v>
          </cell>
          <cell r="C529" t="str">
            <v>(blank)</v>
          </cell>
          <cell r="D529" t="str">
            <v>(blank)</v>
          </cell>
        </row>
        <row r="530">
          <cell r="B530" t="str">
            <v>UNLCKC</v>
          </cell>
          <cell r="C530" t="str">
            <v>UNLOCKING FEE - COMM</v>
          </cell>
          <cell r="D530">
            <v>1.1499999999999999</v>
          </cell>
        </row>
        <row r="531">
          <cell r="B531" t="str">
            <v>WI1-RES</v>
          </cell>
          <cell r="C531" t="str">
            <v>WALK IN 5-25 FT - RES</v>
          </cell>
          <cell r="D531">
            <v>2.34</v>
          </cell>
        </row>
        <row r="532">
          <cell r="B532" t="str">
            <v>WI2-RES</v>
          </cell>
          <cell r="C532" t="str">
            <v>WALK IN 26-50 FT - RES</v>
          </cell>
          <cell r="D532">
            <v>3.29</v>
          </cell>
        </row>
        <row r="533">
          <cell r="B533" t="str">
            <v>WI3-RES</v>
          </cell>
          <cell r="C533" t="str">
            <v>WALK IN 51-75 FT - RES</v>
          </cell>
          <cell r="D533">
            <v>4.24</v>
          </cell>
        </row>
        <row r="534">
          <cell r="B534" t="str">
            <v>WI4-RES</v>
          </cell>
          <cell r="C534" t="str">
            <v>WALK IN 76-100 FT - RES</v>
          </cell>
          <cell r="D534">
            <v>5.2</v>
          </cell>
        </row>
        <row r="535">
          <cell r="B535" t="str">
            <v>ACCOUNTING</v>
          </cell>
          <cell r="C535" t="str">
            <v>Code ID</v>
          </cell>
          <cell r="D535" t="str">
            <v>Billcycle</v>
          </cell>
        </row>
        <row r="536">
          <cell r="B536" t="str">
            <v>ADD32GLCOM1W</v>
          </cell>
          <cell r="C536" t="str">
            <v>ADDTL 32 GL 1X WK COMM</v>
          </cell>
          <cell r="D536">
            <v>1.75</v>
          </cell>
        </row>
        <row r="537">
          <cell r="B537" t="str">
            <v>CLEAN10-RO</v>
          </cell>
          <cell r="C537" t="str">
            <v>CLEANING FEE 10 YD - RO</v>
          </cell>
          <cell r="D537">
            <v>50.4</v>
          </cell>
        </row>
        <row r="538">
          <cell r="B538" t="str">
            <v>CLEAN20-RO</v>
          </cell>
          <cell r="C538" t="str">
            <v>CLEANING FEE 20 YD - RO</v>
          </cell>
          <cell r="D538">
            <v>100.8</v>
          </cell>
        </row>
        <row r="539">
          <cell r="B539" t="str">
            <v>CLEAN30-RO</v>
          </cell>
          <cell r="C539" t="str">
            <v>CLEANING FEE 30 YD - RO</v>
          </cell>
          <cell r="D539">
            <v>151.19999999999999</v>
          </cell>
        </row>
        <row r="540">
          <cell r="B540" t="str">
            <v>CLEAN40-RO</v>
          </cell>
          <cell r="C540" t="str">
            <v>CLEANING FEE 40 YD - RO</v>
          </cell>
          <cell r="D540">
            <v>201.6</v>
          </cell>
        </row>
        <row r="541">
          <cell r="B541" t="str">
            <v>CLEAN50-RO</v>
          </cell>
          <cell r="C541" t="str">
            <v>CLEANING FEE 50 YD - RO</v>
          </cell>
          <cell r="D541">
            <v>252</v>
          </cell>
        </row>
        <row r="542">
          <cell r="B542" t="str">
            <v>CLEAN8-COMM</v>
          </cell>
          <cell r="C542" t="str">
            <v>CLEANING FEE 8 YD - COMM</v>
          </cell>
          <cell r="D542">
            <v>40.32</v>
          </cell>
        </row>
        <row r="543">
          <cell r="B543" t="str">
            <v>CLEAN-COMM</v>
          </cell>
          <cell r="C543" t="str">
            <v>CONT CLEANING FEE - COMM</v>
          </cell>
          <cell r="D543">
            <v>30.24</v>
          </cell>
        </row>
        <row r="544">
          <cell r="B544" t="str">
            <v>COMMERCIAL</v>
          </cell>
          <cell r="C544" t="str">
            <v>Code ID</v>
          </cell>
          <cell r="D544" t="str">
            <v>Billcycle</v>
          </cell>
        </row>
        <row r="545">
          <cell r="B545" t="str">
            <v>DEL1.5-COMM</v>
          </cell>
          <cell r="C545" t="str">
            <v>DELIVERY FEE 1.5YD - COMM</v>
          </cell>
          <cell r="D545">
            <v>18</v>
          </cell>
        </row>
        <row r="546">
          <cell r="B546" t="str">
            <v>DEL3-COMM</v>
          </cell>
          <cell r="C546" t="str">
            <v>DELIVERY FEE 3YD - COMM</v>
          </cell>
          <cell r="D546">
            <v>22.19</v>
          </cell>
        </row>
        <row r="547">
          <cell r="B547" t="str">
            <v>DEL4-COMM</v>
          </cell>
          <cell r="C547" t="str">
            <v>DELIVERY FEE 4YD - COMM</v>
          </cell>
          <cell r="D547">
            <v>22.19</v>
          </cell>
        </row>
        <row r="548">
          <cell r="B548" t="str">
            <v>DEL6-COMM</v>
          </cell>
          <cell r="C548" t="str">
            <v>DELIVERY FEE 6YD - COMM</v>
          </cell>
          <cell r="D548">
            <v>25.79</v>
          </cell>
        </row>
        <row r="549">
          <cell r="B549" t="str">
            <v>DEL-RO</v>
          </cell>
          <cell r="C549" t="str">
            <v>DELIVERY FEE - RO</v>
          </cell>
          <cell r="D549">
            <v>41.16</v>
          </cell>
        </row>
        <row r="550">
          <cell r="B550" t="str">
            <v>DISP-RO</v>
          </cell>
          <cell r="C550" t="str">
            <v>DISPOSAL CHARGE - RO</v>
          </cell>
          <cell r="D550">
            <v>30.89</v>
          </cell>
        </row>
        <row r="551">
          <cell r="B551" t="str">
            <v>DRIVE-IN RES MTHLY</v>
          </cell>
          <cell r="C551" t="str">
            <v>DRIVE-IN SERVICE RES MONTHLY</v>
          </cell>
          <cell r="D551">
            <v>1.58</v>
          </cell>
        </row>
        <row r="552">
          <cell r="B552" t="str">
            <v>DRIVEIN-COMM</v>
          </cell>
          <cell r="C552" t="str">
            <v>DRIVE IN SERVICE-COMM</v>
          </cell>
          <cell r="D552">
            <v>3.42</v>
          </cell>
        </row>
        <row r="553">
          <cell r="B553" t="str">
            <v>DRIVEIN-RES</v>
          </cell>
          <cell r="C553" t="str">
            <v>DRIVE IN SERVICE - RES</v>
          </cell>
          <cell r="D553">
            <v>6.84</v>
          </cell>
        </row>
        <row r="554">
          <cell r="B554" t="str">
            <v>EP1.5-COMM</v>
          </cell>
          <cell r="C554" t="str">
            <v>EXTRA PICK UP 1.5 YD - CO</v>
          </cell>
          <cell r="D554">
            <v>10.039999999999999</v>
          </cell>
        </row>
        <row r="555">
          <cell r="B555" t="str">
            <v>EP3-COMM</v>
          </cell>
          <cell r="C555" t="str">
            <v>EXTRA PICK UP 3 YD - COMM</v>
          </cell>
          <cell r="D555">
            <v>16.2</v>
          </cell>
        </row>
        <row r="556">
          <cell r="B556" t="str">
            <v>EP4-COMM</v>
          </cell>
          <cell r="C556" t="str">
            <v>EXTRA PICK UP 4 YD - COMM</v>
          </cell>
          <cell r="D556">
            <v>19.5</v>
          </cell>
        </row>
        <row r="557">
          <cell r="B557" t="str">
            <v>EP6-COMM</v>
          </cell>
          <cell r="C557" t="str">
            <v>EXTRA PICK UP 6 YD - COMM</v>
          </cell>
          <cell r="D557">
            <v>26.6</v>
          </cell>
        </row>
        <row r="558">
          <cell r="B558" t="str">
            <v>EXTRA1TO4YD-COMM</v>
          </cell>
          <cell r="C558" t="str">
            <v>EXTRA PU 1 TO 4YD - COMM</v>
          </cell>
          <cell r="D558">
            <v>6.92</v>
          </cell>
        </row>
        <row r="559">
          <cell r="B559" t="str">
            <v>EXTRA5OVERYD-COMM</v>
          </cell>
          <cell r="C559" t="str">
            <v>EXTRA PU 5YD OVER - COMM</v>
          </cell>
          <cell r="D559">
            <v>6.22</v>
          </cell>
        </row>
        <row r="560">
          <cell r="B560" t="str">
            <v>EXTRA-COMM</v>
          </cell>
          <cell r="C560" t="str">
            <v>EXTRA CAN, BAG, BOX-COMM</v>
          </cell>
          <cell r="D560">
            <v>2.08</v>
          </cell>
        </row>
        <row r="561">
          <cell r="B561" t="str">
            <v>EXTRA-RES</v>
          </cell>
          <cell r="C561" t="str">
            <v>EXTRA CAN, BAG, BOX-RES</v>
          </cell>
          <cell r="D561">
            <v>2.0299999999999998</v>
          </cell>
        </row>
        <row r="562">
          <cell r="B562" t="str">
            <v>FL003.0Y1W001</v>
          </cell>
          <cell r="C562" t="str">
            <v>FL 3 YD 1X WK 1</v>
          </cell>
          <cell r="D562">
            <v>52.35</v>
          </cell>
        </row>
        <row r="563">
          <cell r="B563" t="str">
            <v>FL003.0Y2W001</v>
          </cell>
          <cell r="C563" t="str">
            <v>FL 3 YD 2X WK 1</v>
          </cell>
          <cell r="D563">
            <v>104.7</v>
          </cell>
        </row>
        <row r="564">
          <cell r="B564" t="str">
            <v>FL003.0Y3W001</v>
          </cell>
          <cell r="C564" t="str">
            <v>FL 3 YD 3X WK 1</v>
          </cell>
          <cell r="D564">
            <v>157.05000000000001</v>
          </cell>
        </row>
        <row r="565">
          <cell r="B565" t="str">
            <v>FL003.0Y5W001</v>
          </cell>
          <cell r="C565" t="str">
            <v>FL 3 YD 5X WK 1</v>
          </cell>
          <cell r="D565">
            <v>261.75</v>
          </cell>
        </row>
        <row r="566">
          <cell r="B566" t="str">
            <v>FL004.0Y1W001</v>
          </cell>
          <cell r="C566" t="str">
            <v>FL 4 YD 1X WK 1</v>
          </cell>
          <cell r="D566">
            <v>69.150000000000006</v>
          </cell>
        </row>
        <row r="567">
          <cell r="B567" t="str">
            <v>FL004.0Y1W001CMP</v>
          </cell>
          <cell r="C567" t="str">
            <v>FL 4 YD 1X WK COMP 1</v>
          </cell>
          <cell r="D567">
            <v>41.52</v>
          </cell>
        </row>
        <row r="568">
          <cell r="B568" t="str">
            <v>FL004.0Y2W001</v>
          </cell>
          <cell r="C568" t="str">
            <v>FL 4 YD 2X WK 1</v>
          </cell>
          <cell r="D568">
            <v>138.30000000000001</v>
          </cell>
        </row>
        <row r="569">
          <cell r="B569" t="str">
            <v>FL004.0Y3W001</v>
          </cell>
          <cell r="C569" t="str">
            <v>FL 4 YD 3X WK 1</v>
          </cell>
          <cell r="D569">
            <v>207.45</v>
          </cell>
        </row>
        <row r="570">
          <cell r="B570" t="str">
            <v>FL004.0Y5W001</v>
          </cell>
          <cell r="C570" t="str">
            <v>FL 4 YD 5X WK 1</v>
          </cell>
          <cell r="D570">
            <v>345.75</v>
          </cell>
        </row>
        <row r="571">
          <cell r="B571" t="str">
            <v>FL006.0Y1W001</v>
          </cell>
          <cell r="C571" t="str">
            <v>FL 6 YD 1X WK 1</v>
          </cell>
          <cell r="D571">
            <v>94</v>
          </cell>
        </row>
        <row r="572">
          <cell r="B572" t="str">
            <v>FL006.0Y2W001</v>
          </cell>
          <cell r="C572" t="str">
            <v>FL 6 YD 2X WK 1</v>
          </cell>
          <cell r="D572">
            <v>188.01</v>
          </cell>
        </row>
        <row r="573">
          <cell r="B573" t="str">
            <v>FL006.0Y3W001</v>
          </cell>
          <cell r="C573" t="str">
            <v>FL 6 YD 3X WK 1</v>
          </cell>
          <cell r="D573">
            <v>282.01</v>
          </cell>
        </row>
        <row r="574">
          <cell r="B574" t="str">
            <v>FL006.0Y4W001</v>
          </cell>
          <cell r="C574" t="str">
            <v>FL 6 YD 4X WK 1</v>
          </cell>
          <cell r="D574">
            <v>376.02</v>
          </cell>
        </row>
        <row r="575">
          <cell r="B575" t="str">
            <v>FL006.0Y5W001</v>
          </cell>
          <cell r="C575" t="str">
            <v>FL 6 YD 5X WK 1</v>
          </cell>
          <cell r="D575">
            <v>470.02</v>
          </cell>
        </row>
        <row r="576">
          <cell r="B576" t="str">
            <v>FL008.0Y1W001</v>
          </cell>
          <cell r="C576" t="str">
            <v>FL 8 YD 1X WK 1</v>
          </cell>
          <cell r="D576">
            <v>127.3</v>
          </cell>
        </row>
        <row r="577">
          <cell r="B577" t="str">
            <v>FL008.0Y2W001</v>
          </cell>
          <cell r="C577" t="str">
            <v>FL 8 YD 2X WK 1</v>
          </cell>
          <cell r="D577">
            <v>254.6</v>
          </cell>
        </row>
        <row r="578">
          <cell r="B578" t="str">
            <v>FL1.5TC-COMM</v>
          </cell>
          <cell r="C578" t="str">
            <v>FL 1.5 YD TEMP - COMM</v>
          </cell>
          <cell r="D578">
            <v>9.52</v>
          </cell>
        </row>
        <row r="579">
          <cell r="B579" t="str">
            <v>FL3TC-COMM</v>
          </cell>
          <cell r="C579" t="str">
            <v>FL 3 YD TEMP - COMM</v>
          </cell>
          <cell r="D579">
            <v>17.5</v>
          </cell>
        </row>
        <row r="580">
          <cell r="B580" t="str">
            <v>FL4TC-COMM</v>
          </cell>
          <cell r="C580" t="str">
            <v>FL 4 YD TEMP - COMM</v>
          </cell>
          <cell r="D580">
            <v>22.75</v>
          </cell>
        </row>
        <row r="581">
          <cell r="B581" t="str">
            <v>FL6TC-COMM</v>
          </cell>
          <cell r="C581" t="str">
            <v>FL 6 YD TEMP - COMM</v>
          </cell>
          <cell r="D581">
            <v>27.08</v>
          </cell>
        </row>
        <row r="582">
          <cell r="B582" t="str">
            <v>HAUL10-CP</v>
          </cell>
          <cell r="C582" t="str">
            <v>HAUL 10-18YD COMP - RO</v>
          </cell>
          <cell r="D582">
            <v>135.02000000000001</v>
          </cell>
        </row>
        <row r="583">
          <cell r="B583" t="str">
            <v>HAUL20-CP</v>
          </cell>
          <cell r="C583" t="str">
            <v>COMPACTOR HAUL 20 YD - RO</v>
          </cell>
          <cell r="D583">
            <v>140.53</v>
          </cell>
        </row>
        <row r="584">
          <cell r="B584" t="str">
            <v>HAUL20-RO</v>
          </cell>
          <cell r="C584" t="str">
            <v>HAUL 20 YD - RO</v>
          </cell>
          <cell r="D584">
            <v>78.73</v>
          </cell>
        </row>
        <row r="585">
          <cell r="B585" t="str">
            <v>HAUL20TEMP-RO</v>
          </cell>
          <cell r="C585" t="str">
            <v>HAUL 20 YD TEMP - RO</v>
          </cell>
          <cell r="D585">
            <v>78.73</v>
          </cell>
        </row>
        <row r="586">
          <cell r="B586" t="str">
            <v>HAUL25-CP</v>
          </cell>
          <cell r="C586" t="str">
            <v>COMPACTOR HAUL 25 YD - RO</v>
          </cell>
          <cell r="D586">
            <v>153.93</v>
          </cell>
        </row>
        <row r="587">
          <cell r="B587" t="str">
            <v>HAUL30-CP</v>
          </cell>
          <cell r="C587" t="str">
            <v>COMPACTOR HAUL 30 YD - RO</v>
          </cell>
          <cell r="D587">
            <v>166.7</v>
          </cell>
        </row>
        <row r="588">
          <cell r="B588" t="str">
            <v>HAUL30-RO</v>
          </cell>
          <cell r="C588" t="str">
            <v>HAUL 30 YD - RO</v>
          </cell>
          <cell r="D588">
            <v>88.24</v>
          </cell>
        </row>
        <row r="589">
          <cell r="B589" t="str">
            <v>HAUL30TEMP-RO</v>
          </cell>
          <cell r="C589" t="str">
            <v>HAUL 30 YD TEMP - RO</v>
          </cell>
          <cell r="D589">
            <v>88.24</v>
          </cell>
        </row>
        <row r="590">
          <cell r="B590" t="str">
            <v>HAUL35-CP</v>
          </cell>
          <cell r="C590" t="str">
            <v>COMPACTOR HAUL 35 YD - RO</v>
          </cell>
          <cell r="D590">
            <v>198.68</v>
          </cell>
        </row>
        <row r="591">
          <cell r="B591" t="str">
            <v>HAUL36-CP</v>
          </cell>
          <cell r="C591" t="str">
            <v>HAUL 36YD COMP - RO</v>
          </cell>
          <cell r="D591">
            <v>198.68</v>
          </cell>
        </row>
        <row r="592">
          <cell r="B592" t="str">
            <v>HAUL40-CP</v>
          </cell>
          <cell r="C592" t="str">
            <v>COMPACTOR HAUL 40 YD - RO</v>
          </cell>
          <cell r="D592">
            <v>198.68</v>
          </cell>
        </row>
        <row r="593">
          <cell r="B593" t="str">
            <v>HAUL40-RO</v>
          </cell>
          <cell r="C593" t="str">
            <v>HAUL 40 YD - RO</v>
          </cell>
          <cell r="D593">
            <v>108.46</v>
          </cell>
        </row>
        <row r="594">
          <cell r="B594" t="str">
            <v>HAUL40TEMP-RO</v>
          </cell>
          <cell r="C594" t="str">
            <v>HAUL 40 YD TEMP - RO</v>
          </cell>
          <cell r="D594">
            <v>108.46</v>
          </cell>
        </row>
        <row r="595">
          <cell r="B595" t="str">
            <v>HAUL50-RO</v>
          </cell>
          <cell r="C595" t="str">
            <v>HAUL 50 YD - RO</v>
          </cell>
          <cell r="D595">
            <v>108.46</v>
          </cell>
        </row>
        <row r="596">
          <cell r="B596" t="str">
            <v>HAUL50TEMP-RO</v>
          </cell>
          <cell r="C596" t="str">
            <v>HAUL 50 YD TEMP - RO</v>
          </cell>
          <cell r="D596">
            <v>108.46</v>
          </cell>
        </row>
        <row r="597">
          <cell r="B597" t="str">
            <v>MILE-RO</v>
          </cell>
          <cell r="C597" t="str">
            <v>MILEAGE FEE - RO</v>
          </cell>
          <cell r="D597">
            <v>3.07</v>
          </cell>
        </row>
        <row r="598">
          <cell r="B598" t="str">
            <v>OS-RES</v>
          </cell>
          <cell r="C598" t="str">
            <v>OVERSIZE CAN - RES</v>
          </cell>
          <cell r="D598">
            <v>1.72</v>
          </cell>
        </row>
        <row r="599">
          <cell r="B599" t="str">
            <v>PUREDEL1-COMM</v>
          </cell>
          <cell r="C599" t="str">
            <v>PU/REDEL UP TO 8 YDS - COMM</v>
          </cell>
          <cell r="D599">
            <v>21.52</v>
          </cell>
        </row>
        <row r="600">
          <cell r="B600" t="str">
            <v>PUREDEL1-RO</v>
          </cell>
          <cell r="C600" t="str">
            <v>PU/REDEL OVER 8 YDS - RO</v>
          </cell>
          <cell r="D600">
            <v>34.35</v>
          </cell>
        </row>
        <row r="601">
          <cell r="B601" t="str">
            <v>REDEL1.5-COMM</v>
          </cell>
          <cell r="C601" t="str">
            <v>REDELIVERY FEE 1.5 YD - COMM</v>
          </cell>
          <cell r="D601">
            <v>18</v>
          </cell>
        </row>
        <row r="602">
          <cell r="B602" t="str">
            <v>REDEL3-COMM</v>
          </cell>
          <cell r="C602" t="str">
            <v>REDELIVERY FEE 3 YD - COMM</v>
          </cell>
          <cell r="D602">
            <v>22.19</v>
          </cell>
        </row>
        <row r="603">
          <cell r="B603" t="str">
            <v>REDEL4-COMM</v>
          </cell>
          <cell r="C603" t="str">
            <v>REDELIVERY FEE 4 YD - COMM</v>
          </cell>
          <cell r="D603">
            <v>22.19</v>
          </cell>
        </row>
        <row r="604">
          <cell r="B604" t="str">
            <v>REDEL6-COMM</v>
          </cell>
          <cell r="C604" t="str">
            <v>REDELIVERY FEE 6 YD - COMM</v>
          </cell>
          <cell r="D604">
            <v>25.79</v>
          </cell>
        </row>
        <row r="605">
          <cell r="B605" t="str">
            <v>REDEL-RES</v>
          </cell>
          <cell r="C605" t="str">
            <v>REDELIVERY FEE - RES</v>
          </cell>
          <cell r="D605">
            <v>14.78</v>
          </cell>
        </row>
        <row r="606">
          <cell r="B606" t="str">
            <v>REINSTATE-COMM</v>
          </cell>
          <cell r="C606" t="str">
            <v>REINSTATE FEE - COMM</v>
          </cell>
          <cell r="D606">
            <v>11.43</v>
          </cell>
        </row>
        <row r="607">
          <cell r="B607" t="str">
            <v>REINSTATE-RES</v>
          </cell>
          <cell r="C607" t="str">
            <v>REINSTATE FEE - RES</v>
          </cell>
          <cell r="D607">
            <v>11.43</v>
          </cell>
        </row>
        <row r="608">
          <cell r="B608" t="str">
            <v>RENT1.5-COMM</v>
          </cell>
          <cell r="C608" t="str">
            <v>RENTAL FEE 1.5 YD COMM</v>
          </cell>
          <cell r="D608">
            <v>9.7200000000000006</v>
          </cell>
        </row>
        <row r="609">
          <cell r="B609" t="str">
            <v>RENT1.5TEMP-COMM</v>
          </cell>
          <cell r="C609" t="str">
            <v>RENTAL FEE 1.5 YD TEMP -</v>
          </cell>
          <cell r="D609">
            <v>0.36</v>
          </cell>
        </row>
        <row r="610">
          <cell r="B610" t="str">
            <v>RENT20DAY-RO</v>
          </cell>
          <cell r="C610" t="str">
            <v>RENTAL FEE 20 YD DAILY</v>
          </cell>
          <cell r="D610">
            <v>3.85</v>
          </cell>
        </row>
        <row r="611">
          <cell r="B611" t="str">
            <v>RENT20MO-RO</v>
          </cell>
          <cell r="C611" t="str">
            <v>RENTAL FEE 20 YD MONTHLY</v>
          </cell>
          <cell r="D611">
            <v>36.590000000000003</v>
          </cell>
        </row>
        <row r="612">
          <cell r="B612" t="str">
            <v>RENT30DAY-RO</v>
          </cell>
          <cell r="C612" t="str">
            <v>RENTAL FEE 30 YD DAILY</v>
          </cell>
          <cell r="D612">
            <v>4.5599999999999996</v>
          </cell>
        </row>
        <row r="613">
          <cell r="B613" t="str">
            <v>RENT30MO-RO</v>
          </cell>
          <cell r="C613" t="str">
            <v>RENTAL FEE 30 YD MONTHLY</v>
          </cell>
          <cell r="D613">
            <v>42.67</v>
          </cell>
        </row>
        <row r="614">
          <cell r="B614" t="str">
            <v>RENT30REC-RO</v>
          </cell>
          <cell r="C614" t="str">
            <v>RENTAL FEE 30 YD REC-RO</v>
          </cell>
          <cell r="D614">
            <v>35.65</v>
          </cell>
        </row>
        <row r="615">
          <cell r="B615" t="str">
            <v>RENT3-COMM</v>
          </cell>
          <cell r="C615" t="str">
            <v>RENTAL FEE 3 YD COMM</v>
          </cell>
          <cell r="D615">
            <v>11.76</v>
          </cell>
        </row>
        <row r="616">
          <cell r="B616" t="str">
            <v>RENT3TEMP-COMM</v>
          </cell>
          <cell r="C616" t="str">
            <v>RENTAL FEE 3 YD TEMP - CO</v>
          </cell>
          <cell r="D616">
            <v>0.54</v>
          </cell>
        </row>
        <row r="617">
          <cell r="B617" t="str">
            <v>RENT40DAY-RO</v>
          </cell>
          <cell r="C617" t="str">
            <v>RENTAL FEE 40 YD DAILY</v>
          </cell>
          <cell r="D617">
            <v>4.9400000000000004</v>
          </cell>
        </row>
        <row r="618">
          <cell r="B618" t="str">
            <v>RENT40MO-RO</v>
          </cell>
          <cell r="C618" t="str">
            <v>RENTAL FEE 40 YD MONTHLY</v>
          </cell>
          <cell r="D618">
            <v>48.7</v>
          </cell>
        </row>
        <row r="619">
          <cell r="B619" t="str">
            <v>RENT4-COMM</v>
          </cell>
          <cell r="C619" t="str">
            <v>RENTAL FEE 4 YD COMM</v>
          </cell>
          <cell r="D619">
            <v>14.31</v>
          </cell>
        </row>
        <row r="620">
          <cell r="B620" t="str">
            <v>RENT4TEMP-COMM</v>
          </cell>
          <cell r="C620" t="str">
            <v>RENTAL FEE 4YD TEMP - COM</v>
          </cell>
          <cell r="D620">
            <v>0.61</v>
          </cell>
        </row>
        <row r="621">
          <cell r="B621" t="str">
            <v>RENT6-COMM</v>
          </cell>
          <cell r="C621" t="str">
            <v>RENTAL FEE 6 YD COMM</v>
          </cell>
          <cell r="D621">
            <v>16.579999999999998</v>
          </cell>
        </row>
        <row r="622">
          <cell r="B622" t="str">
            <v>RESIDENTIAL</v>
          </cell>
          <cell r="C622" t="str">
            <v>Code ID</v>
          </cell>
          <cell r="D622" t="str">
            <v>Billcycle</v>
          </cell>
        </row>
        <row r="623">
          <cell r="B623" t="str">
            <v>RETCKC</v>
          </cell>
          <cell r="C623" t="str">
            <v>RETURN CHECK CHARGE</v>
          </cell>
          <cell r="D623">
            <v>11.07</v>
          </cell>
        </row>
        <row r="624">
          <cell r="B624" t="str">
            <v>RL001.25Y1W001</v>
          </cell>
          <cell r="C624" t="str">
            <v>RL 1.25 YD 1X WK 1</v>
          </cell>
          <cell r="D624">
            <v>26.02</v>
          </cell>
        </row>
        <row r="625">
          <cell r="B625" t="str">
            <v>RL001.5Y1W001</v>
          </cell>
          <cell r="C625" t="str">
            <v>RL 1.5 YD 1X WK 1</v>
          </cell>
          <cell r="D625">
            <v>29.83</v>
          </cell>
        </row>
        <row r="626">
          <cell r="B626" t="str">
            <v>RL001.5Y2W001</v>
          </cell>
          <cell r="C626" t="str">
            <v>RL 1.5 YD 2X WK 1</v>
          </cell>
          <cell r="D626">
            <v>59.67</v>
          </cell>
        </row>
        <row r="627">
          <cell r="B627" t="str">
            <v>RL001.5Y3W001</v>
          </cell>
          <cell r="C627" t="str">
            <v>RL 1.5 YD 3X WK 1</v>
          </cell>
          <cell r="D627">
            <v>89.5</v>
          </cell>
        </row>
        <row r="628">
          <cell r="B628" t="str">
            <v>RL001.5Y5W001</v>
          </cell>
          <cell r="C628" t="str">
            <v>RL 1.5 YD 5X WK 1</v>
          </cell>
          <cell r="D628">
            <v>149.16999999999999</v>
          </cell>
        </row>
        <row r="629">
          <cell r="B629" t="str">
            <v>RL001.5YEO001</v>
          </cell>
          <cell r="C629" t="str">
            <v>RL 1.5 YD EOW 1</v>
          </cell>
          <cell r="D629">
            <v>14.95</v>
          </cell>
        </row>
        <row r="630">
          <cell r="B630" t="str">
            <v>RL020.0G1W001</v>
          </cell>
          <cell r="C630" t="str">
            <v>RL 20 GL 1X WK 1</v>
          </cell>
          <cell r="D630">
            <v>11.14</v>
          </cell>
        </row>
        <row r="631">
          <cell r="B631" t="str">
            <v>RL032.0G1M001</v>
          </cell>
          <cell r="C631" t="str">
            <v>RL 32 GL 1X MO 1</v>
          </cell>
          <cell r="D631">
            <v>8.32</v>
          </cell>
        </row>
        <row r="632">
          <cell r="B632" t="str">
            <v>RL032.0G1W001</v>
          </cell>
          <cell r="C632" t="str">
            <v>RL 32 GL 1X WK 1</v>
          </cell>
          <cell r="D632">
            <v>13.94</v>
          </cell>
        </row>
        <row r="633">
          <cell r="B633" t="str">
            <v>RL032.0G1W001COMM</v>
          </cell>
          <cell r="C633" t="str">
            <v>RL 32 GL 1X WK COMM 1</v>
          </cell>
          <cell r="D633">
            <v>5.87</v>
          </cell>
        </row>
        <row r="634">
          <cell r="B634" t="str">
            <v>RL032.0G1W002</v>
          </cell>
          <cell r="C634" t="str">
            <v>RL 32 GL 1X WK 2</v>
          </cell>
          <cell r="D634">
            <v>18.3</v>
          </cell>
        </row>
        <row r="635">
          <cell r="B635" t="str">
            <v>RL032.0G1W002COMM</v>
          </cell>
          <cell r="C635" t="str">
            <v>RL 32 GL 1X WK COMM 2</v>
          </cell>
          <cell r="D635">
            <v>11.69</v>
          </cell>
        </row>
        <row r="636">
          <cell r="B636" t="str">
            <v>RL032.0G1W003</v>
          </cell>
          <cell r="C636" t="str">
            <v>RL 32 GL 1X WK 3</v>
          </cell>
          <cell r="D636">
            <v>22.6</v>
          </cell>
        </row>
        <row r="637">
          <cell r="B637" t="str">
            <v>RL032.0G1W003COMM</v>
          </cell>
          <cell r="C637" t="str">
            <v>RL 32 GL 1X WK COMM 3</v>
          </cell>
          <cell r="D637">
            <v>17.54</v>
          </cell>
        </row>
        <row r="638">
          <cell r="B638" t="str">
            <v>RL032.0G1W004</v>
          </cell>
          <cell r="C638" t="str">
            <v>RL 32 GL 1X WK 4</v>
          </cell>
          <cell r="D638">
            <v>26.92</v>
          </cell>
        </row>
        <row r="639">
          <cell r="B639" t="str">
            <v>RL032.0G1W004COMM</v>
          </cell>
          <cell r="C639" t="str">
            <v>RL 32 GL 1X WK COMM 4</v>
          </cell>
          <cell r="D639">
            <v>23.38</v>
          </cell>
        </row>
        <row r="640">
          <cell r="B640" t="str">
            <v>RL032.0G1W005</v>
          </cell>
          <cell r="C640" t="str">
            <v>RL 32 GL 1X WK 5</v>
          </cell>
          <cell r="D640">
            <v>31.78</v>
          </cell>
        </row>
        <row r="641">
          <cell r="B641" t="str">
            <v>RL032.0G1W005COMM</v>
          </cell>
          <cell r="C641" t="str">
            <v>32 GL 1X WK COMM 5</v>
          </cell>
          <cell r="D641">
            <v>29.23</v>
          </cell>
        </row>
        <row r="642">
          <cell r="B642" t="str">
            <v>RL032.0G1W006</v>
          </cell>
          <cell r="C642" t="str">
            <v>RL 32 GL 1X WK 6</v>
          </cell>
          <cell r="D642">
            <v>37.159999999999997</v>
          </cell>
        </row>
        <row r="643">
          <cell r="B643" t="str">
            <v>RL048.0G1W001</v>
          </cell>
          <cell r="C643" t="str">
            <v>RL 48 GL 1X WK 1</v>
          </cell>
          <cell r="D643">
            <v>19.899999999999999</v>
          </cell>
        </row>
        <row r="644">
          <cell r="B644" t="str">
            <v>RL048.0G1W001COMM</v>
          </cell>
          <cell r="C644" t="str">
            <v>RL 48 GL 1X WK COMM 1</v>
          </cell>
          <cell r="D644">
            <v>10.220000000000001</v>
          </cell>
        </row>
        <row r="645">
          <cell r="B645" t="str">
            <v>RL064.0G1W001</v>
          </cell>
          <cell r="C645" t="str">
            <v>RL 64 GL 1X WK 1</v>
          </cell>
          <cell r="D645">
            <v>20.9</v>
          </cell>
        </row>
        <row r="646">
          <cell r="B646" t="str">
            <v>RL064.0G1W001COMM</v>
          </cell>
          <cell r="C646" t="str">
            <v>RL 64 GL 1X WK COMM 1</v>
          </cell>
          <cell r="D646">
            <v>10.83</v>
          </cell>
        </row>
        <row r="647">
          <cell r="B647" t="str">
            <v>RL096.0G1W001</v>
          </cell>
          <cell r="C647" t="str">
            <v>RL 96 GL 1X WK 1</v>
          </cell>
          <cell r="D647">
            <v>25.44</v>
          </cell>
        </row>
        <row r="648">
          <cell r="B648" t="str">
            <v>RL096.0G1W001COMM</v>
          </cell>
          <cell r="C648" t="str">
            <v>RL 96 GL 1X WK COMM 1</v>
          </cell>
          <cell r="D648">
            <v>13.16</v>
          </cell>
        </row>
        <row r="649">
          <cell r="B649" t="str">
            <v>RL096.0G1W001REC</v>
          </cell>
          <cell r="C649" t="str">
            <v>RL 96 GL 1X WK REC COMM 1</v>
          </cell>
          <cell r="D649">
            <v>9.6199999999999992</v>
          </cell>
        </row>
        <row r="650">
          <cell r="B650" t="str">
            <v>RL1.5TC-COMM</v>
          </cell>
          <cell r="C650" t="str">
            <v>RL TEMPORARY 1.5 YD-COMM</v>
          </cell>
          <cell r="D650">
            <v>9.52</v>
          </cell>
        </row>
        <row r="651">
          <cell r="B651" t="str">
            <v>RL32R-OC</v>
          </cell>
          <cell r="C651" t="str">
            <v>1 RL 32 GL ON CALL-RES</v>
          </cell>
          <cell r="D651">
            <v>4.16</v>
          </cell>
        </row>
        <row r="652">
          <cell r="B652" t="str">
            <v>ROLL OFF</v>
          </cell>
          <cell r="C652" t="str">
            <v>Code ID</v>
          </cell>
          <cell r="D652" t="str">
            <v>Billcycle</v>
          </cell>
        </row>
        <row r="653">
          <cell r="B653" t="str">
            <v>ROLLCART-COMM</v>
          </cell>
          <cell r="C653" t="str">
            <v>ROLL OUT CART CHARGE -COM</v>
          </cell>
          <cell r="D653">
            <v>1.1499999999999999</v>
          </cell>
        </row>
        <row r="654">
          <cell r="B654" t="str">
            <v>ROLL-COMM</v>
          </cell>
          <cell r="C654" t="str">
            <v>ROLL OUT CHARGE - COMM</v>
          </cell>
          <cell r="D654">
            <v>3.98</v>
          </cell>
        </row>
        <row r="655">
          <cell r="B655" t="str">
            <v>RT001.25Y0W000C</v>
          </cell>
          <cell r="C655" t="str">
            <v>RENTAL FEE 1.25 YD COMM</v>
          </cell>
          <cell r="D655">
            <v>9.51</v>
          </cell>
        </row>
        <row r="656">
          <cell r="B656" t="str">
            <v>RT001.25YTMP00X</v>
          </cell>
          <cell r="C656" t="str">
            <v>RENTAL FEE 1.25 YD TEMP -</v>
          </cell>
          <cell r="D656">
            <v>0.36</v>
          </cell>
        </row>
        <row r="657">
          <cell r="B657" t="str">
            <v>SL064.0GEO001REC</v>
          </cell>
          <cell r="C657" t="str">
            <v>SL 64 GL EOW RECYCLE 1</v>
          </cell>
          <cell r="D657">
            <v>16.399999999999999</v>
          </cell>
        </row>
        <row r="658">
          <cell r="B658" t="str">
            <v>SL096.0GEO001GW</v>
          </cell>
          <cell r="C658" t="str">
            <v>SL 96 GL EOW GREENWASTE 1</v>
          </cell>
          <cell r="D658">
            <v>21.56</v>
          </cell>
        </row>
        <row r="659">
          <cell r="B659" t="str">
            <v>STGRNT</v>
          </cell>
          <cell r="C659" t="str">
            <v>STORAGE CONTAINER RENT</v>
          </cell>
          <cell r="D659">
            <v>85</v>
          </cell>
        </row>
        <row r="660">
          <cell r="B660" t="str">
            <v>SUNKENCAN-COMM</v>
          </cell>
          <cell r="C660" t="str">
            <v>SUNKEN CAN FEE - COMM</v>
          </cell>
          <cell r="D660">
            <v>0.61</v>
          </cell>
        </row>
        <row r="661">
          <cell r="B661" t="str">
            <v>SUNKENCAN-RES</v>
          </cell>
          <cell r="C661" t="str">
            <v>SUNKEN CAN FEE - RES</v>
          </cell>
          <cell r="D661">
            <v>1.21</v>
          </cell>
        </row>
        <row r="662">
          <cell r="B662" t="str">
            <v>TRIP-RES</v>
          </cell>
          <cell r="C662" t="str">
            <v>TRIP FEE - RES</v>
          </cell>
          <cell r="D662">
            <v>4.1100000000000003</v>
          </cell>
        </row>
        <row r="663">
          <cell r="B663" t="str">
            <v>UNLCKC</v>
          </cell>
          <cell r="C663" t="str">
            <v>UNLOCKING FEE - COMM</v>
          </cell>
          <cell r="D663">
            <v>1.1499999999999999</v>
          </cell>
        </row>
        <row r="664">
          <cell r="B664" t="str">
            <v>WI1-RES</v>
          </cell>
          <cell r="C664" t="str">
            <v>WALK IN 5-25 FT - RES</v>
          </cell>
          <cell r="D664">
            <v>2.34</v>
          </cell>
        </row>
        <row r="665">
          <cell r="B665" t="str">
            <v>WI2-RES</v>
          </cell>
          <cell r="C665" t="str">
            <v>WALK IN 26-50 FT - RES</v>
          </cell>
          <cell r="D665">
            <v>3.29</v>
          </cell>
        </row>
        <row r="666">
          <cell r="B666" t="str">
            <v>WI3-RES</v>
          </cell>
          <cell r="C666" t="str">
            <v>WALK IN 51-75 FT - RES</v>
          </cell>
          <cell r="D666">
            <v>4.24</v>
          </cell>
        </row>
        <row r="667">
          <cell r="B667" t="str">
            <v>WI4-RES</v>
          </cell>
          <cell r="C667" t="str">
            <v>WALK IN 76-100 FT - RES</v>
          </cell>
          <cell r="D667">
            <v>5.2</v>
          </cell>
        </row>
        <row r="668">
          <cell r="B668" t="str">
            <v>YAKAMA IND NAT</v>
          </cell>
          <cell r="C668" t="str">
            <v>(blank)</v>
          </cell>
          <cell r="D668" t="str">
            <v>(blank)</v>
          </cell>
        </row>
        <row r="669">
          <cell r="B669" t="str">
            <v>ACCOUNTING</v>
          </cell>
          <cell r="C669" t="str">
            <v>Code ID</v>
          </cell>
          <cell r="D669" t="str">
            <v>Billcycle</v>
          </cell>
        </row>
        <row r="670">
          <cell r="B670" t="str">
            <v>ADD32GLCOM1W</v>
          </cell>
          <cell r="C670" t="str">
            <v>ADDTL 32 GL 1X WK COMM</v>
          </cell>
          <cell r="D670">
            <v>1.75</v>
          </cell>
        </row>
        <row r="671">
          <cell r="B671" t="str">
            <v>CLEAN10-RO</v>
          </cell>
          <cell r="C671" t="str">
            <v>CLEANING FEE 10 YD - RO</v>
          </cell>
          <cell r="D671">
            <v>50.4</v>
          </cell>
        </row>
        <row r="672">
          <cell r="B672" t="str">
            <v>CLEAN20-RO</v>
          </cell>
          <cell r="C672" t="str">
            <v>CLEANING FEE 20 YD - RO</v>
          </cell>
          <cell r="D672">
            <v>100.8</v>
          </cell>
        </row>
        <row r="673">
          <cell r="B673" t="str">
            <v>CLEAN30-RO</v>
          </cell>
          <cell r="C673" t="str">
            <v>CLEANING FEE 30 YD - RO</v>
          </cell>
          <cell r="D673">
            <v>151.19999999999999</v>
          </cell>
        </row>
        <row r="674">
          <cell r="B674" t="str">
            <v>CLEAN40-RO</v>
          </cell>
          <cell r="C674" t="str">
            <v>CLEANING FEE 40 YD - RO</v>
          </cell>
          <cell r="D674">
            <v>201.6</v>
          </cell>
        </row>
        <row r="675">
          <cell r="B675" t="str">
            <v>CLEAN50-RO</v>
          </cell>
          <cell r="C675" t="str">
            <v>CLEANING FEE 50 YD - RO</v>
          </cell>
          <cell r="D675">
            <v>252</v>
          </cell>
        </row>
        <row r="676">
          <cell r="B676" t="str">
            <v>CLEAN8-COMM</v>
          </cell>
          <cell r="C676" t="str">
            <v>CLEANING FEE 8 YD - COMM</v>
          </cell>
          <cell r="D676">
            <v>40.32</v>
          </cell>
        </row>
        <row r="677">
          <cell r="B677" t="str">
            <v>CLEAN-COMM</v>
          </cell>
          <cell r="C677" t="str">
            <v>CONT CLEANING FEE - COMM</v>
          </cell>
          <cell r="D677">
            <v>30.24</v>
          </cell>
        </row>
        <row r="678">
          <cell r="B678" t="str">
            <v>COMMERCIAL</v>
          </cell>
          <cell r="C678" t="str">
            <v>Code ID</v>
          </cell>
          <cell r="D678" t="str">
            <v>Billcycle</v>
          </cell>
        </row>
        <row r="679">
          <cell r="B679" t="str">
            <v>DEL1.5-COMM</v>
          </cell>
          <cell r="C679" t="str">
            <v>DELIVERY FEE 1.5YD - COMM</v>
          </cell>
          <cell r="D679">
            <v>18</v>
          </cell>
        </row>
        <row r="680">
          <cell r="B680" t="str">
            <v>DEL3-COMM</v>
          </cell>
          <cell r="C680" t="str">
            <v>DELIVERY FEE 3YD - COMM</v>
          </cell>
          <cell r="D680">
            <v>22.19</v>
          </cell>
        </row>
        <row r="681">
          <cell r="B681" t="str">
            <v>DEL4-COMM</v>
          </cell>
          <cell r="C681" t="str">
            <v>DELIVERY FEE 4YD - COMM</v>
          </cell>
          <cell r="D681">
            <v>22.19</v>
          </cell>
        </row>
        <row r="682">
          <cell r="B682" t="str">
            <v>DEL6-COMM</v>
          </cell>
          <cell r="C682" t="str">
            <v>DELIVERY FEE 6YD - COMM</v>
          </cell>
          <cell r="D682">
            <v>25.79</v>
          </cell>
        </row>
        <row r="683">
          <cell r="B683" t="str">
            <v>DEL-RO</v>
          </cell>
          <cell r="C683" t="str">
            <v>DELIVERY FEE - RO</v>
          </cell>
          <cell r="D683">
            <v>41.16</v>
          </cell>
        </row>
        <row r="684">
          <cell r="B684" t="str">
            <v>DISP-RO</v>
          </cell>
          <cell r="C684" t="str">
            <v>DISPOSAL CHARGE - RO</v>
          </cell>
          <cell r="D684">
            <v>30.89</v>
          </cell>
        </row>
        <row r="685">
          <cell r="B685" t="str">
            <v>DRIVE-IN RES MTHLY</v>
          </cell>
          <cell r="C685" t="str">
            <v>DRIVE-IN SERVICE RES MONTHLY</v>
          </cell>
          <cell r="D685">
            <v>1.58</v>
          </cell>
        </row>
        <row r="686">
          <cell r="B686" t="str">
            <v>DRIVEIN-COMM</v>
          </cell>
          <cell r="C686" t="str">
            <v>DRIVE IN SERVICE-COMM</v>
          </cell>
          <cell r="D686">
            <v>3.42</v>
          </cell>
        </row>
        <row r="687">
          <cell r="B687" t="str">
            <v>DRIVEINEOW-RES</v>
          </cell>
          <cell r="C687" t="str">
            <v>DRIVE IN EOW CHARGE</v>
          </cell>
          <cell r="D687">
            <v>3.42</v>
          </cell>
        </row>
        <row r="688">
          <cell r="B688" t="str">
            <v>DRIVEIN-RES</v>
          </cell>
          <cell r="C688" t="str">
            <v>DRIVE IN SERVICE - RES</v>
          </cell>
          <cell r="D688">
            <v>6.84</v>
          </cell>
        </row>
        <row r="689">
          <cell r="B689" t="str">
            <v>EP1.5-COMM</v>
          </cell>
          <cell r="C689" t="str">
            <v>EXTRA PICK UP 1.5 YD - CO</v>
          </cell>
          <cell r="D689">
            <v>10.039999999999999</v>
          </cell>
        </row>
        <row r="690">
          <cell r="B690" t="str">
            <v>EP3-COMM</v>
          </cell>
          <cell r="C690" t="str">
            <v>EXTRA PICK UP 3 YD - COMM</v>
          </cell>
          <cell r="D690">
            <v>16.2</v>
          </cell>
        </row>
        <row r="691">
          <cell r="B691" t="str">
            <v>EP4-COMM</v>
          </cell>
          <cell r="C691" t="str">
            <v>EXTRA PICK UP 4 YD - COMM</v>
          </cell>
          <cell r="D691">
            <v>19.5</v>
          </cell>
        </row>
        <row r="692">
          <cell r="B692" t="str">
            <v>EP6-COMM</v>
          </cell>
          <cell r="C692" t="str">
            <v>EXTRA PICK UP 6 YD - COMM</v>
          </cell>
          <cell r="D692">
            <v>26.6</v>
          </cell>
        </row>
        <row r="693">
          <cell r="B693" t="str">
            <v>EXTRA1TO4YD-COMM</v>
          </cell>
          <cell r="C693" t="str">
            <v>EXTRA PU 1 TO 4YD - COMM</v>
          </cell>
          <cell r="D693">
            <v>6.92</v>
          </cell>
        </row>
        <row r="694">
          <cell r="B694" t="str">
            <v>EXTRA5OVERYD-COMM</v>
          </cell>
          <cell r="C694" t="str">
            <v>EXTRA PU 5YD OVER - COMM</v>
          </cell>
          <cell r="D694">
            <v>6.22</v>
          </cell>
        </row>
        <row r="695">
          <cell r="B695" t="str">
            <v>EXTRA-COMM</v>
          </cell>
          <cell r="C695" t="str">
            <v>EXTRA CAN, BAG, BOX-COMM</v>
          </cell>
          <cell r="D695">
            <v>2.08</v>
          </cell>
        </row>
        <row r="696">
          <cell r="B696" t="str">
            <v>EXTRA-RES</v>
          </cell>
          <cell r="C696" t="str">
            <v>EXTRA CAN, BAG, BOX-RES</v>
          </cell>
          <cell r="D696">
            <v>2.0299999999999998</v>
          </cell>
        </row>
        <row r="697">
          <cell r="B697" t="str">
            <v>FL001.5Y1W001</v>
          </cell>
          <cell r="C697" t="str">
            <v>FL 1.5 YD 1X WK 1</v>
          </cell>
          <cell r="D697">
            <v>29.83</v>
          </cell>
        </row>
        <row r="698">
          <cell r="B698" t="str">
            <v>FL001.5Y2W001</v>
          </cell>
          <cell r="C698" t="str">
            <v>FL 1.5 YD 2X WK 1</v>
          </cell>
          <cell r="D698">
            <v>59.67</v>
          </cell>
        </row>
        <row r="699">
          <cell r="B699" t="str">
            <v>FL001.5Y3W001</v>
          </cell>
          <cell r="C699" t="str">
            <v>FL 1.5 YD 3X WK 1</v>
          </cell>
          <cell r="D699">
            <v>89.5</v>
          </cell>
        </row>
        <row r="700">
          <cell r="B700" t="str">
            <v>FL001.5Y5W001</v>
          </cell>
          <cell r="C700" t="str">
            <v>FL 1.5 YD 5X WK 1</v>
          </cell>
          <cell r="D700">
            <v>149.16999999999999</v>
          </cell>
        </row>
        <row r="701">
          <cell r="B701" t="str">
            <v>FL003.0Y1W001</v>
          </cell>
          <cell r="C701" t="str">
            <v>FL 3 YD 1X WK 1</v>
          </cell>
          <cell r="D701">
            <v>52.35</v>
          </cell>
        </row>
        <row r="702">
          <cell r="B702" t="str">
            <v>FL003.0Y1W001REC</v>
          </cell>
          <cell r="C702" t="str">
            <v>FL 3 YD 1X WK RECYCLE 1</v>
          </cell>
          <cell r="D702">
            <v>32.979999999999997</v>
          </cell>
        </row>
        <row r="703">
          <cell r="B703" t="str">
            <v>FL003.0Y2W001</v>
          </cell>
          <cell r="C703" t="str">
            <v>FL 3 YD 2X WK 1</v>
          </cell>
          <cell r="D703">
            <v>104.7</v>
          </cell>
        </row>
        <row r="704">
          <cell r="B704" t="str">
            <v>FL003.0Y2W001REC</v>
          </cell>
          <cell r="C704" t="str">
            <v>FL 3 YD 2X WK RECYCLE 1</v>
          </cell>
          <cell r="D704">
            <v>59.62</v>
          </cell>
        </row>
        <row r="705">
          <cell r="B705" t="str">
            <v>FL003.0Y3W001</v>
          </cell>
          <cell r="C705" t="str">
            <v>FL 3 YD 3X WK 1</v>
          </cell>
          <cell r="D705">
            <v>157.05000000000001</v>
          </cell>
        </row>
        <row r="706">
          <cell r="B706" t="str">
            <v>FL003.0Y3W001REC</v>
          </cell>
          <cell r="C706" t="str">
            <v>FL 3 YD 3X WK RECYCLE 1</v>
          </cell>
          <cell r="D706">
            <v>59.62</v>
          </cell>
        </row>
        <row r="707">
          <cell r="B707" t="str">
            <v>FL003.0Y5W001</v>
          </cell>
          <cell r="C707" t="str">
            <v>FL 3 YD 5X WK 1</v>
          </cell>
          <cell r="D707">
            <v>261.75</v>
          </cell>
        </row>
        <row r="708">
          <cell r="B708" t="str">
            <v>FL004.0Y1W001</v>
          </cell>
          <cell r="C708" t="str">
            <v>FL 4 YD 1X WK 1</v>
          </cell>
          <cell r="D708">
            <v>69.150000000000006</v>
          </cell>
        </row>
        <row r="709">
          <cell r="B709" t="str">
            <v>FL004.0Y1W001CMP</v>
          </cell>
          <cell r="C709" t="str">
            <v>FL 4 YD 1X WK COMP 1</v>
          </cell>
          <cell r="D709">
            <v>41.52</v>
          </cell>
        </row>
        <row r="710">
          <cell r="B710" t="str">
            <v>FL004.0Y1W001REC</v>
          </cell>
          <cell r="C710" t="str">
            <v>FL 4 YD 1X WK RECYCLE 1</v>
          </cell>
          <cell r="D710">
            <v>43.91</v>
          </cell>
        </row>
        <row r="711">
          <cell r="B711" t="str">
            <v>FL004.0Y2W001</v>
          </cell>
          <cell r="C711" t="str">
            <v>FL 4 YD 2X WK 1</v>
          </cell>
          <cell r="D711">
            <v>138.30000000000001</v>
          </cell>
        </row>
        <row r="712">
          <cell r="B712" t="str">
            <v>FL004.0Y2W001REC</v>
          </cell>
          <cell r="C712" t="str">
            <v>FL 4 YD 2X WK RECYCLE 1</v>
          </cell>
          <cell r="D712">
            <v>80.099999999999994</v>
          </cell>
        </row>
        <row r="713">
          <cell r="B713" t="str">
            <v>FL004.0Y3W001</v>
          </cell>
          <cell r="C713" t="str">
            <v>FL 4 YD 3X WK 1</v>
          </cell>
          <cell r="D713">
            <v>207.45</v>
          </cell>
        </row>
        <row r="714">
          <cell r="B714" t="str">
            <v>FL004.0Y3W001REC</v>
          </cell>
          <cell r="C714" t="str">
            <v>FL 4 YD 3X WK RECYCLE 1</v>
          </cell>
          <cell r="D714">
            <v>80.099999999999994</v>
          </cell>
        </row>
        <row r="715">
          <cell r="B715" t="str">
            <v>FL004.0Y4W001REC</v>
          </cell>
          <cell r="C715" t="str">
            <v>FL 4 YD 4X WK RECYCLE 1</v>
          </cell>
          <cell r="D715">
            <v>80.099999999999994</v>
          </cell>
        </row>
        <row r="716">
          <cell r="B716" t="str">
            <v>FL004.0Y5W001</v>
          </cell>
          <cell r="C716" t="str">
            <v>FL 4 YD 5X WK 1</v>
          </cell>
          <cell r="D716">
            <v>345.75</v>
          </cell>
        </row>
        <row r="717">
          <cell r="B717" t="str">
            <v>FL006.0Y1W001</v>
          </cell>
          <cell r="C717" t="str">
            <v>FL 6 YD 1X WK 1</v>
          </cell>
          <cell r="D717">
            <v>94</v>
          </cell>
        </row>
        <row r="718">
          <cell r="B718" t="str">
            <v>FL006.0Y1W001REC</v>
          </cell>
          <cell r="C718" t="str">
            <v>FL 6 YD 1X WK RECYCLE 1</v>
          </cell>
          <cell r="D718">
            <v>57.97</v>
          </cell>
        </row>
        <row r="719">
          <cell r="B719" t="str">
            <v>FL006.0Y2W001</v>
          </cell>
          <cell r="C719" t="str">
            <v>FL 6 YD 2X WK 1</v>
          </cell>
          <cell r="D719">
            <v>188.01</v>
          </cell>
        </row>
        <row r="720">
          <cell r="B720" t="str">
            <v>FL006.0Y2W001REC</v>
          </cell>
          <cell r="C720" t="str">
            <v>FL 6 YD 2X WK RECYCLE 1</v>
          </cell>
          <cell r="D720">
            <v>106.96</v>
          </cell>
        </row>
        <row r="721">
          <cell r="B721" t="str">
            <v>FL006.0Y3W001</v>
          </cell>
          <cell r="C721" t="str">
            <v>FL 6 YD 3X WK 1</v>
          </cell>
          <cell r="D721">
            <v>282.01</v>
          </cell>
        </row>
        <row r="722">
          <cell r="B722" t="str">
            <v>FL006.0Y3W001REC</v>
          </cell>
          <cell r="C722" t="str">
            <v>FL 6 YD 3X WK RECYCLE 1</v>
          </cell>
          <cell r="D722">
            <v>106.96</v>
          </cell>
        </row>
        <row r="723">
          <cell r="B723" t="str">
            <v>FL006.0Y4W001</v>
          </cell>
          <cell r="C723" t="str">
            <v>FL 6 YD 4X WK 1</v>
          </cell>
          <cell r="D723">
            <v>376.02</v>
          </cell>
        </row>
        <row r="724">
          <cell r="B724" t="str">
            <v>FL006.0Y5W001</v>
          </cell>
          <cell r="C724" t="str">
            <v>FL 6 YD 5X WK 1</v>
          </cell>
          <cell r="D724">
            <v>470.02</v>
          </cell>
        </row>
        <row r="725">
          <cell r="B725" t="str">
            <v>FL008.0Y1W001</v>
          </cell>
          <cell r="C725" t="str">
            <v>FL 8 YD 1X WK 1</v>
          </cell>
          <cell r="D725">
            <v>127.3</v>
          </cell>
        </row>
        <row r="726">
          <cell r="B726" t="str">
            <v>FL008.0Y2W001</v>
          </cell>
          <cell r="C726" t="str">
            <v>FL 8 YD 2X WK 1</v>
          </cell>
          <cell r="D726">
            <v>254.6</v>
          </cell>
        </row>
        <row r="727">
          <cell r="B727" t="str">
            <v>FL008.0Y3W001</v>
          </cell>
          <cell r="C727" t="str">
            <v>FL 8 YD 3X WK 1</v>
          </cell>
          <cell r="D727">
            <v>381.91</v>
          </cell>
        </row>
        <row r="728">
          <cell r="B728" t="str">
            <v>FL008.0Y4W001</v>
          </cell>
          <cell r="C728" t="str">
            <v>FL 8 YD 4X WK 1</v>
          </cell>
          <cell r="D728">
            <v>509.21</v>
          </cell>
        </row>
        <row r="729">
          <cell r="B729" t="str">
            <v>FL008.0Y5W001</v>
          </cell>
          <cell r="C729" t="str">
            <v>FL 8 YD 5X WK 1</v>
          </cell>
          <cell r="D729">
            <v>636.51</v>
          </cell>
        </row>
        <row r="730">
          <cell r="B730" t="str">
            <v>FL1.5TC-COMM</v>
          </cell>
          <cell r="C730" t="str">
            <v>FL 1.5 YD TEMP - COMM</v>
          </cell>
          <cell r="D730">
            <v>9.52</v>
          </cell>
        </row>
        <row r="731">
          <cell r="B731" t="str">
            <v>FL3TC-COMM</v>
          </cell>
          <cell r="C731" t="str">
            <v>FL 3 YD TEMP - COMM</v>
          </cell>
          <cell r="D731">
            <v>17.5</v>
          </cell>
        </row>
        <row r="732">
          <cell r="B732" t="str">
            <v>FL4TC-COMM</v>
          </cell>
          <cell r="C732" t="str">
            <v>FL 4 YD TEMP - COMM</v>
          </cell>
          <cell r="D732">
            <v>22.75</v>
          </cell>
        </row>
        <row r="733">
          <cell r="B733" t="str">
            <v>FL6TC-COMM</v>
          </cell>
          <cell r="C733" t="str">
            <v>FL 6 YD TEMP - COMM</v>
          </cell>
          <cell r="D733">
            <v>27.08</v>
          </cell>
        </row>
        <row r="734">
          <cell r="B734" t="str">
            <v>HAUL10-CP</v>
          </cell>
          <cell r="C734" t="str">
            <v>HAUL 10-18YD COMP - RO</v>
          </cell>
          <cell r="D734">
            <v>135.02000000000001</v>
          </cell>
        </row>
        <row r="735">
          <cell r="B735" t="str">
            <v>HAUL20-CP</v>
          </cell>
          <cell r="C735" t="str">
            <v>COMPACTOR HAUL 20 YD - RO</v>
          </cell>
          <cell r="D735">
            <v>140.53</v>
          </cell>
        </row>
        <row r="736">
          <cell r="B736" t="str">
            <v>HAUL20-RO</v>
          </cell>
          <cell r="C736" t="str">
            <v>HAUL 20 YD - RO</v>
          </cell>
          <cell r="D736">
            <v>78.73</v>
          </cell>
        </row>
        <row r="737">
          <cell r="B737" t="str">
            <v>HAUL20TEMP-RO</v>
          </cell>
          <cell r="C737" t="str">
            <v>HAUL 20 YD TEMP - RO</v>
          </cell>
          <cell r="D737">
            <v>78.73</v>
          </cell>
        </row>
        <row r="738">
          <cell r="B738" t="str">
            <v>HAUL25-CP</v>
          </cell>
          <cell r="C738" t="str">
            <v>COMPACTOR HAUL 25 YD - RO</v>
          </cell>
          <cell r="D738">
            <v>153.93</v>
          </cell>
        </row>
        <row r="739">
          <cell r="B739" t="str">
            <v>HAUL30-CP</v>
          </cell>
          <cell r="C739" t="str">
            <v>COMPACTOR HAUL 30 YD - RO</v>
          </cell>
          <cell r="D739">
            <v>166.7</v>
          </cell>
        </row>
        <row r="740">
          <cell r="B740" t="str">
            <v>HAUL30-RO</v>
          </cell>
          <cell r="C740" t="str">
            <v>HAUL 30 YD - RO</v>
          </cell>
          <cell r="D740">
            <v>88.24</v>
          </cell>
        </row>
        <row r="741">
          <cell r="B741" t="str">
            <v>HAUL30TEMP-RO</v>
          </cell>
          <cell r="C741" t="str">
            <v>HAUL 30 YD TEMP - RO</v>
          </cell>
          <cell r="D741">
            <v>88.24</v>
          </cell>
        </row>
        <row r="742">
          <cell r="B742" t="str">
            <v>HAUL35-CP</v>
          </cell>
          <cell r="C742" t="str">
            <v>COMPACTOR HAUL 35 YD - RO</v>
          </cell>
          <cell r="D742">
            <v>198.68</v>
          </cell>
        </row>
        <row r="743">
          <cell r="B743" t="str">
            <v>HAUL36-CP</v>
          </cell>
          <cell r="C743" t="str">
            <v>HAUL 36YD COMP - RO</v>
          </cell>
          <cell r="D743">
            <v>198.68</v>
          </cell>
        </row>
        <row r="744">
          <cell r="B744" t="str">
            <v>HAUL40-CP</v>
          </cell>
          <cell r="C744" t="str">
            <v>COMPACTOR HAUL 40 YD - RO</v>
          </cell>
          <cell r="D744">
            <v>198.68</v>
          </cell>
        </row>
        <row r="745">
          <cell r="B745" t="str">
            <v>HAUL40-RO</v>
          </cell>
          <cell r="C745" t="str">
            <v>HAUL 40 YD - RO</v>
          </cell>
          <cell r="D745">
            <v>108.46</v>
          </cell>
        </row>
        <row r="746">
          <cell r="B746" t="str">
            <v>HAUL40TEMP-RO</v>
          </cell>
          <cell r="C746" t="str">
            <v>HAUL 40 YD TEMP - RO</v>
          </cell>
          <cell r="D746">
            <v>108.46</v>
          </cell>
        </row>
        <row r="747">
          <cell r="B747" t="str">
            <v>HAUL50-RO</v>
          </cell>
          <cell r="C747" t="str">
            <v>HAUL 50 YD - RO</v>
          </cell>
          <cell r="D747">
            <v>108.46</v>
          </cell>
        </row>
        <row r="748">
          <cell r="B748" t="str">
            <v>HAUL50TEMP-RO</v>
          </cell>
          <cell r="C748" t="str">
            <v>HAUL 50 YD TEMP - RO</v>
          </cell>
          <cell r="D748">
            <v>108.46</v>
          </cell>
        </row>
        <row r="749">
          <cell r="B749" t="str">
            <v>MILE-RO</v>
          </cell>
          <cell r="C749" t="str">
            <v>MILEAGE FEE - RO</v>
          </cell>
          <cell r="D749">
            <v>3.07</v>
          </cell>
        </row>
        <row r="750">
          <cell r="B750" t="str">
            <v>OS-RES</v>
          </cell>
          <cell r="C750" t="str">
            <v>OVERSIZE CAN - RES</v>
          </cell>
          <cell r="D750">
            <v>1.72</v>
          </cell>
        </row>
        <row r="751">
          <cell r="B751" t="str">
            <v>PUREDEL1-COMM</v>
          </cell>
          <cell r="C751" t="str">
            <v>PU/REDEL UP TO 8 YDS - COMM</v>
          </cell>
          <cell r="D751">
            <v>21.52</v>
          </cell>
        </row>
        <row r="752">
          <cell r="B752" t="str">
            <v>PUREDEL1-RO</v>
          </cell>
          <cell r="C752" t="str">
            <v>PU/REDEL OVER 8 YDS - RO</v>
          </cell>
          <cell r="D752">
            <v>34.35</v>
          </cell>
        </row>
        <row r="753">
          <cell r="B753" t="str">
            <v>REDEL1.5-COMM</v>
          </cell>
          <cell r="C753" t="str">
            <v>REDELIVERY FEE 1.5 YD - COMM</v>
          </cell>
          <cell r="D753">
            <v>18</v>
          </cell>
        </row>
        <row r="754">
          <cell r="B754" t="str">
            <v>REDEL3-COMM</v>
          </cell>
          <cell r="C754" t="str">
            <v>REDELIVERY FEE 3 YD - COMM</v>
          </cell>
          <cell r="D754">
            <v>22.19</v>
          </cell>
        </row>
        <row r="755">
          <cell r="B755" t="str">
            <v>REDEL4-COMM</v>
          </cell>
          <cell r="C755" t="str">
            <v>REDELIVERY FEE 4 YD - COMM</v>
          </cell>
          <cell r="D755">
            <v>22.19</v>
          </cell>
        </row>
        <row r="756">
          <cell r="B756" t="str">
            <v>REDEL6-COMM</v>
          </cell>
          <cell r="C756" t="str">
            <v>REDELIVERY FEE 6 YD - COMM</v>
          </cell>
          <cell r="D756">
            <v>25.79</v>
          </cell>
        </row>
        <row r="757">
          <cell r="B757" t="str">
            <v>REDEL-RES</v>
          </cell>
          <cell r="C757" t="str">
            <v>REDELIVERY FEE - RES</v>
          </cell>
          <cell r="D757">
            <v>14.78</v>
          </cell>
        </row>
        <row r="758">
          <cell r="B758" t="str">
            <v>REINSTATE-COMM</v>
          </cell>
          <cell r="C758" t="str">
            <v>REINSTATE FEE - COMM</v>
          </cell>
          <cell r="D758">
            <v>11.43</v>
          </cell>
        </row>
        <row r="759">
          <cell r="B759" t="str">
            <v>REINSTATE-RES</v>
          </cell>
          <cell r="C759" t="str">
            <v>REINSTATE FEE - RES</v>
          </cell>
          <cell r="D759">
            <v>11.43</v>
          </cell>
        </row>
        <row r="760">
          <cell r="B760" t="str">
            <v>RENT1.5-COMM</v>
          </cell>
          <cell r="C760" t="str">
            <v>RENTAL FEE 1.5 YD COMM</v>
          </cell>
          <cell r="D760">
            <v>9.7200000000000006</v>
          </cell>
        </row>
        <row r="761">
          <cell r="B761" t="str">
            <v>RENT1.5TEMP-COMM</v>
          </cell>
          <cell r="C761" t="str">
            <v>RENTAL FEE 1.5 YD TEMP -</v>
          </cell>
          <cell r="D761">
            <v>0.36</v>
          </cell>
        </row>
        <row r="762">
          <cell r="B762" t="str">
            <v>RENT20DAY-RO</v>
          </cell>
          <cell r="C762" t="str">
            <v>RENTAL FEE 20 YD DAILY</v>
          </cell>
          <cell r="D762">
            <v>3.85</v>
          </cell>
        </row>
        <row r="763">
          <cell r="B763" t="str">
            <v>RENT20MO-RO</v>
          </cell>
          <cell r="C763" t="str">
            <v>RENTAL FEE 20 YD MONTHLY</v>
          </cell>
          <cell r="D763">
            <v>36.590000000000003</v>
          </cell>
        </row>
        <row r="764">
          <cell r="B764" t="str">
            <v>RENT30DAY-RO</v>
          </cell>
          <cell r="C764" t="str">
            <v>RENTAL FEE 30 YD DAILY</v>
          </cell>
          <cell r="D764">
            <v>4.5599999999999996</v>
          </cell>
        </row>
        <row r="765">
          <cell r="B765" t="str">
            <v>RENT30MO-RO</v>
          </cell>
          <cell r="C765" t="str">
            <v>RENTAL FEE 30 YD MONTHLY</v>
          </cell>
          <cell r="D765">
            <v>42.67</v>
          </cell>
        </row>
        <row r="766">
          <cell r="B766" t="str">
            <v>RENT30REC-RO</v>
          </cell>
          <cell r="C766" t="str">
            <v>RENTAL FEE 30 YD REC-RO</v>
          </cell>
          <cell r="D766">
            <v>35.65</v>
          </cell>
        </row>
        <row r="767">
          <cell r="B767" t="str">
            <v>RENT3-COMM</v>
          </cell>
          <cell r="C767" t="str">
            <v>RENTAL FEE 3 YD COMM</v>
          </cell>
          <cell r="D767">
            <v>11.76</v>
          </cell>
        </row>
        <row r="768">
          <cell r="B768" t="str">
            <v>RENT3TEMP-COMM</v>
          </cell>
          <cell r="C768" t="str">
            <v>RENTAL FEE 3 YD TEMP - CO</v>
          </cell>
          <cell r="D768">
            <v>0.54</v>
          </cell>
        </row>
        <row r="769">
          <cell r="B769" t="str">
            <v>RENT40DAY-RO</v>
          </cell>
          <cell r="C769" t="str">
            <v>RENTAL FEE 40 YD DAILY</v>
          </cell>
          <cell r="D769">
            <v>4.9400000000000004</v>
          </cell>
        </row>
        <row r="770">
          <cell r="B770" t="str">
            <v>RENT40MO-RO</v>
          </cell>
          <cell r="C770" t="str">
            <v>RENTAL FEE 40 YD MONTHLY</v>
          </cell>
          <cell r="D770">
            <v>48.7</v>
          </cell>
        </row>
        <row r="771">
          <cell r="B771" t="str">
            <v>RENT4-COMM</v>
          </cell>
          <cell r="C771" t="str">
            <v>RENTAL FEE 4 YD COMM</v>
          </cell>
          <cell r="D771">
            <v>14.31</v>
          </cell>
        </row>
        <row r="772">
          <cell r="B772" t="str">
            <v>RENT4TEMP-COMM</v>
          </cell>
          <cell r="C772" t="str">
            <v>RENTAL FEE 4YD TEMP - COM</v>
          </cell>
          <cell r="D772">
            <v>0.61</v>
          </cell>
        </row>
        <row r="773">
          <cell r="B773" t="str">
            <v>RENT50REC-RO</v>
          </cell>
          <cell r="C773" t="str">
            <v>RENTAL FEE 50 YD REC-RO</v>
          </cell>
          <cell r="D773">
            <v>45.8</v>
          </cell>
        </row>
        <row r="774">
          <cell r="B774" t="str">
            <v>RENT6-COMM</v>
          </cell>
          <cell r="C774" t="str">
            <v>RENTAL FEE 6 YD COMM</v>
          </cell>
          <cell r="D774">
            <v>16.579999999999998</v>
          </cell>
        </row>
        <row r="775">
          <cell r="B775" t="str">
            <v>RENT6TEMP-COMM</v>
          </cell>
          <cell r="C775" t="str">
            <v>RENTAL FEE 6 YD TEMP - CO</v>
          </cell>
          <cell r="D775">
            <v>0.9</v>
          </cell>
        </row>
        <row r="776">
          <cell r="B776" t="str">
            <v>RENT8-COMM</v>
          </cell>
          <cell r="C776" t="str">
            <v>RENTAL FEE 8 YD COMM</v>
          </cell>
          <cell r="D776">
            <v>22.11</v>
          </cell>
        </row>
        <row r="777">
          <cell r="B777" t="str">
            <v>RESIDENTIAL</v>
          </cell>
          <cell r="C777" t="str">
            <v>Code ID</v>
          </cell>
          <cell r="D777" t="str">
            <v>Billcycle</v>
          </cell>
        </row>
        <row r="778">
          <cell r="B778" t="str">
            <v>RETCKC</v>
          </cell>
          <cell r="C778" t="str">
            <v>RETURN CHECK CHARGE</v>
          </cell>
          <cell r="D778">
            <v>11.07</v>
          </cell>
        </row>
        <row r="779">
          <cell r="B779" t="str">
            <v>RL001.25Y1W001</v>
          </cell>
          <cell r="C779" t="str">
            <v>RL 1.25 YD 1X WK 1</v>
          </cell>
          <cell r="D779">
            <v>26.02</v>
          </cell>
        </row>
        <row r="780">
          <cell r="B780" t="str">
            <v>RL001.25Y1W001REC</v>
          </cell>
          <cell r="C780" t="str">
            <v>RL 1.25 YD 1X WK RECYCLE</v>
          </cell>
          <cell r="D780">
            <v>20.440000000000001</v>
          </cell>
        </row>
        <row r="781">
          <cell r="B781" t="str">
            <v>RL001.25Y2W001</v>
          </cell>
          <cell r="C781" t="str">
            <v>RL 1.25 YD 2X WK 1</v>
          </cell>
          <cell r="D781">
            <v>52.05</v>
          </cell>
        </row>
        <row r="782">
          <cell r="B782" t="str">
            <v>RL001.5Y1W001</v>
          </cell>
          <cell r="C782" t="str">
            <v>RL 1.5 YD 1X WK 1</v>
          </cell>
          <cell r="D782">
            <v>29.83</v>
          </cell>
        </row>
        <row r="783">
          <cell r="B783" t="str">
            <v>RL001.5Y1W001REC</v>
          </cell>
          <cell r="C783" t="str">
            <v>RL 1.5 YD 1X WK RECYCLE 1</v>
          </cell>
          <cell r="D783">
            <v>20.440000000000001</v>
          </cell>
        </row>
        <row r="784">
          <cell r="B784" t="str">
            <v>RL001.5Y2W001</v>
          </cell>
          <cell r="C784" t="str">
            <v>RL 1.5 YD 2X WK 1</v>
          </cell>
          <cell r="D784">
            <v>59.67</v>
          </cell>
        </row>
        <row r="785">
          <cell r="B785" t="str">
            <v>RL001.5Y2W001REC</v>
          </cell>
          <cell r="C785" t="str">
            <v>RL 1.5 YD 2X WK RECYCLE 1</v>
          </cell>
          <cell r="D785">
            <v>35.6</v>
          </cell>
        </row>
        <row r="786">
          <cell r="B786" t="str">
            <v>RL001.5Y3W001</v>
          </cell>
          <cell r="C786" t="str">
            <v>RL 1.5 YD 3X WK 1</v>
          </cell>
          <cell r="D786">
            <v>89.5</v>
          </cell>
        </row>
        <row r="787">
          <cell r="B787" t="str">
            <v>RL001.5Y5W001</v>
          </cell>
          <cell r="C787" t="str">
            <v>RL 1.5 YD 5X WK 1</v>
          </cell>
          <cell r="D787">
            <v>149.16999999999999</v>
          </cell>
        </row>
        <row r="788">
          <cell r="B788" t="str">
            <v>RL001.5YEO001</v>
          </cell>
          <cell r="C788" t="str">
            <v>RL 1.5 YD EOW 1</v>
          </cell>
          <cell r="D788">
            <v>14.95</v>
          </cell>
        </row>
        <row r="789">
          <cell r="B789" t="str">
            <v>RL020.0G1W001</v>
          </cell>
          <cell r="C789" t="str">
            <v>RL 20 GL 1X WK 1</v>
          </cell>
          <cell r="D789">
            <v>11.14</v>
          </cell>
        </row>
        <row r="790">
          <cell r="B790" t="str">
            <v>RL032.0G1M001</v>
          </cell>
          <cell r="C790" t="str">
            <v>RL 32 GL 1X MO 1</v>
          </cell>
          <cell r="D790">
            <v>8.32</v>
          </cell>
        </row>
        <row r="791">
          <cell r="B791" t="str">
            <v>RL032.0G1W001</v>
          </cell>
          <cell r="C791" t="str">
            <v>RL 32 GL 1X WK 1</v>
          </cell>
          <cell r="D791">
            <v>13.94</v>
          </cell>
        </row>
        <row r="792">
          <cell r="B792" t="str">
            <v>RL032.0G1W001COMM</v>
          </cell>
          <cell r="C792" t="str">
            <v>RL 32 GL 1X WK COMM 1</v>
          </cell>
          <cell r="D792">
            <v>5.87</v>
          </cell>
        </row>
        <row r="793">
          <cell r="B793" t="str">
            <v>RL032.0G1W002</v>
          </cell>
          <cell r="C793" t="str">
            <v>RL 32 GL 1X WK 2</v>
          </cell>
          <cell r="D793">
            <v>18.3</v>
          </cell>
        </row>
        <row r="794">
          <cell r="B794" t="str">
            <v>RL032.0G1W002COMM</v>
          </cell>
          <cell r="C794" t="str">
            <v>RL 32 GL 1X WK COMM 2</v>
          </cell>
          <cell r="D794">
            <v>11.69</v>
          </cell>
        </row>
        <row r="795">
          <cell r="B795" t="str">
            <v>RL032.0G1W003</v>
          </cell>
          <cell r="C795" t="str">
            <v>RL 32 GL 1X WK 3</v>
          </cell>
          <cell r="D795">
            <v>22.6</v>
          </cell>
        </row>
        <row r="796">
          <cell r="B796" t="str">
            <v>RL032.0G1W003COMM</v>
          </cell>
          <cell r="C796" t="str">
            <v>RL 32 GL 1X WK COMM 3</v>
          </cell>
          <cell r="D796">
            <v>17.54</v>
          </cell>
        </row>
        <row r="797">
          <cell r="B797" t="str">
            <v>RL032.0G1W004</v>
          </cell>
          <cell r="C797" t="str">
            <v>RL 32 GL 1X WK 4</v>
          </cell>
          <cell r="D797">
            <v>26.92</v>
          </cell>
        </row>
        <row r="798">
          <cell r="B798" t="str">
            <v>RL032.0G1W004COMM</v>
          </cell>
          <cell r="C798" t="str">
            <v>RL 32 GL 1X WK COMM 4</v>
          </cell>
          <cell r="D798">
            <v>23.38</v>
          </cell>
        </row>
        <row r="799">
          <cell r="B799" t="str">
            <v>RL032.0G1W005</v>
          </cell>
          <cell r="C799" t="str">
            <v>RL 32 GL 1X WK 5</v>
          </cell>
          <cell r="D799">
            <v>31.78</v>
          </cell>
        </row>
        <row r="800">
          <cell r="B800" t="str">
            <v>RL032.0G1W005COMM</v>
          </cell>
          <cell r="C800" t="str">
            <v>32 GL 1X WK COMM 5</v>
          </cell>
          <cell r="D800">
            <v>29.23</v>
          </cell>
        </row>
        <row r="801">
          <cell r="B801" t="str">
            <v>RL032.0G1W006</v>
          </cell>
          <cell r="C801" t="str">
            <v>RL 32 GL 1X WK 6</v>
          </cell>
          <cell r="D801">
            <v>37.159999999999997</v>
          </cell>
        </row>
        <row r="802">
          <cell r="B802" t="str">
            <v>RL048.0G1W001</v>
          </cell>
          <cell r="C802" t="str">
            <v>RL 48 GL 1X WK 1</v>
          </cell>
          <cell r="D802">
            <v>19.899999999999999</v>
          </cell>
        </row>
        <row r="803">
          <cell r="B803" t="str">
            <v>RL048.0G1W001COMM</v>
          </cell>
          <cell r="C803" t="str">
            <v>RL 48 GL 1X WK COMM 1</v>
          </cell>
          <cell r="D803">
            <v>10.220000000000001</v>
          </cell>
        </row>
        <row r="804">
          <cell r="B804" t="str">
            <v>RL064.0G1W001</v>
          </cell>
          <cell r="C804" t="str">
            <v>RL 64 GL 1X WK 1</v>
          </cell>
          <cell r="D804">
            <v>20.9</v>
          </cell>
        </row>
        <row r="805">
          <cell r="B805" t="str">
            <v>RL064.0G1W001COMM</v>
          </cell>
          <cell r="C805" t="str">
            <v>RL 64 GL 1X WK COMM 1</v>
          </cell>
          <cell r="D805">
            <v>10.83</v>
          </cell>
        </row>
        <row r="806">
          <cell r="B806" t="str">
            <v>RL096.0G1W001</v>
          </cell>
          <cell r="C806" t="str">
            <v>RL 96 GL 1X WK 1</v>
          </cell>
          <cell r="D806">
            <v>25.44</v>
          </cell>
        </row>
        <row r="807">
          <cell r="B807" t="str">
            <v>RL096.0G1W001COMM</v>
          </cell>
          <cell r="C807" t="str">
            <v>RL 96 GL 1X WK COMM 1</v>
          </cell>
          <cell r="D807">
            <v>13.16</v>
          </cell>
        </row>
        <row r="808">
          <cell r="B808" t="str">
            <v>RL096.0G1W001REC</v>
          </cell>
          <cell r="C808" t="str">
            <v>RL 96 GL 1X WK REC COMM 1</v>
          </cell>
          <cell r="D808">
            <v>9.6199999999999992</v>
          </cell>
        </row>
        <row r="809">
          <cell r="B809" t="str">
            <v>RL1.5TC-COMM</v>
          </cell>
          <cell r="C809" t="str">
            <v>RL TEMPORARY 1.5 YD-COMM</v>
          </cell>
          <cell r="D809">
            <v>9.52</v>
          </cell>
        </row>
        <row r="810">
          <cell r="B810" t="str">
            <v>RL32R-OC</v>
          </cell>
          <cell r="C810" t="str">
            <v>1 RL 32 GL ON CALL-RES</v>
          </cell>
          <cell r="D810">
            <v>4.16</v>
          </cell>
        </row>
        <row r="811">
          <cell r="B811" t="str">
            <v>ROLL OFF</v>
          </cell>
          <cell r="C811" t="str">
            <v>Code ID</v>
          </cell>
          <cell r="D811" t="str">
            <v>Billcycle</v>
          </cell>
        </row>
        <row r="812">
          <cell r="B812" t="str">
            <v>ROLLCART-COMM</v>
          </cell>
          <cell r="C812" t="str">
            <v>ROLL OUT CART CHARGE -COM</v>
          </cell>
          <cell r="D812">
            <v>1.1499999999999999</v>
          </cell>
        </row>
        <row r="813">
          <cell r="B813" t="str">
            <v>ROLL-COMM</v>
          </cell>
          <cell r="C813" t="str">
            <v>ROLL OUT CHARGE - COMM</v>
          </cell>
          <cell r="D813">
            <v>3.98</v>
          </cell>
        </row>
        <row r="814">
          <cell r="B814" t="str">
            <v>RT001.25Y0W000C</v>
          </cell>
          <cell r="C814" t="str">
            <v>RENTAL FEE 1.25 YD COMM</v>
          </cell>
          <cell r="D814">
            <v>9.51</v>
          </cell>
        </row>
        <row r="815">
          <cell r="B815" t="str">
            <v>RT001.25YTMP00X</v>
          </cell>
          <cell r="C815" t="str">
            <v>RENTAL FEE 1.25 YD TEMP -</v>
          </cell>
          <cell r="D815">
            <v>0.36</v>
          </cell>
        </row>
        <row r="816">
          <cell r="B816" t="str">
            <v>RT096.0G0W00RECC</v>
          </cell>
          <cell r="C816" t="str">
            <v>RENTAL FEE 96 GL REC COMM</v>
          </cell>
          <cell r="D816">
            <v>9.6199999999999992</v>
          </cell>
        </row>
        <row r="817">
          <cell r="B817" t="str">
            <v>SL064.0GEO001REC</v>
          </cell>
          <cell r="C817" t="str">
            <v>SL 64 GL EOW RECYCLE 1</v>
          </cell>
          <cell r="D817">
            <v>16.399999999999999</v>
          </cell>
        </row>
        <row r="818">
          <cell r="B818" t="str">
            <v>SL096.0GEO001GW</v>
          </cell>
          <cell r="C818" t="str">
            <v>SL 96 GL EOW GREENWASTE 1</v>
          </cell>
          <cell r="D818">
            <v>21.56</v>
          </cell>
        </row>
        <row r="819">
          <cell r="B819" t="str">
            <v>STGRNT</v>
          </cell>
          <cell r="C819" t="str">
            <v>STORAGE CONTAINER RENT</v>
          </cell>
          <cell r="D819">
            <v>85</v>
          </cell>
        </row>
        <row r="820">
          <cell r="B820" t="str">
            <v>SUNKENCAN-COMM</v>
          </cell>
          <cell r="C820" t="str">
            <v>SUNKEN CAN FEE - COMM</v>
          </cell>
          <cell r="D820">
            <v>0.61</v>
          </cell>
        </row>
        <row r="821">
          <cell r="B821" t="str">
            <v>SUNKENCAN-RES</v>
          </cell>
          <cell r="C821" t="str">
            <v>SUNKEN CAN FEE - RES</v>
          </cell>
          <cell r="D821">
            <v>1.21</v>
          </cell>
        </row>
        <row r="822">
          <cell r="B822" t="str">
            <v>TRIP-RES</v>
          </cell>
          <cell r="C822" t="str">
            <v>TRIP FEE - RES</v>
          </cell>
          <cell r="D822">
            <v>4.1100000000000003</v>
          </cell>
        </row>
        <row r="823">
          <cell r="B823" t="str">
            <v>UNLCKC</v>
          </cell>
          <cell r="C823" t="str">
            <v>UNLOCKING FEE - COMM</v>
          </cell>
          <cell r="D823">
            <v>1.1499999999999999</v>
          </cell>
        </row>
        <row r="824">
          <cell r="B824" t="str">
            <v>WI1-COMM</v>
          </cell>
          <cell r="C824" t="str">
            <v>WALK IN 5-25 FT - COMM</v>
          </cell>
          <cell r="D824">
            <v>1.3</v>
          </cell>
        </row>
        <row r="825">
          <cell r="B825" t="str">
            <v>WI1-RES</v>
          </cell>
          <cell r="C825" t="str">
            <v>WALK IN 5-25 FT - RES</v>
          </cell>
          <cell r="D825">
            <v>2.34</v>
          </cell>
        </row>
        <row r="826">
          <cell r="B826" t="str">
            <v>WI2-COMM</v>
          </cell>
          <cell r="C826" t="str">
            <v>WALK IN 26-50 FT - COMM</v>
          </cell>
          <cell r="D826">
            <v>1.91</v>
          </cell>
        </row>
        <row r="827">
          <cell r="B827" t="str">
            <v>WI2-RES</v>
          </cell>
          <cell r="C827" t="str">
            <v>WALK IN 26-50 FT - RES</v>
          </cell>
          <cell r="D827">
            <v>3.29</v>
          </cell>
        </row>
        <row r="828">
          <cell r="B828" t="str">
            <v>WI3-COMM</v>
          </cell>
          <cell r="C828" t="str">
            <v>WALK IN 51-75 FT - COMM</v>
          </cell>
          <cell r="D828">
            <v>2.5099999999999998</v>
          </cell>
        </row>
        <row r="829">
          <cell r="B829" t="str">
            <v>WI3-RES</v>
          </cell>
          <cell r="C829" t="str">
            <v>WALK IN 51-75 FT - RES</v>
          </cell>
          <cell r="D829">
            <v>4.24</v>
          </cell>
        </row>
        <row r="830">
          <cell r="B830" t="str">
            <v>WI4-COMM</v>
          </cell>
          <cell r="C830" t="str">
            <v>WALK IN 76-100 FT - COMM</v>
          </cell>
          <cell r="D830">
            <v>3.12</v>
          </cell>
        </row>
        <row r="831">
          <cell r="B831" t="str">
            <v>WI4-RES</v>
          </cell>
          <cell r="C831" t="str">
            <v>WALK IN 76-100 FT - RES</v>
          </cell>
          <cell r="D831">
            <v>5.2</v>
          </cell>
        </row>
        <row r="832">
          <cell r="B832" t="str">
            <v>WI5-RES</v>
          </cell>
          <cell r="C832" t="str">
            <v>WALK IN 101-125 FT - RES</v>
          </cell>
          <cell r="D832">
            <v>6.15</v>
          </cell>
        </row>
        <row r="833">
          <cell r="B833" t="str">
            <v>YAKIMA COUNTY</v>
          </cell>
          <cell r="C833" t="str">
            <v>(blank)</v>
          </cell>
          <cell r="D833" t="str">
            <v>(blank)</v>
          </cell>
        </row>
        <row r="834">
          <cell r="B834" t="str">
            <v>ACCOUNTING</v>
          </cell>
          <cell r="C834" t="str">
            <v>Code ID</v>
          </cell>
          <cell r="D834" t="str">
            <v>Billcycle</v>
          </cell>
        </row>
        <row r="835">
          <cell r="B835" t="str">
            <v>ADD32GLCOM1W</v>
          </cell>
          <cell r="C835" t="str">
            <v>ADDTL 32 GL 1X WK COMM</v>
          </cell>
          <cell r="D835">
            <v>1.75</v>
          </cell>
        </row>
        <row r="836">
          <cell r="B836" t="str">
            <v>CLEAN10-RO</v>
          </cell>
          <cell r="C836" t="str">
            <v>CLEANING FEE 10 YD - RO</v>
          </cell>
          <cell r="D836">
            <v>50.4</v>
          </cell>
        </row>
        <row r="837">
          <cell r="B837" t="str">
            <v>CLEAN20-RO</v>
          </cell>
          <cell r="C837" t="str">
            <v>CLEANING FEE 20 YD - RO</v>
          </cell>
          <cell r="D837">
            <v>100.8</v>
          </cell>
        </row>
        <row r="838">
          <cell r="B838" t="str">
            <v>CLEAN30-RO</v>
          </cell>
          <cell r="C838" t="str">
            <v>CLEANING FEE 30 YD - RO</v>
          </cell>
          <cell r="D838">
            <v>151.19999999999999</v>
          </cell>
        </row>
        <row r="839">
          <cell r="B839" t="str">
            <v>CLEAN40-RO</v>
          </cell>
          <cell r="C839" t="str">
            <v>CLEANING FEE 40 YD - RO</v>
          </cell>
          <cell r="D839">
            <v>201.6</v>
          </cell>
        </row>
        <row r="840">
          <cell r="B840" t="str">
            <v>CLEAN50-RO</v>
          </cell>
          <cell r="C840" t="str">
            <v>CLEANING FEE 50 YD - RO</v>
          </cell>
          <cell r="D840">
            <v>252</v>
          </cell>
        </row>
        <row r="841">
          <cell r="B841" t="str">
            <v>CLEAN8-COMM</v>
          </cell>
          <cell r="C841" t="str">
            <v>CLEANING FEE 8 YD - COMM</v>
          </cell>
          <cell r="D841">
            <v>40.32</v>
          </cell>
        </row>
        <row r="842">
          <cell r="B842" t="str">
            <v>CLEAN-COMM</v>
          </cell>
          <cell r="C842" t="str">
            <v>CONT CLEANING FEE - COMM</v>
          </cell>
          <cell r="D842">
            <v>30.24</v>
          </cell>
        </row>
        <row r="843">
          <cell r="B843" t="str">
            <v>COMMERCIAL</v>
          </cell>
          <cell r="C843" t="str">
            <v>Code ID</v>
          </cell>
          <cell r="D843" t="str">
            <v>Billcycle</v>
          </cell>
        </row>
        <row r="844">
          <cell r="B844" t="str">
            <v>DEL1.5-COMM</v>
          </cell>
          <cell r="C844" t="str">
            <v>DELIVERY FEE 1.5YD - COMM</v>
          </cell>
          <cell r="D844">
            <v>18</v>
          </cell>
        </row>
        <row r="845">
          <cell r="B845" t="str">
            <v>DEL3-COMM</v>
          </cell>
          <cell r="C845" t="str">
            <v>DELIVERY FEE 3YD - COMM</v>
          </cell>
          <cell r="D845">
            <v>22.19</v>
          </cell>
        </row>
        <row r="846">
          <cell r="B846" t="str">
            <v>DEL4-COMM</v>
          </cell>
          <cell r="C846" t="str">
            <v>DELIVERY FEE 4YD - COMM</v>
          </cell>
          <cell r="D846">
            <v>22.19</v>
          </cell>
        </row>
        <row r="847">
          <cell r="B847" t="str">
            <v>DEL6-COMM</v>
          </cell>
          <cell r="C847" t="str">
            <v>DELIVERY FEE 6YD - COMM</v>
          </cell>
          <cell r="D847">
            <v>25.79</v>
          </cell>
        </row>
        <row r="848">
          <cell r="B848" t="str">
            <v>DEL-RO</v>
          </cell>
          <cell r="C848" t="str">
            <v>DELIVERY FEE - RO</v>
          </cell>
          <cell r="D848">
            <v>41.16</v>
          </cell>
        </row>
        <row r="849">
          <cell r="B849" t="str">
            <v>DISP-RO</v>
          </cell>
          <cell r="C849" t="str">
            <v>DISPOSAL CHARGE - RO</v>
          </cell>
          <cell r="D849">
            <v>30.89</v>
          </cell>
        </row>
        <row r="850">
          <cell r="B850" t="str">
            <v>DRIVE-IN RES MTHLY</v>
          </cell>
          <cell r="C850" t="str">
            <v>DRIVE-IN SERVICE RES MONTHLY</v>
          </cell>
          <cell r="D850">
            <v>1.58</v>
          </cell>
        </row>
        <row r="851">
          <cell r="B851" t="str">
            <v>DRIVEIN-COMM</v>
          </cell>
          <cell r="C851" t="str">
            <v>DRIVE IN SERVICE-COMM</v>
          </cell>
          <cell r="D851">
            <v>3.42</v>
          </cell>
        </row>
        <row r="852">
          <cell r="B852" t="str">
            <v>DRIVEINEOW-RES</v>
          </cell>
          <cell r="C852" t="str">
            <v>DRIVE IN EOW CHARGE</v>
          </cell>
          <cell r="D852">
            <v>3.42</v>
          </cell>
        </row>
        <row r="853">
          <cell r="B853" t="str">
            <v>DRIVEIN-RES</v>
          </cell>
          <cell r="C853" t="str">
            <v>DRIVE IN SERVICE - RES</v>
          </cell>
          <cell r="D853">
            <v>6.84</v>
          </cell>
        </row>
        <row r="854">
          <cell r="B854" t="str">
            <v>EP1.5-COMM</v>
          </cell>
          <cell r="C854" t="str">
            <v>EXTRA PICK UP 1.5 YD - CO</v>
          </cell>
          <cell r="D854">
            <v>10.039999999999999</v>
          </cell>
        </row>
        <row r="855">
          <cell r="B855" t="str">
            <v>EP3-COMM</v>
          </cell>
          <cell r="C855" t="str">
            <v>EXTRA PICK UP 3 YD - COMM</v>
          </cell>
          <cell r="D855">
            <v>16.2</v>
          </cell>
        </row>
        <row r="856">
          <cell r="B856" t="str">
            <v>EP4-COMM</v>
          </cell>
          <cell r="C856" t="str">
            <v>EXTRA PICK UP 4 YD - COMM</v>
          </cell>
          <cell r="D856">
            <v>19.5</v>
          </cell>
        </row>
        <row r="857">
          <cell r="B857" t="str">
            <v>EP6-COMM</v>
          </cell>
          <cell r="C857" t="str">
            <v>EXTRA PICK UP 6 YD - COMM</v>
          </cell>
          <cell r="D857">
            <v>26.6</v>
          </cell>
        </row>
        <row r="858">
          <cell r="B858" t="str">
            <v>EXTRA1TO4YD-COMM</v>
          </cell>
          <cell r="C858" t="str">
            <v>EXTRA PU 1 TO 4YD - COMM</v>
          </cell>
          <cell r="D858">
            <v>6.92</v>
          </cell>
        </row>
        <row r="859">
          <cell r="B859" t="str">
            <v>EXTRA5OVERYD-COMM</v>
          </cell>
          <cell r="C859" t="str">
            <v>EXTRA PU 5YD OVER - COMM</v>
          </cell>
          <cell r="D859">
            <v>6.22</v>
          </cell>
        </row>
        <row r="860">
          <cell r="B860" t="str">
            <v>EXTRA-COMM</v>
          </cell>
          <cell r="C860" t="str">
            <v>EXTRA CAN, BAG, BOX-COMM</v>
          </cell>
          <cell r="D860">
            <v>2.08</v>
          </cell>
        </row>
        <row r="861">
          <cell r="B861" t="str">
            <v>EXTRA-RES</v>
          </cell>
          <cell r="C861" t="str">
            <v>EXTRA CAN, BAG, BOX-RES</v>
          </cell>
          <cell r="D861">
            <v>2.0299999999999998</v>
          </cell>
        </row>
        <row r="862">
          <cell r="B862" t="str">
            <v>FL001.5Y1W001</v>
          </cell>
          <cell r="C862" t="str">
            <v>FL 1.5 YD 1X WK 1</v>
          </cell>
          <cell r="D862">
            <v>29.83</v>
          </cell>
        </row>
        <row r="863">
          <cell r="B863" t="str">
            <v>FL001.5Y2W001</v>
          </cell>
          <cell r="C863" t="str">
            <v>FL 1.5 YD 2X WK 1</v>
          </cell>
          <cell r="D863">
            <v>59.67</v>
          </cell>
        </row>
        <row r="864">
          <cell r="B864" t="str">
            <v>FL001.5Y3W001</v>
          </cell>
          <cell r="C864" t="str">
            <v>FL 1.5 YD 3X WK 1</v>
          </cell>
          <cell r="D864">
            <v>89.5</v>
          </cell>
        </row>
        <row r="865">
          <cell r="B865" t="str">
            <v>FL001.5Y5W001</v>
          </cell>
          <cell r="C865" t="str">
            <v>FL 1.5 YD 5X WK 1</v>
          </cell>
          <cell r="D865">
            <v>149.16999999999999</v>
          </cell>
        </row>
        <row r="866">
          <cell r="B866" t="str">
            <v>FL003.0Y1W001</v>
          </cell>
          <cell r="C866" t="str">
            <v>FL 3 YD 1X WK 1</v>
          </cell>
          <cell r="D866">
            <v>52.35</v>
          </cell>
        </row>
        <row r="867">
          <cell r="B867" t="str">
            <v>FL003.0Y1W001REC</v>
          </cell>
          <cell r="C867" t="str">
            <v>FL 3 YD 1X WK RECYCLE 1</v>
          </cell>
          <cell r="D867">
            <v>32.979999999999997</v>
          </cell>
        </row>
        <row r="868">
          <cell r="B868" t="str">
            <v>FL003.0Y2W001</v>
          </cell>
          <cell r="C868" t="str">
            <v>FL 3 YD 2X WK 1</v>
          </cell>
          <cell r="D868">
            <v>104.7</v>
          </cell>
        </row>
        <row r="869">
          <cell r="B869" t="str">
            <v>FL003.0Y2W001REC</v>
          </cell>
          <cell r="C869" t="str">
            <v>FL 3 YD 2X WK RECYCLE 1</v>
          </cell>
          <cell r="D869">
            <v>59.62</v>
          </cell>
        </row>
        <row r="870">
          <cell r="B870" t="str">
            <v>FL003.0Y3W001</v>
          </cell>
          <cell r="C870" t="str">
            <v>FL 3 YD 3X WK 1</v>
          </cell>
          <cell r="D870">
            <v>157.05000000000001</v>
          </cell>
        </row>
        <row r="871">
          <cell r="B871" t="str">
            <v>FL003.0Y3W001REC</v>
          </cell>
          <cell r="C871" t="str">
            <v>FL 3 YD 3X WK RECYCLE 1</v>
          </cell>
          <cell r="D871">
            <v>59.62</v>
          </cell>
        </row>
        <row r="872">
          <cell r="B872" t="str">
            <v>FL003.0Y5W001</v>
          </cell>
          <cell r="C872" t="str">
            <v>FL 3 YD 5X WK 1</v>
          </cell>
          <cell r="D872">
            <v>261.75</v>
          </cell>
        </row>
        <row r="873">
          <cell r="B873" t="str">
            <v>FL004.0Y1W001</v>
          </cell>
          <cell r="C873" t="str">
            <v>FL 4 YD 1X WK 1</v>
          </cell>
          <cell r="D873">
            <v>69.150000000000006</v>
          </cell>
        </row>
        <row r="874">
          <cell r="B874" t="str">
            <v>FL004.0Y1W001CMP</v>
          </cell>
          <cell r="C874" t="str">
            <v>FL 4 YD 1X WK COMP 1</v>
          </cell>
          <cell r="D874">
            <v>41.52</v>
          </cell>
        </row>
        <row r="875">
          <cell r="B875" t="str">
            <v>FL004.0Y1W001REC</v>
          </cell>
          <cell r="C875" t="str">
            <v>FL 4 YD 1X WK RECYCLE 1</v>
          </cell>
          <cell r="D875">
            <v>43.91</v>
          </cell>
        </row>
        <row r="876">
          <cell r="B876" t="str">
            <v>FL004.0Y2W001</v>
          </cell>
          <cell r="C876" t="str">
            <v>FL 4 YD 2X WK 1</v>
          </cell>
          <cell r="D876">
            <v>138.30000000000001</v>
          </cell>
        </row>
        <row r="877">
          <cell r="B877" t="str">
            <v>FL004.0Y2W001REC</v>
          </cell>
          <cell r="C877" t="str">
            <v>FL 4 YD 2X WK RECYCLE 1</v>
          </cell>
          <cell r="D877">
            <v>80.099999999999994</v>
          </cell>
        </row>
        <row r="878">
          <cell r="B878" t="str">
            <v>FL004.0Y3W001</v>
          </cell>
          <cell r="C878" t="str">
            <v>FL 4 YD 3X WK 1</v>
          </cell>
          <cell r="D878">
            <v>207.45</v>
          </cell>
        </row>
        <row r="879">
          <cell r="B879" t="str">
            <v>FL004.0Y3W001REC</v>
          </cell>
          <cell r="C879" t="str">
            <v>FL 4 YD 3X WK RECYCLE 1</v>
          </cell>
          <cell r="D879">
            <v>80.099999999999994</v>
          </cell>
        </row>
        <row r="880">
          <cell r="B880" t="str">
            <v>FL004.0Y4W001REC</v>
          </cell>
          <cell r="C880" t="str">
            <v>FL 4 YD 4X WK RECYCLE 1</v>
          </cell>
          <cell r="D880">
            <v>266.04000000000002</v>
          </cell>
        </row>
        <row r="881">
          <cell r="B881" t="str">
            <v>FL004.0Y5W001</v>
          </cell>
          <cell r="C881" t="str">
            <v>FL 4 YD 5X WK 1</v>
          </cell>
          <cell r="D881">
            <v>345.75</v>
          </cell>
        </row>
        <row r="882">
          <cell r="B882" t="str">
            <v>FL006.0Y1W001</v>
          </cell>
          <cell r="C882" t="str">
            <v>FL 6 YD 1X WK 1</v>
          </cell>
          <cell r="D882">
            <v>94</v>
          </cell>
        </row>
        <row r="883">
          <cell r="B883" t="str">
            <v>FL006.0Y1W001REC</v>
          </cell>
          <cell r="C883" t="str">
            <v>FL 6 YD 1X WK RECYCLE 1</v>
          </cell>
          <cell r="D883">
            <v>57.97</v>
          </cell>
        </row>
        <row r="884">
          <cell r="B884" t="str">
            <v>FL006.0Y2W001</v>
          </cell>
          <cell r="C884" t="str">
            <v>FL 6 YD 2X WK 1</v>
          </cell>
          <cell r="D884">
            <v>188.01</v>
          </cell>
        </row>
        <row r="885">
          <cell r="B885" t="str">
            <v>FL006.0Y2W001REC</v>
          </cell>
          <cell r="C885" t="str">
            <v>FL 6 YD 2X WK RECYCLE 1</v>
          </cell>
          <cell r="D885">
            <v>106.96</v>
          </cell>
        </row>
        <row r="886">
          <cell r="B886" t="str">
            <v>FL006.0Y3W001</v>
          </cell>
          <cell r="C886" t="str">
            <v>FL 6 YD 3X WK 1</v>
          </cell>
          <cell r="D886">
            <v>282.01</v>
          </cell>
        </row>
        <row r="887">
          <cell r="B887" t="str">
            <v>FL006.0Y3W001REC</v>
          </cell>
          <cell r="C887" t="str">
            <v>FL 6 YD 3X WK RECYCLE 1</v>
          </cell>
          <cell r="D887">
            <v>106.96</v>
          </cell>
        </row>
        <row r="888">
          <cell r="B888" t="str">
            <v>FL006.0Y4W001</v>
          </cell>
          <cell r="C888" t="str">
            <v>FL 6 YD 4X WK 1</v>
          </cell>
          <cell r="D888">
            <v>376.02</v>
          </cell>
        </row>
        <row r="889">
          <cell r="B889" t="str">
            <v>FL006.0Y5W001</v>
          </cell>
          <cell r="C889" t="str">
            <v>FL 6 YD 5X WK 1</v>
          </cell>
          <cell r="D889">
            <v>470.02</v>
          </cell>
        </row>
        <row r="890">
          <cell r="B890" t="str">
            <v>FL008.0Y1W001</v>
          </cell>
          <cell r="C890" t="str">
            <v>FL 8 YD 1X WK 1</v>
          </cell>
          <cell r="D890">
            <v>127.3</v>
          </cell>
        </row>
        <row r="891">
          <cell r="B891" t="str">
            <v>FL008.0Y2W001</v>
          </cell>
          <cell r="C891" t="str">
            <v>FL 8 YD 2X WK 1</v>
          </cell>
          <cell r="D891">
            <v>254.6</v>
          </cell>
        </row>
        <row r="892">
          <cell r="B892" t="str">
            <v>FL008.0Y3W001</v>
          </cell>
          <cell r="C892" t="str">
            <v>FL 8 YD 3X WK 1</v>
          </cell>
          <cell r="D892">
            <v>381.91</v>
          </cell>
        </row>
        <row r="893">
          <cell r="B893" t="str">
            <v>FL008.0Y4W001</v>
          </cell>
          <cell r="C893" t="str">
            <v>FL 8 YD 4X WK 1</v>
          </cell>
          <cell r="D893">
            <v>509.21</v>
          </cell>
        </row>
        <row r="894">
          <cell r="B894" t="str">
            <v>FL008.0Y5W001</v>
          </cell>
          <cell r="C894" t="str">
            <v>FL 8 YD 5X WK 1</v>
          </cell>
          <cell r="D894">
            <v>636.51</v>
          </cell>
        </row>
        <row r="895">
          <cell r="B895" t="str">
            <v>FL1.5TC-COMM</v>
          </cell>
          <cell r="C895" t="str">
            <v>FL 1.5 YD TEMP - COMM</v>
          </cell>
          <cell r="D895">
            <v>9.52</v>
          </cell>
        </row>
        <row r="896">
          <cell r="B896" t="str">
            <v>FL3TC-COMM</v>
          </cell>
          <cell r="C896" t="str">
            <v>FL 3 YD TEMP - COMM</v>
          </cell>
          <cell r="D896">
            <v>17.5</v>
          </cell>
        </row>
        <row r="897">
          <cell r="B897" t="str">
            <v>FL4TC-COMM</v>
          </cell>
          <cell r="C897" t="str">
            <v>FL 4 YD TEMP - COMM</v>
          </cell>
          <cell r="D897">
            <v>22.75</v>
          </cell>
        </row>
        <row r="898">
          <cell r="B898" t="str">
            <v>FL6TC-COMM</v>
          </cell>
          <cell r="C898" t="str">
            <v>FL 6 YD TEMP - COMM</v>
          </cell>
          <cell r="D898">
            <v>27.08</v>
          </cell>
        </row>
        <row r="899">
          <cell r="B899" t="str">
            <v>HAUL10-CP</v>
          </cell>
          <cell r="C899" t="str">
            <v>HAUL 10-18YD COMP - RO</v>
          </cell>
          <cell r="D899">
            <v>135.02000000000001</v>
          </cell>
        </row>
        <row r="900">
          <cell r="B900" t="str">
            <v>HAUL20-CP</v>
          </cell>
          <cell r="C900" t="str">
            <v>COMPACTOR HAUL 20 YD - RO</v>
          </cell>
          <cell r="D900">
            <v>140.53</v>
          </cell>
        </row>
        <row r="901">
          <cell r="B901" t="str">
            <v>HAUL20-RO</v>
          </cell>
          <cell r="C901" t="str">
            <v>HAUL 20 YD - RO</v>
          </cell>
          <cell r="D901">
            <v>78.73</v>
          </cell>
        </row>
        <row r="902">
          <cell r="B902" t="str">
            <v>HAUL20TEMP-RO</v>
          </cell>
          <cell r="C902" t="str">
            <v>HAUL 20 YD TEMP - RO</v>
          </cell>
          <cell r="D902">
            <v>78.73</v>
          </cell>
        </row>
        <row r="903">
          <cell r="B903" t="str">
            <v>HAUL25-CP</v>
          </cell>
          <cell r="C903" t="str">
            <v>COMPACTOR HAUL 25 YD - RO</v>
          </cell>
          <cell r="D903">
            <v>153.93</v>
          </cell>
        </row>
        <row r="904">
          <cell r="B904" t="str">
            <v>HAUL30-CP</v>
          </cell>
          <cell r="C904" t="str">
            <v>COMPACTOR HAUL 30 YD - RO</v>
          </cell>
          <cell r="D904">
            <v>166.7</v>
          </cell>
        </row>
        <row r="905">
          <cell r="B905" t="str">
            <v>HAUL30-RO</v>
          </cell>
          <cell r="C905" t="str">
            <v>HAUL 30 YD - RO</v>
          </cell>
          <cell r="D905">
            <v>88.24</v>
          </cell>
        </row>
        <row r="906">
          <cell r="B906" t="str">
            <v>HAUL30TEMP-RO</v>
          </cell>
          <cell r="C906" t="str">
            <v>HAUL 30 YD TEMP - RO</v>
          </cell>
          <cell r="D906">
            <v>88.24</v>
          </cell>
        </row>
        <row r="907">
          <cell r="B907" t="str">
            <v>HAUL35-CP</v>
          </cell>
          <cell r="C907" t="str">
            <v>COMPACTOR HAUL 35 YD - RO</v>
          </cell>
          <cell r="D907">
            <v>198.68</v>
          </cell>
        </row>
        <row r="908">
          <cell r="B908" t="str">
            <v>HAUL36-CP</v>
          </cell>
          <cell r="C908" t="str">
            <v>HAUL 36YD COMP - RO</v>
          </cell>
          <cell r="D908">
            <v>198.68</v>
          </cell>
        </row>
        <row r="909">
          <cell r="B909" t="str">
            <v>HAUL40-CP</v>
          </cell>
          <cell r="C909" t="str">
            <v>COMPACTOR HAUL 40 YD - RO</v>
          </cell>
          <cell r="D909">
            <v>198.68</v>
          </cell>
        </row>
        <row r="910">
          <cell r="B910" t="str">
            <v>HAUL40-RO</v>
          </cell>
          <cell r="C910" t="str">
            <v>HAUL 40 YD - RO</v>
          </cell>
          <cell r="D910">
            <v>108.46</v>
          </cell>
        </row>
        <row r="911">
          <cell r="B911" t="str">
            <v>HAUL40TEMP-RO</v>
          </cell>
          <cell r="C911" t="str">
            <v>HAUL 40 YD TEMP - RO</v>
          </cell>
          <cell r="D911">
            <v>108.46</v>
          </cell>
        </row>
        <row r="912">
          <cell r="B912" t="str">
            <v>HAUL50-RO</v>
          </cell>
          <cell r="C912" t="str">
            <v>HAUL 50 YD - RO</v>
          </cell>
          <cell r="D912">
            <v>108.46</v>
          </cell>
        </row>
        <row r="913">
          <cell r="B913" t="str">
            <v>HAUL50TEMP-RO</v>
          </cell>
          <cell r="C913" t="str">
            <v>HAUL 50 YD TEMP - RO</v>
          </cell>
          <cell r="D913">
            <v>108.46</v>
          </cell>
        </row>
        <row r="914">
          <cell r="B914" t="str">
            <v>MILE-RO</v>
          </cell>
          <cell r="C914" t="str">
            <v>MILEAGE FEE - RO</v>
          </cell>
          <cell r="D914">
            <v>3.07</v>
          </cell>
        </row>
        <row r="915">
          <cell r="B915" t="str">
            <v>OS-RES</v>
          </cell>
          <cell r="C915" t="str">
            <v>OVERSIZE CAN - RES</v>
          </cell>
          <cell r="D915">
            <v>1.72</v>
          </cell>
        </row>
        <row r="916">
          <cell r="B916" t="str">
            <v>PUREDEL1-COMM</v>
          </cell>
          <cell r="C916" t="str">
            <v>PU/REDEL UP TO 8 YDS - COMM</v>
          </cell>
          <cell r="D916">
            <v>21.52</v>
          </cell>
        </row>
        <row r="917">
          <cell r="B917" t="str">
            <v>PUREDEL1-RO</v>
          </cell>
          <cell r="C917" t="str">
            <v>PU/REDEL OVER 8 YDS - RO</v>
          </cell>
          <cell r="D917">
            <v>34.35</v>
          </cell>
        </row>
        <row r="918">
          <cell r="B918" t="str">
            <v>REDEL1.5-COMM</v>
          </cell>
          <cell r="C918" t="str">
            <v>REDELIVERY FEE 1.5 YD - COMM</v>
          </cell>
          <cell r="D918">
            <v>18</v>
          </cell>
        </row>
        <row r="919">
          <cell r="B919" t="str">
            <v>REDEL3-COMM</v>
          </cell>
          <cell r="C919" t="str">
            <v>REDELIVERY FEE 3 YD - COMM</v>
          </cell>
          <cell r="D919">
            <v>22.19</v>
          </cell>
        </row>
        <row r="920">
          <cell r="B920" t="str">
            <v>REDEL4-COMM</v>
          </cell>
          <cell r="C920" t="str">
            <v>REDELIVERY FEE 4 YD - COMM</v>
          </cell>
          <cell r="D920">
            <v>22.19</v>
          </cell>
        </row>
        <row r="921">
          <cell r="B921" t="str">
            <v>REDEL6-COMM</v>
          </cell>
          <cell r="C921" t="str">
            <v>REDELIVERY FEE 6 YD - COMM</v>
          </cell>
          <cell r="D921">
            <v>25.79</v>
          </cell>
        </row>
        <row r="922">
          <cell r="B922" t="str">
            <v>REDEL-RES</v>
          </cell>
          <cell r="C922" t="str">
            <v>REDELIVERY FEE - RES</v>
          </cell>
          <cell r="D922">
            <v>14.78</v>
          </cell>
        </row>
        <row r="923">
          <cell r="B923" t="str">
            <v>REINSTATE-COMM</v>
          </cell>
          <cell r="C923" t="str">
            <v>REINSTATE FEE - COMM</v>
          </cell>
          <cell r="D923">
            <v>11.43</v>
          </cell>
        </row>
        <row r="924">
          <cell r="B924" t="str">
            <v>REINSTATE-RES</v>
          </cell>
          <cell r="C924" t="str">
            <v>REINSTATE FEE - RES</v>
          </cell>
          <cell r="D924">
            <v>11.43</v>
          </cell>
        </row>
        <row r="925">
          <cell r="B925" t="str">
            <v>RENT1.5-COMM</v>
          </cell>
          <cell r="C925" t="str">
            <v>RENTAL FEE 1.5 YD COMM</v>
          </cell>
          <cell r="D925">
            <v>9.7200000000000006</v>
          </cell>
        </row>
        <row r="926">
          <cell r="B926" t="str">
            <v>RENT1.5TEMP-COMM</v>
          </cell>
          <cell r="C926" t="str">
            <v>RENTAL FEE 1.5 YD TEMP -</v>
          </cell>
          <cell r="D926">
            <v>0.36</v>
          </cell>
        </row>
        <row r="927">
          <cell r="B927" t="str">
            <v>RENT20DAY-RO</v>
          </cell>
          <cell r="C927" t="str">
            <v>RENTAL FEE 20 YD DAILY</v>
          </cell>
          <cell r="D927">
            <v>3.85</v>
          </cell>
        </row>
        <row r="928">
          <cell r="B928" t="str">
            <v>RENT20MO-RO</v>
          </cell>
          <cell r="C928" t="str">
            <v>RENTAL FEE 20 YD MONTHLY</v>
          </cell>
          <cell r="D928">
            <v>36.590000000000003</v>
          </cell>
        </row>
        <row r="929">
          <cell r="B929" t="str">
            <v>RENT30DAY-RO</v>
          </cell>
          <cell r="C929" t="str">
            <v>RENTAL FEE 30 YD DAILY</v>
          </cell>
          <cell r="D929">
            <v>4.5599999999999996</v>
          </cell>
        </row>
        <row r="930">
          <cell r="B930" t="str">
            <v>RENT30MO-RO</v>
          </cell>
          <cell r="C930" t="str">
            <v>RENTAL FEE 30 YD MONTHLY</v>
          </cell>
          <cell r="D930">
            <v>42.67</v>
          </cell>
        </row>
        <row r="931">
          <cell r="B931" t="str">
            <v>RENT30REC-RO</v>
          </cell>
          <cell r="C931" t="str">
            <v>RENTAL FEE 30 YD REC-RO</v>
          </cell>
          <cell r="D931">
            <v>35.65</v>
          </cell>
        </row>
        <row r="932">
          <cell r="B932" t="str">
            <v>RENT3-COMM</v>
          </cell>
          <cell r="C932" t="str">
            <v>RENTAL FEE 3 YD COMM</v>
          </cell>
          <cell r="D932">
            <v>11.76</v>
          </cell>
        </row>
        <row r="933">
          <cell r="B933" t="str">
            <v>RENT3TEMP-COMM</v>
          </cell>
          <cell r="C933" t="str">
            <v>RENTAL FEE 3 YD TEMP - CO</v>
          </cell>
          <cell r="D933">
            <v>0.54</v>
          </cell>
        </row>
        <row r="934">
          <cell r="B934" t="str">
            <v>RENT40DAY-RO</v>
          </cell>
          <cell r="C934" t="str">
            <v>RENTAL FEE 40 YD DAILY</v>
          </cell>
          <cell r="D934">
            <v>4.9400000000000004</v>
          </cell>
        </row>
        <row r="935">
          <cell r="B935" t="str">
            <v>RENT40MO-RO</v>
          </cell>
          <cell r="C935" t="str">
            <v>RENTAL FEE 40 YD MONTHLY</v>
          </cell>
          <cell r="D935">
            <v>48.7</v>
          </cell>
        </row>
        <row r="936">
          <cell r="B936" t="str">
            <v>RENT4-COMM</v>
          </cell>
          <cell r="C936" t="str">
            <v>RENTAL FEE 4 YD COMM</v>
          </cell>
          <cell r="D936">
            <v>14.31</v>
          </cell>
        </row>
        <row r="937">
          <cell r="B937" t="str">
            <v>RENT4TEMP-COMM</v>
          </cell>
          <cell r="C937" t="str">
            <v>RENTAL FEE 4YD TEMP - COM</v>
          </cell>
          <cell r="D937">
            <v>0.61</v>
          </cell>
        </row>
        <row r="938">
          <cell r="B938" t="str">
            <v>RENT50REC-RO</v>
          </cell>
          <cell r="C938" t="str">
            <v>RENTAL FEE 50 YD REC-RO</v>
          </cell>
          <cell r="D938">
            <v>45.8</v>
          </cell>
        </row>
        <row r="939">
          <cell r="B939" t="str">
            <v>RENT6-COMM</v>
          </cell>
          <cell r="C939" t="str">
            <v>RENTAL FEE 6 YD COMM</v>
          </cell>
          <cell r="D939">
            <v>16.579999999999998</v>
          </cell>
        </row>
        <row r="940">
          <cell r="B940" t="str">
            <v>RENT6TEMP-COMM</v>
          </cell>
          <cell r="C940" t="str">
            <v>RENTAL FEE 6 YD TEMP - CO</v>
          </cell>
          <cell r="D940">
            <v>0.9</v>
          </cell>
        </row>
        <row r="941">
          <cell r="B941" t="str">
            <v>RENT8-COMM</v>
          </cell>
          <cell r="C941" t="str">
            <v>RENTAL FEE 8 YD COMM</v>
          </cell>
          <cell r="D941">
            <v>22.11</v>
          </cell>
        </row>
        <row r="942">
          <cell r="B942" t="str">
            <v>RESIDENTIAL</v>
          </cell>
          <cell r="C942" t="str">
            <v>Code ID</v>
          </cell>
          <cell r="D942" t="str">
            <v>Billcycle</v>
          </cell>
        </row>
        <row r="943">
          <cell r="B943" t="str">
            <v>RETCKC</v>
          </cell>
          <cell r="C943" t="str">
            <v>RETURN CHECK CHARGE</v>
          </cell>
          <cell r="D943">
            <v>11.07</v>
          </cell>
        </row>
        <row r="944">
          <cell r="B944" t="str">
            <v>RL001.25Y1W001</v>
          </cell>
          <cell r="C944" t="str">
            <v>RL 1.25 YD 1X WK 1</v>
          </cell>
          <cell r="D944">
            <v>26.02</v>
          </cell>
        </row>
        <row r="945">
          <cell r="B945" t="str">
            <v>RL001.25Y1W001REC</v>
          </cell>
          <cell r="C945" t="str">
            <v>RL 1.25 YD 1X WK RECYCLE</v>
          </cell>
          <cell r="D945">
            <v>20.440000000000001</v>
          </cell>
        </row>
        <row r="946">
          <cell r="B946" t="str">
            <v>RL001.25Y2W001</v>
          </cell>
          <cell r="C946" t="str">
            <v>RL 1.25 YD 2X WK 1</v>
          </cell>
          <cell r="D946">
            <v>52.05</v>
          </cell>
        </row>
        <row r="947">
          <cell r="B947" t="str">
            <v>RL001.5Y1W001</v>
          </cell>
          <cell r="C947" t="str">
            <v>RL 1.5 YD 1X WK 1</v>
          </cell>
          <cell r="D947">
            <v>29.83</v>
          </cell>
        </row>
        <row r="948">
          <cell r="B948" t="str">
            <v>RL001.5Y1W001REC</v>
          </cell>
          <cell r="C948" t="str">
            <v>RL 1.5 YD 1X WK RECYCLE 1</v>
          </cell>
          <cell r="D948">
            <v>20.440000000000001</v>
          </cell>
        </row>
        <row r="949">
          <cell r="B949" t="str">
            <v>RL001.5Y2W001</v>
          </cell>
          <cell r="C949" t="str">
            <v>RL 1.5 YD 2X WK 1</v>
          </cell>
          <cell r="D949">
            <v>59.67</v>
          </cell>
        </row>
        <row r="950">
          <cell r="B950" t="str">
            <v>RL001.5Y2W001REC</v>
          </cell>
          <cell r="C950" t="str">
            <v>RL 1.5 YD 2X WK RECYCLE 1</v>
          </cell>
          <cell r="D950">
            <v>35.6</v>
          </cell>
        </row>
        <row r="951">
          <cell r="B951" t="str">
            <v>RL001.5Y3W001</v>
          </cell>
          <cell r="C951" t="str">
            <v>RL 1.5 YD 3X WK 1</v>
          </cell>
          <cell r="D951">
            <v>89.5</v>
          </cell>
        </row>
        <row r="952">
          <cell r="B952" t="str">
            <v>RL001.5Y5W001</v>
          </cell>
          <cell r="C952" t="str">
            <v>RL 1.5 YD 5X WK 1</v>
          </cell>
          <cell r="D952">
            <v>149.16999999999999</v>
          </cell>
        </row>
        <row r="953">
          <cell r="B953" t="str">
            <v>RL001.5YEO001</v>
          </cell>
          <cell r="C953" t="str">
            <v>RL 1.5 YD EOW 1</v>
          </cell>
          <cell r="D953">
            <v>14.95</v>
          </cell>
        </row>
        <row r="954">
          <cell r="B954" t="str">
            <v>RL020.0G1W001</v>
          </cell>
          <cell r="C954" t="str">
            <v>RL 20 GL 1X WK 1</v>
          </cell>
          <cell r="D954">
            <v>11.14</v>
          </cell>
        </row>
        <row r="955">
          <cell r="B955" t="str">
            <v>RL032.0G1M001</v>
          </cell>
          <cell r="C955" t="str">
            <v>RL 32 GL 1X MO 1</v>
          </cell>
          <cell r="D955">
            <v>8.32</v>
          </cell>
        </row>
        <row r="956">
          <cell r="B956" t="str">
            <v>RL032.0G1W001</v>
          </cell>
          <cell r="C956" t="str">
            <v>RL 32 GL 1X WK 1</v>
          </cell>
          <cell r="D956">
            <v>13.94</v>
          </cell>
        </row>
        <row r="957">
          <cell r="B957" t="str">
            <v>RL032.0G1W001COMM</v>
          </cell>
          <cell r="C957" t="str">
            <v>RL 32 GL 1X WK COMM 1</v>
          </cell>
          <cell r="D957">
            <v>5.87</v>
          </cell>
        </row>
        <row r="958">
          <cell r="B958" t="str">
            <v>RL032.0G1W002</v>
          </cell>
          <cell r="C958" t="str">
            <v>RL 32 GL 1X WK 2</v>
          </cell>
          <cell r="D958">
            <v>18.3</v>
          </cell>
        </row>
        <row r="959">
          <cell r="B959" t="str">
            <v>RL032.0G1W002COMM</v>
          </cell>
          <cell r="C959" t="str">
            <v>RL 32 GL 1X WK COMM 2</v>
          </cell>
          <cell r="D959">
            <v>11.69</v>
          </cell>
        </row>
        <row r="960">
          <cell r="B960" t="str">
            <v>RL032.0G1W003</v>
          </cell>
          <cell r="C960" t="str">
            <v>RL 32 GL 1X WK 3</v>
          </cell>
          <cell r="D960">
            <v>22.6</v>
          </cell>
        </row>
        <row r="961">
          <cell r="B961" t="str">
            <v>RL032.0G1W003COMM</v>
          </cell>
          <cell r="C961" t="str">
            <v>RL 32 GL 1X WK COMM 3</v>
          </cell>
          <cell r="D961">
            <v>17.54</v>
          </cell>
        </row>
        <row r="962">
          <cell r="B962" t="str">
            <v>RL032.0G1W004</v>
          </cell>
          <cell r="C962" t="str">
            <v>RL 32 GL 1X WK 4</v>
          </cell>
          <cell r="D962">
            <v>26.92</v>
          </cell>
        </row>
        <row r="963">
          <cell r="B963" t="str">
            <v>RL032.0G1W004COMM</v>
          </cell>
          <cell r="C963" t="str">
            <v>RL 32 GL 1X WK COMM 4</v>
          </cell>
          <cell r="D963">
            <v>23.38</v>
          </cell>
        </row>
        <row r="964">
          <cell r="B964" t="str">
            <v>RL032.0G1W005</v>
          </cell>
          <cell r="C964" t="str">
            <v>RL 32 GL 1X WK 5</v>
          </cell>
          <cell r="D964">
            <v>31.78</v>
          </cell>
        </row>
        <row r="965">
          <cell r="B965" t="str">
            <v>RL032.0G1W005COMM</v>
          </cell>
          <cell r="C965" t="str">
            <v>32 GL 1X WK COMM 5</v>
          </cell>
          <cell r="D965">
            <v>29.23</v>
          </cell>
        </row>
        <row r="966">
          <cell r="B966" t="str">
            <v>RL032.0G1W006</v>
          </cell>
          <cell r="C966" t="str">
            <v>RL 32 GL 1X WK 6</v>
          </cell>
          <cell r="D966">
            <v>37.159999999999997</v>
          </cell>
        </row>
        <row r="967">
          <cell r="B967" t="str">
            <v>RL048.0G1W001</v>
          </cell>
          <cell r="C967" t="str">
            <v>RL 48 GL 1X WK 1</v>
          </cell>
          <cell r="D967">
            <v>19.899999999999999</v>
          </cell>
        </row>
        <row r="968">
          <cell r="B968" t="str">
            <v>RL048.0G1W001COMM</v>
          </cell>
          <cell r="C968" t="str">
            <v>RL 48 GL 1X WK COMM 1</v>
          </cell>
          <cell r="D968">
            <v>10.220000000000001</v>
          </cell>
        </row>
        <row r="969">
          <cell r="B969" t="str">
            <v>RL064.0G1W001</v>
          </cell>
          <cell r="C969" t="str">
            <v>RL 64 GL 1X WK 1</v>
          </cell>
          <cell r="D969">
            <v>20.9</v>
          </cell>
        </row>
        <row r="970">
          <cell r="B970" t="str">
            <v>RL064.0G1W001COMM</v>
          </cell>
          <cell r="C970" t="str">
            <v>RL 64 GL 1X WK COMM 1</v>
          </cell>
          <cell r="D970">
            <v>10.83</v>
          </cell>
        </row>
        <row r="971">
          <cell r="B971" t="str">
            <v>RL096.0G1W001</v>
          </cell>
          <cell r="C971" t="str">
            <v>RL 96 GL 1X WK 1</v>
          </cell>
          <cell r="D971">
            <v>25.44</v>
          </cell>
        </row>
        <row r="972">
          <cell r="B972" t="str">
            <v>RL096.0G1W001COMM</v>
          </cell>
          <cell r="C972" t="str">
            <v>RL 96 GL 1X WK COMM 1</v>
          </cell>
          <cell r="D972">
            <v>13.16</v>
          </cell>
        </row>
        <row r="973">
          <cell r="B973" t="str">
            <v>RL096.0G1W001REC</v>
          </cell>
          <cell r="C973" t="str">
            <v>RL 96 GL 1X WK REC COMM 1</v>
          </cell>
          <cell r="D973">
            <v>9.6199999999999992</v>
          </cell>
        </row>
        <row r="974">
          <cell r="B974" t="str">
            <v>RL1.25TC-COMM</v>
          </cell>
          <cell r="C974" t="str">
            <v>RL TEMPORARY 1.25 YD - CO</v>
          </cell>
          <cell r="D974">
            <v>8.94</v>
          </cell>
        </row>
        <row r="975">
          <cell r="B975" t="str">
            <v>RL1.5TC-COMM</v>
          </cell>
          <cell r="C975" t="str">
            <v>RL TEMPORARY 1.5 YD-COMM</v>
          </cell>
          <cell r="D975">
            <v>9.52</v>
          </cell>
        </row>
        <row r="976">
          <cell r="B976" t="str">
            <v>RL32R-OC</v>
          </cell>
          <cell r="C976" t="str">
            <v>1 RL 32 GL ON CALL-RES</v>
          </cell>
          <cell r="D976">
            <v>4.16</v>
          </cell>
        </row>
        <row r="977">
          <cell r="B977" t="str">
            <v>ROLL OFF</v>
          </cell>
          <cell r="C977" t="str">
            <v>Code ID</v>
          </cell>
          <cell r="D977" t="str">
            <v>Billcycle</v>
          </cell>
        </row>
        <row r="978">
          <cell r="B978" t="str">
            <v>ROLLCART-COMM</v>
          </cell>
          <cell r="C978" t="str">
            <v>ROLL OUT CART CHARGE -COM</v>
          </cell>
          <cell r="D978">
            <v>1.1499999999999999</v>
          </cell>
        </row>
        <row r="979">
          <cell r="B979" t="str">
            <v>ROLL-COMM</v>
          </cell>
          <cell r="C979" t="str">
            <v>ROLL OUT CHARGE - COMM</v>
          </cell>
          <cell r="D979">
            <v>3.98</v>
          </cell>
        </row>
        <row r="980">
          <cell r="B980" t="str">
            <v>RT001.25Y0W000C</v>
          </cell>
          <cell r="C980" t="str">
            <v>RENTAL FEE 1.25 YD COMM</v>
          </cell>
          <cell r="D980">
            <v>9.51</v>
          </cell>
        </row>
        <row r="981">
          <cell r="B981" t="str">
            <v>RT001.25YTMP00X</v>
          </cell>
          <cell r="C981" t="str">
            <v>RENTAL FEE 1.25 YD TEMP -</v>
          </cell>
          <cell r="D981">
            <v>0.36</v>
          </cell>
        </row>
        <row r="982">
          <cell r="B982" t="str">
            <v>RT096.0G0W00RECC</v>
          </cell>
          <cell r="C982" t="str">
            <v>RENTAL FEE 96 GL REC COMM</v>
          </cell>
          <cell r="D982">
            <v>9.6199999999999992</v>
          </cell>
        </row>
        <row r="983">
          <cell r="B983" t="str">
            <v>SL064.0GEO001REC</v>
          </cell>
          <cell r="C983" t="str">
            <v>SL 64 GL EOW RECYCLE 1</v>
          </cell>
          <cell r="D983">
            <v>16.399999999999999</v>
          </cell>
        </row>
        <row r="984">
          <cell r="B984" t="str">
            <v>SL096.0GEO001GW</v>
          </cell>
          <cell r="C984" t="str">
            <v>SL 96 GL EOW GREENWASTE 1</v>
          </cell>
          <cell r="D984">
            <v>21.56</v>
          </cell>
        </row>
        <row r="985">
          <cell r="B985" t="str">
            <v>STGRNT</v>
          </cell>
          <cell r="C985" t="str">
            <v>STORAGE CONTAINER RENT</v>
          </cell>
          <cell r="D985">
            <v>85</v>
          </cell>
        </row>
        <row r="986">
          <cell r="B986" t="str">
            <v>SUNKENCAN-COMM</v>
          </cell>
          <cell r="C986" t="str">
            <v>SUNKEN CAN FEE - COMM</v>
          </cell>
          <cell r="D986">
            <v>0.61</v>
          </cell>
        </row>
        <row r="987">
          <cell r="B987" t="str">
            <v>SUNKENCAN-RES</v>
          </cell>
          <cell r="C987" t="str">
            <v>SUNKEN CAN FEE - RES</v>
          </cell>
          <cell r="D987">
            <v>1.21</v>
          </cell>
        </row>
        <row r="988">
          <cell r="B988" t="str">
            <v>TRIP-RES</v>
          </cell>
          <cell r="C988" t="str">
            <v>TRIP FEE - RES</v>
          </cell>
          <cell r="D988">
            <v>4.1100000000000003</v>
          </cell>
        </row>
        <row r="989">
          <cell r="B989" t="str">
            <v>UNLCKC</v>
          </cell>
          <cell r="C989" t="str">
            <v>UNLOCKING FEE - COMM</v>
          </cell>
          <cell r="D989">
            <v>1.1499999999999999</v>
          </cell>
        </row>
        <row r="990">
          <cell r="B990" t="str">
            <v>WI1-COMM</v>
          </cell>
          <cell r="C990" t="str">
            <v>WALK IN 5-25 FT - COMM</v>
          </cell>
          <cell r="D990">
            <v>1.3</v>
          </cell>
        </row>
        <row r="991">
          <cell r="B991" t="str">
            <v>WI1-RES</v>
          </cell>
          <cell r="C991" t="str">
            <v>WALK IN 5-25 FT - RES</v>
          </cell>
          <cell r="D991">
            <v>2.34</v>
          </cell>
        </row>
        <row r="992">
          <cell r="B992" t="str">
            <v>WI2-COMM</v>
          </cell>
          <cell r="C992" t="str">
            <v>WALK IN 26-50 FT - COMM</v>
          </cell>
          <cell r="D992">
            <v>1.91</v>
          </cell>
        </row>
        <row r="993">
          <cell r="B993" t="str">
            <v>WI2-RES</v>
          </cell>
          <cell r="C993" t="str">
            <v>WALK IN 26-50 FT - RES</v>
          </cell>
          <cell r="D993">
            <v>3.29</v>
          </cell>
        </row>
        <row r="994">
          <cell r="B994" t="str">
            <v>WI3-COMM</v>
          </cell>
          <cell r="C994" t="str">
            <v>WALK IN 51-75 FT - COMM</v>
          </cell>
          <cell r="D994">
            <v>2.5099999999999998</v>
          </cell>
        </row>
        <row r="995">
          <cell r="B995" t="str">
            <v>WI3-RES</v>
          </cell>
          <cell r="C995" t="str">
            <v>WALK IN 51-75 FT - RES</v>
          </cell>
          <cell r="D995">
            <v>4.24</v>
          </cell>
        </row>
        <row r="996">
          <cell r="B996" t="str">
            <v>WI4-COMM</v>
          </cell>
          <cell r="C996" t="str">
            <v>WALK IN 76-100 FT - COMM</v>
          </cell>
          <cell r="D996">
            <v>3.12</v>
          </cell>
        </row>
        <row r="997">
          <cell r="B997" t="str">
            <v>WI4-RES</v>
          </cell>
          <cell r="C997" t="str">
            <v>WALK IN 76-100 FT - RES</v>
          </cell>
          <cell r="D997">
            <v>5.2</v>
          </cell>
        </row>
        <row r="998">
          <cell r="B998" t="str">
            <v>WI5-RES</v>
          </cell>
          <cell r="C998" t="str">
            <v>WALK IN 101-125 FT - RES</v>
          </cell>
          <cell r="D998">
            <v>6.15</v>
          </cell>
        </row>
      </sheetData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 refreshError="1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23">
          <cell r="L23">
            <v>2329.3388396454475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 refreshError="1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 refreshError="1">
        <row r="3">
          <cell r="E3" t="str">
            <v>Western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BS"/>
      <sheetName val="2010 BS"/>
      <sheetName val="2009 IS"/>
      <sheetName val="2010 IS"/>
      <sheetName val="Consolidated IS"/>
      <sheetName val="Alloc %"/>
      <sheetName val="Rest Expl"/>
      <sheetName val="Prof Expl"/>
      <sheetName val="2009 Price Out (REG)"/>
      <sheetName val="LG-Total Reg"/>
      <sheetName val="LG-Pckr"/>
      <sheetName val="LG-RO"/>
      <sheetName val="2009-2010"/>
      <sheetName val="2009 Depr Summary"/>
      <sheetName val="2009 Trks"/>
      <sheetName val="2009 Cont, DB"/>
      <sheetName val="2009 Serv, Shop"/>
      <sheetName val="2009 Office"/>
      <sheetName val="2009 Leasehold"/>
      <sheetName val="2010 Deprec Summary"/>
      <sheetName val="2010 Trks"/>
      <sheetName val="2010 Cont, DB"/>
      <sheetName val="2010 Serv, Shop"/>
      <sheetName val="2010 Office"/>
      <sheetName val="2010 Leaseh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2"/>
  <sheetViews>
    <sheetView tabSelected="1" zoomScale="85" zoomScaleNormal="85" workbookViewId="0"/>
  </sheetViews>
  <sheetFormatPr defaultRowHeight="15"/>
  <cols>
    <col min="1" max="1" width="36.28515625" style="13" bestFit="1" customWidth="1"/>
    <col min="2" max="2" width="19" style="13" bestFit="1" customWidth="1"/>
    <col min="3" max="3" width="16" style="13" bestFit="1" customWidth="1"/>
    <col min="4" max="4" width="10.5703125" style="13" bestFit="1" customWidth="1"/>
    <col min="5" max="5" width="7" style="13" bestFit="1" customWidth="1"/>
    <col min="6" max="6" width="11.42578125" style="13" bestFit="1" customWidth="1"/>
    <col min="7" max="7" width="10" style="13" bestFit="1" customWidth="1"/>
    <col min="8" max="8" width="8" style="13" bestFit="1" customWidth="1"/>
    <col min="9" max="9" width="15.85546875" style="13" bestFit="1" customWidth="1"/>
    <col min="10" max="10" width="12" style="13" bestFit="1" customWidth="1"/>
    <col min="11" max="16384" width="9.140625" style="13"/>
  </cols>
  <sheetData>
    <row r="1" spans="1:8">
      <c r="A1" s="218" t="s">
        <v>157</v>
      </c>
    </row>
    <row r="2" spans="1:8">
      <c r="A2" s="218" t="s">
        <v>613</v>
      </c>
    </row>
    <row r="4" spans="1:8">
      <c r="A4" s="255" t="s">
        <v>19</v>
      </c>
      <c r="B4" s="255"/>
      <c r="C4" s="255"/>
      <c r="D4" s="255"/>
      <c r="E4" s="255"/>
      <c r="F4" s="255"/>
      <c r="G4" s="255"/>
      <c r="H4" s="255"/>
    </row>
    <row r="5" spans="1:8">
      <c r="A5" s="13" t="s">
        <v>61</v>
      </c>
      <c r="B5" s="35" t="s">
        <v>48</v>
      </c>
      <c r="C5" s="35" t="s">
        <v>49</v>
      </c>
      <c r="D5" s="35" t="s">
        <v>50</v>
      </c>
      <c r="E5" s="7" t="s">
        <v>52</v>
      </c>
      <c r="F5" s="7" t="s">
        <v>53</v>
      </c>
      <c r="G5" s="7" t="s">
        <v>54</v>
      </c>
      <c r="H5" s="35" t="s">
        <v>57</v>
      </c>
    </row>
    <row r="6" spans="1:8">
      <c r="A6" s="13" t="s">
        <v>58</v>
      </c>
      <c r="B6" s="1">
        <f>52*5/12</f>
        <v>21.666666666666668</v>
      </c>
      <c r="C6" s="8">
        <f>$B$6*2</f>
        <v>43.333333333333336</v>
      </c>
      <c r="D6" s="8">
        <f>$B$6*3</f>
        <v>65</v>
      </c>
      <c r="E6" s="8">
        <f>$B$6*4</f>
        <v>86.666666666666671</v>
      </c>
      <c r="F6" s="8">
        <f>$B$6*5</f>
        <v>108.33333333333334</v>
      </c>
      <c r="G6" s="8">
        <f>$B$6*6</f>
        <v>130</v>
      </c>
      <c r="H6" s="8">
        <f>$B$6*7</f>
        <v>151.66666666666669</v>
      </c>
    </row>
    <row r="7" spans="1:8">
      <c r="A7" s="13" t="s">
        <v>93</v>
      </c>
      <c r="B7" s="1">
        <f>52*4/12</f>
        <v>17.333333333333332</v>
      </c>
      <c r="C7" s="8">
        <f>$B$7*2</f>
        <v>34.666666666666664</v>
      </c>
      <c r="D7" s="8">
        <f>$B$7*3</f>
        <v>52</v>
      </c>
      <c r="E7" s="8">
        <f>$B$7*4</f>
        <v>69.333333333333329</v>
      </c>
      <c r="F7" s="8">
        <f>$B$7*5</f>
        <v>86.666666666666657</v>
      </c>
      <c r="G7" s="8">
        <f>$B$7*6</f>
        <v>104</v>
      </c>
      <c r="H7" s="8">
        <f>$B$7*7</f>
        <v>121.33333333333333</v>
      </c>
    </row>
    <row r="8" spans="1:8">
      <c r="A8" s="13" t="s">
        <v>59</v>
      </c>
      <c r="B8" s="1">
        <f>52*3/12</f>
        <v>13</v>
      </c>
      <c r="C8" s="8">
        <f>$B$8*2</f>
        <v>26</v>
      </c>
      <c r="D8" s="8">
        <f>$B$8*3</f>
        <v>39</v>
      </c>
      <c r="E8" s="8">
        <f>$B$8*4</f>
        <v>52</v>
      </c>
      <c r="F8" s="8">
        <f>$B$8*5</f>
        <v>65</v>
      </c>
      <c r="G8" s="8">
        <f>$B$8*6</f>
        <v>78</v>
      </c>
      <c r="H8" s="8">
        <f>$B$8*7</f>
        <v>91</v>
      </c>
    </row>
    <row r="9" spans="1:8">
      <c r="A9" s="13" t="s">
        <v>60</v>
      </c>
      <c r="B9" s="1">
        <f>52*2/12</f>
        <v>8.6666666666666661</v>
      </c>
      <c r="C9" s="36">
        <f>$B$9*2</f>
        <v>17.333333333333332</v>
      </c>
      <c r="D9" s="36">
        <f>$B$9*3</f>
        <v>26</v>
      </c>
      <c r="E9" s="36">
        <f>$B$9*4</f>
        <v>34.666666666666664</v>
      </c>
      <c r="F9" s="36">
        <f>$B$9*5</f>
        <v>43.333333333333329</v>
      </c>
      <c r="G9" s="36">
        <f>$B$9*6</f>
        <v>52</v>
      </c>
      <c r="H9" s="36">
        <f>$B$9*7</f>
        <v>60.666666666666664</v>
      </c>
    </row>
    <row r="10" spans="1:8">
      <c r="A10" s="13" t="s">
        <v>22</v>
      </c>
      <c r="B10" s="1">
        <f>52/12</f>
        <v>4.333333333333333</v>
      </c>
      <c r="C10" s="36">
        <f>$B$10*2</f>
        <v>8.6666666666666661</v>
      </c>
      <c r="D10" s="36">
        <f>$B$10*3</f>
        <v>13</v>
      </c>
      <c r="E10" s="36">
        <f>$B$10*4</f>
        <v>17.333333333333332</v>
      </c>
      <c r="F10" s="36">
        <f>$B$10*5</f>
        <v>21.666666666666664</v>
      </c>
      <c r="G10" s="36">
        <f>$B$10*6</f>
        <v>26</v>
      </c>
      <c r="H10" s="36">
        <f>$B$10*7</f>
        <v>30.333333333333332</v>
      </c>
    </row>
    <row r="11" spans="1:8">
      <c r="A11" s="13" t="s">
        <v>24</v>
      </c>
      <c r="B11" s="1">
        <f>26/12</f>
        <v>2.1666666666666665</v>
      </c>
      <c r="C11" s="36">
        <f>$B$11*2</f>
        <v>4.333333333333333</v>
      </c>
      <c r="D11" s="36">
        <f>$B$11*3</f>
        <v>6.5</v>
      </c>
      <c r="E11" s="36">
        <f>$B$11*4</f>
        <v>8.6666666666666661</v>
      </c>
      <c r="F11" s="36">
        <f>$B$11*5</f>
        <v>10.833333333333332</v>
      </c>
      <c r="G11" s="36">
        <f>$B$11*6</f>
        <v>13</v>
      </c>
      <c r="H11" s="36">
        <f>$B$11*7</f>
        <v>15.166666666666666</v>
      </c>
    </row>
    <row r="12" spans="1:8">
      <c r="A12" s="13" t="s">
        <v>23</v>
      </c>
      <c r="B12" s="1">
        <f>12/12</f>
        <v>1</v>
      </c>
      <c r="C12" s="36">
        <f>$B$12*2</f>
        <v>2</v>
      </c>
      <c r="D12" s="36">
        <f>$B$12*3</f>
        <v>3</v>
      </c>
      <c r="E12" s="36">
        <f>$B$12*4</f>
        <v>4</v>
      </c>
      <c r="F12" s="36">
        <f>$B$12*5</f>
        <v>5</v>
      </c>
      <c r="G12" s="36">
        <f>$B$12*6</f>
        <v>6</v>
      </c>
      <c r="H12" s="36">
        <f>$B$12*7</f>
        <v>7</v>
      </c>
    </row>
    <row r="13" spans="1:8">
      <c r="A13" s="13" t="s">
        <v>534</v>
      </c>
      <c r="B13" s="1">
        <v>1</v>
      </c>
      <c r="C13" s="36"/>
      <c r="D13" s="36"/>
      <c r="E13" s="36"/>
      <c r="F13" s="36"/>
      <c r="G13" s="36"/>
      <c r="H13" s="36"/>
    </row>
    <row r="14" spans="1:8">
      <c r="B14" s="1"/>
      <c r="C14" s="36"/>
      <c r="D14" s="36"/>
      <c r="E14" s="36"/>
      <c r="F14" s="36"/>
      <c r="G14" s="36"/>
      <c r="H14" s="36"/>
    </row>
    <row r="15" spans="1:8">
      <c r="A15" s="255" t="s">
        <v>11</v>
      </c>
      <c r="B15" s="255"/>
      <c r="C15" s="36"/>
      <c r="D15" s="36"/>
      <c r="E15" s="36"/>
      <c r="F15" s="36"/>
      <c r="G15" s="36"/>
      <c r="H15" s="36"/>
    </row>
    <row r="16" spans="1:8">
      <c r="A16" s="14" t="s">
        <v>56</v>
      </c>
      <c r="B16" s="15" t="s">
        <v>84</v>
      </c>
      <c r="C16" s="36"/>
      <c r="D16" s="36"/>
      <c r="E16" s="36"/>
      <c r="F16" s="36"/>
      <c r="G16" s="36"/>
      <c r="H16" s="36"/>
    </row>
    <row r="17" spans="1:8">
      <c r="A17" s="37" t="s">
        <v>85</v>
      </c>
      <c r="B17" s="24">
        <v>20</v>
      </c>
      <c r="C17" s="36"/>
      <c r="D17" s="36"/>
      <c r="E17" s="36"/>
      <c r="F17" s="36"/>
      <c r="G17" s="36"/>
      <c r="H17" s="36"/>
    </row>
    <row r="18" spans="1:8">
      <c r="A18" s="37" t="s">
        <v>62</v>
      </c>
      <c r="B18" s="24">
        <v>34</v>
      </c>
      <c r="C18" s="36"/>
      <c r="D18" s="36"/>
      <c r="E18" s="36"/>
      <c r="F18" s="36"/>
      <c r="G18" s="36"/>
      <c r="H18" s="36"/>
    </row>
    <row r="19" spans="1:8">
      <c r="A19" s="37" t="s">
        <v>63</v>
      </c>
      <c r="B19" s="24">
        <v>51</v>
      </c>
      <c r="C19" s="36"/>
      <c r="D19" s="36"/>
      <c r="E19" s="36"/>
      <c r="F19" s="36"/>
      <c r="G19" s="36"/>
      <c r="H19" s="36"/>
    </row>
    <row r="20" spans="1:8">
      <c r="A20" s="37" t="s">
        <v>64</v>
      </c>
      <c r="B20" s="24">
        <v>77</v>
      </c>
      <c r="C20" s="36"/>
      <c r="D20" s="36"/>
      <c r="E20" s="36"/>
      <c r="F20" s="13" t="s">
        <v>20</v>
      </c>
      <c r="G20" s="24">
        <v>2000</v>
      </c>
      <c r="H20" s="36"/>
    </row>
    <row r="21" spans="1:8">
      <c r="A21" s="37" t="s">
        <v>65</v>
      </c>
      <c r="B21" s="24">
        <v>97</v>
      </c>
      <c r="C21" s="36"/>
      <c r="D21" s="36"/>
      <c r="E21" s="36"/>
      <c r="F21" s="13" t="s">
        <v>21</v>
      </c>
      <c r="G21" s="9" t="s">
        <v>51</v>
      </c>
      <c r="H21" s="36"/>
    </row>
    <row r="22" spans="1:8">
      <c r="A22" s="37" t="s">
        <v>66</v>
      </c>
      <c r="B22" s="24">
        <v>117</v>
      </c>
      <c r="C22" s="36"/>
      <c r="D22" s="36"/>
      <c r="E22" s="36"/>
      <c r="F22" s="13" t="s">
        <v>119</v>
      </c>
      <c r="G22" s="13">
        <v>12</v>
      </c>
      <c r="H22" s="36"/>
    </row>
    <row r="23" spans="1:8">
      <c r="A23" s="37" t="s">
        <v>67</v>
      </c>
      <c r="B23" s="24">
        <v>157</v>
      </c>
      <c r="C23" s="36"/>
      <c r="D23" s="36"/>
      <c r="E23" s="36"/>
      <c r="F23" s="5"/>
      <c r="G23" s="6"/>
      <c r="H23" s="36"/>
    </row>
    <row r="24" spans="1:8">
      <c r="A24" s="37" t="s">
        <v>150</v>
      </c>
      <c r="B24" s="24">
        <v>37</v>
      </c>
      <c r="C24" s="36"/>
      <c r="D24" s="36"/>
      <c r="E24" s="36"/>
      <c r="F24" s="5"/>
      <c r="G24" s="6"/>
      <c r="H24" s="36"/>
    </row>
    <row r="25" spans="1:8">
      <c r="A25" s="37" t="s">
        <v>528</v>
      </c>
      <c r="B25" s="24">
        <v>48</v>
      </c>
      <c r="C25" s="36" t="s">
        <v>531</v>
      </c>
      <c r="D25" s="36"/>
      <c r="E25" s="36"/>
      <c r="F25" s="5"/>
      <c r="G25" s="6"/>
      <c r="H25" s="36"/>
    </row>
    <row r="26" spans="1:8">
      <c r="A26" s="37" t="s">
        <v>529</v>
      </c>
      <c r="B26" s="24">
        <v>51</v>
      </c>
      <c r="C26" s="36" t="s">
        <v>532</v>
      </c>
      <c r="D26" s="36"/>
      <c r="E26" s="36"/>
      <c r="F26" s="36"/>
      <c r="G26" s="36"/>
      <c r="H26" s="36"/>
    </row>
    <row r="27" spans="1:8">
      <c r="A27" s="37" t="s">
        <v>530</v>
      </c>
      <c r="B27" s="24">
        <f>77</f>
        <v>77</v>
      </c>
      <c r="C27" s="36" t="s">
        <v>533</v>
      </c>
      <c r="D27" s="104"/>
      <c r="E27" s="36"/>
      <c r="F27" s="36"/>
      <c r="G27" s="36"/>
      <c r="H27" s="36"/>
    </row>
    <row r="28" spans="1:8">
      <c r="A28" s="37" t="s">
        <v>68</v>
      </c>
      <c r="B28" s="24">
        <v>34</v>
      </c>
      <c r="C28" s="36"/>
      <c r="D28" s="36"/>
      <c r="E28" s="36"/>
      <c r="F28" s="36"/>
      <c r="G28" s="36"/>
      <c r="H28" s="36"/>
    </row>
    <row r="29" spans="1:8">
      <c r="A29" s="37" t="s">
        <v>32</v>
      </c>
      <c r="B29" s="24">
        <v>34</v>
      </c>
      <c r="C29" s="36"/>
      <c r="D29" s="36"/>
      <c r="E29" s="36"/>
      <c r="F29" s="36"/>
      <c r="G29" s="36"/>
      <c r="H29" s="36"/>
    </row>
    <row r="30" spans="1:8">
      <c r="A30" s="14" t="s">
        <v>69</v>
      </c>
      <c r="B30" s="24"/>
      <c r="C30" s="36"/>
      <c r="D30" s="36"/>
      <c r="E30" s="36"/>
      <c r="F30" s="36"/>
      <c r="G30" s="36"/>
      <c r="H30" s="36"/>
    </row>
    <row r="31" spans="1:8">
      <c r="A31" s="37" t="s">
        <v>70</v>
      </c>
      <c r="B31" s="24">
        <v>29</v>
      </c>
      <c r="C31" s="36"/>
      <c r="D31" s="36"/>
      <c r="E31" s="36"/>
      <c r="F31" s="36"/>
      <c r="G31" s="36"/>
      <c r="H31" s="36"/>
    </row>
    <row r="32" spans="1:8">
      <c r="A32" s="37" t="s">
        <v>71</v>
      </c>
      <c r="B32" s="24">
        <v>175</v>
      </c>
      <c r="C32" s="36"/>
      <c r="D32" s="36"/>
      <c r="E32" s="36"/>
      <c r="F32" s="36"/>
      <c r="G32" s="36"/>
      <c r="H32" s="36"/>
    </row>
    <row r="33" spans="1:8">
      <c r="A33" s="37" t="s">
        <v>72</v>
      </c>
      <c r="B33" s="24">
        <v>250</v>
      </c>
      <c r="C33" s="36"/>
      <c r="D33" s="36"/>
      <c r="E33" s="36"/>
      <c r="F33" s="36"/>
      <c r="G33" s="36"/>
      <c r="H33" s="36"/>
    </row>
    <row r="34" spans="1:8">
      <c r="A34" s="37" t="s">
        <v>105</v>
      </c>
      <c r="B34" s="24">
        <v>375</v>
      </c>
      <c r="C34" s="36" t="s">
        <v>86</v>
      </c>
      <c r="D34" s="36"/>
      <c r="E34" s="36"/>
      <c r="F34" s="36"/>
      <c r="G34" s="36"/>
      <c r="H34" s="36"/>
    </row>
    <row r="35" spans="1:8">
      <c r="A35" s="37" t="s">
        <v>73</v>
      </c>
      <c r="B35" s="24">
        <v>324</v>
      </c>
      <c r="C35" s="36"/>
      <c r="D35" s="36"/>
      <c r="E35" s="36"/>
      <c r="F35" s="36"/>
      <c r="G35" s="36"/>
      <c r="H35" s="36"/>
    </row>
    <row r="36" spans="1:8">
      <c r="A36" s="37" t="s">
        <v>74</v>
      </c>
      <c r="B36" s="24">
        <v>473</v>
      </c>
      <c r="C36" s="36"/>
      <c r="D36" s="36"/>
      <c r="E36" s="36"/>
      <c r="F36" s="36"/>
      <c r="G36" s="36"/>
      <c r="H36" s="36"/>
    </row>
    <row r="37" spans="1:8">
      <c r="A37" s="37" t="s">
        <v>104</v>
      </c>
      <c r="B37" s="24">
        <v>710</v>
      </c>
      <c r="C37" s="36" t="s">
        <v>86</v>
      </c>
      <c r="D37" s="36"/>
      <c r="E37" s="36"/>
      <c r="F37" s="36"/>
      <c r="G37" s="36"/>
      <c r="H37" s="36"/>
    </row>
    <row r="38" spans="1:8">
      <c r="A38" s="37" t="s">
        <v>75</v>
      </c>
      <c r="B38" s="24">
        <v>613</v>
      </c>
      <c r="C38" s="36"/>
      <c r="D38" s="36"/>
      <c r="E38" s="36"/>
      <c r="F38" s="36"/>
      <c r="G38" s="36"/>
      <c r="H38" s="36"/>
    </row>
    <row r="39" spans="1:8">
      <c r="A39" s="37" t="s">
        <v>103</v>
      </c>
      <c r="B39" s="24">
        <v>920</v>
      </c>
      <c r="C39" s="36" t="s">
        <v>86</v>
      </c>
      <c r="D39" s="36"/>
      <c r="E39" s="36"/>
      <c r="F39" s="36"/>
      <c r="G39" s="36"/>
      <c r="H39" s="36"/>
    </row>
    <row r="40" spans="1:8">
      <c r="A40" s="37" t="s">
        <v>76</v>
      </c>
      <c r="B40" s="24">
        <v>840</v>
      </c>
      <c r="C40" s="36"/>
      <c r="D40" s="36"/>
      <c r="E40" s="36"/>
      <c r="F40" s="36"/>
      <c r="G40" s="36"/>
      <c r="H40" s="36"/>
    </row>
    <row r="41" spans="1:8">
      <c r="A41" s="37" t="s">
        <v>102</v>
      </c>
      <c r="B41" s="24">
        <v>1260</v>
      </c>
      <c r="C41" s="36" t="s">
        <v>86</v>
      </c>
      <c r="D41" s="36"/>
      <c r="E41" s="36"/>
      <c r="F41" s="36"/>
      <c r="G41" s="36"/>
      <c r="H41" s="36"/>
    </row>
    <row r="42" spans="1:8">
      <c r="A42" s="37" t="s">
        <v>77</v>
      </c>
      <c r="B42" s="24">
        <v>980</v>
      </c>
      <c r="C42" s="36"/>
      <c r="D42" s="36"/>
      <c r="E42" s="36"/>
      <c r="F42" s="36"/>
      <c r="G42" s="36"/>
      <c r="H42" s="36"/>
    </row>
    <row r="43" spans="1:8">
      <c r="A43" s="37" t="s">
        <v>94</v>
      </c>
      <c r="B43" s="24">
        <v>482</v>
      </c>
      <c r="C43" s="36" t="s">
        <v>86</v>
      </c>
      <c r="D43" s="36"/>
      <c r="E43" s="36"/>
      <c r="F43" s="36"/>
      <c r="G43" s="36"/>
      <c r="H43" s="36"/>
    </row>
    <row r="44" spans="1:8">
      <c r="A44" s="37" t="s">
        <v>95</v>
      </c>
      <c r="B44" s="24">
        <v>689</v>
      </c>
      <c r="C44" s="36" t="s">
        <v>86</v>
      </c>
      <c r="D44" s="36"/>
      <c r="E44" s="36"/>
      <c r="F44" s="36"/>
      <c r="G44" s="36"/>
      <c r="H44" s="36"/>
    </row>
    <row r="45" spans="1:8">
      <c r="A45" s="37" t="s">
        <v>79</v>
      </c>
      <c r="B45" s="24">
        <v>892</v>
      </c>
      <c r="C45" s="36" t="s">
        <v>86</v>
      </c>
      <c r="D45" s="36"/>
      <c r="E45" s="36"/>
      <c r="F45" s="36"/>
      <c r="G45" s="36"/>
      <c r="H45" s="36"/>
    </row>
    <row r="46" spans="1:8">
      <c r="A46" s="37" t="s">
        <v>78</v>
      </c>
      <c r="B46" s="24">
        <v>1301</v>
      </c>
      <c r="C46" s="36"/>
      <c r="D46" s="36"/>
      <c r="E46" s="36"/>
      <c r="F46" s="36"/>
      <c r="G46" s="36"/>
      <c r="H46" s="36"/>
    </row>
    <row r="47" spans="1:8">
      <c r="A47" s="37" t="s">
        <v>80</v>
      </c>
      <c r="B47" s="24">
        <v>1686</v>
      </c>
      <c r="C47" s="36"/>
      <c r="D47" s="36"/>
      <c r="E47" s="36"/>
      <c r="F47" s="36"/>
      <c r="G47" s="36"/>
      <c r="H47" s="36"/>
    </row>
    <row r="48" spans="1:8">
      <c r="A48" s="37" t="s">
        <v>81</v>
      </c>
      <c r="B48" s="24">
        <v>2046</v>
      </c>
      <c r="C48" s="36"/>
      <c r="D48" s="36"/>
      <c r="E48" s="36"/>
      <c r="F48" s="36"/>
      <c r="G48" s="36"/>
      <c r="H48" s="36"/>
    </row>
    <row r="49" spans="1:8">
      <c r="A49" s="37" t="s">
        <v>82</v>
      </c>
      <c r="B49" s="24">
        <v>2310</v>
      </c>
      <c r="C49" s="36"/>
      <c r="D49" s="36"/>
      <c r="E49" s="36"/>
      <c r="F49" s="36"/>
      <c r="G49" s="36"/>
      <c r="H49" s="36"/>
    </row>
    <row r="50" spans="1:8">
      <c r="A50" s="37" t="s">
        <v>96</v>
      </c>
      <c r="B50" s="24">
        <v>2800</v>
      </c>
      <c r="C50" s="36" t="s">
        <v>86</v>
      </c>
      <c r="D50" s="36"/>
      <c r="E50" s="36"/>
      <c r="F50" s="36"/>
      <c r="G50" s="36"/>
      <c r="H50" s="36"/>
    </row>
    <row r="51" spans="1:8">
      <c r="A51" s="37" t="s">
        <v>83</v>
      </c>
      <c r="B51" s="24">
        <v>125</v>
      </c>
      <c r="C51" s="36"/>
      <c r="D51" s="36"/>
      <c r="E51" s="36"/>
      <c r="F51" s="36"/>
      <c r="G51" s="36"/>
      <c r="H51" s="36"/>
    </row>
    <row r="52" spans="1:8">
      <c r="B52" s="257" t="s">
        <v>101</v>
      </c>
      <c r="C52" s="257"/>
    </row>
    <row r="55" spans="1:8">
      <c r="A55" s="41" t="s">
        <v>624</v>
      </c>
      <c r="B55" s="40" t="s">
        <v>6</v>
      </c>
      <c r="C55" s="40" t="s">
        <v>7</v>
      </c>
      <c r="F55" s="256" t="s">
        <v>27</v>
      </c>
      <c r="G55" s="256"/>
    </row>
    <row r="56" spans="1:8">
      <c r="A56" s="133" t="s">
        <v>8</v>
      </c>
      <c r="B56" s="92">
        <v>30.89</v>
      </c>
      <c r="C56" s="93">
        <f>B56/2000</f>
        <v>1.5445E-2</v>
      </c>
      <c r="F56" s="13" t="s">
        <v>28</v>
      </c>
      <c r="G56" s="2">
        <f>0.015</f>
        <v>1.4999999999999999E-2</v>
      </c>
    </row>
    <row r="57" spans="1:8">
      <c r="A57" s="133" t="s">
        <v>9</v>
      </c>
      <c r="B57" s="94">
        <v>32.82</v>
      </c>
      <c r="C57" s="95">
        <f>B57/2000</f>
        <v>1.6410000000000001E-2</v>
      </c>
      <c r="F57" s="13" t="s">
        <v>29</v>
      </c>
      <c r="G57" s="3">
        <f>0.004275</f>
        <v>4.2750000000000002E-3</v>
      </c>
    </row>
    <row r="58" spans="1:8">
      <c r="A58" s="37" t="s">
        <v>10</v>
      </c>
      <c r="B58" s="92">
        <f>B57-B56</f>
        <v>1.9299999999999997</v>
      </c>
      <c r="C58" s="96">
        <f>C57-C56</f>
        <v>9.6500000000000058E-4</v>
      </c>
      <c r="D58" s="106">
        <f>B58/B56</f>
        <v>6.2479766914859167E-2</v>
      </c>
      <c r="F58" s="13" t="s">
        <v>55</v>
      </c>
      <c r="G58" s="4"/>
    </row>
    <row r="59" spans="1:8">
      <c r="F59" s="13" t="s">
        <v>17</v>
      </c>
      <c r="G59" s="10">
        <f>SUM(G56:G58)</f>
        <v>1.9275E-2</v>
      </c>
    </row>
    <row r="60" spans="1:8">
      <c r="B60" s="203" t="s">
        <v>106</v>
      </c>
      <c r="D60" s="11"/>
    </row>
    <row r="61" spans="1:8">
      <c r="A61" s="13" t="s">
        <v>4</v>
      </c>
      <c r="B61" s="11">
        <f>B58</f>
        <v>1.9299999999999997</v>
      </c>
      <c r="F61" s="13" t="s">
        <v>30</v>
      </c>
      <c r="G61" s="12">
        <f>1-G59</f>
        <v>0.98072499999999996</v>
      </c>
    </row>
    <row r="62" spans="1:8">
      <c r="A62" s="13" t="s">
        <v>26</v>
      </c>
      <c r="B62" s="11">
        <f>B61/$G$61</f>
        <v>1.967931887124321</v>
      </c>
    </row>
    <row r="63" spans="1:8">
      <c r="A63" s="13" t="s">
        <v>25</v>
      </c>
      <c r="B63" s="27">
        <f>'DF Calcs'!D79</f>
        <v>45718.379410812558</v>
      </c>
    </row>
    <row r="64" spans="1:8">
      <c r="A64" s="14" t="s">
        <v>31</v>
      </c>
      <c r="B64" s="129">
        <f>B62*B63</f>
        <v>89970.656670186057</v>
      </c>
    </row>
    <row r="65" spans="1:4">
      <c r="B65" s="130"/>
    </row>
    <row r="66" spans="1:4">
      <c r="B66" s="130"/>
    </row>
    <row r="67" spans="1:4" ht="15.75" thickBot="1">
      <c r="B67" s="130"/>
    </row>
    <row r="68" spans="1:4">
      <c r="A68" s="88" t="s">
        <v>91</v>
      </c>
      <c r="B68" s="131" t="s">
        <v>89</v>
      </c>
      <c r="D68" s="11"/>
    </row>
    <row r="69" spans="1:4">
      <c r="A69" s="89" t="s">
        <v>90</v>
      </c>
      <c r="B69" s="132">
        <f>'DF Calcs'!R66</f>
        <v>89970.656670185941</v>
      </c>
    </row>
    <row r="70" spans="1:4">
      <c r="A70" s="89" t="s">
        <v>13</v>
      </c>
      <c r="B70" s="90">
        <f>B69-B64</f>
        <v>-1.1641532182693481E-10</v>
      </c>
    </row>
    <row r="71" spans="1:4" ht="15.75" thickBot="1">
      <c r="A71" s="125"/>
      <c r="B71" s="126"/>
    </row>
    <row r="72" spans="1:4">
      <c r="B72" s="106"/>
    </row>
  </sheetData>
  <mergeCells count="4">
    <mergeCell ref="A4:H4"/>
    <mergeCell ref="F55:G55"/>
    <mergeCell ref="A15:B15"/>
    <mergeCell ref="B52:C52"/>
  </mergeCells>
  <pageMargins left="0.7" right="0.7" top="0.75" bottom="0.75" header="0.3" footer="0.3"/>
  <pageSetup scale="66" orientation="portrait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T90"/>
  <sheetViews>
    <sheetView topLeftCell="A58" zoomScale="80" zoomScaleNormal="80" zoomScalePageLayoutView="85" workbookViewId="0">
      <selection activeCell="R20" sqref="R20"/>
    </sheetView>
  </sheetViews>
  <sheetFormatPr defaultColWidth="8.85546875" defaultRowHeight="15"/>
  <cols>
    <col min="1" max="1" width="4.5703125" style="51" customWidth="1"/>
    <col min="2" max="2" width="10.85546875" style="55" bestFit="1" customWidth="1"/>
    <col min="3" max="3" width="28.140625" style="51" customWidth="1"/>
    <col min="4" max="4" width="12.28515625" style="52" bestFit="1" customWidth="1"/>
    <col min="5" max="5" width="12.28515625" style="51" bestFit="1" customWidth="1"/>
    <col min="6" max="6" width="11.7109375" style="51" bestFit="1" customWidth="1"/>
    <col min="7" max="7" width="9" style="51" customWidth="1"/>
    <col min="8" max="8" width="17.28515625" style="51" bestFit="1" customWidth="1"/>
    <col min="9" max="9" width="16.28515625" style="50" bestFit="1" customWidth="1"/>
    <col min="10" max="11" width="12.28515625" style="51" bestFit="1" customWidth="1"/>
    <col min="12" max="12" width="10.7109375" style="51" bestFit="1" customWidth="1"/>
    <col min="13" max="13" width="16.5703125" style="51" bestFit="1" customWidth="1"/>
    <col min="14" max="14" width="20.140625" style="51" bestFit="1" customWidth="1"/>
    <col min="15" max="15" width="18.140625" style="51" bestFit="1" customWidth="1"/>
    <col min="16" max="16" width="16.5703125" style="51" bestFit="1" customWidth="1"/>
    <col min="17" max="17" width="18.42578125" style="51" bestFit="1" customWidth="1"/>
    <col min="18" max="18" width="18.7109375" style="51" bestFit="1" customWidth="1"/>
    <col min="19" max="19" width="15.28515625" style="51" bestFit="1" customWidth="1"/>
    <col min="20" max="20" width="22.85546875" style="51" bestFit="1" customWidth="1"/>
    <col min="21" max="21" width="13.5703125" style="51" bestFit="1" customWidth="1"/>
    <col min="22" max="23" width="16.5703125" style="51" bestFit="1" customWidth="1"/>
    <col min="24" max="16384" width="8.85546875" style="51"/>
  </cols>
  <sheetData>
    <row r="1" spans="1:29" s="206" customFormat="1">
      <c r="A1" s="218" t="s">
        <v>157</v>
      </c>
      <c r="B1" s="209"/>
      <c r="D1" s="207"/>
      <c r="I1" s="205"/>
    </row>
    <row r="2" spans="1:29" s="206" customFormat="1">
      <c r="A2" s="218" t="s">
        <v>614</v>
      </c>
      <c r="B2" s="209"/>
      <c r="D2" s="207"/>
      <c r="I2" s="205"/>
    </row>
    <row r="3" spans="1:29" s="206" customFormat="1">
      <c r="A3" s="219" t="s">
        <v>621</v>
      </c>
      <c r="B3" s="209"/>
      <c r="D3" s="207"/>
      <c r="I3" s="205"/>
    </row>
    <row r="4" spans="1:29" ht="15" customHeight="1">
      <c r="A4" s="191" t="s">
        <v>618</v>
      </c>
      <c r="B4" s="51"/>
      <c r="C4" s="191"/>
      <c r="D4" s="191"/>
      <c r="E4" s="191"/>
      <c r="F4" s="191"/>
      <c r="G4" s="191"/>
      <c r="H4" s="191"/>
      <c r="I4" s="191"/>
      <c r="J4" s="191"/>
      <c r="M4" s="86"/>
    </row>
    <row r="5" spans="1:29" ht="45">
      <c r="A5" s="204"/>
      <c r="B5" s="214" t="s">
        <v>16</v>
      </c>
      <c r="C5" s="215" t="s">
        <v>18</v>
      </c>
      <c r="D5" s="214" t="s">
        <v>41</v>
      </c>
      <c r="E5" s="214" t="s">
        <v>0</v>
      </c>
      <c r="F5" s="204" t="s">
        <v>1</v>
      </c>
      <c r="G5" s="214" t="s">
        <v>11</v>
      </c>
      <c r="H5" s="214" t="s">
        <v>35</v>
      </c>
      <c r="I5" s="224" t="s">
        <v>36</v>
      </c>
      <c r="J5" s="214" t="s">
        <v>10</v>
      </c>
      <c r="K5" s="214" t="s">
        <v>2</v>
      </c>
      <c r="L5" s="214" t="s">
        <v>43</v>
      </c>
      <c r="M5" s="190" t="s">
        <v>39</v>
      </c>
      <c r="N5" s="214" t="s">
        <v>609</v>
      </c>
      <c r="O5" s="214" t="s">
        <v>37</v>
      </c>
      <c r="P5" s="214" t="s">
        <v>40</v>
      </c>
      <c r="Q5" s="214" t="s">
        <v>38</v>
      </c>
      <c r="R5" s="214" t="s">
        <v>44</v>
      </c>
      <c r="S5" s="214" t="s">
        <v>122</v>
      </c>
      <c r="T5" s="214" t="s">
        <v>42</v>
      </c>
      <c r="U5" s="214" t="s">
        <v>45</v>
      </c>
      <c r="V5" s="214" t="s">
        <v>47</v>
      </c>
      <c r="W5" s="214" t="s">
        <v>46</v>
      </c>
    </row>
    <row r="6" spans="1:29" s="53" customFormat="1" ht="15" customHeight="1">
      <c r="A6" s="259" t="s">
        <v>14</v>
      </c>
      <c r="B6" s="39">
        <v>23</v>
      </c>
      <c r="C6" s="51" t="s">
        <v>107</v>
      </c>
      <c r="D6" s="222">
        <f>'Regulated Co Provided Priceout'!H11</f>
        <v>12.838270496708553</v>
      </c>
      <c r="E6" s="221">
        <f>References!$B$10</f>
        <v>4.333333333333333</v>
      </c>
      <c r="F6" s="62">
        <f>D6*E6*12</f>
        <v>667.59006582884467</v>
      </c>
      <c r="G6" s="212">
        <f>References!B17</f>
        <v>20</v>
      </c>
      <c r="H6" s="62">
        <f>F6*G6</f>
        <v>13351.801316576893</v>
      </c>
      <c r="I6" s="38">
        <f t="shared" ref="I6:I19" si="0">$D$82*H6</f>
        <v>7365.6549859432125</v>
      </c>
      <c r="J6" s="61">
        <f>(References!$C$58*I6)</f>
        <v>7.1078570614352046</v>
      </c>
      <c r="K6" s="61">
        <f>J6/References!$G$61</f>
        <v>7.2475536581969511</v>
      </c>
      <c r="L6" s="61">
        <f>K6/F6*E6</f>
        <v>4.7043938278492313E-2</v>
      </c>
      <c r="M6" s="19">
        <f>'Proposed Rates'!B10</f>
        <v>5.72</v>
      </c>
      <c r="N6" s="61">
        <f>L6+M6</f>
        <v>5.7670439382784924</v>
      </c>
      <c r="O6" s="61">
        <f>'Proposed Rates'!D10</f>
        <v>5.7670439382784924</v>
      </c>
      <c r="P6" s="211">
        <f>D6*M6*12</f>
        <v>881.21888689407501</v>
      </c>
      <c r="Q6" s="211">
        <f>D6*O6*12</f>
        <v>888.46644055227193</v>
      </c>
      <c r="R6" s="211">
        <f>Q6-P6</f>
        <v>7.2475536581969209</v>
      </c>
      <c r="S6" s="211">
        <f>D6*N6*12</f>
        <v>888.46644055227193</v>
      </c>
      <c r="T6" s="211">
        <f t="shared" ref="T6:T8" si="1">Q6-S6</f>
        <v>0</v>
      </c>
      <c r="U6" s="64">
        <f t="shared" ref="U6:U8" si="2">N6</f>
        <v>5.7670439382784924</v>
      </c>
      <c r="V6" s="64">
        <f>D6*U6*12</f>
        <v>888.46644055227193</v>
      </c>
      <c r="W6" s="64">
        <f>V6-P6</f>
        <v>7.2475536581969209</v>
      </c>
      <c r="X6" s="97">
        <f>R6-W6</f>
        <v>0</v>
      </c>
      <c r="Y6" s="91">
        <f>O6-U6</f>
        <v>0</v>
      </c>
    </row>
    <row r="7" spans="1:29" s="53" customFormat="1" ht="15" customHeight="1">
      <c r="A7" s="260"/>
      <c r="B7" s="39">
        <v>23</v>
      </c>
      <c r="C7" s="51" t="s">
        <v>590</v>
      </c>
      <c r="D7" s="105">
        <f>'Regulated Co Provided Priceout'!H12</f>
        <v>36.612179487179489</v>
      </c>
      <c r="E7" s="63">
        <f>References!$B$12</f>
        <v>1</v>
      </c>
      <c r="F7" s="62">
        <f>D7*E7*12</f>
        <v>439.34615384615387</v>
      </c>
      <c r="G7" s="62">
        <f>References!B18</f>
        <v>34</v>
      </c>
      <c r="H7" s="62">
        <f>F7*G7</f>
        <v>14937.769230769232</v>
      </c>
      <c r="I7" s="38">
        <f t="shared" si="0"/>
        <v>8240.5700777528382</v>
      </c>
      <c r="J7" s="61">
        <f>(References!$C$58*I7)</f>
        <v>7.9521501250314932</v>
      </c>
      <c r="K7" s="61">
        <f>J7/References!$G$61</f>
        <v>8.1084403120461843</v>
      </c>
      <c r="L7" s="61">
        <f>K7/F7*E7</f>
        <v>1.845569886310083E-2</v>
      </c>
      <c r="M7" s="19">
        <f>'Proposed Rates'!B20</f>
        <v>4.2699999999999996</v>
      </c>
      <c r="N7" s="61">
        <f>L7+M7</f>
        <v>4.2884556988631006</v>
      </c>
      <c r="O7" s="61">
        <f>'Proposed Rates'!D20</f>
        <v>4.2884556988631006</v>
      </c>
      <c r="P7" s="61">
        <f>D7*M7*12</f>
        <v>1876.0080769230767</v>
      </c>
      <c r="Q7" s="61">
        <f>D7*O7*12</f>
        <v>1884.1165172351232</v>
      </c>
      <c r="R7" s="61">
        <f>Q7-P7</f>
        <v>8.1084403120464685</v>
      </c>
      <c r="S7" s="61">
        <f>D7*N7*12</f>
        <v>1884.1165172351232</v>
      </c>
      <c r="T7" s="61">
        <f t="shared" ref="T7" si="3">Q7-S7</f>
        <v>0</v>
      </c>
      <c r="U7" s="64">
        <f t="shared" ref="U7" si="4">N7</f>
        <v>4.2884556988631006</v>
      </c>
      <c r="V7" s="64">
        <f>D7*U7*12</f>
        <v>1884.1165172351232</v>
      </c>
      <c r="W7" s="64">
        <f>V7-P7</f>
        <v>8.1084403120464685</v>
      </c>
      <c r="X7" s="97">
        <f t="shared" ref="X7:X34" si="5">R7-W7</f>
        <v>0</v>
      </c>
      <c r="Y7" s="217">
        <f t="shared" ref="Y7:Y34" si="6">O7-U7</f>
        <v>0</v>
      </c>
      <c r="AC7" s="91"/>
    </row>
    <row r="8" spans="1:29" s="53" customFormat="1" ht="15" customHeight="1">
      <c r="A8" s="260"/>
      <c r="B8" s="39">
        <v>23</v>
      </c>
      <c r="C8" s="51" t="s">
        <v>108</v>
      </c>
      <c r="D8" s="105">
        <f>'Regulated Co Provided Priceout'!H13</f>
        <v>2910.1950621712094</v>
      </c>
      <c r="E8" s="63">
        <f>References!$B$10</f>
        <v>4.333333333333333</v>
      </c>
      <c r="F8" s="62">
        <f t="shared" ref="F8:F16" si="7">D8*E8*12</f>
        <v>151330.14323290289</v>
      </c>
      <c r="G8" s="62">
        <f>References!B18</f>
        <v>34</v>
      </c>
      <c r="H8" s="62">
        <f t="shared" ref="H8:H19" si="8">F8*G8</f>
        <v>5145224.8699186984</v>
      </c>
      <c r="I8" s="38">
        <f t="shared" si="0"/>
        <v>2838414.8564181807</v>
      </c>
      <c r="J8" s="61">
        <f>(References!$C$58*I8)</f>
        <v>2739.0703364435462</v>
      </c>
      <c r="K8" s="61">
        <f>J8/References!$G$61</f>
        <v>2792.9035524163719</v>
      </c>
      <c r="L8" s="61">
        <f t="shared" ref="L8:L16" si="9">K8/F8*E8</f>
        <v>7.9974695073436936E-2</v>
      </c>
      <c r="M8" s="19">
        <f>'Proposed Rates'!B11</f>
        <v>7.15</v>
      </c>
      <c r="N8" s="61">
        <f t="shared" ref="N8:N21" si="10">L8+M8</f>
        <v>7.2299746950734374</v>
      </c>
      <c r="O8" s="61">
        <f>'Proposed Rates'!D11</f>
        <v>7.2299746950734374</v>
      </c>
      <c r="P8" s="61">
        <f t="shared" ref="P8" si="11">D8*M8*12</f>
        <v>249694.73633428977</v>
      </c>
      <c r="Q8" s="61">
        <f t="shared" ref="Q8" si="12">D8*O8*12</f>
        <v>252487.63988670617</v>
      </c>
      <c r="R8" s="61">
        <f>Q8-P8</f>
        <v>2792.9035524163919</v>
      </c>
      <c r="S8" s="61">
        <f t="shared" ref="S8" si="13">D8*N8*12</f>
        <v>252487.63988670617</v>
      </c>
      <c r="T8" s="61">
        <f t="shared" si="1"/>
        <v>0</v>
      </c>
      <c r="U8" s="64">
        <f t="shared" si="2"/>
        <v>7.2299746950734374</v>
      </c>
      <c r="V8" s="64">
        <f>D8*U8*12</f>
        <v>252487.63988670617</v>
      </c>
      <c r="W8" s="64">
        <f>V8-P8</f>
        <v>2792.9035524163919</v>
      </c>
      <c r="X8" s="97">
        <f t="shared" si="5"/>
        <v>0</v>
      </c>
      <c r="Y8" s="217">
        <f t="shared" si="6"/>
        <v>0</v>
      </c>
    </row>
    <row r="9" spans="1:29" s="53" customFormat="1">
      <c r="A9" s="260"/>
      <c r="B9" s="39">
        <v>23</v>
      </c>
      <c r="C9" s="51" t="s">
        <v>109</v>
      </c>
      <c r="D9" s="105">
        <f>'Regulated Co Provided Priceout'!H14</f>
        <v>3413.0179872495446</v>
      </c>
      <c r="E9" s="63">
        <f>References!$B$10</f>
        <v>4.333333333333333</v>
      </c>
      <c r="F9" s="62">
        <f t="shared" si="7"/>
        <v>177476.93533697631</v>
      </c>
      <c r="G9" s="62">
        <f>References!B19</f>
        <v>51</v>
      </c>
      <c r="H9" s="62">
        <f t="shared" si="8"/>
        <v>9051323.702185791</v>
      </c>
      <c r="I9" s="38">
        <f t="shared" si="0"/>
        <v>4993253.4176956424</v>
      </c>
      <c r="J9" s="61">
        <f>(References!$C$58*I9)</f>
        <v>4818.489548076298</v>
      </c>
      <c r="K9" s="61">
        <f>J9/References!$G$61</f>
        <v>4913.1913105878793</v>
      </c>
      <c r="L9" s="61">
        <f t="shared" si="9"/>
        <v>0.11996204261015538</v>
      </c>
      <c r="M9" s="19">
        <f>'Proposed Rates'!B12</f>
        <v>9.39</v>
      </c>
      <c r="N9" s="61">
        <f t="shared" si="10"/>
        <v>9.5099620426101552</v>
      </c>
      <c r="O9" s="61">
        <f>'Proposed Rates'!D12</f>
        <v>9.5099620426101552</v>
      </c>
      <c r="P9" s="61">
        <f t="shared" ref="P9:P16" si="14">D9*M9*12</f>
        <v>384578.86680327874</v>
      </c>
      <c r="Q9" s="61">
        <f t="shared" ref="Q9:Q16" si="15">D9*O9*12</f>
        <v>389492.05811386654</v>
      </c>
      <c r="R9" s="61">
        <f t="shared" ref="R9:R19" si="16">Q9-P9</f>
        <v>4913.1913105878048</v>
      </c>
      <c r="S9" s="61">
        <f t="shared" ref="S9:S16" si="17">D9*N9*12</f>
        <v>389492.05811386654</v>
      </c>
      <c r="T9" s="61">
        <f t="shared" ref="T9:T19" si="18">Q9-S9</f>
        <v>0</v>
      </c>
      <c r="U9" s="64">
        <f t="shared" ref="U9:U19" si="19">N9</f>
        <v>9.5099620426101552</v>
      </c>
      <c r="V9" s="64">
        <f t="shared" ref="V9:V16" si="20">D9*U9*12</f>
        <v>389492.05811386654</v>
      </c>
      <c r="W9" s="64">
        <f t="shared" ref="W9:W19" si="21">V9-P9</f>
        <v>4913.1913105878048</v>
      </c>
      <c r="X9" s="97">
        <f t="shared" si="5"/>
        <v>0</v>
      </c>
      <c r="Y9" s="217">
        <f t="shared" si="6"/>
        <v>0</v>
      </c>
    </row>
    <row r="10" spans="1:29" s="53" customFormat="1">
      <c r="A10" s="260"/>
      <c r="B10" s="39">
        <v>23</v>
      </c>
      <c r="C10" s="51" t="s">
        <v>110</v>
      </c>
      <c r="D10" s="105">
        <f>'Regulated Co Provided Priceout'!H15</f>
        <v>416.60173303834813</v>
      </c>
      <c r="E10" s="63">
        <f>References!$B$10</f>
        <v>4.333333333333333</v>
      </c>
      <c r="F10" s="62">
        <f t="shared" si="7"/>
        <v>21663.290117994104</v>
      </c>
      <c r="G10" s="62">
        <f>References!B20</f>
        <v>77</v>
      </c>
      <c r="H10" s="62">
        <f t="shared" si="8"/>
        <v>1668073.3390855461</v>
      </c>
      <c r="I10" s="38">
        <f t="shared" si="0"/>
        <v>920209.37217663531</v>
      </c>
      <c r="J10" s="61">
        <f>(References!$C$58*I10)</f>
        <v>888.00204415045357</v>
      </c>
      <c r="K10" s="61">
        <f>J10/References!$G$61</f>
        <v>905.45468316852691</v>
      </c>
      <c r="L10" s="61">
        <f t="shared" si="9"/>
        <v>0.18111916237219536</v>
      </c>
      <c r="M10" s="19">
        <f>'Proposed Rates'!B13</f>
        <v>11.59</v>
      </c>
      <c r="N10" s="61">
        <f t="shared" si="10"/>
        <v>11.771119162372194</v>
      </c>
      <c r="O10" s="61">
        <f>'Proposed Rates'!D13</f>
        <v>11.771119162372194</v>
      </c>
      <c r="P10" s="61">
        <f t="shared" si="14"/>
        <v>57940.969030973458</v>
      </c>
      <c r="Q10" s="61">
        <f t="shared" si="15"/>
        <v>58846.423714141973</v>
      </c>
      <c r="R10" s="61">
        <f t="shared" si="16"/>
        <v>905.45468316851475</v>
      </c>
      <c r="S10" s="61">
        <f t="shared" si="17"/>
        <v>58846.423714141973</v>
      </c>
      <c r="T10" s="61">
        <f t="shared" si="18"/>
        <v>0</v>
      </c>
      <c r="U10" s="64">
        <f t="shared" si="19"/>
        <v>11.771119162372194</v>
      </c>
      <c r="V10" s="64">
        <f t="shared" si="20"/>
        <v>58846.423714141973</v>
      </c>
      <c r="W10" s="64">
        <f t="shared" si="21"/>
        <v>905.45468316851475</v>
      </c>
      <c r="X10" s="97">
        <f t="shared" si="5"/>
        <v>0</v>
      </c>
      <c r="Y10" s="217">
        <f t="shared" si="6"/>
        <v>0</v>
      </c>
    </row>
    <row r="11" spans="1:29" s="53" customFormat="1">
      <c r="A11" s="260"/>
      <c r="B11" s="39">
        <v>23</v>
      </c>
      <c r="C11" s="51" t="s">
        <v>522</v>
      </c>
      <c r="D11" s="105">
        <f>'Regulated Co Provided Priceout'!H16</f>
        <v>59.960221644378407</v>
      </c>
      <c r="E11" s="63">
        <f>References!$B$10</f>
        <v>4.333333333333333</v>
      </c>
      <c r="F11" s="62">
        <f t="shared" ref="F11:F12" si="22">D11*E11*12</f>
        <v>3117.9315255076772</v>
      </c>
      <c r="G11" s="62">
        <f>References!B21</f>
        <v>97</v>
      </c>
      <c r="H11" s="62">
        <f t="shared" ref="H11:H12" si="23">F11*G11</f>
        <v>302439.35797424469</v>
      </c>
      <c r="I11" s="38">
        <f t="shared" si="0"/>
        <v>166843.70237315539</v>
      </c>
      <c r="J11" s="61">
        <f>(References!$C$58*I11)</f>
        <v>161.00417279009505</v>
      </c>
      <c r="K11" s="61">
        <f>J11/References!$G$61</f>
        <v>164.16852103300624</v>
      </c>
      <c r="L11" s="61">
        <f t="shared" ref="L11:L12" si="24">K11/F11*E11</f>
        <v>0.22816310065068768</v>
      </c>
      <c r="M11" s="19">
        <f>'Proposed Rates'!B14</f>
        <v>13.81</v>
      </c>
      <c r="N11" s="61">
        <f t="shared" ref="N11:N12" si="25">L11+M11</f>
        <v>14.038163100650689</v>
      </c>
      <c r="O11" s="61">
        <f>'Proposed Rates'!D14</f>
        <v>14.038163100650689</v>
      </c>
      <c r="P11" s="61">
        <f t="shared" ref="P11:P12" si="26">D11*M11*12</f>
        <v>9936.6079309063898</v>
      </c>
      <c r="Q11" s="61">
        <f t="shared" ref="Q11:Q12" si="27">D11*O11*12</f>
        <v>10100.776451939397</v>
      </c>
      <c r="R11" s="61">
        <f t="shared" ref="R11:R12" si="28">Q11-P11</f>
        <v>164.16852103300698</v>
      </c>
      <c r="S11" s="61">
        <f t="shared" ref="S11:S12" si="29">D11*N11*12</f>
        <v>10100.776451939397</v>
      </c>
      <c r="T11" s="61">
        <f t="shared" ref="T11:T12" si="30">Q11-S11</f>
        <v>0</v>
      </c>
      <c r="U11" s="64">
        <f t="shared" ref="U11:U12" si="31">N11</f>
        <v>14.038163100650689</v>
      </c>
      <c r="V11" s="64">
        <f t="shared" ref="V11:V12" si="32">D11*U11*12</f>
        <v>10100.776451939397</v>
      </c>
      <c r="W11" s="64">
        <f t="shared" ref="W11:W12" si="33">V11-P11</f>
        <v>164.16852103300698</v>
      </c>
      <c r="X11" s="97">
        <f t="shared" si="5"/>
        <v>0</v>
      </c>
      <c r="Y11" s="217">
        <f t="shared" si="6"/>
        <v>0</v>
      </c>
    </row>
    <row r="12" spans="1:29" s="53" customFormat="1">
      <c r="A12" s="260"/>
      <c r="B12" s="39">
        <v>23</v>
      </c>
      <c r="C12" s="51" t="s">
        <v>523</v>
      </c>
      <c r="D12" s="105">
        <f>'Regulated Co Provided Priceout'!H17</f>
        <v>4.7437067337948404</v>
      </c>
      <c r="E12" s="63">
        <f>References!$B$10</f>
        <v>4.333333333333333</v>
      </c>
      <c r="F12" s="62">
        <f t="shared" si="22"/>
        <v>246.67275015733168</v>
      </c>
      <c r="G12" s="62">
        <f>References!B22</f>
        <v>117</v>
      </c>
      <c r="H12" s="62">
        <f t="shared" si="23"/>
        <v>28860.711768407808</v>
      </c>
      <c r="I12" s="38">
        <f t="shared" si="0"/>
        <v>15921.300841326722</v>
      </c>
      <c r="J12" s="61">
        <f>(References!$C$58*I12)</f>
        <v>15.364055311880296</v>
      </c>
      <c r="K12" s="61">
        <f>J12/References!$G$61</f>
        <v>15.66601780507308</v>
      </c>
      <c r="L12" s="61">
        <f t="shared" si="24"/>
        <v>0.27520703892918003</v>
      </c>
      <c r="M12" s="19">
        <f>'Proposed Rates'!B15</f>
        <v>16.3</v>
      </c>
      <c r="N12" s="61">
        <f t="shared" si="25"/>
        <v>16.575207038929182</v>
      </c>
      <c r="O12" s="61">
        <f>'Proposed Rates'!D15</f>
        <v>16.575207038929182</v>
      </c>
      <c r="P12" s="61">
        <f t="shared" si="26"/>
        <v>927.86903713027095</v>
      </c>
      <c r="Q12" s="61">
        <f t="shared" si="27"/>
        <v>943.53505493534396</v>
      </c>
      <c r="R12" s="61">
        <f t="shared" si="28"/>
        <v>15.666017805073011</v>
      </c>
      <c r="S12" s="61">
        <f t="shared" si="29"/>
        <v>943.53505493534396</v>
      </c>
      <c r="T12" s="61">
        <f t="shared" si="30"/>
        <v>0</v>
      </c>
      <c r="U12" s="64">
        <f t="shared" si="31"/>
        <v>16.575207038929182</v>
      </c>
      <c r="V12" s="64">
        <f t="shared" si="32"/>
        <v>943.53505493534396</v>
      </c>
      <c r="W12" s="64">
        <f t="shared" si="33"/>
        <v>15.666017805073011</v>
      </c>
      <c r="X12" s="97">
        <f t="shared" si="5"/>
        <v>0</v>
      </c>
      <c r="Y12" s="217">
        <f t="shared" si="6"/>
        <v>0</v>
      </c>
    </row>
    <row r="13" spans="1:29" s="53" customFormat="1">
      <c r="A13" s="260"/>
      <c r="B13" s="39">
        <v>23</v>
      </c>
      <c r="C13" s="51" t="s">
        <v>524</v>
      </c>
      <c r="D13" s="105">
        <f>'Regulated Co Provided Priceout'!H18</f>
        <v>1.0417115177610332</v>
      </c>
      <c r="E13" s="63">
        <f>References!$B$10</f>
        <v>4.333333333333333</v>
      </c>
      <c r="F13" s="62">
        <f t="shared" ref="F13:F14" si="34">D13*E13*12</f>
        <v>54.168998923573724</v>
      </c>
      <c r="G13" s="62">
        <f>References!B23</f>
        <v>157</v>
      </c>
      <c r="H13" s="62">
        <f t="shared" ref="H13:H14" si="35">F13*G13</f>
        <v>8504.5328310010755</v>
      </c>
      <c r="I13" s="38">
        <f t="shared" si="0"/>
        <v>4691.6107545735031</v>
      </c>
      <c r="J13" s="61">
        <f>(References!$C$58*I13)</f>
        <v>4.5274043781634328</v>
      </c>
      <c r="K13" s="61">
        <f>J13/References!$G$61</f>
        <v>4.6163852029503003</v>
      </c>
      <c r="L13" s="61">
        <f t="shared" ref="L13:L14" si="36">K13/F13*E13</f>
        <v>0.36929491548616461</v>
      </c>
      <c r="M13" s="19">
        <f>'Proposed Rates'!B16</f>
        <v>19.059999999999999</v>
      </c>
      <c r="N13" s="61">
        <f t="shared" ref="N13:N14" si="37">L13+M13</f>
        <v>19.429294915486164</v>
      </c>
      <c r="O13" s="61">
        <f>'Proposed Rates'!D16</f>
        <v>19.429294915486164</v>
      </c>
      <c r="P13" s="61">
        <f t="shared" ref="P13:P14" si="38">D13*M13*12</f>
        <v>238.2602583423035</v>
      </c>
      <c r="Q13" s="61">
        <f t="shared" ref="Q13:Q14" si="39">D13*O13*12</f>
        <v>242.87664354525378</v>
      </c>
      <c r="R13" s="61">
        <f t="shared" ref="R13:R14" si="40">Q13-P13</f>
        <v>4.6163852029502834</v>
      </c>
      <c r="S13" s="61">
        <f t="shared" ref="S13:S14" si="41">D13*N13*12</f>
        <v>242.87664354525378</v>
      </c>
      <c r="T13" s="61">
        <f t="shared" ref="T13:T14" si="42">Q13-S13</f>
        <v>0</v>
      </c>
      <c r="U13" s="64">
        <f t="shared" ref="U13:U14" si="43">N13</f>
        <v>19.429294915486164</v>
      </c>
      <c r="V13" s="64">
        <f t="shared" ref="V13:V14" si="44">D13*U13*12</f>
        <v>242.87664354525378</v>
      </c>
      <c r="W13" s="64">
        <f t="shared" ref="W13:W14" si="45">V13-P13</f>
        <v>4.6163852029502834</v>
      </c>
      <c r="X13" s="97">
        <f t="shared" si="5"/>
        <v>0</v>
      </c>
      <c r="Y13" s="217">
        <f t="shared" si="6"/>
        <v>0</v>
      </c>
    </row>
    <row r="14" spans="1:29" s="53" customFormat="1">
      <c r="A14" s="260"/>
      <c r="B14" s="39">
        <v>23</v>
      </c>
      <c r="C14" s="51" t="s">
        <v>526</v>
      </c>
      <c r="D14" s="105">
        <f>'Regulated Co Provided Priceout'!H19</f>
        <v>686.66461474036862</v>
      </c>
      <c r="E14" s="63">
        <f>References!$B$10</f>
        <v>4.333333333333333</v>
      </c>
      <c r="F14" s="62">
        <f t="shared" si="34"/>
        <v>35706.559966499161</v>
      </c>
      <c r="G14" s="62">
        <f>References!B25</f>
        <v>48</v>
      </c>
      <c r="H14" s="62">
        <f t="shared" si="35"/>
        <v>1713914.8783919597</v>
      </c>
      <c r="I14" s="38">
        <f t="shared" si="0"/>
        <v>945498.31668305071</v>
      </c>
      <c r="J14" s="61">
        <f>(References!$C$58*I14)</f>
        <v>912.40587559914445</v>
      </c>
      <c r="K14" s="61">
        <f>J14/References!$G$61</f>
        <v>930.33814331147312</v>
      </c>
      <c r="L14" s="61">
        <f t="shared" si="36"/>
        <v>0.11290545186838152</v>
      </c>
      <c r="M14" s="19">
        <f>'Proposed Rates'!B17</f>
        <v>10.210000000000001</v>
      </c>
      <c r="N14" s="101">
        <f t="shared" si="37"/>
        <v>10.322905451868383</v>
      </c>
      <c r="O14" s="100">
        <f>'Proposed Rates'!D17</f>
        <v>10.322905451868383</v>
      </c>
      <c r="P14" s="61">
        <f t="shared" si="38"/>
        <v>84130.148597989973</v>
      </c>
      <c r="Q14" s="61">
        <f t="shared" si="39"/>
        <v>85060.486741301458</v>
      </c>
      <c r="R14" s="61">
        <f t="shared" si="40"/>
        <v>930.3381433114846</v>
      </c>
      <c r="S14" s="61">
        <f t="shared" si="41"/>
        <v>85060.486741301458</v>
      </c>
      <c r="T14" s="61">
        <f t="shared" si="42"/>
        <v>0</v>
      </c>
      <c r="U14" s="64">
        <f t="shared" si="43"/>
        <v>10.322905451868383</v>
      </c>
      <c r="V14" s="64">
        <f t="shared" si="44"/>
        <v>85060.486741301458</v>
      </c>
      <c r="W14" s="64">
        <f t="shared" si="45"/>
        <v>930.3381433114846</v>
      </c>
      <c r="X14" s="97">
        <f t="shared" si="5"/>
        <v>0</v>
      </c>
      <c r="Y14" s="217">
        <f t="shared" si="6"/>
        <v>0</v>
      </c>
    </row>
    <row r="15" spans="1:29" s="53" customFormat="1">
      <c r="A15" s="260"/>
      <c r="B15" s="39">
        <v>23</v>
      </c>
      <c r="C15" s="51" t="s">
        <v>525</v>
      </c>
      <c r="D15" s="105">
        <f>'Regulated Co Provided Priceout'!H20</f>
        <v>1626.034928229665</v>
      </c>
      <c r="E15" s="63">
        <f>References!$B$10</f>
        <v>4.333333333333333</v>
      </c>
      <c r="F15" s="62">
        <f t="shared" si="7"/>
        <v>84553.816267942573</v>
      </c>
      <c r="G15" s="62">
        <f>References!B26</f>
        <v>51</v>
      </c>
      <c r="H15" s="62">
        <f t="shared" si="8"/>
        <v>4312244.6296650711</v>
      </c>
      <c r="I15" s="38">
        <f t="shared" si="0"/>
        <v>2378892.9601330059</v>
      </c>
      <c r="J15" s="61">
        <f>(References!$C$58*I15)</f>
        <v>2295.631706528352</v>
      </c>
      <c r="K15" s="61">
        <f>J15/References!$G$61</f>
        <v>2340.7496561506559</v>
      </c>
      <c r="L15" s="61">
        <f t="shared" si="9"/>
        <v>0.11996204261015536</v>
      </c>
      <c r="M15" s="19">
        <f>'Proposed Rates'!B18</f>
        <v>10.72</v>
      </c>
      <c r="N15" s="101">
        <f t="shared" si="10"/>
        <v>10.839962042610155</v>
      </c>
      <c r="O15" s="100">
        <f>'Proposed Rates'!D18</f>
        <v>10.839962042610155</v>
      </c>
      <c r="P15" s="61">
        <f t="shared" si="14"/>
        <v>209173.13316746411</v>
      </c>
      <c r="Q15" s="61">
        <f t="shared" si="15"/>
        <v>211513.88282361475</v>
      </c>
      <c r="R15" s="61">
        <f t="shared" si="16"/>
        <v>2340.7496561506414</v>
      </c>
      <c r="S15" s="61">
        <f t="shared" si="17"/>
        <v>211513.88282361475</v>
      </c>
      <c r="T15" s="61">
        <f t="shared" si="18"/>
        <v>0</v>
      </c>
      <c r="U15" s="64">
        <f t="shared" si="19"/>
        <v>10.839962042610155</v>
      </c>
      <c r="V15" s="64">
        <f t="shared" si="20"/>
        <v>211513.88282361475</v>
      </c>
      <c r="W15" s="64">
        <f t="shared" si="21"/>
        <v>2340.7496561506414</v>
      </c>
      <c r="X15" s="97">
        <f t="shared" si="5"/>
        <v>0</v>
      </c>
      <c r="Y15" s="217">
        <f t="shared" si="6"/>
        <v>0</v>
      </c>
    </row>
    <row r="16" spans="1:29" s="53" customFormat="1">
      <c r="A16" s="260"/>
      <c r="B16" s="39">
        <v>23</v>
      </c>
      <c r="C16" s="51" t="s">
        <v>527</v>
      </c>
      <c r="D16" s="105">
        <f>'Regulated Co Provided Priceout'!H21</f>
        <v>2231.4770702306078</v>
      </c>
      <c r="E16" s="63">
        <f>References!$B$10</f>
        <v>4.333333333333333</v>
      </c>
      <c r="F16" s="62">
        <f t="shared" si="7"/>
        <v>116036.80765199159</v>
      </c>
      <c r="G16" s="62">
        <f>References!B27</f>
        <v>77</v>
      </c>
      <c r="H16" s="62">
        <f t="shared" si="8"/>
        <v>8934834.1892033517</v>
      </c>
      <c r="I16" s="38">
        <f t="shared" si="0"/>
        <v>4928990.8105937876</v>
      </c>
      <c r="J16" s="61">
        <f>(References!$C$58*I16)</f>
        <v>4756.4761322230079</v>
      </c>
      <c r="K16" s="61">
        <f>J16/References!$G$61</f>
        <v>4849.9590937551384</v>
      </c>
      <c r="L16" s="61">
        <f t="shared" si="9"/>
        <v>0.18111916237219533</v>
      </c>
      <c r="M16" s="19">
        <f>'Proposed Rates'!B19</f>
        <v>13.05</v>
      </c>
      <c r="N16" s="61">
        <f t="shared" si="10"/>
        <v>13.231119162372195</v>
      </c>
      <c r="O16" s="100">
        <f>'Proposed Rates'!D19</f>
        <v>13.231119162372195</v>
      </c>
      <c r="P16" s="61">
        <f t="shared" si="14"/>
        <v>349449.30919811316</v>
      </c>
      <c r="Q16" s="61">
        <f t="shared" si="15"/>
        <v>354299.26829186833</v>
      </c>
      <c r="R16" s="61">
        <f t="shared" si="16"/>
        <v>4849.9590937551693</v>
      </c>
      <c r="S16" s="61">
        <f t="shared" si="17"/>
        <v>354299.26829186833</v>
      </c>
      <c r="T16" s="61">
        <f t="shared" si="18"/>
        <v>0</v>
      </c>
      <c r="U16" s="64">
        <f t="shared" si="19"/>
        <v>13.231119162372195</v>
      </c>
      <c r="V16" s="64">
        <f t="shared" si="20"/>
        <v>354299.26829186833</v>
      </c>
      <c r="W16" s="64">
        <f t="shared" si="21"/>
        <v>4849.9590937551693</v>
      </c>
      <c r="X16" s="97">
        <f t="shared" si="5"/>
        <v>0</v>
      </c>
      <c r="Y16" s="217">
        <f t="shared" si="6"/>
        <v>0</v>
      </c>
    </row>
    <row r="17" spans="1:25" s="53" customFormat="1">
      <c r="A17" s="260"/>
      <c r="B17" s="39">
        <v>24</v>
      </c>
      <c r="C17" s="51" t="s">
        <v>111</v>
      </c>
      <c r="D17" s="62">
        <f>'Regulated Co Provided Priceout'!H22</f>
        <v>3.6666666666666665</v>
      </c>
      <c r="E17" s="63">
        <f>References!$B$12</f>
        <v>1</v>
      </c>
      <c r="F17" s="62">
        <f>D17*E17*12</f>
        <v>44</v>
      </c>
      <c r="G17" s="62">
        <f>References!B18</f>
        <v>34</v>
      </c>
      <c r="H17" s="62">
        <f t="shared" si="8"/>
        <v>1496</v>
      </c>
      <c r="I17" s="38">
        <f t="shared" si="0"/>
        <v>825.28339043589654</v>
      </c>
      <c r="J17" s="61">
        <f>(References!$C$58*I17)</f>
        <v>0.7963984717706406</v>
      </c>
      <c r="K17" s="61">
        <f>J17/References!$G$61</f>
        <v>0.81205074997643645</v>
      </c>
      <c r="L17" s="61">
        <f>K17/F17</f>
        <v>1.845569886310083E-2</v>
      </c>
      <c r="M17" s="19">
        <f>'Proposed Rates'!B27</f>
        <v>4.2699999999999996</v>
      </c>
      <c r="N17" s="61">
        <f t="shared" si="10"/>
        <v>4.2884556988631006</v>
      </c>
      <c r="O17" s="61">
        <f>'Proposed Rates'!D27</f>
        <v>4.2884556988631006</v>
      </c>
      <c r="P17" s="61">
        <f>F17*M17</f>
        <v>187.88</v>
      </c>
      <c r="Q17" s="61">
        <f>F17*O17</f>
        <v>188.69205074997643</v>
      </c>
      <c r="R17" s="61">
        <f t="shared" si="16"/>
        <v>0.81205074997643578</v>
      </c>
      <c r="S17" s="61">
        <f>F17*N17</f>
        <v>188.69205074997643</v>
      </c>
      <c r="T17" s="61">
        <f t="shared" si="18"/>
        <v>0</v>
      </c>
      <c r="U17" s="64">
        <f t="shared" si="19"/>
        <v>4.2884556988631006</v>
      </c>
      <c r="V17" s="64">
        <f>F17*U17</f>
        <v>188.69205074997643</v>
      </c>
      <c r="W17" s="64">
        <f t="shared" si="21"/>
        <v>0.81205074997643578</v>
      </c>
      <c r="X17" s="97">
        <f t="shared" si="5"/>
        <v>0</v>
      </c>
      <c r="Y17" s="217">
        <f t="shared" si="6"/>
        <v>0</v>
      </c>
    </row>
    <row r="18" spans="1:25" s="53" customFormat="1">
      <c r="A18" s="260"/>
      <c r="B18" s="39">
        <v>24</v>
      </c>
      <c r="C18" s="51" t="s">
        <v>112</v>
      </c>
      <c r="D18" s="62">
        <f>'Regulated Co Provided Priceout'!H23</f>
        <v>2604.6752873563228</v>
      </c>
      <c r="E18" s="63">
        <f>References!$B$13</f>
        <v>1</v>
      </c>
      <c r="F18" s="62">
        <f>D18*E18*12</f>
        <v>31256.103448275873</v>
      </c>
      <c r="G18" s="62">
        <f>References!B29</f>
        <v>34</v>
      </c>
      <c r="H18" s="62">
        <f t="shared" si="8"/>
        <v>1062707.5172413797</v>
      </c>
      <c r="I18" s="38">
        <f t="shared" si="0"/>
        <v>586253.25058200525</v>
      </c>
      <c r="J18" s="61">
        <f>(References!$C$58*I18)</f>
        <v>565.73438681163543</v>
      </c>
      <c r="K18" s="61">
        <f>J18/References!$G$61</f>
        <v>576.85323287530696</v>
      </c>
      <c r="L18" s="61">
        <f t="shared" ref="L18:L19" si="46">K18/F18</f>
        <v>1.845569886310083E-2</v>
      </c>
      <c r="M18" s="19">
        <f>'Proposed Rates'!B23</f>
        <v>2.08</v>
      </c>
      <c r="N18" s="61">
        <f t="shared" si="10"/>
        <v>2.0984556988631007</v>
      </c>
      <c r="O18" s="61">
        <f>'Proposed Rates'!D23</f>
        <v>2.0984556988631007</v>
      </c>
      <c r="P18" s="61">
        <f t="shared" ref="P18:P19" si="47">F18*M18</f>
        <v>65012.69517241382</v>
      </c>
      <c r="Q18" s="61">
        <f t="shared" ref="Q18:Q19" si="48">F18*O18</f>
        <v>65589.548405289112</v>
      </c>
      <c r="R18" s="61">
        <f t="shared" si="16"/>
        <v>576.85323287529172</v>
      </c>
      <c r="S18" s="61">
        <f t="shared" ref="S18:S19" si="49">F18*N18</f>
        <v>65589.548405289112</v>
      </c>
      <c r="T18" s="61">
        <f t="shared" si="18"/>
        <v>0</v>
      </c>
      <c r="U18" s="64">
        <f t="shared" si="19"/>
        <v>2.0984556988631007</v>
      </c>
      <c r="V18" s="64">
        <f t="shared" ref="V18:V19" si="50">F18*U18</f>
        <v>65589.548405289112</v>
      </c>
      <c r="W18" s="64">
        <f t="shared" si="21"/>
        <v>576.85323287529172</v>
      </c>
      <c r="X18" s="97">
        <f t="shared" si="5"/>
        <v>0</v>
      </c>
      <c r="Y18" s="217">
        <f t="shared" si="6"/>
        <v>0</v>
      </c>
    </row>
    <row r="19" spans="1:25" s="53" customFormat="1">
      <c r="A19" s="260"/>
      <c r="B19" s="39">
        <v>18</v>
      </c>
      <c r="C19" s="51" t="s">
        <v>113</v>
      </c>
      <c r="D19" s="62">
        <f>'Regulated Co Provided Priceout'!H24</f>
        <v>472.96220930232556</v>
      </c>
      <c r="E19" s="63">
        <f>References!$B$13</f>
        <v>1</v>
      </c>
      <c r="F19" s="62">
        <f>D19*E19*12</f>
        <v>5675.5465116279065</v>
      </c>
      <c r="G19" s="62">
        <f>References!B29</f>
        <v>34</v>
      </c>
      <c r="H19" s="62">
        <f t="shared" si="8"/>
        <v>192968.58139534883</v>
      </c>
      <c r="I19" s="38">
        <f t="shared" si="0"/>
        <v>106453.05153847509</v>
      </c>
      <c r="J19" s="61">
        <f>(References!$C$58*I19)</f>
        <v>102.72719473462853</v>
      </c>
      <c r="K19" s="61">
        <f>J19/References!$G$61</f>
        <v>104.74617730212702</v>
      </c>
      <c r="L19" s="61">
        <f t="shared" si="46"/>
        <v>1.8455698863100826E-2</v>
      </c>
      <c r="M19" s="19">
        <f>'Proposed Rates'!B7</f>
        <v>1.76</v>
      </c>
      <c r="N19" s="61">
        <f t="shared" si="10"/>
        <v>1.7784556988631008</v>
      </c>
      <c r="O19" s="61">
        <f>'Proposed Rates'!D7</f>
        <v>1.7784556988631008</v>
      </c>
      <c r="P19" s="61">
        <f t="shared" si="47"/>
        <v>9988.961860465115</v>
      </c>
      <c r="Q19" s="61">
        <f t="shared" si="48"/>
        <v>10093.708037767243</v>
      </c>
      <c r="R19" s="61">
        <f t="shared" si="16"/>
        <v>104.74617730212776</v>
      </c>
      <c r="S19" s="61">
        <f t="shared" si="49"/>
        <v>10093.708037767243</v>
      </c>
      <c r="T19" s="61">
        <f t="shared" si="18"/>
        <v>0</v>
      </c>
      <c r="U19" s="64">
        <f t="shared" si="19"/>
        <v>1.7784556988631008</v>
      </c>
      <c r="V19" s="64">
        <f t="shared" si="50"/>
        <v>10093.708037767243</v>
      </c>
      <c r="W19" s="64">
        <f t="shared" si="21"/>
        <v>104.74617730212776</v>
      </c>
      <c r="X19" s="97">
        <f t="shared" si="5"/>
        <v>0</v>
      </c>
      <c r="Y19" s="217">
        <f t="shared" si="6"/>
        <v>0</v>
      </c>
    </row>
    <row r="20" spans="1:25" s="53" customFormat="1" ht="14.45" customHeight="1">
      <c r="A20" s="216"/>
      <c r="B20" s="77"/>
      <c r="C20" s="42" t="s">
        <v>17</v>
      </c>
      <c r="D20" s="43">
        <f>SUM(D6:D19)</f>
        <v>14480.49164886488</v>
      </c>
      <c r="E20" s="223"/>
      <c r="F20" s="45">
        <f>SUM(F6:F19)</f>
        <v>628268.9120284738</v>
      </c>
      <c r="G20" s="46"/>
      <c r="H20" s="78">
        <f>SUM(H6:H19)</f>
        <v>32450881.88020815</v>
      </c>
      <c r="I20" s="47">
        <f>SUM(I6:I19)</f>
        <v>17901854.158243969</v>
      </c>
      <c r="J20" s="66"/>
      <c r="K20" s="66"/>
      <c r="L20" s="66"/>
      <c r="M20" s="66"/>
      <c r="N20" s="66"/>
      <c r="O20" s="66"/>
      <c r="P20" s="65">
        <f>SUM(P6:P19)</f>
        <v>1424016.664355184</v>
      </c>
      <c r="Q20" s="65">
        <f>SUM(Q6:Q19)</f>
        <v>1441631.4791735129</v>
      </c>
      <c r="R20" s="65">
        <f>SUM(R6:R19)</f>
        <v>17614.814818328676</v>
      </c>
      <c r="S20" s="65">
        <f>SUM(S6:S19)</f>
        <v>1441631.4791735129</v>
      </c>
      <c r="T20" s="65">
        <f>SUM(T6:T19)</f>
        <v>0</v>
      </c>
      <c r="U20" s="65"/>
      <c r="V20" s="65">
        <f>SUM(V6:V19)</f>
        <v>1441631.4791735129</v>
      </c>
      <c r="W20" s="65">
        <f>SUM(W6:W19)</f>
        <v>17614.814818328676</v>
      </c>
      <c r="X20" s="97">
        <f t="shared" si="5"/>
        <v>0</v>
      </c>
      <c r="Y20" s="217">
        <f t="shared" si="6"/>
        <v>0</v>
      </c>
    </row>
    <row r="21" spans="1:25" s="53" customFormat="1" ht="14.45" customHeight="1">
      <c r="A21" s="259" t="s">
        <v>15</v>
      </c>
      <c r="B21" s="108">
        <v>35</v>
      </c>
      <c r="C21" s="51" t="s">
        <v>563</v>
      </c>
      <c r="D21" s="50">
        <f>'Regulated Co Provided Priceout'!H58</f>
        <v>0.29166666666666669</v>
      </c>
      <c r="E21" s="63">
        <f>References!$B$10</f>
        <v>4.333333333333333</v>
      </c>
      <c r="F21" s="62">
        <f>D21*E21*References!$G$22</f>
        <v>15.166666666666666</v>
      </c>
      <c r="G21" s="62">
        <f>References!B32</f>
        <v>175</v>
      </c>
      <c r="H21" s="62">
        <f>F21*G21</f>
        <v>2654.1666666666665</v>
      </c>
      <c r="I21" s="38">
        <f t="shared" ref="I21:I64" si="51">$D$82*H21</f>
        <v>1464.1976373319576</v>
      </c>
      <c r="J21" s="61">
        <f>(References!$C$58*I21)</f>
        <v>1.4129507200253399</v>
      </c>
      <c r="K21" s="61">
        <f>J21/References!$G$61</f>
        <v>1.440720609778827</v>
      </c>
      <c r="L21" s="61">
        <f>K21/F21</f>
        <v>9.4992567677724862E-2</v>
      </c>
      <c r="M21" s="61">
        <f>'Proposed Rates'!B82</f>
        <v>6.17</v>
      </c>
      <c r="N21" s="61">
        <f t="shared" si="10"/>
        <v>6.2649925676777247</v>
      </c>
      <c r="O21" s="61">
        <f>'Proposed Rates'!D82</f>
        <v>6.2649925676777247</v>
      </c>
      <c r="P21" s="61">
        <f>F21*M21</f>
        <v>93.578333333333333</v>
      </c>
      <c r="Q21" s="61">
        <f>F21*O21</f>
        <v>95.019053943112155</v>
      </c>
      <c r="R21" s="61">
        <f t="shared" ref="R21" si="52">Q21-P21</f>
        <v>1.4407206097788219</v>
      </c>
      <c r="S21" s="61">
        <f>F21*N21</f>
        <v>95.019053943112155</v>
      </c>
      <c r="T21" s="61">
        <f t="shared" ref="T21" si="53">Q21-S21</f>
        <v>0</v>
      </c>
      <c r="U21" s="64">
        <f>N21</f>
        <v>6.2649925676777247</v>
      </c>
      <c r="V21" s="64">
        <f>F21*U21</f>
        <v>95.019053943112155</v>
      </c>
      <c r="W21" s="64">
        <f t="shared" ref="W21" si="54">V21-P21</f>
        <v>1.4407206097788219</v>
      </c>
      <c r="X21" s="97">
        <f t="shared" si="5"/>
        <v>0</v>
      </c>
      <c r="Y21" s="217">
        <f t="shared" si="6"/>
        <v>0</v>
      </c>
    </row>
    <row r="22" spans="1:25" s="53" customFormat="1" ht="14.45" customHeight="1">
      <c r="A22" s="260"/>
      <c r="B22" s="108">
        <v>35</v>
      </c>
      <c r="C22" s="51" t="s">
        <v>114</v>
      </c>
      <c r="D22" s="50">
        <f>'Regulated Co Provided Priceout'!H59+'Regulated Co Provided Priceout'!H63</f>
        <v>4432.0805397251088</v>
      </c>
      <c r="E22" s="63">
        <f>References!$B$10</f>
        <v>4.333333333333333</v>
      </c>
      <c r="F22" s="62">
        <f>D22*E22*References!$G$22</f>
        <v>230468.18806570565</v>
      </c>
      <c r="G22" s="62">
        <f>References!$B$33</f>
        <v>250</v>
      </c>
      <c r="H22" s="62">
        <f t="shared" ref="H22:H40" si="55">F22*G22</f>
        <v>57617047.016426414</v>
      </c>
      <c r="I22" s="38">
        <f t="shared" si="51"/>
        <v>31785021.329292011</v>
      </c>
      <c r="J22" s="61">
        <f>(References!$C$58*I22)</f>
        <v>30672.545582766808</v>
      </c>
      <c r="K22" s="61">
        <f>J22/References!$G$61</f>
        <v>31275.378503420234</v>
      </c>
      <c r="L22" s="61">
        <f t="shared" ref="L22:L40" si="56">K22/F22</f>
        <v>0.13570366811103551</v>
      </c>
      <c r="M22" s="61">
        <f>'Proposed Rates'!B83</f>
        <v>7.07</v>
      </c>
      <c r="N22" s="61">
        <f t="shared" ref="N22:N40" si="57">L22+M22</f>
        <v>7.2057036681110356</v>
      </c>
      <c r="O22" s="61">
        <f>'Proposed Rates'!D83</f>
        <v>7.2057036681110356</v>
      </c>
      <c r="P22" s="61">
        <f t="shared" ref="P22:P40" si="58">F22*M22</f>
        <v>1629410.089624539</v>
      </c>
      <c r="Q22" s="61">
        <f t="shared" ref="Q22:Q40" si="59">F22*O22</f>
        <v>1660685.4681279592</v>
      </c>
      <c r="R22" s="61">
        <f t="shared" ref="R22:R40" si="60">Q22-P22</f>
        <v>31275.378503420157</v>
      </c>
      <c r="S22" s="61">
        <f t="shared" ref="S22:S40" si="61">F22*N22</f>
        <v>1660685.4681279592</v>
      </c>
      <c r="T22" s="61">
        <f t="shared" ref="T22:T40" si="62">Q22-S22</f>
        <v>0</v>
      </c>
      <c r="U22" s="64">
        <f t="shared" ref="U22:U40" si="63">N22</f>
        <v>7.2057036681110356</v>
      </c>
      <c r="V22" s="64">
        <f t="shared" ref="V22:V40" si="64">F22*U22</f>
        <v>1660685.4681279592</v>
      </c>
      <c r="W22" s="64">
        <f t="shared" ref="W22:W40" si="65">V22-P22</f>
        <v>31275.378503420157</v>
      </c>
      <c r="X22" s="97">
        <f t="shared" si="5"/>
        <v>0</v>
      </c>
      <c r="Y22" s="217">
        <f t="shared" si="6"/>
        <v>0</v>
      </c>
    </row>
    <row r="23" spans="1:25" s="53" customFormat="1" ht="14.45" customHeight="1">
      <c r="A23" s="260"/>
      <c r="B23" s="108">
        <v>35</v>
      </c>
      <c r="C23" s="51" t="s">
        <v>115</v>
      </c>
      <c r="D23" s="50">
        <f>'Regulated Co Provided Priceout'!H60+'Regulated Co Provided Priceout'!H64</f>
        <v>113.09382157421372</v>
      </c>
      <c r="E23" s="63">
        <f>References!$B$9</f>
        <v>8.6666666666666661</v>
      </c>
      <c r="F23" s="62">
        <f>D23*E23*References!$G$22</f>
        <v>11761.757443718227</v>
      </c>
      <c r="G23" s="62">
        <f>References!$B$33</f>
        <v>250</v>
      </c>
      <c r="H23" s="62">
        <f t="shared" si="55"/>
        <v>2940439.3609295567</v>
      </c>
      <c r="I23" s="38">
        <f t="shared" si="51"/>
        <v>1622122.8376731989</v>
      </c>
      <c r="J23" s="61">
        <f>(References!$C$58*I23)</f>
        <v>1565.3485383546379</v>
      </c>
      <c r="K23" s="61">
        <f>J23/References!$G$61</f>
        <v>1596.1136285448397</v>
      </c>
      <c r="L23" s="61">
        <f t="shared" si="56"/>
        <v>0.13570366811103551</v>
      </c>
      <c r="M23" s="61">
        <f>M22</f>
        <v>7.07</v>
      </c>
      <c r="N23" s="61">
        <f t="shared" si="57"/>
        <v>7.2057036681110356</v>
      </c>
      <c r="O23" s="61">
        <f>O22</f>
        <v>7.2057036681110356</v>
      </c>
      <c r="P23" s="61">
        <f t="shared" si="58"/>
        <v>83155.625127087871</v>
      </c>
      <c r="Q23" s="61">
        <f t="shared" si="59"/>
        <v>84751.738755632701</v>
      </c>
      <c r="R23" s="61">
        <f t="shared" si="60"/>
        <v>1596.1136285448301</v>
      </c>
      <c r="S23" s="61">
        <f t="shared" si="61"/>
        <v>84751.738755632701</v>
      </c>
      <c r="T23" s="61">
        <f t="shared" si="62"/>
        <v>0</v>
      </c>
      <c r="U23" s="64">
        <f t="shared" si="63"/>
        <v>7.2057036681110356</v>
      </c>
      <c r="V23" s="64">
        <f t="shared" si="64"/>
        <v>84751.738755632701</v>
      </c>
      <c r="W23" s="64">
        <f t="shared" si="65"/>
        <v>1596.1136285448301</v>
      </c>
      <c r="X23" s="97">
        <f t="shared" si="5"/>
        <v>0</v>
      </c>
      <c r="Y23" s="217">
        <f t="shared" si="6"/>
        <v>0</v>
      </c>
    </row>
    <row r="24" spans="1:25" s="53" customFormat="1" ht="14.45" customHeight="1">
      <c r="A24" s="260"/>
      <c r="B24" s="108">
        <v>35</v>
      </c>
      <c r="C24" s="51" t="s">
        <v>564</v>
      </c>
      <c r="D24" s="50">
        <f>'Regulated Co Provided Priceout'!H61+'Regulated Co Provided Priceout'!H65</f>
        <v>8</v>
      </c>
      <c r="E24" s="63">
        <f>References!$B$8</f>
        <v>13</v>
      </c>
      <c r="F24" s="62">
        <f>D24*E24*References!$G$22</f>
        <v>1248</v>
      </c>
      <c r="G24" s="62">
        <f>References!$B$33</f>
        <v>250</v>
      </c>
      <c r="H24" s="62">
        <f t="shared" si="55"/>
        <v>312000</v>
      </c>
      <c r="I24" s="38">
        <f t="shared" si="51"/>
        <v>172117.9263475934</v>
      </c>
      <c r="J24" s="61">
        <f>(References!$C$58*I24)</f>
        <v>166.09379892542773</v>
      </c>
      <c r="K24" s="61">
        <f>J24/References!$G$61</f>
        <v>169.35817780257233</v>
      </c>
      <c r="L24" s="61">
        <f t="shared" si="56"/>
        <v>0.13570366811103551</v>
      </c>
      <c r="M24" s="61">
        <f t="shared" ref="M24:M26" si="66">M23</f>
        <v>7.07</v>
      </c>
      <c r="N24" s="61">
        <f t="shared" si="57"/>
        <v>7.2057036681110356</v>
      </c>
      <c r="O24" s="61">
        <f t="shared" ref="O24:O26" si="67">O23</f>
        <v>7.2057036681110356</v>
      </c>
      <c r="P24" s="61">
        <f t="shared" si="58"/>
        <v>8823.36</v>
      </c>
      <c r="Q24" s="61">
        <f t="shared" si="59"/>
        <v>8992.7181778025715</v>
      </c>
      <c r="R24" s="61">
        <f t="shared" si="60"/>
        <v>169.35817780257094</v>
      </c>
      <c r="S24" s="61">
        <f t="shared" si="61"/>
        <v>8992.7181778025715</v>
      </c>
      <c r="T24" s="61">
        <f t="shared" si="62"/>
        <v>0</v>
      </c>
      <c r="U24" s="64">
        <f t="shared" si="63"/>
        <v>7.2057036681110356</v>
      </c>
      <c r="V24" s="64">
        <f t="shared" si="64"/>
        <v>8992.7181778025715</v>
      </c>
      <c r="W24" s="64">
        <f t="shared" si="65"/>
        <v>169.35817780257094</v>
      </c>
      <c r="X24" s="97">
        <f t="shared" si="5"/>
        <v>0</v>
      </c>
      <c r="Y24" s="217">
        <f t="shared" si="6"/>
        <v>0</v>
      </c>
    </row>
    <row r="25" spans="1:25" s="53" customFormat="1" ht="14.45" customHeight="1">
      <c r="A25" s="260"/>
      <c r="B25" s="108">
        <v>35</v>
      </c>
      <c r="C25" s="51" t="s">
        <v>565</v>
      </c>
      <c r="D25" s="50">
        <f>'Regulated Co Provided Priceout'!H62+'Regulated Co Provided Priceout'!H67</f>
        <v>4.0000000000000018</v>
      </c>
      <c r="E25" s="63">
        <f>References!$B$6</f>
        <v>21.666666666666668</v>
      </c>
      <c r="F25" s="62">
        <f>D25*E25*References!$G$22</f>
        <v>1040.0000000000005</v>
      </c>
      <c r="G25" s="62">
        <f>References!$B$33</f>
        <v>250</v>
      </c>
      <c r="H25" s="62">
        <f t="shared" si="55"/>
        <v>260000.00000000012</v>
      </c>
      <c r="I25" s="38">
        <f t="shared" si="51"/>
        <v>143431.60528966124</v>
      </c>
      <c r="J25" s="61">
        <f>(References!$C$58*I25)</f>
        <v>138.41149910452319</v>
      </c>
      <c r="K25" s="61">
        <f>J25/References!$G$61</f>
        <v>141.131814835477</v>
      </c>
      <c r="L25" s="61">
        <f t="shared" si="56"/>
        <v>0.13570366811103551</v>
      </c>
      <c r="M25" s="61">
        <f t="shared" si="66"/>
        <v>7.07</v>
      </c>
      <c r="N25" s="61">
        <f t="shared" si="57"/>
        <v>7.2057036681110356</v>
      </c>
      <c r="O25" s="61">
        <f t="shared" si="67"/>
        <v>7.2057036681110356</v>
      </c>
      <c r="P25" s="61">
        <f t="shared" si="58"/>
        <v>7352.8000000000038</v>
      </c>
      <c r="Q25" s="61">
        <f t="shared" si="59"/>
        <v>7493.9318148354805</v>
      </c>
      <c r="R25" s="61">
        <f t="shared" si="60"/>
        <v>141.13181483547669</v>
      </c>
      <c r="S25" s="61">
        <f t="shared" si="61"/>
        <v>7493.9318148354805</v>
      </c>
      <c r="T25" s="61">
        <f t="shared" si="62"/>
        <v>0</v>
      </c>
      <c r="U25" s="64">
        <f t="shared" si="63"/>
        <v>7.2057036681110356</v>
      </c>
      <c r="V25" s="64">
        <f t="shared" si="64"/>
        <v>7493.9318148354805</v>
      </c>
      <c r="W25" s="64">
        <f t="shared" si="65"/>
        <v>141.13181483547669</v>
      </c>
      <c r="X25" s="97">
        <f t="shared" si="5"/>
        <v>0</v>
      </c>
      <c r="Y25" s="217">
        <f t="shared" si="6"/>
        <v>0</v>
      </c>
    </row>
    <row r="26" spans="1:25" s="53" customFormat="1" ht="14.45" customHeight="1">
      <c r="A26" s="260"/>
      <c r="B26" s="108">
        <v>35</v>
      </c>
      <c r="C26" s="51" t="s">
        <v>566</v>
      </c>
      <c r="D26" s="50">
        <f>'Regulated Co Provided Priceout'!H68</f>
        <v>59.708361204013386</v>
      </c>
      <c r="E26" s="63">
        <f>References!$B$11</f>
        <v>2.1666666666666665</v>
      </c>
      <c r="F26" s="62">
        <f>D26*E26*References!$G$22</f>
        <v>1552.4173913043478</v>
      </c>
      <c r="G26" s="62">
        <f>References!$B$33</f>
        <v>250</v>
      </c>
      <c r="H26" s="62">
        <f t="shared" si="55"/>
        <v>388104.34782608697</v>
      </c>
      <c r="I26" s="38">
        <f t="shared" si="51"/>
        <v>214101.65241766413</v>
      </c>
      <c r="J26" s="61">
        <f>(References!$C$58*I26)</f>
        <v>206.60809458304601</v>
      </c>
      <c r="K26" s="61">
        <f>J26/References!$G$61</f>
        <v>210.66873443936478</v>
      </c>
      <c r="L26" s="61">
        <f t="shared" si="56"/>
        <v>0.13570366811103551</v>
      </c>
      <c r="M26" s="61">
        <f t="shared" si="66"/>
        <v>7.07</v>
      </c>
      <c r="N26" s="61">
        <f t="shared" si="57"/>
        <v>7.2057036681110356</v>
      </c>
      <c r="O26" s="61">
        <f t="shared" si="67"/>
        <v>7.2057036681110356</v>
      </c>
      <c r="P26" s="61">
        <f t="shared" si="58"/>
        <v>10975.590956521739</v>
      </c>
      <c r="Q26" s="61">
        <f t="shared" si="59"/>
        <v>11186.259690961104</v>
      </c>
      <c r="R26" s="61">
        <f t="shared" si="60"/>
        <v>210.66873443936493</v>
      </c>
      <c r="S26" s="61">
        <f t="shared" si="61"/>
        <v>11186.259690961104</v>
      </c>
      <c r="T26" s="61">
        <f t="shared" si="62"/>
        <v>0</v>
      </c>
      <c r="U26" s="64">
        <f t="shared" si="63"/>
        <v>7.2057036681110356</v>
      </c>
      <c r="V26" s="64">
        <f t="shared" si="64"/>
        <v>11186.259690961104</v>
      </c>
      <c r="W26" s="64">
        <f t="shared" si="65"/>
        <v>210.66873443936493</v>
      </c>
      <c r="X26" s="97">
        <f t="shared" si="5"/>
        <v>0</v>
      </c>
      <c r="Y26" s="217">
        <f t="shared" si="6"/>
        <v>0</v>
      </c>
    </row>
    <row r="27" spans="1:25" s="53" customFormat="1" ht="14.45" customHeight="1">
      <c r="A27" s="260"/>
      <c r="B27" s="108">
        <v>35</v>
      </c>
      <c r="C27" s="51" t="s">
        <v>568</v>
      </c>
      <c r="D27" s="50">
        <f>'Regulated Co Provided Priceout'!H69</f>
        <v>439.45213307863725</v>
      </c>
      <c r="E27" s="63">
        <f>References!$B$10</f>
        <v>4.333333333333333</v>
      </c>
      <c r="F27" s="62">
        <f>D27*E27*References!$G$22</f>
        <v>22851.510920089135</v>
      </c>
      <c r="G27" s="62">
        <f>References!B$36</f>
        <v>473</v>
      </c>
      <c r="H27" s="62">
        <f t="shared" si="55"/>
        <v>10808764.665202161</v>
      </c>
      <c r="I27" s="38">
        <f t="shared" si="51"/>
        <v>5962763.3351081265</v>
      </c>
      <c r="J27" s="61">
        <f>(References!$C$58*I27)</f>
        <v>5754.0666183793455</v>
      </c>
      <c r="K27" s="61">
        <f>J27/References!$G$61</f>
        <v>5867.1560512675278</v>
      </c>
      <c r="L27" s="61">
        <f t="shared" si="56"/>
        <v>0.25675134006607919</v>
      </c>
      <c r="M27" s="61">
        <f>'Proposed Rates'!B84</f>
        <v>12.41</v>
      </c>
      <c r="N27" s="61">
        <f t="shared" si="57"/>
        <v>12.66675134006608</v>
      </c>
      <c r="O27" s="61">
        <f>'Proposed Rates'!D84</f>
        <v>12.66675134006608</v>
      </c>
      <c r="P27" s="61">
        <f t="shared" si="58"/>
        <v>283587.25051830616</v>
      </c>
      <c r="Q27" s="61">
        <f t="shared" si="59"/>
        <v>289454.40656957368</v>
      </c>
      <c r="R27" s="61">
        <f t="shared" si="60"/>
        <v>5867.1560512675205</v>
      </c>
      <c r="S27" s="61">
        <f t="shared" si="61"/>
        <v>289454.40656957368</v>
      </c>
      <c r="T27" s="61">
        <f t="shared" si="62"/>
        <v>0</v>
      </c>
      <c r="U27" s="64">
        <f t="shared" si="63"/>
        <v>12.66675134006608</v>
      </c>
      <c r="V27" s="64">
        <f t="shared" si="64"/>
        <v>289454.40656957368</v>
      </c>
      <c r="W27" s="64">
        <f t="shared" si="65"/>
        <v>5867.1560512675205</v>
      </c>
      <c r="X27" s="97">
        <f t="shared" si="5"/>
        <v>0</v>
      </c>
      <c r="Y27" s="217">
        <f t="shared" si="6"/>
        <v>0</v>
      </c>
    </row>
    <row r="28" spans="1:25" s="53" customFormat="1" ht="14.45" customHeight="1">
      <c r="A28" s="260"/>
      <c r="B28" s="108">
        <v>35</v>
      </c>
      <c r="C28" s="51" t="s">
        <v>567</v>
      </c>
      <c r="D28" s="50">
        <f>'Regulated Co Provided Priceout'!H70</f>
        <v>90.854186564788279</v>
      </c>
      <c r="E28" s="63">
        <f>References!$B$9</f>
        <v>8.6666666666666661</v>
      </c>
      <c r="F28" s="62">
        <f>D28*E28*References!$G$22</f>
        <v>9448.835402737981</v>
      </c>
      <c r="G28" s="62">
        <f>References!B$36</f>
        <v>473</v>
      </c>
      <c r="H28" s="62">
        <f t="shared" si="55"/>
        <v>4469299.1454950646</v>
      </c>
      <c r="I28" s="38">
        <f t="shared" si="51"/>
        <v>2465533.6575310309</v>
      </c>
      <c r="J28" s="61">
        <f>(References!$C$58*I28)</f>
        <v>2379.2399795174465</v>
      </c>
      <c r="K28" s="61">
        <f>J28/References!$G$61</f>
        <v>2426.0011517167877</v>
      </c>
      <c r="L28" s="61">
        <f t="shared" si="56"/>
        <v>0.25675134006607919</v>
      </c>
      <c r="M28" s="61">
        <f>M27</f>
        <v>12.41</v>
      </c>
      <c r="N28" s="61">
        <f t="shared" si="57"/>
        <v>12.66675134006608</v>
      </c>
      <c r="O28" s="61">
        <f>O27</f>
        <v>12.66675134006608</v>
      </c>
      <c r="P28" s="61">
        <f t="shared" si="58"/>
        <v>117260.04734797834</v>
      </c>
      <c r="Q28" s="61">
        <f t="shared" si="59"/>
        <v>119686.04849969514</v>
      </c>
      <c r="R28" s="61">
        <f t="shared" si="60"/>
        <v>2426.0011517168023</v>
      </c>
      <c r="S28" s="61">
        <f t="shared" si="61"/>
        <v>119686.04849969514</v>
      </c>
      <c r="T28" s="61">
        <f t="shared" si="62"/>
        <v>0</v>
      </c>
      <c r="U28" s="64">
        <f t="shared" si="63"/>
        <v>12.66675134006608</v>
      </c>
      <c r="V28" s="64">
        <f t="shared" si="64"/>
        <v>119686.04849969514</v>
      </c>
      <c r="W28" s="64">
        <f t="shared" si="65"/>
        <v>2426.0011517168023</v>
      </c>
      <c r="X28" s="97">
        <f t="shared" si="5"/>
        <v>0</v>
      </c>
      <c r="Y28" s="217">
        <f t="shared" si="6"/>
        <v>0</v>
      </c>
    </row>
    <row r="29" spans="1:25" s="53" customFormat="1" ht="14.45" customHeight="1">
      <c r="A29" s="260"/>
      <c r="B29" s="108">
        <v>35</v>
      </c>
      <c r="C29" s="51" t="s">
        <v>569</v>
      </c>
      <c r="D29" s="50">
        <f>'Regulated Co Provided Priceout'!H71</f>
        <v>18.740915844210974</v>
      </c>
      <c r="E29" s="63">
        <f>References!$B$8</f>
        <v>13</v>
      </c>
      <c r="F29" s="62">
        <f>D29*E29*References!$G$22</f>
        <v>2923.5828716969118</v>
      </c>
      <c r="G29" s="62">
        <f>References!B$36</f>
        <v>473</v>
      </c>
      <c r="H29" s="62">
        <f t="shared" si="55"/>
        <v>1382854.6983126393</v>
      </c>
      <c r="I29" s="38">
        <f t="shared" si="51"/>
        <v>762865.65100512281</v>
      </c>
      <c r="J29" s="61">
        <f>(References!$C$58*I29)</f>
        <v>736.165353219944</v>
      </c>
      <c r="K29" s="61">
        <f>J29/References!$G$61</f>
        <v>750.6338201024181</v>
      </c>
      <c r="L29" s="61">
        <f t="shared" si="56"/>
        <v>0.25675134006607919</v>
      </c>
      <c r="M29" s="61">
        <f t="shared" ref="M29:M30" si="68">M28</f>
        <v>12.41</v>
      </c>
      <c r="N29" s="61">
        <f t="shared" si="57"/>
        <v>12.66675134006608</v>
      </c>
      <c r="O29" s="61">
        <f t="shared" ref="O29:O30" si="69">O28</f>
        <v>12.66675134006608</v>
      </c>
      <c r="P29" s="61">
        <f t="shared" si="58"/>
        <v>36281.663437758674</v>
      </c>
      <c r="Q29" s="61">
        <f t="shared" si="59"/>
        <v>37032.297257861093</v>
      </c>
      <c r="R29" s="61">
        <f t="shared" si="60"/>
        <v>750.63382010241912</v>
      </c>
      <c r="S29" s="61">
        <f t="shared" si="61"/>
        <v>37032.297257861093</v>
      </c>
      <c r="T29" s="61">
        <f t="shared" si="62"/>
        <v>0</v>
      </c>
      <c r="U29" s="64">
        <f t="shared" si="63"/>
        <v>12.66675134006608</v>
      </c>
      <c r="V29" s="64">
        <f t="shared" si="64"/>
        <v>37032.297257861093</v>
      </c>
      <c r="W29" s="64">
        <f t="shared" si="65"/>
        <v>750.63382010241912</v>
      </c>
      <c r="X29" s="97">
        <f t="shared" si="5"/>
        <v>0</v>
      </c>
      <c r="Y29" s="217">
        <f t="shared" si="6"/>
        <v>0</v>
      </c>
    </row>
    <row r="30" spans="1:25" s="53" customFormat="1" ht="14.45" customHeight="1">
      <c r="A30" s="260"/>
      <c r="B30" s="108">
        <v>35</v>
      </c>
      <c r="C30" s="51" t="s">
        <v>570</v>
      </c>
      <c r="D30" s="50">
        <f>'Regulated Co Provided Priceout'!H72</f>
        <v>7.6541674625915315</v>
      </c>
      <c r="E30" s="63">
        <f>References!$B$6</f>
        <v>21.666666666666668</v>
      </c>
      <c r="F30" s="62">
        <f>D30*E30*References!$G$22</f>
        <v>1990.0835402737982</v>
      </c>
      <c r="G30" s="62">
        <f>References!B$36</f>
        <v>473</v>
      </c>
      <c r="H30" s="62">
        <f t="shared" si="55"/>
        <v>941309.5145495066</v>
      </c>
      <c r="I30" s="38">
        <f t="shared" si="51"/>
        <v>519282.82594718225</v>
      </c>
      <c r="J30" s="61">
        <f>(References!$C$58*I30)</f>
        <v>501.10792703903115</v>
      </c>
      <c r="K30" s="61">
        <f>J30/References!$G$61</f>
        <v>510.95661580874474</v>
      </c>
      <c r="L30" s="61">
        <f t="shared" si="56"/>
        <v>0.25675134006607919</v>
      </c>
      <c r="M30" s="61">
        <f t="shared" si="68"/>
        <v>12.41</v>
      </c>
      <c r="N30" s="61">
        <f t="shared" si="57"/>
        <v>12.66675134006608</v>
      </c>
      <c r="O30" s="61">
        <f t="shared" si="69"/>
        <v>12.66675134006608</v>
      </c>
      <c r="P30" s="61">
        <f t="shared" si="58"/>
        <v>24696.936734797837</v>
      </c>
      <c r="Q30" s="61">
        <f t="shared" si="59"/>
        <v>25207.89335060658</v>
      </c>
      <c r="R30" s="61">
        <f t="shared" si="60"/>
        <v>510.95661580874366</v>
      </c>
      <c r="S30" s="61">
        <f t="shared" si="61"/>
        <v>25207.89335060658</v>
      </c>
      <c r="T30" s="61">
        <f t="shared" si="62"/>
        <v>0</v>
      </c>
      <c r="U30" s="64">
        <f t="shared" si="63"/>
        <v>12.66675134006608</v>
      </c>
      <c r="V30" s="64">
        <f t="shared" si="64"/>
        <v>25207.89335060658</v>
      </c>
      <c r="W30" s="64">
        <f t="shared" si="65"/>
        <v>510.95661580874366</v>
      </c>
      <c r="X30" s="97">
        <f t="shared" si="5"/>
        <v>0</v>
      </c>
      <c r="Y30" s="217">
        <f t="shared" si="6"/>
        <v>0</v>
      </c>
    </row>
    <row r="31" spans="1:25" s="53" customFormat="1" ht="14.45" customHeight="1">
      <c r="A31" s="260"/>
      <c r="B31" s="108">
        <v>35</v>
      </c>
      <c r="C31" s="51" t="s">
        <v>571</v>
      </c>
      <c r="D31" s="50">
        <f>'Regulated Co Provided Priceout'!H73</f>
        <v>204.29172089660156</v>
      </c>
      <c r="E31" s="63">
        <f>References!$B$10</f>
        <v>4.333333333333333</v>
      </c>
      <c r="F31" s="62">
        <f>D31*E31*References!$G$22</f>
        <v>10623.169486623281</v>
      </c>
      <c r="G31" s="62">
        <f>References!B$38</f>
        <v>613</v>
      </c>
      <c r="H31" s="62">
        <f t="shared" si="55"/>
        <v>6512002.8953000717</v>
      </c>
      <c r="I31" s="38">
        <f t="shared" si="51"/>
        <v>3592411.6497069639</v>
      </c>
      <c r="J31" s="61">
        <f>(References!$C$58*I31)</f>
        <v>3466.6772419672225</v>
      </c>
      <c r="K31" s="61">
        <f>J31/References!$G$61</f>
        <v>3534.8107185676135</v>
      </c>
      <c r="L31" s="61">
        <f t="shared" si="56"/>
        <v>0.33274539420825916</v>
      </c>
      <c r="M31" s="61">
        <f>'Proposed Rates'!B85</f>
        <v>16.39</v>
      </c>
      <c r="N31" s="61">
        <f t="shared" si="57"/>
        <v>16.72274539420826</v>
      </c>
      <c r="O31" s="61">
        <f>'Proposed Rates'!D85</f>
        <v>16.72274539420826</v>
      </c>
      <c r="P31" s="61">
        <f t="shared" si="58"/>
        <v>174113.74788575558</v>
      </c>
      <c r="Q31" s="61">
        <f t="shared" si="59"/>
        <v>177648.55860432322</v>
      </c>
      <c r="R31" s="61">
        <f t="shared" si="60"/>
        <v>3534.8107185676345</v>
      </c>
      <c r="S31" s="61">
        <f t="shared" si="61"/>
        <v>177648.55860432322</v>
      </c>
      <c r="T31" s="61">
        <f t="shared" si="62"/>
        <v>0</v>
      </c>
      <c r="U31" s="64">
        <f t="shared" si="63"/>
        <v>16.72274539420826</v>
      </c>
      <c r="V31" s="64">
        <f t="shared" si="64"/>
        <v>177648.55860432322</v>
      </c>
      <c r="W31" s="64">
        <f t="shared" si="65"/>
        <v>3534.8107185676345</v>
      </c>
      <c r="X31" s="97">
        <f t="shared" si="5"/>
        <v>0</v>
      </c>
      <c r="Y31" s="217">
        <f t="shared" si="6"/>
        <v>0</v>
      </c>
    </row>
    <row r="32" spans="1:25" s="53" customFormat="1" ht="14.45" customHeight="1">
      <c r="A32" s="260"/>
      <c r="B32" s="108">
        <v>35</v>
      </c>
      <c r="C32" s="51" t="s">
        <v>572</v>
      </c>
      <c r="D32" s="50">
        <f>'Regulated Co Provided Priceout'!H74</f>
        <v>76.562490961677511</v>
      </c>
      <c r="E32" s="63">
        <f>References!$B$9</f>
        <v>8.6666666666666661</v>
      </c>
      <c r="F32" s="62">
        <f>D32*E32*References!$G$22</f>
        <v>7962.4990600144602</v>
      </c>
      <c r="G32" s="62">
        <f>References!B$38</f>
        <v>613</v>
      </c>
      <c r="H32" s="62">
        <f t="shared" si="55"/>
        <v>4881011.9237888642</v>
      </c>
      <c r="I32" s="38">
        <f t="shared" si="51"/>
        <v>2692659.1371808234</v>
      </c>
      <c r="J32" s="61">
        <f>(References!$C$58*I32)</f>
        <v>2598.4160673794963</v>
      </c>
      <c r="K32" s="61">
        <f>J32/References!$G$61</f>
        <v>2649.4848886074042</v>
      </c>
      <c r="L32" s="61">
        <f t="shared" si="56"/>
        <v>0.3327453942082591</v>
      </c>
      <c r="M32" s="61">
        <f>M31</f>
        <v>16.39</v>
      </c>
      <c r="N32" s="61">
        <f t="shared" si="57"/>
        <v>16.72274539420826</v>
      </c>
      <c r="O32" s="61">
        <f>O31</f>
        <v>16.72274539420826</v>
      </c>
      <c r="P32" s="61">
        <f t="shared" si="58"/>
        <v>130505.35959363701</v>
      </c>
      <c r="Q32" s="61">
        <f t="shared" si="59"/>
        <v>133154.84448224443</v>
      </c>
      <c r="R32" s="61">
        <f t="shared" si="60"/>
        <v>2649.4848886074178</v>
      </c>
      <c r="S32" s="61">
        <f t="shared" si="61"/>
        <v>133154.84448224443</v>
      </c>
      <c r="T32" s="61">
        <f t="shared" si="62"/>
        <v>0</v>
      </c>
      <c r="U32" s="64">
        <f t="shared" si="63"/>
        <v>16.72274539420826</v>
      </c>
      <c r="V32" s="64">
        <f t="shared" si="64"/>
        <v>133154.84448224443</v>
      </c>
      <c r="W32" s="64">
        <f t="shared" si="65"/>
        <v>2649.4848886074178</v>
      </c>
      <c r="X32" s="97">
        <f t="shared" si="5"/>
        <v>0</v>
      </c>
      <c r="Y32" s="217">
        <f t="shared" si="6"/>
        <v>0</v>
      </c>
    </row>
    <row r="33" spans="1:25" s="53" customFormat="1" ht="14.45" customHeight="1">
      <c r="A33" s="260"/>
      <c r="B33" s="108">
        <v>35</v>
      </c>
      <c r="C33" s="51" t="s">
        <v>573</v>
      </c>
      <c r="D33" s="50">
        <f>'Regulated Co Provided Priceout'!H75</f>
        <v>27.89966658632602</v>
      </c>
      <c r="E33" s="63">
        <f>References!$B$8</f>
        <v>13</v>
      </c>
      <c r="F33" s="62">
        <f>D33*E33*References!$G$22</f>
        <v>4352.3479874668592</v>
      </c>
      <c r="G33" s="62">
        <f>References!B$38</f>
        <v>613</v>
      </c>
      <c r="H33" s="62">
        <f t="shared" si="55"/>
        <v>2667989.3163171848</v>
      </c>
      <c r="I33" s="38">
        <f t="shared" si="51"/>
        <v>1471823.0405193823</v>
      </c>
      <c r="J33" s="61">
        <f>(References!$C$58*I33)</f>
        <v>1420.3092341012048</v>
      </c>
      <c r="K33" s="61">
        <f>J33/References!$G$61</f>
        <v>1448.2237468211831</v>
      </c>
      <c r="L33" s="61">
        <f t="shared" si="56"/>
        <v>0.3327453942082591</v>
      </c>
      <c r="M33" s="61">
        <f t="shared" ref="M33:M34" si="70">M32</f>
        <v>16.39</v>
      </c>
      <c r="N33" s="61">
        <f t="shared" si="57"/>
        <v>16.72274539420826</v>
      </c>
      <c r="O33" s="61">
        <f t="shared" ref="O33:O34" si="71">O32</f>
        <v>16.72274539420826</v>
      </c>
      <c r="P33" s="61">
        <f t="shared" si="58"/>
        <v>71334.983514581822</v>
      </c>
      <c r="Q33" s="61">
        <f t="shared" si="59"/>
        <v>72783.207261403018</v>
      </c>
      <c r="R33" s="61">
        <f t="shared" si="60"/>
        <v>1448.223746821197</v>
      </c>
      <c r="S33" s="61">
        <f t="shared" si="61"/>
        <v>72783.207261403018</v>
      </c>
      <c r="T33" s="61">
        <f t="shared" si="62"/>
        <v>0</v>
      </c>
      <c r="U33" s="64">
        <f t="shared" si="63"/>
        <v>16.72274539420826</v>
      </c>
      <c r="V33" s="64">
        <f t="shared" si="64"/>
        <v>72783.207261403018</v>
      </c>
      <c r="W33" s="64">
        <f t="shared" si="65"/>
        <v>1448.223746821197</v>
      </c>
      <c r="X33" s="97">
        <f t="shared" si="5"/>
        <v>0</v>
      </c>
      <c r="Y33" s="217">
        <f t="shared" si="6"/>
        <v>0</v>
      </c>
    </row>
    <row r="34" spans="1:25" s="53" customFormat="1" ht="14.45" customHeight="1">
      <c r="A34" s="260"/>
      <c r="B34" s="108">
        <v>35</v>
      </c>
      <c r="C34" s="51" t="s">
        <v>574</v>
      </c>
      <c r="D34" s="50">
        <f>'Regulated Co Provided Priceout'!H76</f>
        <v>18.057136659436011</v>
      </c>
      <c r="E34" s="63">
        <f>References!$B$6</f>
        <v>21.666666666666668</v>
      </c>
      <c r="F34" s="62">
        <f>D34*E34*References!$G$22</f>
        <v>4694.8555314533633</v>
      </c>
      <c r="G34" s="62">
        <f>References!B$38</f>
        <v>613</v>
      </c>
      <c r="H34" s="62">
        <f t="shared" si="55"/>
        <v>2877946.4407809116</v>
      </c>
      <c r="I34" s="38">
        <f t="shared" si="51"/>
        <v>1587647.9920725881</v>
      </c>
      <c r="J34" s="61">
        <f>(References!$C$58*I34)</f>
        <v>1532.0803123500484</v>
      </c>
      <c r="K34" s="61">
        <f>J34/References!$G$61</f>
        <v>1562.1915545642748</v>
      </c>
      <c r="L34" s="61">
        <f t="shared" si="56"/>
        <v>0.33274539420825905</v>
      </c>
      <c r="M34" s="61">
        <f t="shared" si="70"/>
        <v>16.39</v>
      </c>
      <c r="N34" s="61">
        <f t="shared" si="57"/>
        <v>16.72274539420826</v>
      </c>
      <c r="O34" s="61">
        <f t="shared" si="71"/>
        <v>16.72274539420826</v>
      </c>
      <c r="P34" s="61">
        <f t="shared" si="58"/>
        <v>76948.682160520621</v>
      </c>
      <c r="Q34" s="61">
        <f t="shared" si="59"/>
        <v>78510.873715084905</v>
      </c>
      <c r="R34" s="61">
        <f t="shared" si="60"/>
        <v>1562.1915545642842</v>
      </c>
      <c r="S34" s="61">
        <f t="shared" si="61"/>
        <v>78510.873715084905</v>
      </c>
      <c r="T34" s="61">
        <f t="shared" si="62"/>
        <v>0</v>
      </c>
      <c r="U34" s="64">
        <f t="shared" si="63"/>
        <v>16.72274539420826</v>
      </c>
      <c r="V34" s="64">
        <f t="shared" si="64"/>
        <v>78510.873715084905</v>
      </c>
      <c r="W34" s="64">
        <f t="shared" si="65"/>
        <v>1562.1915545642842</v>
      </c>
      <c r="X34" s="97">
        <f t="shared" si="5"/>
        <v>0</v>
      </c>
      <c r="Y34" s="217">
        <f t="shared" si="6"/>
        <v>0</v>
      </c>
    </row>
    <row r="35" spans="1:25" s="53" customFormat="1" ht="14.45" customHeight="1">
      <c r="A35" s="260"/>
      <c r="B35" s="108">
        <v>35</v>
      </c>
      <c r="C35" s="51" t="s">
        <v>575</v>
      </c>
      <c r="D35" s="50">
        <f>'Regulated Co Provided Priceout'!H77</f>
        <v>232.91666666666666</v>
      </c>
      <c r="E35" s="63">
        <f>References!$B$10</f>
        <v>4.333333333333333</v>
      </c>
      <c r="F35" s="62">
        <f>D35*E35*References!$G$22</f>
        <v>12111.666666666664</v>
      </c>
      <c r="G35" s="62">
        <f>References!$B$40</f>
        <v>840</v>
      </c>
      <c r="H35" s="62">
        <f t="shared" si="55"/>
        <v>10173799.999999998</v>
      </c>
      <c r="I35" s="38">
        <f t="shared" si="51"/>
        <v>5612478.7149844402</v>
      </c>
      <c r="J35" s="61">
        <f>(References!$C$58*I35)</f>
        <v>5416.0419599599882</v>
      </c>
      <c r="K35" s="61">
        <f>J35/References!$G$61</f>
        <v>5522.4879145122113</v>
      </c>
      <c r="L35" s="61">
        <f t="shared" si="56"/>
        <v>0.45596432485307931</v>
      </c>
      <c r="M35" s="61">
        <f>'Proposed Rates'!B86</f>
        <v>22.28</v>
      </c>
      <c r="N35" s="61">
        <f t="shared" si="57"/>
        <v>22.735964324853079</v>
      </c>
      <c r="O35" s="61">
        <f>'Proposed Rates'!D86</f>
        <v>22.735964324853079</v>
      </c>
      <c r="P35" s="61">
        <f t="shared" si="58"/>
        <v>269847.93333333329</v>
      </c>
      <c r="Q35" s="61">
        <f t="shared" si="59"/>
        <v>275370.42124784546</v>
      </c>
      <c r="R35" s="61">
        <f t="shared" si="60"/>
        <v>5522.4879145121668</v>
      </c>
      <c r="S35" s="61">
        <f t="shared" si="61"/>
        <v>275370.42124784546</v>
      </c>
      <c r="T35" s="61">
        <f t="shared" si="62"/>
        <v>0</v>
      </c>
      <c r="U35" s="64">
        <f t="shared" si="63"/>
        <v>22.735964324853079</v>
      </c>
      <c r="V35" s="64">
        <f t="shared" si="64"/>
        <v>275370.42124784546</v>
      </c>
      <c r="W35" s="64">
        <f t="shared" si="65"/>
        <v>5522.4879145121668</v>
      </c>
      <c r="X35" s="97">
        <f t="shared" ref="X35:X66" si="72">R35-W35</f>
        <v>0</v>
      </c>
      <c r="Y35" s="217">
        <f t="shared" ref="Y35:Y66" si="73">O35-U35</f>
        <v>0</v>
      </c>
    </row>
    <row r="36" spans="1:25" s="53" customFormat="1" ht="14.45" customHeight="1">
      <c r="A36" s="260"/>
      <c r="B36" s="108">
        <v>35</v>
      </c>
      <c r="C36" s="51" t="s">
        <v>576</v>
      </c>
      <c r="D36" s="50">
        <f>'Regulated Co Provided Priceout'!H78</f>
        <v>125.10418772051133</v>
      </c>
      <c r="E36" s="63">
        <f>References!$B$9</f>
        <v>8.6666666666666661</v>
      </c>
      <c r="F36" s="62">
        <f>D36*E36*References!$G$22</f>
        <v>13010.835522933179</v>
      </c>
      <c r="G36" s="62">
        <f>References!$B$40</f>
        <v>840</v>
      </c>
      <c r="H36" s="62">
        <f t="shared" si="55"/>
        <v>10929101.839263871</v>
      </c>
      <c r="I36" s="38">
        <f t="shared" si="51"/>
        <v>6029148.5429992517</v>
      </c>
      <c r="J36" s="61">
        <f>(References!$C$58*I36)</f>
        <v>5818.1283439942817</v>
      </c>
      <c r="K36" s="61">
        <f>J36/References!$G$61</f>
        <v>5932.476834988689</v>
      </c>
      <c r="L36" s="61">
        <f t="shared" si="56"/>
        <v>0.45596432485307936</v>
      </c>
      <c r="M36" s="61">
        <f>M35</f>
        <v>22.28</v>
      </c>
      <c r="N36" s="61">
        <f t="shared" si="57"/>
        <v>22.735964324853079</v>
      </c>
      <c r="O36" s="61">
        <f>O35</f>
        <v>22.735964324853079</v>
      </c>
      <c r="P36" s="61">
        <f t="shared" si="58"/>
        <v>289881.41545095126</v>
      </c>
      <c r="Q36" s="61">
        <f t="shared" si="59"/>
        <v>295813.89228593989</v>
      </c>
      <c r="R36" s="61">
        <f t="shared" si="60"/>
        <v>5932.476834988629</v>
      </c>
      <c r="S36" s="61">
        <f t="shared" si="61"/>
        <v>295813.89228593989</v>
      </c>
      <c r="T36" s="61">
        <f t="shared" si="62"/>
        <v>0</v>
      </c>
      <c r="U36" s="64">
        <f t="shared" si="63"/>
        <v>22.735964324853079</v>
      </c>
      <c r="V36" s="64">
        <f t="shared" si="64"/>
        <v>295813.89228593989</v>
      </c>
      <c r="W36" s="64">
        <f t="shared" si="65"/>
        <v>5932.476834988629</v>
      </c>
      <c r="X36" s="97">
        <f t="shared" si="72"/>
        <v>0</v>
      </c>
      <c r="Y36" s="217">
        <f t="shared" si="73"/>
        <v>0</v>
      </c>
    </row>
    <row r="37" spans="1:25" s="53" customFormat="1" ht="14.45" customHeight="1">
      <c r="A37" s="260"/>
      <c r="B37" s="108">
        <v>35</v>
      </c>
      <c r="C37" s="51" t="s">
        <v>577</v>
      </c>
      <c r="D37" s="50">
        <f>'Regulated Co Provided Priceout'!H79</f>
        <v>35.727028001371103</v>
      </c>
      <c r="E37" s="63">
        <f>References!$B$8</f>
        <v>13</v>
      </c>
      <c r="F37" s="62">
        <f>D37*E37*References!$G$22</f>
        <v>5573.4163682138924</v>
      </c>
      <c r="G37" s="62">
        <f>References!$B$40</f>
        <v>840</v>
      </c>
      <c r="H37" s="62">
        <f t="shared" si="55"/>
        <v>4681669.7492996696</v>
      </c>
      <c r="I37" s="38">
        <f t="shared" si="51"/>
        <v>2582690.0291465274</v>
      </c>
      <c r="J37" s="61">
        <f>(References!$C$58*I37)</f>
        <v>2492.2958781264006</v>
      </c>
      <c r="K37" s="61">
        <f>J37/References!$G$61</f>
        <v>2541.2790314577487</v>
      </c>
      <c r="L37" s="61">
        <f t="shared" si="56"/>
        <v>0.45596432485307931</v>
      </c>
      <c r="M37" s="61">
        <f t="shared" ref="M37:M39" si="74">M36</f>
        <v>22.28</v>
      </c>
      <c r="N37" s="61">
        <f t="shared" si="57"/>
        <v>22.735964324853079</v>
      </c>
      <c r="O37" s="61">
        <f t="shared" ref="O37:O39" si="75">O36</f>
        <v>22.735964324853079</v>
      </c>
      <c r="P37" s="61">
        <f t="shared" si="58"/>
        <v>124175.71668380553</v>
      </c>
      <c r="Q37" s="61">
        <f t="shared" si="59"/>
        <v>126716.99571526327</v>
      </c>
      <c r="R37" s="61">
        <f t="shared" si="60"/>
        <v>2541.2790314577433</v>
      </c>
      <c r="S37" s="61">
        <f t="shared" si="61"/>
        <v>126716.99571526327</v>
      </c>
      <c r="T37" s="61">
        <f t="shared" si="62"/>
        <v>0</v>
      </c>
      <c r="U37" s="64">
        <f t="shared" si="63"/>
        <v>22.735964324853079</v>
      </c>
      <c r="V37" s="64">
        <f t="shared" si="64"/>
        <v>126716.99571526327</v>
      </c>
      <c r="W37" s="64">
        <f t="shared" si="65"/>
        <v>2541.2790314577433</v>
      </c>
      <c r="X37" s="97">
        <f t="shared" si="72"/>
        <v>0</v>
      </c>
      <c r="Y37" s="217">
        <f t="shared" si="73"/>
        <v>0</v>
      </c>
    </row>
    <row r="38" spans="1:25" s="53" customFormat="1" ht="14.45" customHeight="1">
      <c r="A38" s="260"/>
      <c r="B38" s="108">
        <v>35</v>
      </c>
      <c r="C38" s="51" t="s">
        <v>579</v>
      </c>
      <c r="D38" s="50">
        <f>'Regulated Co Provided Priceout'!H80</f>
        <v>2.9999999999999996</v>
      </c>
      <c r="E38" s="63">
        <f>References!$B$7</f>
        <v>17.333333333333332</v>
      </c>
      <c r="F38" s="62">
        <f>D38*E38*References!$G$22</f>
        <v>623.99999999999977</v>
      </c>
      <c r="G38" s="62">
        <f>References!$B$40</f>
        <v>840</v>
      </c>
      <c r="H38" s="62">
        <f t="shared" si="55"/>
        <v>524159.99999999983</v>
      </c>
      <c r="I38" s="38">
        <f t="shared" si="51"/>
        <v>289158.11626395682</v>
      </c>
      <c r="J38" s="61">
        <f>(References!$C$58*I38)</f>
        <v>279.03758219471848</v>
      </c>
      <c r="K38" s="61">
        <f>J38/References!$G$61</f>
        <v>284.52173870832138</v>
      </c>
      <c r="L38" s="61">
        <f t="shared" si="56"/>
        <v>0.45596432485307931</v>
      </c>
      <c r="M38" s="61">
        <f t="shared" si="74"/>
        <v>22.28</v>
      </c>
      <c r="N38" s="61">
        <f t="shared" si="57"/>
        <v>22.735964324853079</v>
      </c>
      <c r="O38" s="61">
        <f t="shared" si="75"/>
        <v>22.735964324853079</v>
      </c>
      <c r="P38" s="61">
        <f t="shared" si="58"/>
        <v>13902.719999999996</v>
      </c>
      <c r="Q38" s="61">
        <f t="shared" si="59"/>
        <v>14187.241738708315</v>
      </c>
      <c r="R38" s="61">
        <f t="shared" si="60"/>
        <v>284.52173870831939</v>
      </c>
      <c r="S38" s="61">
        <f t="shared" si="61"/>
        <v>14187.241738708315</v>
      </c>
      <c r="T38" s="61">
        <f t="shared" si="62"/>
        <v>0</v>
      </c>
      <c r="U38" s="64">
        <f t="shared" si="63"/>
        <v>22.735964324853079</v>
      </c>
      <c r="V38" s="64">
        <f t="shared" si="64"/>
        <v>14187.241738708315</v>
      </c>
      <c r="W38" s="64">
        <f t="shared" si="65"/>
        <v>284.52173870831939</v>
      </c>
      <c r="X38" s="97">
        <f t="shared" si="72"/>
        <v>0</v>
      </c>
      <c r="Y38" s="217">
        <f t="shared" si="73"/>
        <v>0</v>
      </c>
    </row>
    <row r="39" spans="1:25" s="53" customFormat="1" ht="14.45" customHeight="1">
      <c r="A39" s="260"/>
      <c r="B39" s="108">
        <v>35</v>
      </c>
      <c r="C39" s="51" t="s">
        <v>578</v>
      </c>
      <c r="D39" s="50">
        <f>'Regulated Co Provided Priceout'!H81</f>
        <v>25.445833865225591</v>
      </c>
      <c r="E39" s="63">
        <f>References!$B$6</f>
        <v>21.666666666666668</v>
      </c>
      <c r="F39" s="62">
        <f>D39*E39*References!$G$22</f>
        <v>6615.9168049586551</v>
      </c>
      <c r="G39" s="62">
        <f>References!$B$40</f>
        <v>840</v>
      </c>
      <c r="H39" s="62">
        <f t="shared" si="55"/>
        <v>5557370.1161652701</v>
      </c>
      <c r="I39" s="38">
        <f t="shared" si="51"/>
        <v>3065778.9113475978</v>
      </c>
      <c r="J39" s="61">
        <f>(References!$C$58*I39)</f>
        <v>2958.4766494504338</v>
      </c>
      <c r="K39" s="61">
        <f>J39/References!$G$61</f>
        <v>3016.6220392571149</v>
      </c>
      <c r="L39" s="61">
        <f t="shared" si="56"/>
        <v>0.45596432485307931</v>
      </c>
      <c r="M39" s="61">
        <f t="shared" si="74"/>
        <v>22.28</v>
      </c>
      <c r="N39" s="61">
        <f t="shared" si="57"/>
        <v>22.735964324853079</v>
      </c>
      <c r="O39" s="61">
        <f t="shared" si="75"/>
        <v>22.735964324853079</v>
      </c>
      <c r="P39" s="61">
        <f t="shared" si="58"/>
        <v>147402.62641447884</v>
      </c>
      <c r="Q39" s="61">
        <f t="shared" si="59"/>
        <v>150419.24845373596</v>
      </c>
      <c r="R39" s="61">
        <f t="shared" si="60"/>
        <v>3016.6220392571122</v>
      </c>
      <c r="S39" s="61">
        <f t="shared" si="61"/>
        <v>150419.24845373596</v>
      </c>
      <c r="T39" s="61">
        <f t="shared" si="62"/>
        <v>0</v>
      </c>
      <c r="U39" s="64">
        <f t="shared" si="63"/>
        <v>22.735964324853079</v>
      </c>
      <c r="V39" s="64">
        <f t="shared" si="64"/>
        <v>150419.24845373596</v>
      </c>
      <c r="W39" s="64">
        <f t="shared" si="65"/>
        <v>3016.6220392571122</v>
      </c>
      <c r="X39" s="97">
        <f t="shared" si="72"/>
        <v>0</v>
      </c>
      <c r="Y39" s="217">
        <f t="shared" si="73"/>
        <v>0</v>
      </c>
    </row>
    <row r="40" spans="1:25" s="53" customFormat="1" ht="14.45" customHeight="1">
      <c r="A40" s="260"/>
      <c r="B40" s="108">
        <v>35</v>
      </c>
      <c r="C40" s="51" t="s">
        <v>116</v>
      </c>
      <c r="D40" s="50">
        <f>'Regulated Co Provided Priceout'!H82</f>
        <v>4.0000000000000009</v>
      </c>
      <c r="E40" s="63">
        <f>References!$B$10</f>
        <v>4.333333333333333</v>
      </c>
      <c r="F40" s="62">
        <f>D40*E40*References!$G$22</f>
        <v>208.00000000000003</v>
      </c>
      <c r="G40" s="62">
        <f>References!B$42</f>
        <v>980</v>
      </c>
      <c r="H40" s="62">
        <f t="shared" si="55"/>
        <v>203840.00000000003</v>
      </c>
      <c r="I40" s="38">
        <f t="shared" si="51"/>
        <v>112450.37854709437</v>
      </c>
      <c r="J40" s="61">
        <f>(References!$C$58*I40)</f>
        <v>108.51461529794614</v>
      </c>
      <c r="K40" s="61">
        <f>J40/References!$G$61</f>
        <v>110.64734283101393</v>
      </c>
      <c r="L40" s="61">
        <f t="shared" si="56"/>
        <v>0.53195837899525922</v>
      </c>
      <c r="M40" s="61">
        <f>'Proposed Rates'!B87</f>
        <v>30.17</v>
      </c>
      <c r="N40" s="61">
        <f t="shared" si="57"/>
        <v>30.701958378995261</v>
      </c>
      <c r="O40" s="61">
        <f>'Proposed Rates'!D87</f>
        <v>30.701958378995261</v>
      </c>
      <c r="P40" s="61">
        <f t="shared" si="58"/>
        <v>6275.3600000000015</v>
      </c>
      <c r="Q40" s="61">
        <f t="shared" si="59"/>
        <v>6386.0073428310152</v>
      </c>
      <c r="R40" s="61">
        <f t="shared" si="60"/>
        <v>110.6473428310137</v>
      </c>
      <c r="S40" s="61">
        <f t="shared" si="61"/>
        <v>6386.0073428310152</v>
      </c>
      <c r="T40" s="61">
        <f t="shared" si="62"/>
        <v>0</v>
      </c>
      <c r="U40" s="64">
        <f t="shared" si="63"/>
        <v>30.701958378995261</v>
      </c>
      <c r="V40" s="64">
        <f t="shared" si="64"/>
        <v>6386.0073428310152</v>
      </c>
      <c r="W40" s="64">
        <f t="shared" si="65"/>
        <v>110.6473428310137</v>
      </c>
      <c r="X40" s="97">
        <f t="shared" si="72"/>
        <v>0</v>
      </c>
      <c r="Y40" s="217">
        <f t="shared" si="73"/>
        <v>0</v>
      </c>
    </row>
    <row r="41" spans="1:25" s="53" customFormat="1" ht="14.45" customHeight="1">
      <c r="A41" s="260"/>
      <c r="B41" s="108">
        <v>35</v>
      </c>
      <c r="C41" s="51" t="s">
        <v>580</v>
      </c>
      <c r="D41" s="50">
        <f>'Regulated Co Provided Priceout'!H83</f>
        <v>1.2499999999999998</v>
      </c>
      <c r="E41" s="63">
        <f>References!$B$9</f>
        <v>8.6666666666666661</v>
      </c>
      <c r="F41" s="62">
        <f>D41*E41*References!$G$22</f>
        <v>129.99999999999997</v>
      </c>
      <c r="G41" s="62">
        <f>References!B$42</f>
        <v>980</v>
      </c>
      <c r="H41" s="62">
        <f t="shared" ref="H41:H42" si="76">F41*G41</f>
        <v>127399.99999999997</v>
      </c>
      <c r="I41" s="38">
        <f t="shared" si="51"/>
        <v>70281.48659193395</v>
      </c>
      <c r="J41" s="61">
        <f>(References!$C$58*I41)</f>
        <v>67.8216345612163</v>
      </c>
      <c r="K41" s="61">
        <f>J41/References!$G$61</f>
        <v>69.154589269383678</v>
      </c>
      <c r="L41" s="61">
        <f t="shared" ref="L41:L42" si="77">K41/F41</f>
        <v>0.53195837899525922</v>
      </c>
      <c r="M41" s="61">
        <f>M40</f>
        <v>30.17</v>
      </c>
      <c r="N41" s="61">
        <f t="shared" ref="N41:N42" si="78">L41+M41</f>
        <v>30.701958378995261</v>
      </c>
      <c r="O41" s="61">
        <f>O40</f>
        <v>30.701958378995261</v>
      </c>
      <c r="P41" s="61">
        <f t="shared" ref="P41:P42" si="79">F41*M41</f>
        <v>3922.0999999999995</v>
      </c>
      <c r="Q41" s="61">
        <f t="shared" ref="Q41:Q42" si="80">F41*O41</f>
        <v>3991.2545892693829</v>
      </c>
      <c r="R41" s="61">
        <f t="shared" ref="R41:R42" si="81">Q41-P41</f>
        <v>69.15458926938345</v>
      </c>
      <c r="S41" s="61">
        <f t="shared" ref="S41:S42" si="82">F41*N41</f>
        <v>3991.2545892693829</v>
      </c>
      <c r="T41" s="61">
        <f t="shared" ref="T41:T42" si="83">Q41-S41</f>
        <v>0</v>
      </c>
      <c r="U41" s="64">
        <f t="shared" ref="U41:U42" si="84">N41</f>
        <v>30.701958378995261</v>
      </c>
      <c r="V41" s="64">
        <f t="shared" ref="V41:V42" si="85">F41*U41</f>
        <v>3991.2545892693829</v>
      </c>
      <c r="W41" s="64">
        <f t="shared" ref="W41:W42" si="86">V41-P41</f>
        <v>69.15458926938345</v>
      </c>
      <c r="X41" s="97">
        <f t="shared" si="72"/>
        <v>0</v>
      </c>
      <c r="Y41" s="217">
        <f t="shared" si="73"/>
        <v>0</v>
      </c>
    </row>
    <row r="42" spans="1:25" s="53" customFormat="1" ht="14.45" customHeight="1">
      <c r="A42" s="260"/>
      <c r="B42" s="108">
        <v>35</v>
      </c>
      <c r="C42" s="51" t="s">
        <v>581</v>
      </c>
      <c r="D42" s="50">
        <f>'Regulated Co Provided Priceout'!H84</f>
        <v>0.1730817906487567</v>
      </c>
      <c r="E42" s="63">
        <f>References!$B$8</f>
        <v>13</v>
      </c>
      <c r="F42" s="62">
        <f>D42*E42*References!$G$22</f>
        <v>27.000759341206049</v>
      </c>
      <c r="G42" s="62">
        <f>References!B$42</f>
        <v>980</v>
      </c>
      <c r="H42" s="62">
        <f t="shared" si="76"/>
        <v>26460.74415438193</v>
      </c>
      <c r="I42" s="38">
        <f t="shared" si="51"/>
        <v>14597.334658546222</v>
      </c>
      <c r="J42" s="61">
        <f>(References!$C$58*I42)</f>
        <v>14.086427945497112</v>
      </c>
      <c r="K42" s="61">
        <f>J42/References!$G$61</f>
        <v>14.363280170789071</v>
      </c>
      <c r="L42" s="61">
        <f t="shared" si="77"/>
        <v>0.53195837899525922</v>
      </c>
      <c r="M42" s="61">
        <f>M41</f>
        <v>30.17</v>
      </c>
      <c r="N42" s="61">
        <f t="shared" si="78"/>
        <v>30.701958378995261</v>
      </c>
      <c r="O42" s="61">
        <f>O41</f>
        <v>30.701958378995261</v>
      </c>
      <c r="P42" s="61">
        <f t="shared" si="79"/>
        <v>814.61290932418649</v>
      </c>
      <c r="Q42" s="61">
        <f t="shared" si="80"/>
        <v>828.97618949497564</v>
      </c>
      <c r="R42" s="61">
        <f t="shared" si="81"/>
        <v>14.363280170789153</v>
      </c>
      <c r="S42" s="61">
        <f t="shared" si="82"/>
        <v>828.97618949497564</v>
      </c>
      <c r="T42" s="61">
        <f t="shared" si="83"/>
        <v>0</v>
      </c>
      <c r="U42" s="64">
        <f t="shared" si="84"/>
        <v>30.701958378995261</v>
      </c>
      <c r="V42" s="64">
        <f t="shared" si="85"/>
        <v>828.97618949497564</v>
      </c>
      <c r="W42" s="64">
        <f t="shared" si="86"/>
        <v>14.363280170789153</v>
      </c>
      <c r="X42" s="97">
        <f t="shared" si="72"/>
        <v>0</v>
      </c>
      <c r="Y42" s="217">
        <f t="shared" si="73"/>
        <v>0</v>
      </c>
    </row>
    <row r="43" spans="1:25" s="53" customFormat="1" ht="14.45" customHeight="1">
      <c r="A43" s="260"/>
      <c r="B43" s="108">
        <v>35</v>
      </c>
      <c r="C43" s="119" t="s">
        <v>117</v>
      </c>
      <c r="D43" s="50">
        <f>'Regulated Co Provided Priceout'!H86+'Regulated Co Provided Priceout'!H87</f>
        <v>73.987394957983213</v>
      </c>
      <c r="E43" s="63">
        <f>References!$B$12</f>
        <v>1</v>
      </c>
      <c r="F43" s="62">
        <f>D43*E43*References!$G$22</f>
        <v>887.84873949579855</v>
      </c>
      <c r="G43" s="62">
        <f>References!B33</f>
        <v>250</v>
      </c>
      <c r="H43" s="62">
        <f t="shared" ref="H43:H64" si="87">F43*G43</f>
        <v>221962.18487394965</v>
      </c>
      <c r="I43" s="38">
        <f t="shared" si="51"/>
        <v>122447.66342335056</v>
      </c>
      <c r="J43" s="61">
        <f>(References!$C$58*I43)</f>
        <v>118.16199520353337</v>
      </c>
      <c r="K43" s="61">
        <f>J43/References!$G$61</f>
        <v>120.48433067733909</v>
      </c>
      <c r="L43" s="61">
        <f t="shared" ref="L43:L64" si="88">K43/F43</f>
        <v>0.13570366811103554</v>
      </c>
      <c r="M43" s="61">
        <f>'Proposed Rates'!B97</f>
        <v>9.77</v>
      </c>
      <c r="N43" s="61">
        <f t="shared" ref="N43:N63" si="89">L43+M43</f>
        <v>9.9057036681110358</v>
      </c>
      <c r="O43" s="61">
        <f>'Proposed Rates'!D97</f>
        <v>9.9057036681110358</v>
      </c>
      <c r="P43" s="61">
        <f t="shared" ref="P43:P64" si="90">F43*M43</f>
        <v>8674.2821848739513</v>
      </c>
      <c r="Q43" s="61">
        <f t="shared" ref="Q43:Q64" si="91">F43*O43</f>
        <v>8794.7665155512914</v>
      </c>
      <c r="R43" s="61">
        <f t="shared" ref="R43:R64" si="92">Q43-P43</f>
        <v>120.48433067734004</v>
      </c>
      <c r="S43" s="61">
        <f t="shared" ref="S43:S64" si="93">F43*N43</f>
        <v>8794.7665155512914</v>
      </c>
      <c r="T43" s="61">
        <f t="shared" ref="T43:T64" si="94">Q43-S43</f>
        <v>0</v>
      </c>
      <c r="U43" s="64">
        <f t="shared" ref="U43:U53" si="95">N43</f>
        <v>9.9057036681110358</v>
      </c>
      <c r="V43" s="64">
        <f t="shared" ref="V43:V53" si="96">F43*U43</f>
        <v>8794.7665155512914</v>
      </c>
      <c r="W43" s="64">
        <f t="shared" ref="W43:W54" si="97">V43-P43</f>
        <v>120.48433067734004</v>
      </c>
      <c r="X43" s="97">
        <f t="shared" si="72"/>
        <v>0</v>
      </c>
      <c r="Y43" s="217">
        <f t="shared" si="73"/>
        <v>0</v>
      </c>
    </row>
    <row r="44" spans="1:25" s="53" customFormat="1" ht="14.45" customHeight="1">
      <c r="A44" s="260"/>
      <c r="B44" s="108">
        <v>35</v>
      </c>
      <c r="C44" s="119" t="s">
        <v>582</v>
      </c>
      <c r="D44" s="50">
        <f>'Regulated Co Provided Priceout'!H88</f>
        <v>10.5</v>
      </c>
      <c r="E44" s="63">
        <f>References!$B$12</f>
        <v>1</v>
      </c>
      <c r="F44" s="62">
        <f>D44*E44*References!$G$22</f>
        <v>126</v>
      </c>
      <c r="G44" s="62">
        <f>References!B$36</f>
        <v>473</v>
      </c>
      <c r="H44" s="62">
        <f t="shared" si="87"/>
        <v>59598</v>
      </c>
      <c r="I44" s="38">
        <f t="shared" si="51"/>
        <v>32877.833892512404</v>
      </c>
      <c r="J44" s="61">
        <f>(References!$C$58*I44)</f>
        <v>31.72710970627449</v>
      </c>
      <c r="K44" s="61">
        <f>J44/References!$G$61</f>
        <v>32.350668848325974</v>
      </c>
      <c r="L44" s="61">
        <f t="shared" si="88"/>
        <v>0.25675134006607914</v>
      </c>
      <c r="M44" s="61">
        <f>'Proposed Rates'!B98</f>
        <v>17.96</v>
      </c>
      <c r="N44" s="61">
        <f t="shared" si="89"/>
        <v>18.216751340066079</v>
      </c>
      <c r="O44" s="61">
        <f>'Proposed Rates'!D98</f>
        <v>18.216751340066079</v>
      </c>
      <c r="P44" s="61">
        <f t="shared" si="90"/>
        <v>2262.96</v>
      </c>
      <c r="Q44" s="61">
        <f t="shared" si="91"/>
        <v>2295.3106688483258</v>
      </c>
      <c r="R44" s="61">
        <f t="shared" si="92"/>
        <v>32.350668848325768</v>
      </c>
      <c r="S44" s="61">
        <f t="shared" si="93"/>
        <v>2295.3106688483258</v>
      </c>
      <c r="T44" s="61">
        <f t="shared" si="94"/>
        <v>0</v>
      </c>
      <c r="U44" s="64">
        <f t="shared" si="95"/>
        <v>18.216751340066079</v>
      </c>
      <c r="V44" s="64">
        <f t="shared" si="96"/>
        <v>2295.3106688483258</v>
      </c>
      <c r="W44" s="64">
        <f t="shared" si="97"/>
        <v>32.350668848325768</v>
      </c>
      <c r="X44" s="97">
        <f t="shared" si="72"/>
        <v>0</v>
      </c>
      <c r="Y44" s="217">
        <f t="shared" si="73"/>
        <v>0</v>
      </c>
    </row>
    <row r="45" spans="1:25" s="53" customFormat="1" ht="14.45" customHeight="1">
      <c r="A45" s="260"/>
      <c r="B45" s="108">
        <v>35</v>
      </c>
      <c r="C45" s="119" t="s">
        <v>583</v>
      </c>
      <c r="D45" s="50">
        <f>'Regulated Co Provided Priceout'!H89</f>
        <v>6.5</v>
      </c>
      <c r="E45" s="63">
        <f>References!$B$12</f>
        <v>1</v>
      </c>
      <c r="F45" s="62">
        <f>D45*E45*References!$G$22</f>
        <v>78</v>
      </c>
      <c r="G45" s="62">
        <f>References!B$38</f>
        <v>613</v>
      </c>
      <c r="H45" s="62">
        <f t="shared" si="87"/>
        <v>47814</v>
      </c>
      <c r="I45" s="38">
        <f t="shared" si="51"/>
        <v>26377.072212768686</v>
      </c>
      <c r="J45" s="61">
        <f>(References!$C$58*I45)</f>
        <v>25.453874685321797</v>
      </c>
      <c r="K45" s="61">
        <f>J45/References!$G$61</f>
        <v>25.954140748244203</v>
      </c>
      <c r="L45" s="61">
        <f t="shared" si="88"/>
        <v>0.33274539420825899</v>
      </c>
      <c r="M45" s="61">
        <f>'Proposed Rates'!B99</f>
        <v>23.34</v>
      </c>
      <c r="N45" s="61">
        <f t="shared" si="89"/>
        <v>23.67274539420826</v>
      </c>
      <c r="O45" s="61">
        <f>'Proposed Rates'!D99</f>
        <v>23.67274539420826</v>
      </c>
      <c r="P45" s="61">
        <f t="shared" si="90"/>
        <v>1820.52</v>
      </c>
      <c r="Q45" s="61">
        <f t="shared" si="91"/>
        <v>1846.4741407482443</v>
      </c>
      <c r="R45" s="61">
        <f t="shared" si="92"/>
        <v>25.954140748244299</v>
      </c>
      <c r="S45" s="61">
        <f t="shared" si="93"/>
        <v>1846.4741407482443</v>
      </c>
      <c r="T45" s="61">
        <f t="shared" si="94"/>
        <v>0</v>
      </c>
      <c r="U45" s="64">
        <f t="shared" si="95"/>
        <v>23.67274539420826</v>
      </c>
      <c r="V45" s="64">
        <f t="shared" si="96"/>
        <v>1846.4741407482443</v>
      </c>
      <c r="W45" s="64">
        <f t="shared" si="97"/>
        <v>25.954140748244299</v>
      </c>
      <c r="X45" s="97">
        <f t="shared" si="72"/>
        <v>0</v>
      </c>
      <c r="Y45" s="217">
        <f t="shared" si="73"/>
        <v>0</v>
      </c>
    </row>
    <row r="46" spans="1:25" s="53" customFormat="1" ht="14.45" customHeight="1">
      <c r="A46" s="260"/>
      <c r="B46" s="108">
        <v>35</v>
      </c>
      <c r="C46" s="119" t="s">
        <v>584</v>
      </c>
      <c r="D46" s="50">
        <f>'Regulated Co Provided Priceout'!H90</f>
        <v>25.08394879369769</v>
      </c>
      <c r="E46" s="63">
        <f>References!$B$12</f>
        <v>1</v>
      </c>
      <c r="F46" s="62">
        <f>D46*E46*References!$G$22</f>
        <v>301.0073855243723</v>
      </c>
      <c r="G46" s="62">
        <f>References!$B$40</f>
        <v>840</v>
      </c>
      <c r="H46" s="62">
        <f t="shared" si="87"/>
        <v>252846.20384047274</v>
      </c>
      <c r="I46" s="38">
        <f t="shared" si="51"/>
        <v>139485.14195475343</v>
      </c>
      <c r="J46" s="61">
        <f>(References!$C$58*I46)</f>
        <v>134.60316198633714</v>
      </c>
      <c r="K46" s="61">
        <f>J46/References!$G$61</f>
        <v>137.24862931641096</v>
      </c>
      <c r="L46" s="61">
        <f t="shared" si="88"/>
        <v>0.45596432485307925</v>
      </c>
      <c r="M46" s="61">
        <f>'Proposed Rates'!B100</f>
        <v>27.79</v>
      </c>
      <c r="N46" s="61">
        <f t="shared" si="89"/>
        <v>28.245964324853077</v>
      </c>
      <c r="O46" s="61">
        <f>'Proposed Rates'!D100</f>
        <v>28.245964324853077</v>
      </c>
      <c r="P46" s="61">
        <f t="shared" si="90"/>
        <v>8364.9952437223055</v>
      </c>
      <c r="Q46" s="61">
        <f t="shared" si="91"/>
        <v>8502.2438730387166</v>
      </c>
      <c r="R46" s="61">
        <f t="shared" si="92"/>
        <v>137.2486293164111</v>
      </c>
      <c r="S46" s="61">
        <f t="shared" si="93"/>
        <v>8502.2438730387166</v>
      </c>
      <c r="T46" s="61">
        <f t="shared" si="94"/>
        <v>0</v>
      </c>
      <c r="U46" s="64">
        <f t="shared" si="95"/>
        <v>28.245964324853077</v>
      </c>
      <c r="V46" s="64">
        <f t="shared" si="96"/>
        <v>8502.2438730387166</v>
      </c>
      <c r="W46" s="64">
        <f t="shared" si="97"/>
        <v>137.2486293164111</v>
      </c>
      <c r="X46" s="97">
        <f t="shared" si="72"/>
        <v>0</v>
      </c>
      <c r="Y46" s="217">
        <f t="shared" si="73"/>
        <v>0</v>
      </c>
    </row>
    <row r="47" spans="1:25" s="53" customFormat="1" ht="14.45" customHeight="1">
      <c r="A47" s="260"/>
      <c r="B47" s="108">
        <v>35</v>
      </c>
      <c r="C47" s="109" t="s">
        <v>596</v>
      </c>
      <c r="D47" s="50">
        <f>'Regulated Co Provided Priceout'!H100</f>
        <v>15.458333333333334</v>
      </c>
      <c r="E47" s="63">
        <f>References!$B$12</f>
        <v>1</v>
      </c>
      <c r="F47" s="62">
        <f>D47*E47*References!$G$22</f>
        <v>185.5</v>
      </c>
      <c r="G47" s="62">
        <f>References!$B$33</f>
        <v>250</v>
      </c>
      <c r="H47" s="62">
        <f t="shared" ref="H47:H50" si="98">F47*G47</f>
        <v>46375</v>
      </c>
      <c r="I47" s="38">
        <f t="shared" si="51"/>
        <v>25583.233443492449</v>
      </c>
      <c r="J47" s="61">
        <f>(References!$C$58*I47)</f>
        <v>24.687820272970228</v>
      </c>
      <c r="K47" s="61">
        <f>J47/References!$G$61</f>
        <v>25.173030434597088</v>
      </c>
      <c r="L47" s="61">
        <f t="shared" ref="L47:L50" si="99">K47/F47</f>
        <v>0.13570366811103551</v>
      </c>
      <c r="M47" s="61">
        <f>'Proposed Rates'!B90</f>
        <v>10.3</v>
      </c>
      <c r="N47" s="61">
        <f t="shared" ref="N47:N50" si="100">L47+M47</f>
        <v>10.435703668111037</v>
      </c>
      <c r="O47" s="61">
        <f>'Proposed Rates'!D90</f>
        <v>10.435703668111037</v>
      </c>
      <c r="P47" s="61">
        <f t="shared" ref="P47:P50" si="101">F47*M47</f>
        <v>1910.65</v>
      </c>
      <c r="Q47" s="61">
        <f t="shared" ref="Q47:Q50" si="102">F47*O47</f>
        <v>1935.8230304345973</v>
      </c>
      <c r="R47" s="61">
        <f t="shared" ref="R47:R50" si="103">Q47-P47</f>
        <v>25.173030434597194</v>
      </c>
      <c r="S47" s="61">
        <f t="shared" ref="S47:S50" si="104">F47*N47</f>
        <v>1935.8230304345973</v>
      </c>
      <c r="T47" s="61">
        <f t="shared" ref="T47:T50" si="105">Q47-S47</f>
        <v>0</v>
      </c>
      <c r="U47" s="64">
        <f t="shared" ref="U47:U50" si="106">N47</f>
        <v>10.435703668111037</v>
      </c>
      <c r="V47" s="64">
        <f t="shared" ref="V47:V50" si="107">F47*U47</f>
        <v>1935.8230304345973</v>
      </c>
      <c r="W47" s="64">
        <f t="shared" ref="W47:W50" si="108">V47-P47</f>
        <v>25.173030434597194</v>
      </c>
      <c r="X47" s="97">
        <f t="shared" si="72"/>
        <v>0</v>
      </c>
      <c r="Y47" s="217">
        <f t="shared" si="73"/>
        <v>0</v>
      </c>
    </row>
    <row r="48" spans="1:25" s="53" customFormat="1" ht="14.45" customHeight="1">
      <c r="A48" s="260"/>
      <c r="B48" s="108">
        <v>35</v>
      </c>
      <c r="C48" s="109" t="s">
        <v>597</v>
      </c>
      <c r="D48" s="50">
        <f>'Regulated Co Provided Priceout'!H101</f>
        <v>8.5833333333333339</v>
      </c>
      <c r="E48" s="63">
        <f>References!$B$12</f>
        <v>1</v>
      </c>
      <c r="F48" s="62">
        <f>D48*E48*References!$G$22</f>
        <v>103</v>
      </c>
      <c r="G48" s="62">
        <f>References!B$36</f>
        <v>473</v>
      </c>
      <c r="H48" s="62">
        <f t="shared" si="98"/>
        <v>48719</v>
      </c>
      <c r="I48" s="38">
        <f t="shared" si="51"/>
        <v>26876.324531180777</v>
      </c>
      <c r="J48" s="61">
        <f>(References!$C$58*I48)</f>
        <v>25.935653172589465</v>
      </c>
      <c r="K48" s="61">
        <f>J48/References!$G$61</f>
        <v>26.445388026806153</v>
      </c>
      <c r="L48" s="61">
        <f t="shared" si="99"/>
        <v>0.25675134006607914</v>
      </c>
      <c r="M48" s="61">
        <f>'Proposed Rates'!B91</f>
        <v>16.62</v>
      </c>
      <c r="N48" s="61">
        <f t="shared" si="100"/>
        <v>16.876751340066079</v>
      </c>
      <c r="O48" s="61">
        <f>'Proposed Rates'!D91</f>
        <v>16.876751340066079</v>
      </c>
      <c r="P48" s="61">
        <f t="shared" si="101"/>
        <v>1711.8600000000001</v>
      </c>
      <c r="Q48" s="61">
        <f t="shared" si="102"/>
        <v>1738.3053880268062</v>
      </c>
      <c r="R48" s="61">
        <f t="shared" si="103"/>
        <v>26.445388026806086</v>
      </c>
      <c r="S48" s="61">
        <f t="shared" si="104"/>
        <v>1738.3053880268062</v>
      </c>
      <c r="T48" s="61">
        <f t="shared" si="105"/>
        <v>0</v>
      </c>
      <c r="U48" s="64">
        <f t="shared" si="106"/>
        <v>16.876751340066079</v>
      </c>
      <c r="V48" s="64">
        <f t="shared" si="107"/>
        <v>1738.3053880268062</v>
      </c>
      <c r="W48" s="64">
        <f t="shared" si="108"/>
        <v>26.445388026806086</v>
      </c>
      <c r="X48" s="97">
        <f t="shared" si="72"/>
        <v>0</v>
      </c>
      <c r="Y48" s="217">
        <f t="shared" si="73"/>
        <v>0</v>
      </c>
    </row>
    <row r="49" spans="1:25" s="53" customFormat="1" ht="14.45" customHeight="1">
      <c r="A49" s="260"/>
      <c r="B49" s="108">
        <v>35</v>
      </c>
      <c r="C49" s="109" t="s">
        <v>598</v>
      </c>
      <c r="D49" s="50">
        <f>'Regulated Co Provided Priceout'!H102</f>
        <v>4.333333333333333</v>
      </c>
      <c r="E49" s="63">
        <f>References!$B$12</f>
        <v>1</v>
      </c>
      <c r="F49" s="62">
        <f>D49*E49*References!$G$22</f>
        <v>52</v>
      </c>
      <c r="G49" s="62">
        <f>References!B$38</f>
        <v>613</v>
      </c>
      <c r="H49" s="62">
        <f t="shared" si="98"/>
        <v>31876</v>
      </c>
      <c r="I49" s="38">
        <f t="shared" si="51"/>
        <v>17584.714808512457</v>
      </c>
      <c r="J49" s="61">
        <f>(References!$C$58*I49)</f>
        <v>16.96924979021453</v>
      </c>
      <c r="K49" s="61">
        <f>J49/References!$G$61</f>
        <v>17.302760498829468</v>
      </c>
      <c r="L49" s="61">
        <f t="shared" si="99"/>
        <v>0.33274539420825899</v>
      </c>
      <c r="M49" s="61">
        <f>'Proposed Rates'!B92</f>
        <v>20.010000000000002</v>
      </c>
      <c r="N49" s="61">
        <f t="shared" si="100"/>
        <v>20.342745394208261</v>
      </c>
      <c r="O49" s="61">
        <f>'Proposed Rates'!D92</f>
        <v>20.342745394208261</v>
      </c>
      <c r="P49" s="61">
        <f t="shared" si="101"/>
        <v>1040.52</v>
      </c>
      <c r="Q49" s="61">
        <f t="shared" si="102"/>
        <v>1057.8227604988297</v>
      </c>
      <c r="R49" s="61">
        <f t="shared" si="103"/>
        <v>17.302760498829684</v>
      </c>
      <c r="S49" s="61">
        <f t="shared" si="104"/>
        <v>1057.8227604988297</v>
      </c>
      <c r="T49" s="61">
        <f t="shared" si="105"/>
        <v>0</v>
      </c>
      <c r="U49" s="64">
        <f t="shared" si="106"/>
        <v>20.342745394208261</v>
      </c>
      <c r="V49" s="64">
        <f t="shared" si="107"/>
        <v>1057.8227604988297</v>
      </c>
      <c r="W49" s="64">
        <f t="shared" si="108"/>
        <v>17.302760498829684</v>
      </c>
      <c r="X49" s="97">
        <f t="shared" si="72"/>
        <v>0</v>
      </c>
      <c r="Y49" s="217">
        <f t="shared" si="73"/>
        <v>0</v>
      </c>
    </row>
    <row r="50" spans="1:25" s="53" customFormat="1" ht="14.45" customHeight="1">
      <c r="A50" s="260"/>
      <c r="B50" s="108">
        <v>35</v>
      </c>
      <c r="C50" s="109" t="s">
        <v>599</v>
      </c>
      <c r="D50" s="50">
        <f>'Regulated Co Provided Priceout'!H103</f>
        <v>5.416666666666667</v>
      </c>
      <c r="E50" s="63">
        <f>References!$B$12</f>
        <v>1</v>
      </c>
      <c r="F50" s="62">
        <f>D50*E50*References!$G$22</f>
        <v>65</v>
      </c>
      <c r="G50" s="62">
        <f>References!$B$40</f>
        <v>840</v>
      </c>
      <c r="H50" s="62">
        <f t="shared" si="98"/>
        <v>54600</v>
      </c>
      <c r="I50" s="38">
        <f t="shared" si="51"/>
        <v>30120.637110828844</v>
      </c>
      <c r="J50" s="61">
        <f>(References!$C$58*I50)</f>
        <v>29.066414811949851</v>
      </c>
      <c r="K50" s="61">
        <f>J50/References!$G$61</f>
        <v>29.637681115450153</v>
      </c>
      <c r="L50" s="61">
        <f t="shared" si="99"/>
        <v>0.45596432485307931</v>
      </c>
      <c r="M50" s="61">
        <f>'Proposed Rates'!B93</f>
        <v>27.29</v>
      </c>
      <c r="N50" s="61">
        <f t="shared" si="100"/>
        <v>27.745964324853077</v>
      </c>
      <c r="O50" s="61">
        <f>'Proposed Rates'!D93</f>
        <v>27.745964324853077</v>
      </c>
      <c r="P50" s="61">
        <f t="shared" si="101"/>
        <v>1773.85</v>
      </c>
      <c r="Q50" s="61">
        <f t="shared" si="102"/>
        <v>1803.48768111545</v>
      </c>
      <c r="R50" s="61">
        <f t="shared" si="103"/>
        <v>29.63768111545005</v>
      </c>
      <c r="S50" s="61">
        <f t="shared" si="104"/>
        <v>1803.48768111545</v>
      </c>
      <c r="T50" s="61">
        <f t="shared" si="105"/>
        <v>0</v>
      </c>
      <c r="U50" s="64">
        <f t="shared" si="106"/>
        <v>27.745964324853077</v>
      </c>
      <c r="V50" s="64">
        <f t="shared" si="107"/>
        <v>1803.48768111545</v>
      </c>
      <c r="W50" s="64">
        <f t="shared" si="108"/>
        <v>29.63768111545005</v>
      </c>
      <c r="X50" s="97">
        <f t="shared" si="72"/>
        <v>0</v>
      </c>
      <c r="Y50" s="217">
        <f t="shared" si="73"/>
        <v>0</v>
      </c>
    </row>
    <row r="51" spans="1:25" s="53" customFormat="1" ht="14.45" customHeight="1">
      <c r="A51" s="260"/>
      <c r="B51" s="108">
        <v>28</v>
      </c>
      <c r="C51" s="109" t="s">
        <v>601</v>
      </c>
      <c r="D51" s="50">
        <f>'Regulated Co Provided Priceout'!H104</f>
        <v>436.20279383429676</v>
      </c>
      <c r="E51" s="63">
        <f>References!$B$12</f>
        <v>1</v>
      </c>
      <c r="F51" s="62">
        <f>D51*E51*References!$G$22</f>
        <v>5234.4335260115613</v>
      </c>
      <c r="G51" s="62">
        <f>References!B51</f>
        <v>125</v>
      </c>
      <c r="H51" s="62">
        <f t="shared" ref="H51" si="109">F51*G51</f>
        <v>654304.19075144513</v>
      </c>
      <c r="I51" s="38">
        <f t="shared" si="51"/>
        <v>360953.46318166325</v>
      </c>
      <c r="J51" s="61">
        <f>(References!$C$58*I51)</f>
        <v>348.32009197030521</v>
      </c>
      <c r="K51" s="61">
        <f>J51/References!$G$61</f>
        <v>355.1659149815751</v>
      </c>
      <c r="L51" s="61">
        <f t="shared" ref="L51" si="110">K51/F51</f>
        <v>6.7851834055517743E-2</v>
      </c>
      <c r="M51" s="61">
        <f>'Proposed Rates'!B62</f>
        <v>7.1</v>
      </c>
      <c r="N51" s="61">
        <f t="shared" ref="N51" si="111">L51+M51</f>
        <v>7.1678518340555177</v>
      </c>
      <c r="O51" s="61">
        <f>'Proposed Rates'!D62</f>
        <v>7.1678518340555177</v>
      </c>
      <c r="P51" s="61">
        <f t="shared" ref="P51" si="112">F51*M51</f>
        <v>37164.478034682084</v>
      </c>
      <c r="Q51" s="61">
        <f t="shared" ref="Q51" si="113">F51*O51</f>
        <v>37519.643949663659</v>
      </c>
      <c r="R51" s="61">
        <f t="shared" ref="R51" si="114">Q51-P51</f>
        <v>355.16591498157504</v>
      </c>
      <c r="S51" s="61">
        <f t="shared" ref="S51" si="115">F51*N51</f>
        <v>37519.643949663659</v>
      </c>
      <c r="T51" s="61">
        <f t="shared" ref="T51" si="116">Q51-S51</f>
        <v>0</v>
      </c>
      <c r="U51" s="64">
        <f t="shared" ref="U51" si="117">N51</f>
        <v>7.1678518340555177</v>
      </c>
      <c r="V51" s="64">
        <f t="shared" ref="V51" si="118">F51*U51</f>
        <v>37519.643949663659</v>
      </c>
      <c r="W51" s="64">
        <f t="shared" ref="W51" si="119">V51-P51</f>
        <v>355.16591498157504</v>
      </c>
      <c r="X51" s="97">
        <f t="shared" si="72"/>
        <v>0</v>
      </c>
      <c r="Y51" s="217">
        <f t="shared" si="73"/>
        <v>0</v>
      </c>
    </row>
    <row r="52" spans="1:25" s="53" customFormat="1" ht="14.45" customHeight="1">
      <c r="A52" s="260"/>
      <c r="B52" s="108">
        <v>28</v>
      </c>
      <c r="C52" s="109" t="s">
        <v>602</v>
      </c>
      <c r="D52" s="50">
        <f>'Regulated Co Provided Priceout'!H105</f>
        <v>5.6666666666666679</v>
      </c>
      <c r="E52" s="63">
        <f>References!$B$12</f>
        <v>1</v>
      </c>
      <c r="F52" s="62">
        <f>D52*E52*References!$G$22</f>
        <v>68.000000000000014</v>
      </c>
      <c r="G52" s="62">
        <f>References!B51</f>
        <v>125</v>
      </c>
      <c r="H52" s="62">
        <f t="shared" ref="H52" si="120">F52*G52</f>
        <v>8500.0000000000018</v>
      </c>
      <c r="I52" s="38">
        <f t="shared" si="51"/>
        <v>4689.1101729312313</v>
      </c>
      <c r="J52" s="61">
        <f>(References!$C$58*I52)</f>
        <v>4.5249913168786406</v>
      </c>
      <c r="K52" s="61">
        <f>J52/References!$G$61</f>
        <v>4.6139247157752079</v>
      </c>
      <c r="L52" s="61">
        <f t="shared" ref="L52" si="121">K52/F52</f>
        <v>6.7851834055517743E-2</v>
      </c>
      <c r="M52" s="61">
        <f>'Proposed Rates'!B63</f>
        <v>6.38</v>
      </c>
      <c r="N52" s="61">
        <f t="shared" ref="N52" si="122">L52+M52</f>
        <v>6.447851834055518</v>
      </c>
      <c r="O52" s="61">
        <f>'Proposed Rates'!D63</f>
        <v>6.447851834055518</v>
      </c>
      <c r="P52" s="61">
        <f t="shared" ref="P52" si="123">F52*M52</f>
        <v>433.84000000000009</v>
      </c>
      <c r="Q52" s="61">
        <f t="shared" ref="Q52" si="124">F52*O52</f>
        <v>438.45392471577532</v>
      </c>
      <c r="R52" s="61">
        <f t="shared" ref="R52" si="125">Q52-P52</f>
        <v>4.6139247157752266</v>
      </c>
      <c r="S52" s="61">
        <f t="shared" ref="S52" si="126">F52*N52</f>
        <v>438.45392471577532</v>
      </c>
      <c r="T52" s="61">
        <f t="shared" ref="T52" si="127">Q52-S52</f>
        <v>0</v>
      </c>
      <c r="U52" s="64">
        <f t="shared" ref="U52" si="128">N52</f>
        <v>6.447851834055518</v>
      </c>
      <c r="V52" s="64">
        <f t="shared" ref="V52" si="129">F52*U52</f>
        <v>438.45392471577532</v>
      </c>
      <c r="W52" s="64">
        <f t="shared" ref="W52" si="130">V52-P52</f>
        <v>4.6139247157752266</v>
      </c>
      <c r="X52" s="97">
        <f t="shared" si="72"/>
        <v>0</v>
      </c>
      <c r="Y52" s="217">
        <f t="shared" si="73"/>
        <v>0</v>
      </c>
    </row>
    <row r="53" spans="1:25" s="53" customFormat="1" ht="14.45" customHeight="1">
      <c r="A53" s="260"/>
      <c r="B53" s="39">
        <v>38</v>
      </c>
      <c r="C53" s="53" t="s">
        <v>585</v>
      </c>
      <c r="D53" s="50">
        <f>'Regulated Co Provided Priceout'!H85</f>
        <v>6.6599831406551075</v>
      </c>
      <c r="E53" s="63">
        <f>References!$B$12</f>
        <v>1</v>
      </c>
      <c r="F53" s="62">
        <f>D53*E53*References!$G$22</f>
        <v>79.919797687861291</v>
      </c>
      <c r="G53" s="62">
        <f>References!B47</f>
        <v>1686</v>
      </c>
      <c r="H53" s="62">
        <f t="shared" si="87"/>
        <v>134744.77890173413</v>
      </c>
      <c r="I53" s="38">
        <f t="shared" si="51"/>
        <v>74333.307470293046</v>
      </c>
      <c r="J53" s="61">
        <f>(References!$C$58*I53)</f>
        <v>71.731641708832839</v>
      </c>
      <c r="K53" s="61">
        <f>J53/References!$G$61</f>
        <v>73.14144302310315</v>
      </c>
      <c r="L53" s="61">
        <f t="shared" si="88"/>
        <v>0.91518553774082345</v>
      </c>
      <c r="M53" s="61">
        <f>'Proposed Rates'!B134</f>
        <v>42.6</v>
      </c>
      <c r="N53" s="61">
        <f t="shared" si="89"/>
        <v>43.515185537740827</v>
      </c>
      <c r="O53" s="61">
        <f>'Proposed Rates'!D134</f>
        <v>43.515185537740827</v>
      </c>
      <c r="P53" s="61">
        <f t="shared" si="90"/>
        <v>3404.5833815028909</v>
      </c>
      <c r="Q53" s="61">
        <f t="shared" si="91"/>
        <v>3477.7248245259943</v>
      </c>
      <c r="R53" s="61">
        <f t="shared" si="92"/>
        <v>73.14144302310342</v>
      </c>
      <c r="S53" s="61">
        <f t="shared" si="93"/>
        <v>3477.7248245259943</v>
      </c>
      <c r="T53" s="61">
        <f t="shared" si="94"/>
        <v>0</v>
      </c>
      <c r="U53" s="64">
        <f t="shared" si="95"/>
        <v>43.515185537740827</v>
      </c>
      <c r="V53" s="64">
        <f t="shared" si="96"/>
        <v>3477.7248245259943</v>
      </c>
      <c r="W53" s="64">
        <f t="shared" si="97"/>
        <v>73.14144302310342</v>
      </c>
      <c r="X53" s="97">
        <f t="shared" si="72"/>
        <v>0</v>
      </c>
      <c r="Y53" s="217">
        <f t="shared" si="73"/>
        <v>0</v>
      </c>
    </row>
    <row r="54" spans="1:25" s="53" customFormat="1" ht="14.45" customHeight="1">
      <c r="A54" s="260"/>
      <c r="B54" s="39">
        <v>37</v>
      </c>
      <c r="C54" s="53" t="s">
        <v>586</v>
      </c>
      <c r="D54" s="62">
        <f>'Regulated Co Provided Priceout'!H91</f>
        <v>1804.2170641680866</v>
      </c>
      <c r="E54" s="63">
        <f>References!$B$10</f>
        <v>4.333333333333333</v>
      </c>
      <c r="F54" s="62">
        <f>D54*E54*References!$G$22</f>
        <v>93819.287336740497</v>
      </c>
      <c r="G54" s="62">
        <f>References!B31</f>
        <v>29</v>
      </c>
      <c r="H54" s="62">
        <f t="shared" si="87"/>
        <v>2720759.3327654744</v>
      </c>
      <c r="I54" s="38">
        <f t="shared" si="51"/>
        <v>1500934.1488668439</v>
      </c>
      <c r="J54" s="61">
        <f>(References!$C$58*I54)</f>
        <v>1448.4014536565053</v>
      </c>
      <c r="K54" s="61">
        <f>J54/References!$G$61</f>
        <v>1476.8680860144336</v>
      </c>
      <c r="L54" s="61">
        <f>K54/F54*E54</f>
        <v>6.8213710503813849E-2</v>
      </c>
      <c r="M54" s="61">
        <f>'Proposed Rates'!B129</f>
        <v>6.02</v>
      </c>
      <c r="N54" s="61">
        <f t="shared" si="89"/>
        <v>6.0882137105038137</v>
      </c>
      <c r="O54" s="61">
        <f>'Proposed Rates'!D129</f>
        <v>6.0882137105038137</v>
      </c>
      <c r="P54" s="61">
        <f t="shared" ref="P54" si="131">D54*M54*12</f>
        <v>130336.64071550258</v>
      </c>
      <c r="Q54" s="61">
        <f t="shared" ref="Q54" si="132">D54*O54*12</f>
        <v>131813.50880151702</v>
      </c>
      <c r="R54" s="61">
        <f t="shared" si="92"/>
        <v>1476.8680860144377</v>
      </c>
      <c r="S54" s="61">
        <f t="shared" ref="S54" si="133">D54*N54*12</f>
        <v>131813.50880151702</v>
      </c>
      <c r="T54" s="61">
        <f t="shared" si="94"/>
        <v>0</v>
      </c>
      <c r="U54" s="64">
        <f t="shared" ref="U54:U64" si="134">N54</f>
        <v>6.0882137105038137</v>
      </c>
      <c r="V54" s="64">
        <f t="shared" ref="V54" si="135">D54*U54*12</f>
        <v>131813.50880151702</v>
      </c>
      <c r="W54" s="64">
        <f t="shared" si="97"/>
        <v>1476.8680860144377</v>
      </c>
      <c r="X54" s="97">
        <f t="shared" si="72"/>
        <v>0</v>
      </c>
      <c r="Y54" s="217">
        <f t="shared" si="73"/>
        <v>0</v>
      </c>
    </row>
    <row r="55" spans="1:25" s="53" customFormat="1" ht="14.45" customHeight="1">
      <c r="A55" s="260"/>
      <c r="B55" s="39">
        <v>37</v>
      </c>
      <c r="C55" s="53" t="s">
        <v>591</v>
      </c>
      <c r="D55" s="62">
        <f>'Regulated Co Provided Priceout'!H92</f>
        <v>61.874251497005993</v>
      </c>
      <c r="E55" s="63">
        <f>References!$B$9</f>
        <v>8.6666666666666661</v>
      </c>
      <c r="F55" s="62">
        <f>D55*E55*References!$G$22</f>
        <v>6434.9221556886223</v>
      </c>
      <c r="G55" s="62">
        <f>G54</f>
        <v>29</v>
      </c>
      <c r="H55" s="62">
        <f t="shared" si="87"/>
        <v>186612.74251497004</v>
      </c>
      <c r="I55" s="38">
        <f t="shared" si="51"/>
        <v>102946.78933241674</v>
      </c>
      <c r="J55" s="61">
        <f>(References!$C$58*I55)</f>
        <v>99.343651705782207</v>
      </c>
      <c r="K55" s="61">
        <f>J55/References!$G$61</f>
        <v>101.29613470216647</v>
      </c>
      <c r="L55" s="61">
        <f t="shared" si="88"/>
        <v>1.5741625500880117E-2</v>
      </c>
      <c r="M55" s="61">
        <f>'Proposed Rates'!B113</f>
        <v>1.39</v>
      </c>
      <c r="N55" s="61">
        <f t="shared" ref="N55" si="136">L55+M55</f>
        <v>1.4057416255008801</v>
      </c>
      <c r="O55" s="61">
        <f>'Proposed Rates'!D113</f>
        <v>1.4057416255008801</v>
      </c>
      <c r="P55" s="61">
        <f t="shared" ref="P55" si="137">F55*M55</f>
        <v>8944.5417964071839</v>
      </c>
      <c r="Q55" s="61">
        <f t="shared" ref="Q55" si="138">F55*O55</f>
        <v>9045.8379311093522</v>
      </c>
      <c r="R55" s="61">
        <f t="shared" ref="R55" si="139">Q55-P55</f>
        <v>101.29613470216827</v>
      </c>
      <c r="S55" s="61">
        <f t="shared" ref="S55" si="140">F55*N55</f>
        <v>9045.8379311093522</v>
      </c>
      <c r="T55" s="61">
        <f t="shared" ref="T55" si="141">Q55-S55</f>
        <v>0</v>
      </c>
      <c r="U55" s="64">
        <f t="shared" si="134"/>
        <v>1.4057416255008801</v>
      </c>
      <c r="V55" s="64">
        <f t="shared" ref="V55:V64" si="142">F55*U55</f>
        <v>9045.8379311093522</v>
      </c>
      <c r="W55" s="64">
        <f t="shared" ref="W55:W64" si="143">V55-P55</f>
        <v>101.29613470216827</v>
      </c>
      <c r="X55" s="97">
        <f t="shared" si="72"/>
        <v>0</v>
      </c>
      <c r="Y55" s="217">
        <f t="shared" si="73"/>
        <v>0</v>
      </c>
    </row>
    <row r="56" spans="1:25" s="53" customFormat="1" ht="14.45" customHeight="1">
      <c r="A56" s="260"/>
      <c r="B56" s="39">
        <v>37</v>
      </c>
      <c r="C56" s="53" t="s">
        <v>118</v>
      </c>
      <c r="D56" s="62">
        <f>'Regulated Co Provided Priceout'!H93</f>
        <v>7.0209045990117831</v>
      </c>
      <c r="E56" s="63">
        <f>E24</f>
        <v>13</v>
      </c>
      <c r="F56" s="62">
        <f>D56*E56*References!$G$22</f>
        <v>1095.2611174458382</v>
      </c>
      <c r="G56" s="62">
        <f>References!B$31</f>
        <v>29</v>
      </c>
      <c r="H56" s="62">
        <f t="shared" si="87"/>
        <v>31762.572405929306</v>
      </c>
      <c r="I56" s="38">
        <f t="shared" si="51"/>
        <v>17522.141339659753</v>
      </c>
      <c r="J56" s="61">
        <f>(References!$C$58*I56)</f>
        <v>16.908866392771671</v>
      </c>
      <c r="K56" s="61">
        <f>J56/References!$G$61</f>
        <v>17.241190336507859</v>
      </c>
      <c r="L56" s="61">
        <f t="shared" si="88"/>
        <v>1.5741625500880117E-2</v>
      </c>
      <c r="M56" s="61">
        <f>'Proposed Rates'!B113</f>
        <v>1.39</v>
      </c>
      <c r="N56" s="61">
        <f t="shared" si="89"/>
        <v>1.4057416255008801</v>
      </c>
      <c r="O56" s="61">
        <f>'Proposed Rates'!$D$113</f>
        <v>1.4057416255008801</v>
      </c>
      <c r="P56" s="61">
        <f t="shared" si="90"/>
        <v>1522.412953249715</v>
      </c>
      <c r="Q56" s="61">
        <f t="shared" si="91"/>
        <v>1539.654143586223</v>
      </c>
      <c r="R56" s="61">
        <f t="shared" si="92"/>
        <v>17.241190336507998</v>
      </c>
      <c r="S56" s="61">
        <f t="shared" si="93"/>
        <v>1539.654143586223</v>
      </c>
      <c r="T56" s="61">
        <f t="shared" si="94"/>
        <v>0</v>
      </c>
      <c r="U56" s="64">
        <f t="shared" si="134"/>
        <v>1.4057416255008801</v>
      </c>
      <c r="V56" s="64">
        <f t="shared" si="142"/>
        <v>1539.654143586223</v>
      </c>
      <c r="W56" s="64">
        <f t="shared" si="143"/>
        <v>17.241190336507998</v>
      </c>
      <c r="X56" s="97">
        <f t="shared" si="72"/>
        <v>0</v>
      </c>
      <c r="Y56" s="217">
        <f t="shared" si="73"/>
        <v>0</v>
      </c>
    </row>
    <row r="57" spans="1:25" s="53" customFormat="1" ht="14.45" customHeight="1">
      <c r="A57" s="260"/>
      <c r="B57" s="39">
        <v>37</v>
      </c>
      <c r="C57" s="53" t="s">
        <v>592</v>
      </c>
      <c r="D57" s="62">
        <f>'Regulated Co Provided Priceout'!H94</f>
        <v>2.25</v>
      </c>
      <c r="E57" s="63">
        <f>References!$B$7</f>
        <v>17.333333333333332</v>
      </c>
      <c r="F57" s="62">
        <f>D57*E57*References!$G$22</f>
        <v>468</v>
      </c>
      <c r="G57" s="62">
        <f>References!B$31</f>
        <v>29</v>
      </c>
      <c r="H57" s="62">
        <f t="shared" ref="H57" si="144">F57*G57</f>
        <v>13572</v>
      </c>
      <c r="I57" s="38">
        <f t="shared" si="51"/>
        <v>7487.1297961203127</v>
      </c>
      <c r="J57" s="61">
        <f>(References!$C$58*I57)</f>
        <v>7.225080253256106</v>
      </c>
      <c r="K57" s="61">
        <f>J57/References!$G$61</f>
        <v>7.3670807344118954</v>
      </c>
      <c r="L57" s="61">
        <f t="shared" ref="L57" si="145">K57/F57</f>
        <v>1.5741625500880117E-2</v>
      </c>
      <c r="M57" s="61">
        <f>'Proposed Rates'!B113</f>
        <v>1.39</v>
      </c>
      <c r="N57" s="61">
        <f t="shared" ref="N57" si="146">L57+M57</f>
        <v>1.4057416255008801</v>
      </c>
      <c r="O57" s="61">
        <f>'Proposed Rates'!$D$113</f>
        <v>1.4057416255008801</v>
      </c>
      <c r="P57" s="61">
        <f t="shared" ref="P57" si="147">F57*M57</f>
        <v>650.52</v>
      </c>
      <c r="Q57" s="61">
        <f t="shared" ref="Q57" si="148">F57*O57</f>
        <v>657.88708073441194</v>
      </c>
      <c r="R57" s="61">
        <f t="shared" ref="R57" si="149">Q57-P57</f>
        <v>7.3670807344119567</v>
      </c>
      <c r="S57" s="61">
        <f t="shared" ref="S57" si="150">F57*N57</f>
        <v>657.88708073441194</v>
      </c>
      <c r="T57" s="61">
        <f t="shared" ref="T57" si="151">Q57-S57</f>
        <v>0</v>
      </c>
      <c r="U57" s="64">
        <f t="shared" si="134"/>
        <v>1.4057416255008801</v>
      </c>
      <c r="V57" s="64">
        <f t="shared" si="142"/>
        <v>657.88708073441194</v>
      </c>
      <c r="W57" s="64">
        <f t="shared" si="143"/>
        <v>7.3670807344119567</v>
      </c>
      <c r="X57" s="97">
        <f t="shared" si="72"/>
        <v>0</v>
      </c>
      <c r="Y57" s="217">
        <f t="shared" si="73"/>
        <v>0</v>
      </c>
    </row>
    <row r="58" spans="1:25" s="53" customFormat="1" ht="14.45" customHeight="1">
      <c r="A58" s="260"/>
      <c r="B58" s="39">
        <v>37</v>
      </c>
      <c r="C58" s="53" t="s">
        <v>593</v>
      </c>
      <c r="D58" s="62">
        <f>'Regulated Co Provided Priceout'!H95</f>
        <v>0.83333333333333337</v>
      </c>
      <c r="E58" s="63">
        <f>References!$B$6</f>
        <v>21.666666666666668</v>
      </c>
      <c r="F58" s="62">
        <f>D58*E58*References!$G$22</f>
        <v>216.66666666666669</v>
      </c>
      <c r="G58" s="62">
        <f>References!B$31</f>
        <v>29</v>
      </c>
      <c r="H58" s="62">
        <f t="shared" ref="H58" si="152">F58*G58</f>
        <v>6283.3333333333339</v>
      </c>
      <c r="I58" s="38">
        <f t="shared" si="51"/>
        <v>3466.2637945001452</v>
      </c>
      <c r="J58" s="61">
        <f>(References!$C$58*I58)</f>
        <v>3.3449445616926421</v>
      </c>
      <c r="K58" s="61">
        <f>J58/References!$G$61</f>
        <v>3.4106855251906927</v>
      </c>
      <c r="L58" s="61">
        <f t="shared" ref="L58" si="153">K58/F58</f>
        <v>1.5741625500880117E-2</v>
      </c>
      <c r="M58" s="61">
        <f>'Proposed Rates'!B113</f>
        <v>1.39</v>
      </c>
      <c r="N58" s="61">
        <f t="shared" ref="N58" si="154">L58+M58</f>
        <v>1.4057416255008801</v>
      </c>
      <c r="O58" s="61">
        <f>'Proposed Rates'!$D$113</f>
        <v>1.4057416255008801</v>
      </c>
      <c r="P58" s="61">
        <f t="shared" ref="P58" si="155">F58*M58</f>
        <v>301.16666666666669</v>
      </c>
      <c r="Q58" s="61">
        <f t="shared" ref="Q58" si="156">F58*O58</f>
        <v>304.57735219185736</v>
      </c>
      <c r="R58" s="61">
        <f t="shared" ref="R58" si="157">Q58-P58</f>
        <v>3.4106855251906723</v>
      </c>
      <c r="S58" s="61">
        <f t="shared" ref="S58" si="158">F58*N58</f>
        <v>304.57735219185736</v>
      </c>
      <c r="T58" s="61">
        <f t="shared" ref="T58" si="159">Q58-S58</f>
        <v>0</v>
      </c>
      <c r="U58" s="64">
        <f t="shared" si="134"/>
        <v>1.4057416255008801</v>
      </c>
      <c r="V58" s="64">
        <f t="shared" si="142"/>
        <v>304.57735219185736</v>
      </c>
      <c r="W58" s="64">
        <f t="shared" si="143"/>
        <v>3.4106855251906723</v>
      </c>
      <c r="X58" s="97">
        <f t="shared" si="72"/>
        <v>0</v>
      </c>
      <c r="Y58" s="217">
        <f t="shared" si="73"/>
        <v>0</v>
      </c>
    </row>
    <row r="59" spans="1:25" s="53" customFormat="1" ht="14.45" customHeight="1">
      <c r="A59" s="260"/>
      <c r="B59" s="39">
        <v>37</v>
      </c>
      <c r="C59" s="53" t="s">
        <v>594</v>
      </c>
      <c r="D59" s="62">
        <f>'Regulated Co Provided Priceout'!H99</f>
        <v>8.3333333333333329E-2</v>
      </c>
      <c r="E59" s="63">
        <f>References!$B$12</f>
        <v>1</v>
      </c>
      <c r="F59" s="62">
        <f>D59*E59*References!$G$22</f>
        <v>1</v>
      </c>
      <c r="G59" s="62">
        <f>References!B$31</f>
        <v>29</v>
      </c>
      <c r="H59" s="62">
        <f t="shared" ref="H59" si="160">F59*G59</f>
        <v>29</v>
      </c>
      <c r="I59" s="38">
        <f t="shared" si="51"/>
        <v>15.998140590000668</v>
      </c>
      <c r="J59" s="61">
        <f>(References!$C$58*I59)</f>
        <v>1.5438205669350655E-2</v>
      </c>
      <c r="K59" s="61">
        <f>J59/References!$G$61</f>
        <v>1.5741625500880121E-2</v>
      </c>
      <c r="L59" s="61">
        <f t="shared" ref="L59" si="161">K59/F59</f>
        <v>1.5741625500880121E-2</v>
      </c>
      <c r="M59" s="61">
        <f>'Proposed Rates'!B115</f>
        <v>1.8</v>
      </c>
      <c r="N59" s="61">
        <f t="shared" ref="N59" si="162">L59+M59</f>
        <v>1.8157416255008803</v>
      </c>
      <c r="O59" s="61">
        <f>'Proposed Rates'!$D$115</f>
        <v>1.8157416255008803</v>
      </c>
      <c r="P59" s="61">
        <f t="shared" ref="P59" si="163">F59*M59</f>
        <v>1.8</v>
      </c>
      <c r="Q59" s="61">
        <f t="shared" ref="Q59" si="164">F59*O59</f>
        <v>1.8157416255008803</v>
      </c>
      <c r="R59" s="61">
        <f t="shared" ref="R59" si="165">Q59-P59</f>
        <v>1.5741625500880208E-2</v>
      </c>
      <c r="S59" s="61">
        <f t="shared" ref="S59" si="166">F59*N59</f>
        <v>1.8157416255008803</v>
      </c>
      <c r="T59" s="61">
        <f t="shared" ref="T59" si="167">Q59-S59</f>
        <v>0</v>
      </c>
      <c r="U59" s="64">
        <f t="shared" si="134"/>
        <v>1.8157416255008803</v>
      </c>
      <c r="V59" s="64">
        <f t="shared" si="142"/>
        <v>1.8157416255008803</v>
      </c>
      <c r="W59" s="64">
        <f t="shared" si="143"/>
        <v>1.5741625500880208E-2</v>
      </c>
      <c r="X59" s="97">
        <f t="shared" si="72"/>
        <v>0</v>
      </c>
      <c r="Y59" s="217">
        <f t="shared" si="73"/>
        <v>0</v>
      </c>
    </row>
    <row r="60" spans="1:25" s="53" customFormat="1" ht="14.45" customHeight="1">
      <c r="A60" s="260"/>
      <c r="B60" s="39">
        <v>37</v>
      </c>
      <c r="C60" s="53" t="s">
        <v>603</v>
      </c>
      <c r="D60" s="62">
        <f>'Regulated Co Provided Priceout'!H106</f>
        <v>99.637419871794876</v>
      </c>
      <c r="E60" s="63">
        <f>References!$B$12</f>
        <v>1</v>
      </c>
      <c r="F60" s="62">
        <f>D60*E60*References!$G$22</f>
        <v>1195.6490384615386</v>
      </c>
      <c r="G60" s="62">
        <f>References!B$31</f>
        <v>29</v>
      </c>
      <c r="H60" s="62">
        <f t="shared" ref="H60" si="168">F60*G60</f>
        <v>34673.822115384617</v>
      </c>
      <c r="I60" s="38">
        <f t="shared" si="51"/>
        <v>19128.161413606809</v>
      </c>
      <c r="J60" s="61">
        <f>(References!$C$58*I60)</f>
        <v>18.458675764130582</v>
      </c>
      <c r="K60" s="61">
        <f>J60/References!$G$61</f>
        <v>18.821459393948949</v>
      </c>
      <c r="L60" s="61">
        <f t="shared" ref="L60" si="169">K60/F60</f>
        <v>1.5741625500880117E-2</v>
      </c>
      <c r="M60" s="61">
        <f>'Proposed Rates'!B130</f>
        <v>2.13</v>
      </c>
      <c r="N60" s="61">
        <f t="shared" ref="N60" si="170">L60+M60</f>
        <v>2.1457416255008801</v>
      </c>
      <c r="O60" s="61">
        <f>'Proposed Rates'!$D$130</f>
        <v>2.1457416255008801</v>
      </c>
      <c r="P60" s="61">
        <f t="shared" ref="P60" si="171">F60*M60</f>
        <v>2546.732451923077</v>
      </c>
      <c r="Q60" s="61">
        <f t="shared" ref="Q60" si="172">F60*O60</f>
        <v>2565.5539113170262</v>
      </c>
      <c r="R60" s="61">
        <f t="shared" ref="R60" si="173">Q60-P60</f>
        <v>18.821459393949226</v>
      </c>
      <c r="S60" s="61">
        <f t="shared" ref="S60" si="174">F60*N60</f>
        <v>2565.5539113170262</v>
      </c>
      <c r="T60" s="61">
        <f t="shared" ref="T60" si="175">Q60-S60</f>
        <v>0</v>
      </c>
      <c r="U60" s="64">
        <f t="shared" si="134"/>
        <v>2.1457416255008801</v>
      </c>
      <c r="V60" s="64">
        <f t="shared" si="142"/>
        <v>2565.5539113170262</v>
      </c>
      <c r="W60" s="64">
        <f t="shared" si="143"/>
        <v>18.821459393949226</v>
      </c>
      <c r="X60" s="97">
        <f t="shared" si="72"/>
        <v>0</v>
      </c>
      <c r="Y60" s="217">
        <f t="shared" si="73"/>
        <v>0</v>
      </c>
    </row>
    <row r="61" spans="1:25" s="53" customFormat="1" ht="14.45" customHeight="1">
      <c r="A61" s="260"/>
      <c r="B61" s="39">
        <v>37</v>
      </c>
      <c r="C61" s="53" t="s">
        <v>600</v>
      </c>
      <c r="D61" s="62">
        <f>'Regulated Co Provided Priceout'!H107</f>
        <v>7.2189922480620154</v>
      </c>
      <c r="E61" s="63">
        <f>References!$B$12</f>
        <v>1</v>
      </c>
      <c r="F61" s="62">
        <f>D61*E61*References!$G$22</f>
        <v>86.627906976744185</v>
      </c>
      <c r="G61" s="62">
        <f>References!B$31</f>
        <v>29</v>
      </c>
      <c r="H61" s="62">
        <f t="shared" ref="H61" si="176">F61*G61</f>
        <v>2512.2093023255816</v>
      </c>
      <c r="I61" s="38">
        <f t="shared" si="51"/>
        <v>1385.8854348314533</v>
      </c>
      <c r="J61" s="61">
        <f>(References!$C$58*I61)</f>
        <v>1.3373794446123533</v>
      </c>
      <c r="K61" s="61">
        <f>J61/References!$G$61</f>
        <v>1.3636640695529871</v>
      </c>
      <c r="L61" s="61">
        <f t="shared" ref="L61" si="177">K61/F61</f>
        <v>1.5741625500880121E-2</v>
      </c>
      <c r="M61" s="61">
        <f>'Proposed Rates'!B130</f>
        <v>2.13</v>
      </c>
      <c r="N61" s="61">
        <f t="shared" ref="N61" si="178">L61+M61</f>
        <v>2.1457416255008801</v>
      </c>
      <c r="O61" s="61">
        <f>'Proposed Rates'!D130</f>
        <v>2.1457416255008801</v>
      </c>
      <c r="P61" s="61">
        <f t="shared" ref="P61" si="179">F61*M61</f>
        <v>184.51744186046511</v>
      </c>
      <c r="Q61" s="61">
        <f t="shared" ref="Q61" si="180">F61*O61</f>
        <v>185.88110593001809</v>
      </c>
      <c r="R61" s="61">
        <f t="shared" ref="R61" si="181">Q61-P61</f>
        <v>1.363664069552982</v>
      </c>
      <c r="S61" s="61">
        <f t="shared" ref="S61" si="182">F61*N61</f>
        <v>185.88110593001809</v>
      </c>
      <c r="T61" s="61">
        <f t="shared" ref="T61" si="183">Q61-S61</f>
        <v>0</v>
      </c>
      <c r="U61" s="64">
        <f t="shared" si="134"/>
        <v>2.1457416255008801</v>
      </c>
      <c r="V61" s="64">
        <f t="shared" si="142"/>
        <v>185.88110593001809</v>
      </c>
      <c r="W61" s="64">
        <f t="shared" si="143"/>
        <v>1.363664069552982</v>
      </c>
      <c r="X61" s="97">
        <f t="shared" si="72"/>
        <v>0</v>
      </c>
      <c r="Y61" s="217">
        <f t="shared" si="73"/>
        <v>0</v>
      </c>
    </row>
    <row r="62" spans="1:25" s="53" customFormat="1" ht="14.45" customHeight="1">
      <c r="A62" s="260"/>
      <c r="B62" s="39">
        <v>36</v>
      </c>
      <c r="C62" s="51" t="s">
        <v>587</v>
      </c>
      <c r="D62" s="50">
        <f>'Regulated Co Provided Priceout'!H96</f>
        <v>54.489399869536847</v>
      </c>
      <c r="E62" s="63">
        <f>References!$B$10</f>
        <v>4.333333333333333</v>
      </c>
      <c r="F62" s="62">
        <f>D62*E62*References!$G$22</f>
        <v>2833.4487932159159</v>
      </c>
      <c r="G62" s="62">
        <f>References!B25</f>
        <v>48</v>
      </c>
      <c r="H62" s="62">
        <f t="shared" si="87"/>
        <v>136005.54207436397</v>
      </c>
      <c r="I62" s="38">
        <f t="shared" si="51"/>
        <v>75028.820107756066</v>
      </c>
      <c r="J62" s="61">
        <f>(References!$C$58*I62)</f>
        <v>72.402811403984643</v>
      </c>
      <c r="K62" s="61">
        <f>J62/References!$G$61</f>
        <v>73.825803771683852</v>
      </c>
      <c r="L62" s="61">
        <f t="shared" si="88"/>
        <v>2.6055104277318816E-2</v>
      </c>
      <c r="M62" s="61">
        <f>'Proposed Rates'!B103</f>
        <v>2.42</v>
      </c>
      <c r="N62" s="61">
        <f t="shared" si="89"/>
        <v>2.4460551042773186</v>
      </c>
      <c r="O62" s="61">
        <f>'Proposed Rates'!D103</f>
        <v>2.4460551042773186</v>
      </c>
      <c r="P62" s="61">
        <f t="shared" si="90"/>
        <v>6856.9460795825162</v>
      </c>
      <c r="Q62" s="61">
        <f t="shared" si="91"/>
        <v>6930.7718833541994</v>
      </c>
      <c r="R62" s="61">
        <f t="shared" si="92"/>
        <v>73.82580377168324</v>
      </c>
      <c r="S62" s="61">
        <f t="shared" si="93"/>
        <v>6930.7718833541994</v>
      </c>
      <c r="T62" s="61">
        <f t="shared" si="94"/>
        <v>0</v>
      </c>
      <c r="U62" s="64">
        <f t="shared" si="134"/>
        <v>2.4460551042773186</v>
      </c>
      <c r="V62" s="64">
        <f t="shared" si="142"/>
        <v>6930.7718833541994</v>
      </c>
      <c r="W62" s="64">
        <f t="shared" si="143"/>
        <v>73.82580377168324</v>
      </c>
      <c r="X62" s="97">
        <f t="shared" si="72"/>
        <v>0</v>
      </c>
      <c r="Y62" s="217">
        <f t="shared" si="73"/>
        <v>0</v>
      </c>
    </row>
    <row r="63" spans="1:25" s="53" customFormat="1" ht="14.45" customHeight="1">
      <c r="A63" s="260"/>
      <c r="B63" s="39">
        <v>36</v>
      </c>
      <c r="C63" s="51" t="s">
        <v>588</v>
      </c>
      <c r="D63" s="50">
        <f>'Regulated Co Provided Priceout'!H97</f>
        <v>11.54170514004309</v>
      </c>
      <c r="E63" s="63">
        <f>References!$B$10</f>
        <v>4.333333333333333</v>
      </c>
      <c r="F63" s="62">
        <f>D63*E63*References!$G$22</f>
        <v>600.16866728224068</v>
      </c>
      <c r="G63" s="62">
        <f>References!B26</f>
        <v>51</v>
      </c>
      <c r="H63" s="62">
        <f t="shared" si="87"/>
        <v>30608.602031394275</v>
      </c>
      <c r="I63" s="38">
        <f t="shared" si="51"/>
        <v>16885.542019366403</v>
      </c>
      <c r="J63" s="61">
        <f>(References!$C$58*I63)</f>
        <v>16.29454804868859</v>
      </c>
      <c r="K63" s="61">
        <f>J63/References!$G$61</f>
        <v>16.614798285644387</v>
      </c>
      <c r="L63" s="61">
        <f t="shared" si="88"/>
        <v>2.768354829465125E-2</v>
      </c>
      <c r="M63" s="61">
        <f>'Proposed Rates'!B106</f>
        <v>2.57</v>
      </c>
      <c r="N63" s="61">
        <f t="shared" si="89"/>
        <v>2.597683548294651</v>
      </c>
      <c r="O63" s="61">
        <f>'Proposed Rates'!D106</f>
        <v>2.597683548294651</v>
      </c>
      <c r="P63" s="61">
        <f t="shared" si="90"/>
        <v>1542.4334749153584</v>
      </c>
      <c r="Q63" s="61">
        <f t="shared" si="91"/>
        <v>1559.0482732010028</v>
      </c>
      <c r="R63" s="61">
        <f t="shared" si="92"/>
        <v>16.614798285644383</v>
      </c>
      <c r="S63" s="61">
        <f t="shared" si="93"/>
        <v>1559.0482732010028</v>
      </c>
      <c r="T63" s="61">
        <f t="shared" si="94"/>
        <v>0</v>
      </c>
      <c r="U63" s="64">
        <f t="shared" si="134"/>
        <v>2.597683548294651</v>
      </c>
      <c r="V63" s="64">
        <f t="shared" si="142"/>
        <v>1559.0482732010028</v>
      </c>
      <c r="W63" s="64">
        <f t="shared" si="143"/>
        <v>16.614798285644383</v>
      </c>
      <c r="X63" s="97">
        <f t="shared" si="72"/>
        <v>0</v>
      </c>
      <c r="Y63" s="217">
        <f t="shared" si="73"/>
        <v>0</v>
      </c>
    </row>
    <row r="64" spans="1:25" s="53" customFormat="1">
      <c r="A64" s="260"/>
      <c r="B64" s="39">
        <v>36</v>
      </c>
      <c r="C64" s="51" t="s">
        <v>589</v>
      </c>
      <c r="D64" s="50">
        <f>'Regulated Co Provided Priceout'!H98</f>
        <v>71.958333333333329</v>
      </c>
      <c r="E64" s="63">
        <f>References!$B$10</f>
        <v>4.333333333333333</v>
      </c>
      <c r="F64" s="62">
        <f>D64*E64*References!$G$22</f>
        <v>3741.833333333333</v>
      </c>
      <c r="G64" s="62">
        <f>References!B27</f>
        <v>77</v>
      </c>
      <c r="H64" s="62">
        <f t="shared" si="87"/>
        <v>288121.16666666663</v>
      </c>
      <c r="I64" s="38">
        <f t="shared" si="51"/>
        <v>158944.92866511541</v>
      </c>
      <c r="J64" s="61">
        <f>(References!$C$58*I64)</f>
        <v>153.38185616183645</v>
      </c>
      <c r="K64" s="61">
        <f>J64/References!$G$61</f>
        <v>156.39639670839068</v>
      </c>
      <c r="L64" s="61">
        <f t="shared" si="88"/>
        <v>4.1796729778198927E-2</v>
      </c>
      <c r="M64" s="61">
        <f>'Proposed Rates'!B109</f>
        <v>3.12</v>
      </c>
      <c r="N64" s="61">
        <f>M64+L64</f>
        <v>3.161796729778199</v>
      </c>
      <c r="O64" s="61">
        <f>'Proposed Rates'!D109</f>
        <v>3.161796729778199</v>
      </c>
      <c r="P64" s="61">
        <f t="shared" si="90"/>
        <v>11674.519999999999</v>
      </c>
      <c r="Q64" s="61">
        <f t="shared" si="91"/>
        <v>11830.91639670839</v>
      </c>
      <c r="R64" s="61">
        <f t="shared" si="92"/>
        <v>156.39639670839097</v>
      </c>
      <c r="S64" s="61">
        <f t="shared" si="93"/>
        <v>11830.91639670839</v>
      </c>
      <c r="T64" s="61">
        <f t="shared" si="94"/>
        <v>0</v>
      </c>
      <c r="U64" s="64">
        <f t="shared" si="134"/>
        <v>3.161796729778199</v>
      </c>
      <c r="V64" s="64">
        <f t="shared" si="142"/>
        <v>11830.91639670839</v>
      </c>
      <c r="W64" s="64">
        <f t="shared" si="143"/>
        <v>156.39639670839097</v>
      </c>
      <c r="X64" s="97">
        <f t="shared" si="72"/>
        <v>0</v>
      </c>
      <c r="Y64" s="217">
        <f t="shared" si="73"/>
        <v>0</v>
      </c>
    </row>
    <row r="65" spans="1:1372">
      <c r="A65" s="203"/>
      <c r="B65" s="40"/>
      <c r="C65" s="42" t="s">
        <v>17</v>
      </c>
      <c r="D65" s="43">
        <f>SUM(D21:D64)</f>
        <v>8647.8207967222042</v>
      </c>
      <c r="E65" s="44"/>
      <c r="F65" s="45">
        <f>SUM(F21:F64)</f>
        <v>466906.82495439524</v>
      </c>
      <c r="G65" s="46"/>
      <c r="H65" s="45">
        <f>SUM(H21:H64)</f>
        <v>133297505.62205578</v>
      </c>
      <c r="I65" s="47">
        <f>SUM(I21:I64)</f>
        <v>73534904.6633811</v>
      </c>
      <c r="J65" s="65"/>
      <c r="K65" s="65"/>
      <c r="L65" s="65"/>
      <c r="M65" s="65"/>
      <c r="N65" s="65"/>
      <c r="O65" s="65"/>
      <c r="P65" s="65">
        <f>SUM(P21:P64)</f>
        <v>3743886.970451599</v>
      </c>
      <c r="Q65" s="65">
        <f>SUM(Q21:Q64)</f>
        <v>3816242.8123034579</v>
      </c>
      <c r="R65" s="65">
        <f>SUM(R21:R64)</f>
        <v>72355.841851857258</v>
      </c>
      <c r="S65" s="65">
        <f>SUM(S21:S64)</f>
        <v>3816242.8123034579</v>
      </c>
      <c r="T65" s="65">
        <f>SUM(T21:T64)</f>
        <v>0</v>
      </c>
      <c r="U65" s="66"/>
      <c r="V65" s="65">
        <f>SUM(V21:V64)</f>
        <v>3816242.8123034579</v>
      </c>
      <c r="W65" s="65">
        <f>SUM(W21:W64)</f>
        <v>72355.841851857258</v>
      </c>
      <c r="X65" s="97">
        <f t="shared" si="72"/>
        <v>0</v>
      </c>
      <c r="Y65" s="217">
        <f t="shared" si="73"/>
        <v>0</v>
      </c>
      <c r="Z65" s="53"/>
    </row>
    <row r="66" spans="1:1372">
      <c r="C66" s="57" t="s">
        <v>3</v>
      </c>
      <c r="D66" s="58">
        <f>D20+D65</f>
        <v>23128.312445587086</v>
      </c>
      <c r="E66" s="58"/>
      <c r="F66" s="58">
        <f>F20+F65</f>
        <v>1095175.736982869</v>
      </c>
      <c r="G66" s="58"/>
      <c r="H66" s="58">
        <f>H20+H65</f>
        <v>165748387.50226393</v>
      </c>
      <c r="I66" s="58">
        <f>I20+I65</f>
        <v>91436758.821625069</v>
      </c>
      <c r="J66" s="61"/>
      <c r="K66" s="67"/>
      <c r="L66" s="67"/>
      <c r="M66" s="67"/>
      <c r="N66" s="67"/>
      <c r="O66" s="67"/>
      <c r="P66" s="67">
        <f>P20+P65</f>
        <v>5167903.6348067829</v>
      </c>
      <c r="Q66" s="67">
        <f>Q20+Q65</f>
        <v>5257874.2914769705</v>
      </c>
      <c r="R66" s="67">
        <f>R20+R65</f>
        <v>89970.656670185941</v>
      </c>
      <c r="S66" s="67">
        <f>S20+S65</f>
        <v>5257874.2914769705</v>
      </c>
      <c r="T66" s="67">
        <f>T20+T65</f>
        <v>0</v>
      </c>
      <c r="U66" s="67"/>
      <c r="V66" s="67">
        <f>V20+V65</f>
        <v>5257874.2914769705</v>
      </c>
      <c r="W66" s="67">
        <f>W20+W65</f>
        <v>89970.656670185941</v>
      </c>
      <c r="X66" s="97">
        <f t="shared" si="72"/>
        <v>0</v>
      </c>
      <c r="Y66" s="217">
        <f t="shared" si="73"/>
        <v>0</v>
      </c>
    </row>
    <row r="67" spans="1:1372">
      <c r="J67" s="49"/>
      <c r="M67" s="32"/>
      <c r="S67" s="54"/>
      <c r="X67" s="97"/>
      <c r="Y67" s="217"/>
    </row>
    <row r="68" spans="1:1372">
      <c r="A68" s="53"/>
      <c r="F68" s="107"/>
      <c r="H68" s="107"/>
      <c r="J68" s="49"/>
      <c r="S68" s="54"/>
      <c r="V68" s="32"/>
    </row>
    <row r="69" spans="1:1372" ht="15" customHeight="1">
      <c r="A69" s="213"/>
      <c r="B69" s="69"/>
      <c r="C69" s="73" t="s">
        <v>97</v>
      </c>
      <c r="D69" s="70"/>
      <c r="E69" s="68"/>
      <c r="F69" s="68"/>
      <c r="G69" s="68"/>
      <c r="H69" s="68"/>
      <c r="I69" s="71"/>
      <c r="J69" s="72"/>
      <c r="K69" s="68"/>
      <c r="L69" s="68"/>
      <c r="M69" s="68"/>
      <c r="N69" s="68"/>
      <c r="O69" s="68"/>
      <c r="Q69" s="51" t="s">
        <v>14</v>
      </c>
      <c r="R69" s="110">
        <f>R20</f>
        <v>17614.814818328676</v>
      </c>
      <c r="S69" s="102">
        <f>R20/P20</f>
        <v>1.2369809468700935E-2</v>
      </c>
    </row>
    <row r="70" spans="1:1372" s="99" customFormat="1" ht="14.45" customHeight="1">
      <c r="A70" s="202"/>
      <c r="B70" s="112">
        <v>38</v>
      </c>
      <c r="C70" s="99" t="s">
        <v>604</v>
      </c>
      <c r="D70" s="82">
        <v>0</v>
      </c>
      <c r="E70" s="113">
        <f>References!B$12</f>
        <v>1</v>
      </c>
      <c r="F70" s="82">
        <v>12</v>
      </c>
      <c r="G70" s="82">
        <f>References!B46</f>
        <v>1301</v>
      </c>
      <c r="H70" s="82">
        <f t="shared" ref="H70" si="184">F70*G70</f>
        <v>15612</v>
      </c>
      <c r="I70" s="114">
        <f t="shared" ref="I70" si="185">$D$82*H70</f>
        <v>8612.5162376238077</v>
      </c>
      <c r="J70" s="115">
        <f>(References!$C$58*I70)</f>
        <v>8.3110781693069793</v>
      </c>
      <c r="K70" s="115">
        <f>J70/References!$G$61</f>
        <v>8.4744226661979454</v>
      </c>
      <c r="L70" s="115">
        <f t="shared" ref="L70" si="186">K70/F70</f>
        <v>0.70620188884982882</v>
      </c>
      <c r="M70" s="115">
        <f>'Proposed Rates'!B133</f>
        <v>31.94</v>
      </c>
      <c r="N70" s="115">
        <f t="shared" ref="N70" si="187">L70+M70</f>
        <v>32.646201888849831</v>
      </c>
      <c r="O70" s="115">
        <f>'Proposed Rates'!D133</f>
        <v>32.646201888849831</v>
      </c>
      <c r="P70" s="61"/>
      <c r="Q70" s="51" t="s">
        <v>15</v>
      </c>
      <c r="R70" s="116">
        <f>R65</f>
        <v>72355.841851857258</v>
      </c>
      <c r="S70" s="118">
        <f>R65/P65</f>
        <v>1.9326395914973222E-2</v>
      </c>
      <c r="T70" s="61"/>
      <c r="U70" s="61"/>
      <c r="V70" s="61"/>
      <c r="W70" s="61"/>
      <c r="X70" s="97"/>
      <c r="Y70" s="91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  <c r="TA70" s="53"/>
      <c r="TB70" s="53"/>
      <c r="TC70" s="53"/>
      <c r="TD70" s="53"/>
      <c r="TE70" s="53"/>
      <c r="TF70" s="53"/>
      <c r="TG70" s="53"/>
      <c r="TH70" s="53"/>
      <c r="TI70" s="53"/>
      <c r="TJ70" s="53"/>
      <c r="TK70" s="53"/>
      <c r="TL70" s="53"/>
      <c r="TM70" s="53"/>
      <c r="TN70" s="53"/>
      <c r="TO70" s="53"/>
      <c r="TP70" s="53"/>
      <c r="TQ70" s="53"/>
      <c r="TR70" s="53"/>
      <c r="TS70" s="53"/>
      <c r="TT70" s="53"/>
      <c r="TU70" s="53"/>
      <c r="TV70" s="53"/>
      <c r="TW70" s="53"/>
      <c r="TX70" s="53"/>
      <c r="TY70" s="53"/>
      <c r="TZ70" s="53"/>
      <c r="UA70" s="53"/>
      <c r="UB70" s="53"/>
      <c r="UC70" s="53"/>
      <c r="UD70" s="53"/>
      <c r="UE70" s="53"/>
      <c r="UF70" s="53"/>
      <c r="UG70" s="53"/>
      <c r="UH70" s="53"/>
      <c r="UI70" s="53"/>
      <c r="UJ70" s="53"/>
      <c r="UK70" s="53"/>
      <c r="UL70" s="53"/>
      <c r="UM70" s="53"/>
      <c r="UN70" s="53"/>
      <c r="UO70" s="53"/>
      <c r="UP70" s="53"/>
      <c r="UQ70" s="53"/>
      <c r="UR70" s="53"/>
      <c r="US70" s="53"/>
      <c r="UT70" s="53"/>
      <c r="UU70" s="53"/>
      <c r="UV70" s="53"/>
      <c r="UW70" s="53"/>
      <c r="UX70" s="53"/>
      <c r="UY70" s="53"/>
      <c r="UZ70" s="53"/>
      <c r="VA70" s="53"/>
      <c r="VB70" s="53"/>
      <c r="VC70" s="53"/>
      <c r="VD70" s="53"/>
      <c r="VE70" s="53"/>
      <c r="VF70" s="53"/>
      <c r="VG70" s="53"/>
      <c r="VH70" s="53"/>
      <c r="VI70" s="53"/>
      <c r="VJ70" s="53"/>
      <c r="VK70" s="53"/>
      <c r="VL70" s="53"/>
      <c r="VM70" s="53"/>
      <c r="VN70" s="53"/>
      <c r="VO70" s="53"/>
      <c r="VP70" s="53"/>
      <c r="VQ70" s="53"/>
      <c r="VR70" s="53"/>
      <c r="VS70" s="53"/>
      <c r="VT70" s="53"/>
      <c r="VU70" s="53"/>
      <c r="VV70" s="53"/>
      <c r="VW70" s="53"/>
      <c r="VX70" s="53"/>
      <c r="VY70" s="53"/>
      <c r="VZ70" s="53"/>
      <c r="WA70" s="53"/>
      <c r="WB70" s="53"/>
      <c r="WC70" s="53"/>
      <c r="WD70" s="53"/>
      <c r="WE70" s="53"/>
      <c r="WF70" s="53"/>
      <c r="WG70" s="53"/>
      <c r="WH70" s="53"/>
      <c r="WI70" s="53"/>
      <c r="WJ70" s="53"/>
      <c r="WK70" s="53"/>
      <c r="WL70" s="53"/>
      <c r="WM70" s="53"/>
      <c r="WN70" s="53"/>
      <c r="WO70" s="53"/>
      <c r="WP70" s="53"/>
      <c r="WQ70" s="53"/>
      <c r="WR70" s="53"/>
      <c r="WS70" s="53"/>
      <c r="WT70" s="53"/>
      <c r="WU70" s="53"/>
      <c r="WV70" s="53"/>
      <c r="WW70" s="53"/>
      <c r="WX70" s="53"/>
      <c r="WY70" s="53"/>
      <c r="WZ70" s="53"/>
      <c r="XA70" s="53"/>
      <c r="XB70" s="53"/>
      <c r="XC70" s="53"/>
      <c r="XD70" s="53"/>
      <c r="XE70" s="53"/>
      <c r="XF70" s="53"/>
      <c r="XG70" s="53"/>
      <c r="XH70" s="53"/>
      <c r="XI70" s="53"/>
      <c r="XJ70" s="53"/>
      <c r="XK70" s="53"/>
      <c r="XL70" s="53"/>
      <c r="XM70" s="53"/>
      <c r="XN70" s="53"/>
      <c r="XO70" s="53"/>
      <c r="XP70" s="53"/>
      <c r="XQ70" s="53"/>
      <c r="XR70" s="53"/>
      <c r="XS70" s="53"/>
      <c r="XT70" s="53"/>
      <c r="XU70" s="53"/>
      <c r="XV70" s="53"/>
      <c r="XW70" s="53"/>
      <c r="XX70" s="53"/>
      <c r="XY70" s="53"/>
      <c r="XZ70" s="53"/>
      <c r="YA70" s="53"/>
      <c r="YB70" s="53"/>
      <c r="YC70" s="53"/>
      <c r="YD70" s="53"/>
      <c r="YE70" s="53"/>
      <c r="YF70" s="53"/>
      <c r="YG70" s="53"/>
      <c r="YH70" s="53"/>
      <c r="YI70" s="53"/>
      <c r="YJ70" s="53"/>
      <c r="YK70" s="53"/>
      <c r="YL70" s="53"/>
      <c r="YM70" s="53"/>
      <c r="YN70" s="53"/>
      <c r="YO70" s="53"/>
      <c r="YP70" s="53"/>
      <c r="YQ70" s="53"/>
      <c r="YR70" s="53"/>
      <c r="YS70" s="53"/>
      <c r="YT70" s="53"/>
      <c r="YU70" s="53"/>
      <c r="YV70" s="53"/>
      <c r="YW70" s="53"/>
      <c r="YX70" s="53"/>
      <c r="YY70" s="53"/>
      <c r="YZ70" s="53"/>
      <c r="ZA70" s="53"/>
      <c r="ZB70" s="53"/>
      <c r="ZC70" s="53"/>
      <c r="ZD70" s="53"/>
      <c r="ZE70" s="53"/>
      <c r="ZF70" s="53"/>
      <c r="ZG70" s="53"/>
      <c r="ZH70" s="53"/>
      <c r="ZI70" s="53"/>
      <c r="ZJ70" s="53"/>
      <c r="ZK70" s="53"/>
      <c r="ZL70" s="53"/>
      <c r="ZM70" s="53"/>
      <c r="ZN70" s="53"/>
      <c r="ZO70" s="53"/>
      <c r="ZP70" s="53"/>
      <c r="ZQ70" s="53"/>
      <c r="ZR70" s="53"/>
      <c r="ZS70" s="53"/>
      <c r="ZT70" s="53"/>
      <c r="ZU70" s="53"/>
      <c r="ZV70" s="53"/>
      <c r="ZW70" s="53"/>
      <c r="ZX70" s="53"/>
      <c r="ZY70" s="53"/>
      <c r="ZZ70" s="53"/>
      <c r="AAA70" s="53"/>
      <c r="AAB70" s="53"/>
      <c r="AAC70" s="53"/>
      <c r="AAD70" s="53"/>
      <c r="AAE70" s="53"/>
      <c r="AAF70" s="53"/>
      <c r="AAG70" s="53"/>
      <c r="AAH70" s="53"/>
      <c r="AAI70" s="53"/>
      <c r="AAJ70" s="53"/>
      <c r="AAK70" s="53"/>
      <c r="AAL70" s="53"/>
      <c r="AAM70" s="53"/>
      <c r="AAN70" s="53"/>
      <c r="AAO70" s="53"/>
      <c r="AAP70" s="53"/>
      <c r="AAQ70" s="53"/>
      <c r="AAR70" s="53"/>
      <c r="AAS70" s="53"/>
      <c r="AAT70" s="53"/>
      <c r="AAU70" s="53"/>
      <c r="AAV70" s="53"/>
      <c r="AAW70" s="53"/>
      <c r="AAX70" s="53"/>
      <c r="AAY70" s="53"/>
      <c r="AAZ70" s="53"/>
      <c r="ABA70" s="53"/>
      <c r="ABB70" s="53"/>
      <c r="ABC70" s="53"/>
      <c r="ABD70" s="53"/>
      <c r="ABE70" s="53"/>
      <c r="ABF70" s="53"/>
      <c r="ABG70" s="53"/>
      <c r="ABH70" s="53"/>
      <c r="ABI70" s="53"/>
      <c r="ABJ70" s="53"/>
      <c r="ABK70" s="53"/>
      <c r="ABL70" s="53"/>
      <c r="ABM70" s="53"/>
      <c r="ABN70" s="53"/>
      <c r="ABO70" s="53"/>
      <c r="ABP70" s="53"/>
      <c r="ABQ70" s="53"/>
      <c r="ABR70" s="53"/>
      <c r="ABS70" s="53"/>
      <c r="ABT70" s="53"/>
      <c r="ABU70" s="53"/>
      <c r="ABV70" s="53"/>
      <c r="ABW70" s="53"/>
      <c r="ABX70" s="53"/>
      <c r="ABY70" s="53"/>
      <c r="ABZ70" s="53"/>
      <c r="ACA70" s="53"/>
      <c r="ACB70" s="53"/>
      <c r="ACC70" s="53"/>
      <c r="ACD70" s="53"/>
      <c r="ACE70" s="53"/>
      <c r="ACF70" s="53"/>
      <c r="ACG70" s="53"/>
      <c r="ACH70" s="53"/>
      <c r="ACI70" s="53"/>
      <c r="ACJ70" s="53"/>
      <c r="ACK70" s="53"/>
      <c r="ACL70" s="53"/>
      <c r="ACM70" s="53"/>
      <c r="ACN70" s="53"/>
      <c r="ACO70" s="53"/>
      <c r="ACP70" s="53"/>
      <c r="ACQ70" s="53"/>
      <c r="ACR70" s="53"/>
      <c r="ACS70" s="53"/>
      <c r="ACT70" s="53"/>
      <c r="ACU70" s="53"/>
      <c r="ACV70" s="53"/>
      <c r="ACW70" s="53"/>
      <c r="ACX70" s="53"/>
      <c r="ACY70" s="53"/>
      <c r="ACZ70" s="53"/>
      <c r="ADA70" s="53"/>
      <c r="ADB70" s="53"/>
      <c r="ADC70" s="53"/>
      <c r="ADD70" s="53"/>
      <c r="ADE70" s="53"/>
      <c r="ADF70" s="53"/>
      <c r="ADG70" s="53"/>
      <c r="ADH70" s="53"/>
      <c r="ADI70" s="53"/>
      <c r="ADJ70" s="53"/>
      <c r="ADK70" s="53"/>
      <c r="ADL70" s="53"/>
      <c r="ADM70" s="53"/>
      <c r="ADN70" s="53"/>
      <c r="ADO70" s="53"/>
      <c r="ADP70" s="53"/>
      <c r="ADQ70" s="53"/>
      <c r="ADR70" s="53"/>
      <c r="ADS70" s="53"/>
      <c r="ADT70" s="53"/>
      <c r="ADU70" s="53"/>
      <c r="ADV70" s="53"/>
      <c r="ADW70" s="53"/>
      <c r="ADX70" s="53"/>
      <c r="ADY70" s="53"/>
      <c r="ADZ70" s="53"/>
      <c r="AEA70" s="53"/>
      <c r="AEB70" s="53"/>
      <c r="AEC70" s="53"/>
      <c r="AED70" s="53"/>
      <c r="AEE70" s="53"/>
      <c r="AEF70" s="53"/>
      <c r="AEG70" s="53"/>
      <c r="AEH70" s="53"/>
      <c r="AEI70" s="53"/>
      <c r="AEJ70" s="53"/>
      <c r="AEK70" s="53"/>
      <c r="AEL70" s="53"/>
      <c r="AEM70" s="53"/>
      <c r="AEN70" s="53"/>
      <c r="AEO70" s="53"/>
      <c r="AEP70" s="53"/>
      <c r="AEQ70" s="53"/>
      <c r="AER70" s="53"/>
      <c r="AES70" s="53"/>
      <c r="AET70" s="53"/>
      <c r="AEU70" s="53"/>
      <c r="AEV70" s="53"/>
      <c r="AEW70" s="53"/>
      <c r="AEX70" s="53"/>
      <c r="AEY70" s="53"/>
      <c r="AEZ70" s="53"/>
      <c r="AFA70" s="53"/>
      <c r="AFB70" s="53"/>
      <c r="AFC70" s="53"/>
      <c r="AFD70" s="53"/>
      <c r="AFE70" s="53"/>
      <c r="AFF70" s="53"/>
      <c r="AFG70" s="53"/>
      <c r="AFH70" s="53"/>
      <c r="AFI70" s="53"/>
      <c r="AFJ70" s="53"/>
      <c r="AFK70" s="53"/>
      <c r="AFL70" s="53"/>
      <c r="AFM70" s="53"/>
      <c r="AFN70" s="53"/>
      <c r="AFO70" s="53"/>
      <c r="AFP70" s="53"/>
      <c r="AFQ70" s="53"/>
      <c r="AFR70" s="53"/>
      <c r="AFS70" s="53"/>
      <c r="AFT70" s="53"/>
      <c r="AFU70" s="53"/>
      <c r="AFV70" s="53"/>
      <c r="AFW70" s="53"/>
      <c r="AFX70" s="53"/>
      <c r="AFY70" s="53"/>
      <c r="AFZ70" s="53"/>
      <c r="AGA70" s="53"/>
      <c r="AGB70" s="53"/>
      <c r="AGC70" s="53"/>
      <c r="AGD70" s="53"/>
      <c r="AGE70" s="53"/>
      <c r="AGF70" s="53"/>
      <c r="AGG70" s="53"/>
      <c r="AGH70" s="53"/>
      <c r="AGI70" s="53"/>
      <c r="AGJ70" s="53"/>
      <c r="AGK70" s="53"/>
      <c r="AGL70" s="53"/>
      <c r="AGM70" s="53"/>
      <c r="AGN70" s="53"/>
      <c r="AGO70" s="53"/>
      <c r="AGP70" s="53"/>
      <c r="AGQ70" s="53"/>
      <c r="AGR70" s="53"/>
      <c r="AGS70" s="53"/>
      <c r="AGT70" s="53"/>
      <c r="AGU70" s="53"/>
      <c r="AGV70" s="53"/>
      <c r="AGW70" s="53"/>
      <c r="AGX70" s="53"/>
      <c r="AGY70" s="53"/>
      <c r="AGZ70" s="53"/>
      <c r="AHA70" s="53"/>
      <c r="AHB70" s="53"/>
      <c r="AHC70" s="53"/>
      <c r="AHD70" s="53"/>
      <c r="AHE70" s="53"/>
      <c r="AHF70" s="53"/>
      <c r="AHG70" s="53"/>
      <c r="AHH70" s="53"/>
      <c r="AHI70" s="53"/>
      <c r="AHJ70" s="53"/>
      <c r="AHK70" s="53"/>
      <c r="AHL70" s="53"/>
      <c r="AHM70" s="53"/>
      <c r="AHN70" s="53"/>
      <c r="AHO70" s="53"/>
      <c r="AHP70" s="53"/>
      <c r="AHQ70" s="53"/>
      <c r="AHR70" s="53"/>
      <c r="AHS70" s="53"/>
      <c r="AHT70" s="53"/>
      <c r="AHU70" s="53"/>
      <c r="AHV70" s="53"/>
      <c r="AHW70" s="53"/>
      <c r="AHX70" s="53"/>
      <c r="AHY70" s="53"/>
      <c r="AHZ70" s="53"/>
      <c r="AIA70" s="53"/>
      <c r="AIB70" s="53"/>
      <c r="AIC70" s="53"/>
      <c r="AID70" s="53"/>
      <c r="AIE70" s="53"/>
      <c r="AIF70" s="53"/>
      <c r="AIG70" s="53"/>
      <c r="AIH70" s="53"/>
      <c r="AII70" s="53"/>
      <c r="AIJ70" s="53"/>
      <c r="AIK70" s="53"/>
      <c r="AIL70" s="53"/>
      <c r="AIM70" s="53"/>
      <c r="AIN70" s="53"/>
      <c r="AIO70" s="53"/>
      <c r="AIP70" s="53"/>
      <c r="AIQ70" s="53"/>
      <c r="AIR70" s="53"/>
      <c r="AIS70" s="53"/>
      <c r="AIT70" s="53"/>
      <c r="AIU70" s="53"/>
      <c r="AIV70" s="53"/>
      <c r="AIW70" s="53"/>
      <c r="AIX70" s="53"/>
      <c r="AIY70" s="53"/>
      <c r="AIZ70" s="53"/>
      <c r="AJA70" s="53"/>
      <c r="AJB70" s="53"/>
      <c r="AJC70" s="53"/>
      <c r="AJD70" s="53"/>
      <c r="AJE70" s="53"/>
      <c r="AJF70" s="53"/>
      <c r="AJG70" s="53"/>
      <c r="AJH70" s="53"/>
      <c r="AJI70" s="53"/>
      <c r="AJJ70" s="53"/>
      <c r="AJK70" s="53"/>
      <c r="AJL70" s="53"/>
      <c r="AJM70" s="53"/>
      <c r="AJN70" s="53"/>
      <c r="AJO70" s="53"/>
      <c r="AJP70" s="53"/>
      <c r="AJQ70" s="53"/>
      <c r="AJR70" s="53"/>
      <c r="AJS70" s="53"/>
      <c r="AJT70" s="53"/>
      <c r="AJU70" s="53"/>
      <c r="AJV70" s="53"/>
      <c r="AJW70" s="53"/>
      <c r="AJX70" s="53"/>
      <c r="AJY70" s="53"/>
      <c r="AJZ70" s="53"/>
      <c r="AKA70" s="53"/>
      <c r="AKB70" s="53"/>
      <c r="AKC70" s="53"/>
      <c r="AKD70" s="53"/>
      <c r="AKE70" s="53"/>
      <c r="AKF70" s="53"/>
      <c r="AKG70" s="53"/>
      <c r="AKH70" s="53"/>
      <c r="AKI70" s="53"/>
      <c r="AKJ70" s="53"/>
      <c r="AKK70" s="53"/>
      <c r="AKL70" s="53"/>
      <c r="AKM70" s="53"/>
      <c r="AKN70" s="53"/>
      <c r="AKO70" s="53"/>
      <c r="AKP70" s="53"/>
      <c r="AKQ70" s="53"/>
      <c r="AKR70" s="53"/>
      <c r="AKS70" s="53"/>
      <c r="AKT70" s="53"/>
      <c r="AKU70" s="53"/>
      <c r="AKV70" s="53"/>
      <c r="AKW70" s="53"/>
      <c r="AKX70" s="53"/>
      <c r="AKY70" s="53"/>
      <c r="AKZ70" s="53"/>
      <c r="ALA70" s="53"/>
      <c r="ALB70" s="53"/>
      <c r="ALC70" s="53"/>
      <c r="ALD70" s="53"/>
      <c r="ALE70" s="53"/>
      <c r="ALF70" s="53"/>
      <c r="ALG70" s="53"/>
      <c r="ALH70" s="53"/>
      <c r="ALI70" s="53"/>
      <c r="ALJ70" s="53"/>
      <c r="ALK70" s="53"/>
      <c r="ALL70" s="53"/>
      <c r="ALM70" s="53"/>
      <c r="ALN70" s="53"/>
      <c r="ALO70" s="53"/>
      <c r="ALP70" s="53"/>
      <c r="ALQ70" s="53"/>
      <c r="ALR70" s="53"/>
      <c r="ALS70" s="53"/>
      <c r="ALT70" s="53"/>
      <c r="ALU70" s="53"/>
      <c r="ALV70" s="53"/>
      <c r="ALW70" s="53"/>
      <c r="ALX70" s="53"/>
      <c r="ALY70" s="53"/>
      <c r="ALZ70" s="53"/>
      <c r="AMA70" s="53"/>
      <c r="AMB70" s="53"/>
      <c r="AMC70" s="53"/>
      <c r="AMD70" s="53"/>
      <c r="AME70" s="53"/>
      <c r="AMF70" s="53"/>
      <c r="AMG70" s="53"/>
      <c r="AMH70" s="53"/>
      <c r="AMI70" s="53"/>
      <c r="AMJ70" s="53"/>
      <c r="AMK70" s="53"/>
      <c r="AML70" s="53"/>
      <c r="AMM70" s="53"/>
      <c r="AMN70" s="53"/>
      <c r="AMO70" s="53"/>
      <c r="AMP70" s="53"/>
      <c r="AMQ70" s="53"/>
      <c r="AMR70" s="53"/>
      <c r="AMS70" s="53"/>
      <c r="AMT70" s="53"/>
      <c r="AMU70" s="53"/>
      <c r="AMV70" s="53"/>
      <c r="AMW70" s="53"/>
      <c r="AMX70" s="53"/>
      <c r="AMY70" s="53"/>
      <c r="AMZ70" s="53"/>
      <c r="ANA70" s="53"/>
      <c r="ANB70" s="53"/>
      <c r="ANC70" s="53"/>
      <c r="AND70" s="53"/>
      <c r="ANE70" s="53"/>
      <c r="ANF70" s="53"/>
      <c r="ANG70" s="53"/>
      <c r="ANH70" s="53"/>
      <c r="ANI70" s="53"/>
      <c r="ANJ70" s="53"/>
      <c r="ANK70" s="53"/>
      <c r="ANL70" s="53"/>
      <c r="ANM70" s="53"/>
      <c r="ANN70" s="53"/>
      <c r="ANO70" s="53"/>
      <c r="ANP70" s="53"/>
      <c r="ANQ70" s="53"/>
      <c r="ANR70" s="53"/>
      <c r="ANS70" s="53"/>
      <c r="ANT70" s="53"/>
      <c r="ANU70" s="53"/>
      <c r="ANV70" s="53"/>
      <c r="ANW70" s="53"/>
      <c r="ANX70" s="53"/>
      <c r="ANY70" s="53"/>
      <c r="ANZ70" s="53"/>
      <c r="AOA70" s="53"/>
      <c r="AOB70" s="53"/>
      <c r="AOC70" s="53"/>
      <c r="AOD70" s="53"/>
      <c r="AOE70" s="53"/>
      <c r="AOF70" s="53"/>
      <c r="AOG70" s="53"/>
      <c r="AOH70" s="53"/>
      <c r="AOI70" s="53"/>
      <c r="AOJ70" s="53"/>
      <c r="AOK70" s="53"/>
      <c r="AOL70" s="53"/>
      <c r="AOM70" s="53"/>
      <c r="AON70" s="53"/>
      <c r="AOO70" s="53"/>
      <c r="AOP70" s="53"/>
      <c r="AOQ70" s="53"/>
      <c r="AOR70" s="53"/>
      <c r="AOS70" s="53"/>
      <c r="AOT70" s="53"/>
      <c r="AOU70" s="53"/>
      <c r="AOV70" s="53"/>
      <c r="AOW70" s="53"/>
      <c r="AOX70" s="53"/>
      <c r="AOY70" s="53"/>
      <c r="AOZ70" s="53"/>
      <c r="APA70" s="53"/>
      <c r="APB70" s="53"/>
      <c r="APC70" s="53"/>
      <c r="APD70" s="53"/>
      <c r="APE70" s="53"/>
      <c r="APF70" s="53"/>
      <c r="APG70" s="53"/>
      <c r="APH70" s="53"/>
      <c r="API70" s="53"/>
      <c r="APJ70" s="53"/>
      <c r="APK70" s="53"/>
      <c r="APL70" s="53"/>
      <c r="APM70" s="53"/>
      <c r="APN70" s="53"/>
      <c r="APO70" s="53"/>
      <c r="APP70" s="53"/>
      <c r="APQ70" s="53"/>
      <c r="APR70" s="53"/>
      <c r="APS70" s="53"/>
      <c r="APT70" s="53"/>
      <c r="APU70" s="53"/>
      <c r="APV70" s="53"/>
      <c r="APW70" s="53"/>
      <c r="APX70" s="53"/>
      <c r="APY70" s="53"/>
      <c r="APZ70" s="53"/>
      <c r="AQA70" s="53"/>
      <c r="AQB70" s="53"/>
      <c r="AQC70" s="53"/>
      <c r="AQD70" s="53"/>
      <c r="AQE70" s="53"/>
      <c r="AQF70" s="53"/>
      <c r="AQG70" s="53"/>
      <c r="AQH70" s="53"/>
      <c r="AQI70" s="53"/>
      <c r="AQJ70" s="53"/>
      <c r="AQK70" s="53"/>
      <c r="AQL70" s="53"/>
      <c r="AQM70" s="53"/>
      <c r="AQN70" s="53"/>
      <c r="AQO70" s="53"/>
      <c r="AQP70" s="53"/>
      <c r="AQQ70" s="53"/>
      <c r="AQR70" s="53"/>
      <c r="AQS70" s="53"/>
      <c r="AQT70" s="53"/>
      <c r="AQU70" s="53"/>
      <c r="AQV70" s="53"/>
      <c r="AQW70" s="53"/>
      <c r="AQX70" s="53"/>
      <c r="AQY70" s="53"/>
      <c r="AQZ70" s="53"/>
      <c r="ARA70" s="53"/>
      <c r="ARB70" s="53"/>
      <c r="ARC70" s="53"/>
      <c r="ARD70" s="53"/>
      <c r="ARE70" s="53"/>
      <c r="ARF70" s="53"/>
      <c r="ARG70" s="53"/>
      <c r="ARH70" s="53"/>
      <c r="ARI70" s="53"/>
      <c r="ARJ70" s="53"/>
      <c r="ARK70" s="53"/>
      <c r="ARL70" s="53"/>
      <c r="ARM70" s="53"/>
      <c r="ARN70" s="53"/>
      <c r="ARO70" s="53"/>
      <c r="ARP70" s="53"/>
      <c r="ARQ70" s="53"/>
      <c r="ARR70" s="53"/>
      <c r="ARS70" s="53"/>
      <c r="ART70" s="53"/>
      <c r="ARU70" s="53"/>
      <c r="ARV70" s="53"/>
      <c r="ARW70" s="53"/>
      <c r="ARX70" s="53"/>
      <c r="ARY70" s="53"/>
      <c r="ARZ70" s="53"/>
      <c r="ASA70" s="53"/>
      <c r="ASB70" s="53"/>
      <c r="ASC70" s="53"/>
      <c r="ASD70" s="53"/>
      <c r="ASE70" s="53"/>
      <c r="ASF70" s="53"/>
      <c r="ASG70" s="53"/>
      <c r="ASH70" s="53"/>
      <c r="ASI70" s="53"/>
      <c r="ASJ70" s="53"/>
      <c r="ASK70" s="53"/>
      <c r="ASL70" s="53"/>
      <c r="ASM70" s="53"/>
      <c r="ASN70" s="53"/>
      <c r="ASO70" s="53"/>
      <c r="ASP70" s="53"/>
      <c r="ASQ70" s="53"/>
      <c r="ASR70" s="53"/>
      <c r="ASS70" s="53"/>
      <c r="AST70" s="53"/>
      <c r="ASU70" s="53"/>
      <c r="ASV70" s="53"/>
      <c r="ASW70" s="53"/>
      <c r="ASX70" s="53"/>
      <c r="ASY70" s="53"/>
      <c r="ASZ70" s="53"/>
      <c r="ATA70" s="53"/>
      <c r="ATB70" s="53"/>
      <c r="ATC70" s="53"/>
      <c r="ATD70" s="53"/>
      <c r="ATE70" s="53"/>
      <c r="ATF70" s="53"/>
      <c r="ATG70" s="53"/>
      <c r="ATH70" s="53"/>
      <c r="ATI70" s="53"/>
      <c r="ATJ70" s="53"/>
      <c r="ATK70" s="53"/>
      <c r="ATL70" s="53"/>
      <c r="ATM70" s="53"/>
      <c r="ATN70" s="53"/>
      <c r="ATO70" s="53"/>
      <c r="ATP70" s="53"/>
      <c r="ATQ70" s="53"/>
      <c r="ATR70" s="53"/>
      <c r="ATS70" s="53"/>
      <c r="ATT70" s="53"/>
      <c r="ATU70" s="53"/>
      <c r="ATV70" s="53"/>
      <c r="ATW70" s="53"/>
      <c r="ATX70" s="53"/>
      <c r="ATY70" s="53"/>
      <c r="ATZ70" s="53"/>
      <c r="AUA70" s="53"/>
      <c r="AUB70" s="53"/>
      <c r="AUC70" s="53"/>
      <c r="AUD70" s="53"/>
      <c r="AUE70" s="53"/>
      <c r="AUF70" s="53"/>
      <c r="AUG70" s="53"/>
      <c r="AUH70" s="53"/>
      <c r="AUI70" s="53"/>
      <c r="AUJ70" s="53"/>
      <c r="AUK70" s="53"/>
      <c r="AUL70" s="53"/>
      <c r="AUM70" s="53"/>
      <c r="AUN70" s="53"/>
      <c r="AUO70" s="53"/>
      <c r="AUP70" s="53"/>
      <c r="AUQ70" s="53"/>
      <c r="AUR70" s="53"/>
      <c r="AUS70" s="53"/>
      <c r="AUT70" s="53"/>
      <c r="AUU70" s="53"/>
      <c r="AUV70" s="53"/>
      <c r="AUW70" s="53"/>
      <c r="AUX70" s="53"/>
      <c r="AUY70" s="53"/>
      <c r="AUZ70" s="53"/>
      <c r="AVA70" s="53"/>
      <c r="AVB70" s="53"/>
      <c r="AVC70" s="53"/>
      <c r="AVD70" s="53"/>
      <c r="AVE70" s="53"/>
      <c r="AVF70" s="53"/>
      <c r="AVG70" s="53"/>
      <c r="AVH70" s="53"/>
      <c r="AVI70" s="53"/>
      <c r="AVJ70" s="53"/>
      <c r="AVK70" s="53"/>
      <c r="AVL70" s="53"/>
      <c r="AVM70" s="53"/>
      <c r="AVN70" s="53"/>
      <c r="AVO70" s="53"/>
      <c r="AVP70" s="53"/>
      <c r="AVQ70" s="53"/>
      <c r="AVR70" s="53"/>
      <c r="AVS70" s="53"/>
      <c r="AVT70" s="53"/>
      <c r="AVU70" s="53"/>
      <c r="AVV70" s="53"/>
      <c r="AVW70" s="53"/>
      <c r="AVX70" s="53"/>
      <c r="AVY70" s="53"/>
      <c r="AVZ70" s="53"/>
      <c r="AWA70" s="53"/>
      <c r="AWB70" s="53"/>
      <c r="AWC70" s="53"/>
      <c r="AWD70" s="53"/>
      <c r="AWE70" s="53"/>
      <c r="AWF70" s="53"/>
      <c r="AWG70" s="53"/>
      <c r="AWH70" s="53"/>
      <c r="AWI70" s="53"/>
      <c r="AWJ70" s="53"/>
      <c r="AWK70" s="53"/>
      <c r="AWL70" s="53"/>
      <c r="AWM70" s="53"/>
      <c r="AWN70" s="53"/>
      <c r="AWO70" s="53"/>
      <c r="AWP70" s="53"/>
      <c r="AWQ70" s="53"/>
      <c r="AWR70" s="53"/>
      <c r="AWS70" s="53"/>
      <c r="AWT70" s="53"/>
      <c r="AWU70" s="53"/>
      <c r="AWV70" s="53"/>
      <c r="AWW70" s="53"/>
      <c r="AWX70" s="53"/>
      <c r="AWY70" s="53"/>
      <c r="AWZ70" s="53"/>
      <c r="AXA70" s="53"/>
      <c r="AXB70" s="53"/>
      <c r="AXC70" s="53"/>
      <c r="AXD70" s="53"/>
      <c r="AXE70" s="53"/>
      <c r="AXF70" s="53"/>
      <c r="AXG70" s="53"/>
      <c r="AXH70" s="53"/>
      <c r="AXI70" s="53"/>
      <c r="AXJ70" s="53"/>
      <c r="AXK70" s="53"/>
      <c r="AXL70" s="53"/>
      <c r="AXM70" s="53"/>
      <c r="AXN70" s="53"/>
      <c r="AXO70" s="53"/>
      <c r="AXP70" s="53"/>
      <c r="AXQ70" s="53"/>
      <c r="AXR70" s="53"/>
      <c r="AXS70" s="53"/>
      <c r="AXT70" s="53"/>
      <c r="AXU70" s="53"/>
      <c r="AXV70" s="53"/>
      <c r="AXW70" s="53"/>
      <c r="AXX70" s="53"/>
      <c r="AXY70" s="53"/>
      <c r="AXZ70" s="53"/>
      <c r="AYA70" s="53"/>
      <c r="AYB70" s="53"/>
      <c r="AYC70" s="53"/>
      <c r="AYD70" s="53"/>
      <c r="AYE70" s="53"/>
      <c r="AYF70" s="53"/>
      <c r="AYG70" s="53"/>
      <c r="AYH70" s="53"/>
      <c r="AYI70" s="53"/>
      <c r="AYJ70" s="53"/>
      <c r="AYK70" s="53"/>
      <c r="AYL70" s="53"/>
      <c r="AYM70" s="53"/>
      <c r="AYN70" s="53"/>
      <c r="AYO70" s="53"/>
      <c r="AYP70" s="53"/>
      <c r="AYQ70" s="53"/>
      <c r="AYR70" s="53"/>
      <c r="AYS70" s="53"/>
      <c r="AYT70" s="53"/>
      <c r="AYU70" s="53"/>
      <c r="AYV70" s="53"/>
      <c r="AYW70" s="53"/>
      <c r="AYX70" s="53"/>
      <c r="AYY70" s="53"/>
      <c r="AYZ70" s="53"/>
      <c r="AZA70" s="53"/>
      <c r="AZB70" s="53"/>
      <c r="AZC70" s="53"/>
      <c r="AZD70" s="53"/>
      <c r="AZE70" s="53"/>
      <c r="AZF70" s="53"/>
      <c r="AZG70" s="53"/>
      <c r="AZH70" s="53"/>
      <c r="AZI70" s="53"/>
      <c r="AZJ70" s="53"/>
      <c r="AZK70" s="53"/>
      <c r="AZL70" s="53"/>
      <c r="AZM70" s="53"/>
      <c r="AZN70" s="53"/>
      <c r="AZO70" s="53"/>
      <c r="AZP70" s="53"/>
      <c r="AZQ70" s="53"/>
      <c r="AZR70" s="53"/>
      <c r="AZS70" s="53"/>
      <c r="AZT70" s="53"/>
    </row>
    <row r="71" spans="1:1372">
      <c r="A71" s="210"/>
      <c r="C71" s="81"/>
      <c r="D71" s="26"/>
      <c r="E71" s="18"/>
      <c r="F71" s="50"/>
      <c r="G71" s="62"/>
      <c r="H71" s="50"/>
      <c r="J71" s="61"/>
      <c r="K71" s="86"/>
      <c r="L71" s="61"/>
      <c r="M71" s="86"/>
      <c r="N71" s="86"/>
      <c r="O71" s="86"/>
      <c r="Q71" s="51" t="s">
        <v>17</v>
      </c>
      <c r="R71" s="127">
        <f>SUM(R69:R70)</f>
        <v>89970.656670185941</v>
      </c>
      <c r="S71" s="102"/>
    </row>
    <row r="72" spans="1:1372">
      <c r="A72" s="210"/>
      <c r="C72" s="81"/>
      <c r="D72" s="26"/>
      <c r="E72" s="18"/>
      <c r="F72" s="50"/>
      <c r="G72" s="62"/>
      <c r="H72" s="50"/>
      <c r="J72" s="61"/>
      <c r="K72" s="86"/>
      <c r="L72" s="61"/>
      <c r="M72" s="86"/>
      <c r="N72" s="86"/>
      <c r="O72" s="86"/>
      <c r="R72" s="110"/>
      <c r="S72" s="103"/>
    </row>
    <row r="73" spans="1:1372">
      <c r="A73" s="56"/>
      <c r="B73" s="35"/>
      <c r="C73" s="80"/>
      <c r="D73" s="74"/>
      <c r="E73" s="75"/>
      <c r="F73" s="27"/>
      <c r="G73" s="76"/>
      <c r="H73" s="27"/>
      <c r="I73" s="27"/>
      <c r="J73" s="85"/>
      <c r="K73" s="87"/>
      <c r="L73" s="85"/>
      <c r="M73" s="87"/>
      <c r="N73" s="87"/>
      <c r="O73" s="87"/>
      <c r="Q73" s="53" t="s">
        <v>605</v>
      </c>
      <c r="R73" s="128">
        <f>'Disposal Schedule'!E35/References!B56*References!B58</f>
        <v>73921.421715765609</v>
      </c>
      <c r="S73" s="118">
        <f>References!D58</f>
        <v>6.2479766914859167E-2</v>
      </c>
    </row>
    <row r="74" spans="1:1372">
      <c r="A74" s="56"/>
      <c r="C74" s="81"/>
      <c r="D74" s="26"/>
      <c r="E74" s="18"/>
      <c r="F74" s="50"/>
      <c r="G74" s="62"/>
      <c r="H74" s="50"/>
      <c r="J74" s="61"/>
      <c r="K74" s="86"/>
      <c r="L74" s="86"/>
      <c r="M74" s="86"/>
      <c r="N74" s="86"/>
      <c r="O74" s="61"/>
      <c r="Q74" s="61"/>
      <c r="R74" s="117"/>
      <c r="S74" s="103"/>
    </row>
    <row r="75" spans="1:1372">
      <c r="A75" s="56"/>
      <c r="C75" s="59"/>
      <c r="N75" s="61"/>
      <c r="Q75" s="53" t="s">
        <v>10</v>
      </c>
      <c r="R75" s="127">
        <f>R71+R73</f>
        <v>163892.07838595155</v>
      </c>
      <c r="S75" s="102"/>
    </row>
    <row r="76" spans="1:1372">
      <c r="A76" s="56"/>
      <c r="C76" s="59"/>
      <c r="R76" s="110"/>
      <c r="S76" s="102"/>
    </row>
    <row r="77" spans="1:1372">
      <c r="A77" s="56"/>
      <c r="C77" s="258" t="s">
        <v>92</v>
      </c>
      <c r="D77" s="258"/>
      <c r="E77" s="79"/>
      <c r="F77" s="79"/>
      <c r="H77" s="84" t="s">
        <v>123</v>
      </c>
      <c r="R77" s="110"/>
      <c r="S77" s="102"/>
    </row>
    <row r="78" spans="1:1372">
      <c r="A78" s="56"/>
      <c r="D78" s="48" t="s">
        <v>17</v>
      </c>
      <c r="E78" s="25"/>
      <c r="F78" s="25"/>
      <c r="H78" s="83" t="s">
        <v>606</v>
      </c>
      <c r="J78" s="30"/>
      <c r="P78" s="52"/>
      <c r="R78" s="98"/>
      <c r="S78" s="54"/>
    </row>
    <row r="79" spans="1:1372">
      <c r="A79" s="56"/>
      <c r="C79" s="51" t="s">
        <v>33</v>
      </c>
      <c r="D79" s="60">
        <f>'Disposal Schedule'!C35/References!B56</f>
        <v>45718.379410812558</v>
      </c>
      <c r="E79" s="50"/>
      <c r="F79" s="50"/>
      <c r="G79" s="34"/>
      <c r="H79" s="120" t="s">
        <v>607</v>
      </c>
      <c r="I79" s="121"/>
      <c r="J79" s="122"/>
      <c r="K79" s="123"/>
      <c r="L79" s="123"/>
      <c r="M79" s="123"/>
      <c r="N79" s="109"/>
      <c r="P79" s="52"/>
      <c r="S79" s="54"/>
    </row>
    <row r="80" spans="1:1372">
      <c r="A80" s="56"/>
      <c r="C80" s="51" t="s">
        <v>34</v>
      </c>
      <c r="D80" s="23">
        <f>D79*2000</f>
        <v>91436758.821625113</v>
      </c>
      <c r="E80" s="23"/>
      <c r="F80" s="23"/>
      <c r="G80" s="23"/>
      <c r="H80" s="124" t="s">
        <v>608</v>
      </c>
      <c r="I80" s="121"/>
      <c r="J80" s="122"/>
      <c r="K80" s="123"/>
      <c r="L80" s="123"/>
      <c r="M80" s="123"/>
      <c r="N80" s="109"/>
      <c r="Q80" s="53"/>
      <c r="R80" s="110"/>
      <c r="S80" s="103"/>
    </row>
    <row r="81" spans="3:19">
      <c r="C81" s="51" t="s">
        <v>5</v>
      </c>
      <c r="D81" s="23">
        <f>F20+F65</f>
        <v>1095175.736982869</v>
      </c>
      <c r="E81" s="50"/>
      <c r="F81" s="50"/>
      <c r="G81" s="50"/>
      <c r="H81" s="50"/>
      <c r="J81" s="30"/>
      <c r="N81" s="53"/>
      <c r="P81" s="52"/>
      <c r="Q81" s="61"/>
      <c r="R81" s="61"/>
      <c r="S81" s="61"/>
    </row>
    <row r="82" spans="3:19">
      <c r="C82" s="31" t="s">
        <v>12</v>
      </c>
      <c r="D82" s="22">
        <f>D80/$H$66</f>
        <v>0.55166002034485062</v>
      </c>
      <c r="E82" s="22"/>
      <c r="F82" s="22"/>
      <c r="G82" s="22"/>
      <c r="H82" s="17"/>
      <c r="J82" s="30"/>
      <c r="M82" s="29"/>
      <c r="N82" s="29"/>
      <c r="O82" s="29"/>
      <c r="P82" s="28"/>
      <c r="Q82" s="53"/>
      <c r="R82" s="98"/>
      <c r="S82" s="111"/>
    </row>
    <row r="83" spans="3:19">
      <c r="G83" s="33"/>
      <c r="H83" s="19"/>
      <c r="J83" s="30"/>
      <c r="M83" s="32"/>
      <c r="N83" s="16"/>
      <c r="O83" s="16"/>
      <c r="P83" s="54"/>
      <c r="Q83" s="17"/>
    </row>
    <row r="84" spans="3:19">
      <c r="D84" s="21"/>
      <c r="E84" s="20"/>
      <c r="G84" s="33"/>
      <c r="H84" s="19"/>
      <c r="J84" s="30"/>
      <c r="M84" s="32"/>
      <c r="N84" s="16"/>
      <c r="O84" s="16"/>
      <c r="P84" s="54"/>
      <c r="Q84" s="17"/>
    </row>
    <row r="85" spans="3:19">
      <c r="D85" s="21"/>
      <c r="E85" s="20"/>
      <c r="G85" s="33"/>
      <c r="H85" s="19"/>
      <c r="J85" s="30"/>
      <c r="M85" s="32"/>
      <c r="N85" s="16"/>
      <c r="O85" s="16"/>
      <c r="P85" s="54"/>
      <c r="Q85" s="17"/>
    </row>
    <row r="86" spans="3:19">
      <c r="D86" s="51"/>
      <c r="I86" s="51"/>
    </row>
    <row r="87" spans="3:19">
      <c r="D87" s="51"/>
      <c r="E87" s="30"/>
      <c r="I87" s="51"/>
    </row>
    <row r="88" spans="3:19">
      <c r="D88" s="51"/>
      <c r="I88" s="51"/>
    </row>
    <row r="89" spans="3:19">
      <c r="D89" s="51"/>
      <c r="I89" s="51"/>
    </row>
    <row r="90" spans="3:19">
      <c r="D90" s="51"/>
    </row>
  </sheetData>
  <mergeCells count="3">
    <mergeCell ref="C77:D77"/>
    <mergeCell ref="A6:A19"/>
    <mergeCell ref="A21:A64"/>
  </mergeCells>
  <pageMargins left="0.7" right="0.7" top="0.75" bottom="0.75" header="0.3" footer="0.3"/>
  <pageSetup scale="35" fitToHeight="0" orientation="landscape" r:id="rId1"/>
  <headerFooter>
    <oddFooter>&amp;L&amp;F - 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zoomScale="85" zoomScaleNormal="85" workbookViewId="0">
      <selection activeCell="D137" sqref="D137"/>
    </sheetView>
  </sheetViews>
  <sheetFormatPr defaultRowHeight="15"/>
  <cols>
    <col min="1" max="1" width="36.28515625" style="206" bestFit="1" customWidth="1"/>
    <col min="2" max="4" width="11.42578125" style="246" customWidth="1"/>
    <col min="5" max="16384" width="9.140625" style="206"/>
  </cols>
  <sheetData>
    <row r="1" spans="1:4">
      <c r="A1" s="218" t="s">
        <v>157</v>
      </c>
    </row>
    <row r="2" spans="1:4">
      <c r="A2" s="218" t="s">
        <v>622</v>
      </c>
    </row>
    <row r="3" spans="1:4">
      <c r="A3" s="218"/>
    </row>
    <row r="4" spans="1:4">
      <c r="A4" s="220" t="s">
        <v>97</v>
      </c>
      <c r="B4" s="146"/>
      <c r="C4" s="146"/>
      <c r="D4" s="146"/>
    </row>
    <row r="5" spans="1:4" ht="43.5" customHeight="1">
      <c r="B5" s="164" t="s">
        <v>615</v>
      </c>
      <c r="C5" s="164" t="s">
        <v>616</v>
      </c>
      <c r="D5" s="164" t="s">
        <v>623</v>
      </c>
    </row>
    <row r="6" spans="1:4">
      <c r="A6" s="218" t="s">
        <v>153</v>
      </c>
    </row>
    <row r="7" spans="1:4">
      <c r="A7" s="206" t="s">
        <v>124</v>
      </c>
      <c r="B7" s="246">
        <v>1.76</v>
      </c>
      <c r="C7" s="246">
        <f>'DF Calcs'!L19</f>
        <v>1.8455698863100826E-2</v>
      </c>
      <c r="D7" s="246">
        <f>B7+C7</f>
        <v>1.7784556988631008</v>
      </c>
    </row>
    <row r="9" spans="1:4">
      <c r="A9" s="218" t="s">
        <v>537</v>
      </c>
    </row>
    <row r="10" spans="1:4">
      <c r="A10" s="206" t="s">
        <v>125</v>
      </c>
      <c r="B10" s="246">
        <v>5.72</v>
      </c>
      <c r="C10" s="246">
        <f>'DF Calcs'!L6</f>
        <v>4.7043938278492313E-2</v>
      </c>
      <c r="D10" s="246">
        <f t="shared" ref="D10:D104" si="0">B10+C10</f>
        <v>5.7670439382784924</v>
      </c>
    </row>
    <row r="11" spans="1:4">
      <c r="A11" s="206" t="s">
        <v>126</v>
      </c>
      <c r="B11" s="246">
        <v>7.15</v>
      </c>
      <c r="C11" s="246">
        <f>'DF Calcs'!L8</f>
        <v>7.9974695073436936E-2</v>
      </c>
      <c r="D11" s="246">
        <f t="shared" si="0"/>
        <v>7.2299746950734374</v>
      </c>
    </row>
    <row r="12" spans="1:4">
      <c r="A12" s="206" t="s">
        <v>127</v>
      </c>
      <c r="B12" s="246">
        <v>9.39</v>
      </c>
      <c r="C12" s="246">
        <f>'DF Calcs'!L9</f>
        <v>0.11996204261015538</v>
      </c>
      <c r="D12" s="246">
        <f t="shared" si="0"/>
        <v>9.5099620426101552</v>
      </c>
    </row>
    <row r="13" spans="1:4">
      <c r="A13" s="206" t="s">
        <v>128</v>
      </c>
      <c r="B13" s="246">
        <v>11.59</v>
      </c>
      <c r="C13" s="246">
        <f>'DF Calcs'!L10</f>
        <v>0.18111916237219536</v>
      </c>
      <c r="D13" s="246">
        <f t="shared" si="0"/>
        <v>11.771119162372194</v>
      </c>
    </row>
    <row r="14" spans="1:4" s="208" customFormat="1">
      <c r="A14" s="208" t="s">
        <v>129</v>
      </c>
      <c r="B14" s="245">
        <v>13.81</v>
      </c>
      <c r="C14" s="246">
        <f>'DF Calcs'!L11</f>
        <v>0.22816310065068768</v>
      </c>
      <c r="D14" s="245">
        <f t="shared" si="0"/>
        <v>14.038163100650689</v>
      </c>
    </row>
    <row r="15" spans="1:4" s="208" customFormat="1">
      <c r="A15" s="208" t="s">
        <v>130</v>
      </c>
      <c r="B15" s="245">
        <v>16.3</v>
      </c>
      <c r="C15" s="246">
        <f>'DF Calcs'!L12</f>
        <v>0.27520703892918003</v>
      </c>
      <c r="D15" s="245">
        <f t="shared" si="0"/>
        <v>16.575207038929182</v>
      </c>
    </row>
    <row r="16" spans="1:4" s="208" customFormat="1">
      <c r="A16" s="208" t="s">
        <v>154</v>
      </c>
      <c r="B16" s="245">
        <v>19.059999999999999</v>
      </c>
      <c r="C16" s="246">
        <f>'DF Calcs'!L13</f>
        <v>0.36929491548616461</v>
      </c>
      <c r="D16" s="245">
        <f t="shared" si="0"/>
        <v>19.429294915486164</v>
      </c>
    </row>
    <row r="17" spans="1:4">
      <c r="A17" s="206" t="s">
        <v>156</v>
      </c>
      <c r="B17" s="246">
        <v>10.210000000000001</v>
      </c>
      <c r="C17" s="246">
        <f>'DF Calcs'!L14</f>
        <v>0.11290545186838152</v>
      </c>
      <c r="D17" s="245">
        <f t="shared" si="0"/>
        <v>10.322905451868383</v>
      </c>
    </row>
    <row r="18" spans="1:4">
      <c r="A18" s="206" t="s">
        <v>155</v>
      </c>
      <c r="B18" s="246">
        <v>10.72</v>
      </c>
      <c r="C18" s="246">
        <f>'DF Calcs'!L15</f>
        <v>0.11996204261015536</v>
      </c>
      <c r="D18" s="245">
        <f t="shared" si="0"/>
        <v>10.839962042610155</v>
      </c>
    </row>
    <row r="19" spans="1:4" s="208" customFormat="1">
      <c r="A19" s="208" t="s">
        <v>131</v>
      </c>
      <c r="B19" s="245">
        <v>13.05</v>
      </c>
      <c r="C19" s="246">
        <f>'DF Calcs'!L16</f>
        <v>0.18111916237219533</v>
      </c>
      <c r="D19" s="245">
        <f t="shared" si="0"/>
        <v>13.231119162372195</v>
      </c>
    </row>
    <row r="20" spans="1:4" s="208" customFormat="1">
      <c r="A20" s="206" t="s">
        <v>132</v>
      </c>
      <c r="B20" s="245">
        <v>4.2699999999999996</v>
      </c>
      <c r="C20" s="246">
        <f>'DF Calcs'!L7</f>
        <v>1.845569886310083E-2</v>
      </c>
      <c r="D20" s="245">
        <f t="shared" si="0"/>
        <v>4.2884556988631006</v>
      </c>
    </row>
    <row r="22" spans="1:4">
      <c r="A22" s="218" t="s">
        <v>538</v>
      </c>
    </row>
    <row r="23" spans="1:4">
      <c r="A23" s="206" t="s">
        <v>133</v>
      </c>
      <c r="B23" s="246">
        <v>2.08</v>
      </c>
      <c r="C23" s="246">
        <f>'DF Calcs'!L19</f>
        <v>1.8455698863100826E-2</v>
      </c>
      <c r="D23" s="246">
        <f t="shared" si="0"/>
        <v>2.0984556988631007</v>
      </c>
    </row>
    <row r="24" spans="1:4">
      <c r="A24" s="208" t="s">
        <v>535</v>
      </c>
      <c r="B24" s="246">
        <v>3.15</v>
      </c>
      <c r="C24" s="246">
        <f>ROUND(C17/References!B$10,2)</f>
        <v>0.03</v>
      </c>
      <c r="D24" s="246">
        <f t="shared" si="0"/>
        <v>3.1799999999999997</v>
      </c>
    </row>
    <row r="25" spans="1:4">
      <c r="A25" s="208" t="s">
        <v>536</v>
      </c>
      <c r="B25" s="246">
        <v>4.18</v>
      </c>
      <c r="C25" s="246">
        <f>ROUND(C18/References!B$10,2)</f>
        <v>0.03</v>
      </c>
      <c r="D25" s="246">
        <f t="shared" si="0"/>
        <v>4.21</v>
      </c>
    </row>
    <row r="26" spans="1:4">
      <c r="A26" s="208" t="s">
        <v>131</v>
      </c>
      <c r="B26" s="246">
        <v>6.26</v>
      </c>
      <c r="C26" s="246">
        <f>ROUND(C19/References!B$10,2)</f>
        <v>0.04</v>
      </c>
      <c r="D26" s="246">
        <f t="shared" si="0"/>
        <v>6.3</v>
      </c>
    </row>
    <row r="27" spans="1:4">
      <c r="A27" s="206" t="s">
        <v>134</v>
      </c>
      <c r="B27" s="246">
        <v>4.2699999999999996</v>
      </c>
      <c r="C27" s="246">
        <f>'DF Calcs'!L18</f>
        <v>1.845569886310083E-2</v>
      </c>
      <c r="D27" s="246">
        <f t="shared" si="0"/>
        <v>4.2884556988631006</v>
      </c>
    </row>
    <row r="29" spans="1:4">
      <c r="A29" s="218" t="s">
        <v>539</v>
      </c>
    </row>
    <row r="30" spans="1:4">
      <c r="A30" s="249" t="s">
        <v>540</v>
      </c>
      <c r="B30" s="242">
        <v>1.44</v>
      </c>
      <c r="C30" s="242">
        <f>C23</f>
        <v>1.8455698863100826E-2</v>
      </c>
      <c r="D30" s="242">
        <f t="shared" si="0"/>
        <v>1.4584556988631008</v>
      </c>
    </row>
    <row r="31" spans="1:4">
      <c r="A31" s="249" t="s">
        <v>541</v>
      </c>
      <c r="B31" s="242">
        <v>2.4500000000000002</v>
      </c>
      <c r="C31" s="242">
        <f t="shared" ref="C31:C33" si="1">C24</f>
        <v>0.03</v>
      </c>
      <c r="D31" s="242">
        <f t="shared" si="0"/>
        <v>2.48</v>
      </c>
    </row>
    <row r="32" spans="1:4">
      <c r="A32" s="249" t="s">
        <v>542</v>
      </c>
      <c r="B32" s="242">
        <v>3.18</v>
      </c>
      <c r="C32" s="242">
        <f t="shared" si="1"/>
        <v>0.03</v>
      </c>
      <c r="D32" s="242">
        <f t="shared" si="0"/>
        <v>3.21</v>
      </c>
    </row>
    <row r="33" spans="1:4">
      <c r="A33" s="249" t="s">
        <v>147</v>
      </c>
      <c r="B33" s="242">
        <v>4.62</v>
      </c>
      <c r="C33" s="242">
        <f t="shared" si="1"/>
        <v>0.04</v>
      </c>
      <c r="D33" s="242">
        <f t="shared" si="0"/>
        <v>4.66</v>
      </c>
    </row>
    <row r="35" spans="1:4">
      <c r="A35" s="206" t="s">
        <v>492</v>
      </c>
    </row>
    <row r="36" spans="1:4">
      <c r="A36" s="220" t="s">
        <v>540</v>
      </c>
      <c r="B36" s="242">
        <v>2.35</v>
      </c>
      <c r="C36" s="242">
        <f>C30</f>
        <v>1.8455698863100826E-2</v>
      </c>
      <c r="D36" s="242">
        <f t="shared" si="0"/>
        <v>2.3684556988631007</v>
      </c>
    </row>
    <row r="37" spans="1:4">
      <c r="A37" s="220" t="s">
        <v>541</v>
      </c>
      <c r="B37" s="242">
        <v>4</v>
      </c>
      <c r="C37" s="242">
        <f t="shared" ref="C37:C39" si="2">C31</f>
        <v>0.03</v>
      </c>
      <c r="D37" s="242">
        <f t="shared" si="0"/>
        <v>4.03</v>
      </c>
    </row>
    <row r="38" spans="1:4">
      <c r="A38" s="220" t="s">
        <v>542</v>
      </c>
      <c r="B38" s="242">
        <v>5.18</v>
      </c>
      <c r="C38" s="242">
        <f t="shared" si="2"/>
        <v>0.03</v>
      </c>
      <c r="D38" s="242">
        <f t="shared" si="0"/>
        <v>5.21</v>
      </c>
    </row>
    <row r="39" spans="1:4">
      <c r="A39" s="220" t="s">
        <v>147</v>
      </c>
      <c r="B39" s="242">
        <v>7.53</v>
      </c>
      <c r="C39" s="242">
        <f t="shared" si="2"/>
        <v>0.04</v>
      </c>
      <c r="D39" s="242">
        <f t="shared" si="0"/>
        <v>7.57</v>
      </c>
    </row>
    <row r="41" spans="1:4">
      <c r="A41" s="206" t="s">
        <v>543</v>
      </c>
    </row>
    <row r="42" spans="1:4">
      <c r="A42" s="220" t="s">
        <v>540</v>
      </c>
      <c r="B42" s="242">
        <v>6.25</v>
      </c>
      <c r="C42" s="242">
        <f>C30*References!B$10</f>
        <v>7.9974695073436908E-2</v>
      </c>
      <c r="D42" s="242">
        <f t="shared" si="0"/>
        <v>6.329974695073437</v>
      </c>
    </row>
    <row r="43" spans="1:4">
      <c r="A43" s="220" t="s">
        <v>541</v>
      </c>
      <c r="B43" s="242">
        <v>10.64</v>
      </c>
      <c r="C43" s="242">
        <f>C31*References!B$10</f>
        <v>0.12999999999999998</v>
      </c>
      <c r="D43" s="242">
        <f t="shared" si="0"/>
        <v>10.770000000000001</v>
      </c>
    </row>
    <row r="44" spans="1:4">
      <c r="A44" s="220" t="s">
        <v>542</v>
      </c>
      <c r="B44" s="242">
        <v>13.78</v>
      </c>
      <c r="C44" s="242">
        <f>C32*References!B$10</f>
        <v>0.12999999999999998</v>
      </c>
      <c r="D44" s="242">
        <f t="shared" si="0"/>
        <v>13.91</v>
      </c>
    </row>
    <row r="45" spans="1:4">
      <c r="A45" s="220" t="s">
        <v>147</v>
      </c>
      <c r="B45" s="242">
        <v>20</v>
      </c>
      <c r="C45" s="242">
        <f>C33*References!B$10</f>
        <v>0.17333333333333331</v>
      </c>
      <c r="D45" s="242">
        <f t="shared" si="0"/>
        <v>20.173333333333332</v>
      </c>
    </row>
    <row r="47" spans="1:4">
      <c r="A47" s="206" t="s">
        <v>544</v>
      </c>
    </row>
    <row r="48" spans="1:4">
      <c r="A48" s="220" t="s">
        <v>540</v>
      </c>
      <c r="B48" s="242">
        <v>2.13</v>
      </c>
      <c r="C48" s="242">
        <f>C30</f>
        <v>1.8455698863100826E-2</v>
      </c>
      <c r="D48" s="242">
        <f t="shared" si="0"/>
        <v>2.1484556988631005</v>
      </c>
    </row>
    <row r="49" spans="1:4">
      <c r="A49" s="220" t="s">
        <v>541</v>
      </c>
      <c r="B49" s="242">
        <v>3.2</v>
      </c>
      <c r="C49" s="242">
        <f t="shared" ref="C49:C51" si="3">C31</f>
        <v>0.03</v>
      </c>
      <c r="D49" s="242">
        <f t="shared" si="0"/>
        <v>3.23</v>
      </c>
    </row>
    <row r="50" spans="1:4">
      <c r="A50" s="220" t="s">
        <v>542</v>
      </c>
      <c r="B50" s="242">
        <v>4.2699999999999996</v>
      </c>
      <c r="C50" s="242">
        <f t="shared" si="3"/>
        <v>0.03</v>
      </c>
      <c r="D50" s="242">
        <f t="shared" si="0"/>
        <v>4.3</v>
      </c>
    </row>
    <row r="51" spans="1:4">
      <c r="A51" s="220" t="s">
        <v>147</v>
      </c>
      <c r="B51" s="242">
        <v>6.37</v>
      </c>
      <c r="C51" s="242">
        <f t="shared" si="3"/>
        <v>0.04</v>
      </c>
      <c r="D51" s="242">
        <f t="shared" si="0"/>
        <v>6.41</v>
      </c>
    </row>
    <row r="53" spans="1:4">
      <c r="A53" s="220" t="s">
        <v>489</v>
      </c>
      <c r="B53" s="242">
        <v>2.25</v>
      </c>
      <c r="C53" s="242">
        <f>C36</f>
        <v>1.8455698863100826E-2</v>
      </c>
      <c r="D53" s="242">
        <f t="shared" si="0"/>
        <v>2.2684556988631006</v>
      </c>
    </row>
    <row r="54" spans="1:4">
      <c r="A54" s="220" t="s">
        <v>545</v>
      </c>
      <c r="B54" s="242">
        <v>1.8</v>
      </c>
      <c r="C54" s="242">
        <f>C53</f>
        <v>1.8455698863100826E-2</v>
      </c>
      <c r="D54" s="242">
        <f t="shared" si="0"/>
        <v>1.8184556988631009</v>
      </c>
    </row>
    <row r="56" spans="1:4">
      <c r="A56" s="218" t="s">
        <v>611</v>
      </c>
    </row>
    <row r="57" spans="1:4">
      <c r="A57" s="220" t="s">
        <v>610</v>
      </c>
      <c r="B57" s="242">
        <v>2.72</v>
      </c>
      <c r="C57" s="242">
        <f>C48</f>
        <v>1.8455698863100826E-2</v>
      </c>
      <c r="D57" s="242">
        <f t="shared" si="0"/>
        <v>2.7384556988631008</v>
      </c>
    </row>
    <row r="58" spans="1:4">
      <c r="A58" s="220" t="s">
        <v>612</v>
      </c>
      <c r="B58" s="242">
        <v>11.73</v>
      </c>
      <c r="C58" s="242">
        <f>C57*References!B10</f>
        <v>7.9974695073436908E-2</v>
      </c>
      <c r="D58" s="242">
        <f t="shared" si="0"/>
        <v>11.809974695073437</v>
      </c>
    </row>
    <row r="60" spans="1:4">
      <c r="A60" s="218" t="s">
        <v>546</v>
      </c>
    </row>
    <row r="61" spans="1:4">
      <c r="A61" s="206" t="s">
        <v>548</v>
      </c>
      <c r="B61" s="247">
        <v>7.1</v>
      </c>
      <c r="C61" s="246">
        <f>C62</f>
        <v>6.7851834055517743E-2</v>
      </c>
      <c r="D61" s="245">
        <f t="shared" si="0"/>
        <v>7.1678518340555177</v>
      </c>
    </row>
    <row r="62" spans="1:4" s="208" customFormat="1">
      <c r="A62" s="208" t="s">
        <v>547</v>
      </c>
      <c r="B62" s="167">
        <v>7.1</v>
      </c>
      <c r="C62" s="245">
        <f>'DF Calcs'!L51</f>
        <v>6.7851834055517743E-2</v>
      </c>
      <c r="D62" s="245">
        <f t="shared" si="0"/>
        <v>7.1678518340555177</v>
      </c>
    </row>
    <row r="63" spans="1:4">
      <c r="A63" s="206" t="s">
        <v>491</v>
      </c>
      <c r="B63" s="247">
        <v>6.38</v>
      </c>
      <c r="C63" s="245">
        <f>'DF Calcs'!L52</f>
        <v>6.7851834055517743E-2</v>
      </c>
      <c r="D63" s="246">
        <f t="shared" si="0"/>
        <v>6.447851834055518</v>
      </c>
    </row>
    <row r="64" spans="1:4">
      <c r="A64" s="206" t="s">
        <v>488</v>
      </c>
      <c r="B64" s="247">
        <f>B61</f>
        <v>7.1</v>
      </c>
      <c r="C64" s="246">
        <f>C62</f>
        <v>6.7851834055517743E-2</v>
      </c>
      <c r="D64" s="246">
        <f t="shared" si="0"/>
        <v>7.1678518340555177</v>
      </c>
    </row>
    <row r="66" spans="1:4">
      <c r="A66" s="218" t="s">
        <v>551</v>
      </c>
    </row>
    <row r="67" spans="1:4">
      <c r="A67" s="220" t="s">
        <v>549</v>
      </c>
      <c r="B67" s="242">
        <v>3.29</v>
      </c>
      <c r="C67" s="242">
        <f>C82</f>
        <v>9.4992567677724862E-2</v>
      </c>
      <c r="D67" s="242">
        <f t="shared" si="0"/>
        <v>3.3849925676777248</v>
      </c>
    </row>
    <row r="68" spans="1:4">
      <c r="A68" s="220" t="s">
        <v>550</v>
      </c>
      <c r="B68" s="242">
        <v>3.94</v>
      </c>
      <c r="C68" s="242">
        <f t="shared" ref="C68:C72" si="4">C83</f>
        <v>0.13570366811103551</v>
      </c>
      <c r="D68" s="242">
        <f t="shared" si="0"/>
        <v>4.0757036681110357</v>
      </c>
    </row>
    <row r="69" spans="1:4">
      <c r="A69" s="220" t="s">
        <v>137</v>
      </c>
      <c r="B69" s="242">
        <v>7.89</v>
      </c>
      <c r="C69" s="242">
        <f t="shared" si="4"/>
        <v>0.25675134006607919</v>
      </c>
      <c r="D69" s="242">
        <f t="shared" si="0"/>
        <v>8.1467513400660785</v>
      </c>
    </row>
    <row r="70" spans="1:4">
      <c r="A70" s="220" t="s">
        <v>138</v>
      </c>
      <c r="B70" s="242">
        <v>10.52</v>
      </c>
      <c r="C70" s="242">
        <f t="shared" si="4"/>
        <v>0.33274539420825916</v>
      </c>
      <c r="D70" s="242">
        <f t="shared" si="0"/>
        <v>10.852745394208259</v>
      </c>
    </row>
    <row r="71" spans="1:4">
      <c r="A71" s="220" t="s">
        <v>139</v>
      </c>
      <c r="B71" s="242">
        <v>15.78</v>
      </c>
      <c r="C71" s="242">
        <f t="shared" si="4"/>
        <v>0.45596432485307931</v>
      </c>
      <c r="D71" s="242">
        <f t="shared" si="0"/>
        <v>16.235964324853079</v>
      </c>
    </row>
    <row r="72" spans="1:4">
      <c r="A72" s="220" t="s">
        <v>140</v>
      </c>
      <c r="B72" s="242">
        <v>21.1</v>
      </c>
      <c r="C72" s="242">
        <f t="shared" si="4"/>
        <v>0.53195837899525922</v>
      </c>
      <c r="D72" s="242">
        <f t="shared" si="0"/>
        <v>21.631958378995261</v>
      </c>
    </row>
    <row r="74" spans="1:4">
      <c r="A74" s="220" t="s">
        <v>541</v>
      </c>
      <c r="B74" s="242">
        <v>0.6</v>
      </c>
      <c r="C74" s="242">
        <f>C103</f>
        <v>2.6055104277318816E-2</v>
      </c>
      <c r="D74" s="242">
        <f t="shared" si="0"/>
        <v>0.62605510427731881</v>
      </c>
    </row>
    <row r="75" spans="1:4">
      <c r="A75" s="220" t="s">
        <v>542</v>
      </c>
      <c r="B75" s="242">
        <v>0.79</v>
      </c>
      <c r="C75" s="242">
        <f>C106</f>
        <v>2.768354829465125E-2</v>
      </c>
      <c r="D75" s="242">
        <f t="shared" si="0"/>
        <v>0.81768354829465129</v>
      </c>
    </row>
    <row r="76" spans="1:4">
      <c r="A76" s="220" t="s">
        <v>147</v>
      </c>
      <c r="B76" s="242">
        <v>1.18</v>
      </c>
      <c r="C76" s="242">
        <f>C109</f>
        <v>4.1796729778198927E-2</v>
      </c>
      <c r="D76" s="242">
        <f t="shared" si="0"/>
        <v>1.2217967297781989</v>
      </c>
    </row>
    <row r="78" spans="1:4">
      <c r="A78" s="218" t="s">
        <v>135</v>
      </c>
    </row>
    <row r="79" spans="1:4">
      <c r="A79" s="206" t="s">
        <v>552</v>
      </c>
      <c r="B79" s="246">
        <v>30.89</v>
      </c>
      <c r="C79" s="246">
        <f>References!B58</f>
        <v>1.9299999999999997</v>
      </c>
      <c r="D79" s="246">
        <f t="shared" si="0"/>
        <v>32.82</v>
      </c>
    </row>
    <row r="81" spans="1:4">
      <c r="A81" s="218" t="s">
        <v>553</v>
      </c>
    </row>
    <row r="82" spans="1:4">
      <c r="A82" s="206" t="s">
        <v>549</v>
      </c>
      <c r="B82" s="246">
        <v>6.17</v>
      </c>
      <c r="C82" s="246">
        <f>'DF Calcs'!L21</f>
        <v>9.4992567677724862E-2</v>
      </c>
      <c r="D82" s="246">
        <f t="shared" si="0"/>
        <v>6.2649925676777247</v>
      </c>
    </row>
    <row r="83" spans="1:4">
      <c r="A83" s="206" t="s">
        <v>136</v>
      </c>
      <c r="B83" s="246">
        <v>7.07</v>
      </c>
      <c r="C83" s="246">
        <f>'DF Calcs'!L22</f>
        <v>0.13570366811103551</v>
      </c>
      <c r="D83" s="246">
        <f t="shared" si="0"/>
        <v>7.2057036681110356</v>
      </c>
    </row>
    <row r="84" spans="1:4">
      <c r="A84" s="206" t="s">
        <v>137</v>
      </c>
      <c r="B84" s="246">
        <v>12.41</v>
      </c>
      <c r="C84" s="246">
        <f>'DF Calcs'!L27</f>
        <v>0.25675134006607919</v>
      </c>
      <c r="D84" s="246">
        <f t="shared" si="0"/>
        <v>12.66675134006608</v>
      </c>
    </row>
    <row r="85" spans="1:4">
      <c r="A85" s="206" t="s">
        <v>138</v>
      </c>
      <c r="B85" s="246">
        <v>16.39</v>
      </c>
      <c r="C85" s="246">
        <f>'DF Calcs'!L31</f>
        <v>0.33274539420825916</v>
      </c>
      <c r="D85" s="246">
        <f t="shared" si="0"/>
        <v>16.72274539420826</v>
      </c>
    </row>
    <row r="86" spans="1:4">
      <c r="A86" s="206" t="s">
        <v>139</v>
      </c>
      <c r="B86" s="246">
        <v>22.28</v>
      </c>
      <c r="C86" s="246">
        <f>'DF Calcs'!L35</f>
        <v>0.45596432485307931</v>
      </c>
      <c r="D86" s="246">
        <f t="shared" si="0"/>
        <v>22.735964324853079</v>
      </c>
    </row>
    <row r="87" spans="1:4">
      <c r="A87" s="208" t="s">
        <v>140</v>
      </c>
      <c r="B87" s="246">
        <v>30.17</v>
      </c>
      <c r="C87" s="246">
        <f>'DF Calcs'!L40</f>
        <v>0.53195837899525922</v>
      </c>
      <c r="D87" s="246">
        <f t="shared" si="0"/>
        <v>30.701958378995261</v>
      </c>
    </row>
    <row r="88" spans="1:4">
      <c r="A88" s="208"/>
      <c r="B88" s="245"/>
      <c r="C88" s="245"/>
    </row>
    <row r="89" spans="1:4">
      <c r="A89" s="206" t="s">
        <v>554</v>
      </c>
      <c r="B89" s="246">
        <v>9.86</v>
      </c>
      <c r="C89" s="246">
        <f t="shared" ref="C89:C94" si="5">C82</f>
        <v>9.4992567677724862E-2</v>
      </c>
      <c r="D89" s="246">
        <f t="shared" si="0"/>
        <v>9.9549925676777242</v>
      </c>
    </row>
    <row r="90" spans="1:4">
      <c r="A90" s="206" t="s">
        <v>141</v>
      </c>
      <c r="B90" s="246">
        <v>10.3</v>
      </c>
      <c r="C90" s="246">
        <f t="shared" si="5"/>
        <v>0.13570366811103551</v>
      </c>
      <c r="D90" s="246">
        <f t="shared" si="0"/>
        <v>10.435703668111037</v>
      </c>
    </row>
    <row r="91" spans="1:4">
      <c r="A91" s="206" t="s">
        <v>142</v>
      </c>
      <c r="B91" s="246">
        <v>16.62</v>
      </c>
      <c r="C91" s="246">
        <f t="shared" si="5"/>
        <v>0.25675134006607919</v>
      </c>
      <c r="D91" s="246">
        <f t="shared" si="0"/>
        <v>16.876751340066079</v>
      </c>
    </row>
    <row r="92" spans="1:4">
      <c r="A92" s="206" t="s">
        <v>143</v>
      </c>
      <c r="B92" s="246">
        <v>20.010000000000002</v>
      </c>
      <c r="C92" s="246">
        <f t="shared" si="5"/>
        <v>0.33274539420825916</v>
      </c>
      <c r="D92" s="246">
        <f t="shared" si="0"/>
        <v>20.342745394208261</v>
      </c>
    </row>
    <row r="93" spans="1:4">
      <c r="A93" s="206" t="s">
        <v>144</v>
      </c>
      <c r="B93" s="246">
        <v>27.29</v>
      </c>
      <c r="C93" s="246">
        <f t="shared" si="5"/>
        <v>0.45596432485307931</v>
      </c>
      <c r="D93" s="246">
        <f t="shared" si="0"/>
        <v>27.745964324853077</v>
      </c>
    </row>
    <row r="94" spans="1:4">
      <c r="A94" s="208" t="s">
        <v>145</v>
      </c>
      <c r="B94" s="245">
        <v>36.869999999999997</v>
      </c>
      <c r="C94" s="246">
        <f t="shared" si="5"/>
        <v>0.53195837899525922</v>
      </c>
      <c r="D94" s="246">
        <f t="shared" si="0"/>
        <v>37.401958378995253</v>
      </c>
    </row>
    <row r="96" spans="1:4">
      <c r="A96" s="206" t="s">
        <v>555</v>
      </c>
      <c r="B96" s="246">
        <v>9.17</v>
      </c>
      <c r="C96" s="246">
        <f>C82</f>
        <v>9.4992567677724862E-2</v>
      </c>
      <c r="D96" s="246">
        <f t="shared" si="0"/>
        <v>9.2649925676777247</v>
      </c>
    </row>
    <row r="97" spans="1:4">
      <c r="A97" s="206" t="s">
        <v>146</v>
      </c>
      <c r="B97" s="246">
        <v>9.77</v>
      </c>
      <c r="C97" s="246">
        <f>C83</f>
        <v>0.13570366811103551</v>
      </c>
      <c r="D97" s="246">
        <f t="shared" si="0"/>
        <v>9.9057036681110358</v>
      </c>
    </row>
    <row r="98" spans="1:4" s="208" customFormat="1">
      <c r="A98" s="208" t="s">
        <v>151</v>
      </c>
      <c r="B98" s="245">
        <v>17.96</v>
      </c>
      <c r="C98" s="245">
        <f>C84</f>
        <v>0.25675134006607919</v>
      </c>
      <c r="D98" s="245">
        <f t="shared" si="0"/>
        <v>18.216751340066079</v>
      </c>
    </row>
    <row r="99" spans="1:4" s="208" customFormat="1">
      <c r="A99" s="208" t="s">
        <v>152</v>
      </c>
      <c r="B99" s="241">
        <v>23.34</v>
      </c>
      <c r="C99" s="245">
        <f>C85</f>
        <v>0.33274539420825916</v>
      </c>
      <c r="D99" s="245">
        <f t="shared" si="0"/>
        <v>23.67274539420826</v>
      </c>
    </row>
    <row r="100" spans="1:4" s="208" customFormat="1">
      <c r="A100" s="208" t="s">
        <v>620</v>
      </c>
      <c r="B100" s="241">
        <v>27.79</v>
      </c>
      <c r="C100" s="245">
        <f>C86</f>
        <v>0.45596432485307931</v>
      </c>
      <c r="D100" s="245">
        <f t="shared" si="0"/>
        <v>28.245964324853077</v>
      </c>
    </row>
    <row r="102" spans="1:4">
      <c r="A102" s="218" t="s">
        <v>556</v>
      </c>
    </row>
    <row r="103" spans="1:4">
      <c r="A103" s="206" t="s">
        <v>541</v>
      </c>
      <c r="B103" s="246">
        <v>2.42</v>
      </c>
      <c r="C103" s="246">
        <f>'DF Calcs'!L62</f>
        <v>2.6055104277318816E-2</v>
      </c>
      <c r="D103" s="246">
        <f t="shared" si="0"/>
        <v>2.4460551042773186</v>
      </c>
    </row>
    <row r="104" spans="1:4" s="208" customFormat="1">
      <c r="A104" s="208" t="s">
        <v>557</v>
      </c>
      <c r="B104" s="245">
        <v>3.5</v>
      </c>
      <c r="C104" s="245">
        <f>C103</f>
        <v>2.6055104277318816E-2</v>
      </c>
      <c r="D104" s="245">
        <f t="shared" si="0"/>
        <v>3.5260551042773187</v>
      </c>
    </row>
    <row r="105" spans="1:4" s="208" customFormat="1">
      <c r="B105" s="245"/>
      <c r="C105" s="245"/>
      <c r="D105" s="245"/>
    </row>
    <row r="106" spans="1:4" s="208" customFormat="1">
      <c r="A106" s="208" t="s">
        <v>542</v>
      </c>
      <c r="B106" s="245">
        <v>2.57</v>
      </c>
      <c r="C106" s="245">
        <f>'DF Calcs'!L63</f>
        <v>2.768354829465125E-2</v>
      </c>
      <c r="D106" s="245">
        <f t="shared" ref="D106:D137" si="6">B106+C106</f>
        <v>2.597683548294651</v>
      </c>
    </row>
    <row r="107" spans="1:4" s="208" customFormat="1">
      <c r="A107" s="208" t="s">
        <v>558</v>
      </c>
      <c r="B107" s="245">
        <v>3.7</v>
      </c>
      <c r="C107" s="245">
        <f>C106</f>
        <v>2.768354829465125E-2</v>
      </c>
      <c r="D107" s="245">
        <f t="shared" si="6"/>
        <v>3.7276835482946513</v>
      </c>
    </row>
    <row r="108" spans="1:4" s="208" customFormat="1">
      <c r="B108" s="245"/>
      <c r="C108" s="245"/>
      <c r="D108" s="245"/>
    </row>
    <row r="109" spans="1:4" s="208" customFormat="1">
      <c r="A109" s="208" t="s">
        <v>147</v>
      </c>
      <c r="B109" s="245">
        <v>3.12</v>
      </c>
      <c r="C109" s="245">
        <f>'DF Calcs'!L64</f>
        <v>4.1796729778198927E-2</v>
      </c>
      <c r="D109" s="245">
        <f t="shared" si="6"/>
        <v>3.161796729778199</v>
      </c>
    </row>
    <row r="110" spans="1:4" s="208" customFormat="1">
      <c r="A110" s="208" t="s">
        <v>559</v>
      </c>
      <c r="B110" s="245">
        <v>4.12</v>
      </c>
      <c r="C110" s="245">
        <f>C109</f>
        <v>4.1796729778198927E-2</v>
      </c>
      <c r="D110" s="245">
        <f t="shared" si="6"/>
        <v>4.1617967297781995</v>
      </c>
    </row>
    <row r="111" spans="1:4">
      <c r="A111" s="208"/>
      <c r="B111" s="245"/>
      <c r="C111" s="245"/>
    </row>
    <row r="112" spans="1:4">
      <c r="A112" s="218" t="s">
        <v>560</v>
      </c>
    </row>
    <row r="113" spans="1:4">
      <c r="A113" s="206" t="s">
        <v>148</v>
      </c>
      <c r="B113" s="246">
        <v>1.39</v>
      </c>
      <c r="C113" s="246">
        <f>'DF Calcs'!L55</f>
        <v>1.5741625500880117E-2</v>
      </c>
      <c r="D113" s="246">
        <f t="shared" si="6"/>
        <v>1.4057416255008801</v>
      </c>
    </row>
    <row r="114" spans="1:4" s="208" customFormat="1">
      <c r="A114" s="220" t="s">
        <v>561</v>
      </c>
      <c r="B114" s="242">
        <v>2.2000000000000002</v>
      </c>
      <c r="C114" s="242">
        <f>C113</f>
        <v>1.5741625500880117E-2</v>
      </c>
      <c r="D114" s="242">
        <f t="shared" si="6"/>
        <v>2.2157416255008804</v>
      </c>
    </row>
    <row r="115" spans="1:4" s="208" customFormat="1">
      <c r="A115" s="220" t="s">
        <v>562</v>
      </c>
      <c r="B115" s="242">
        <v>1.8</v>
      </c>
      <c r="C115" s="242">
        <f>C113</f>
        <v>1.5741625500880117E-2</v>
      </c>
      <c r="D115" s="242">
        <f t="shared" si="6"/>
        <v>1.8157416255008803</v>
      </c>
    </row>
    <row r="117" spans="1:4">
      <c r="A117" s="220" t="s">
        <v>549</v>
      </c>
      <c r="B117" s="166">
        <v>6.15</v>
      </c>
      <c r="C117" s="242">
        <f>C82</f>
        <v>9.4992567677724862E-2</v>
      </c>
      <c r="D117" s="242">
        <f t="shared" si="6"/>
        <v>6.2449925676777251</v>
      </c>
    </row>
    <row r="118" spans="1:4">
      <c r="A118" s="220" t="s">
        <v>136</v>
      </c>
      <c r="B118" s="166">
        <v>6.86</v>
      </c>
      <c r="C118" s="242">
        <f>C83</f>
        <v>0.13570366811103551</v>
      </c>
      <c r="D118" s="242">
        <f t="shared" si="6"/>
        <v>6.9957036681110356</v>
      </c>
    </row>
    <row r="119" spans="1:4">
      <c r="A119" s="220" t="s">
        <v>137</v>
      </c>
      <c r="B119" s="166">
        <v>12.27</v>
      </c>
      <c r="C119" s="242">
        <f>C84</f>
        <v>0.25675134006607919</v>
      </c>
      <c r="D119" s="242">
        <f t="shared" si="6"/>
        <v>12.526751340066079</v>
      </c>
    </row>
    <row r="120" spans="1:4">
      <c r="A120" s="220" t="s">
        <v>138</v>
      </c>
      <c r="B120" s="166">
        <v>16.579999999999998</v>
      </c>
      <c r="C120" s="242">
        <f>C85</f>
        <v>0.33274539420825916</v>
      </c>
      <c r="D120" s="242">
        <f t="shared" si="6"/>
        <v>16.912745394208258</v>
      </c>
    </row>
    <row r="121" spans="1:4">
      <c r="A121" s="220" t="s">
        <v>139</v>
      </c>
      <c r="B121" s="166">
        <v>22.55</v>
      </c>
      <c r="C121" s="242">
        <f>C86</f>
        <v>0.45596432485307931</v>
      </c>
      <c r="D121" s="242">
        <f t="shared" si="6"/>
        <v>23.005964324853078</v>
      </c>
    </row>
    <row r="122" spans="1:4">
      <c r="B122" s="245"/>
      <c r="C122" s="245"/>
      <c r="D122" s="245"/>
    </row>
    <row r="123" spans="1:4">
      <c r="A123" s="220" t="s">
        <v>554</v>
      </c>
      <c r="B123" s="166">
        <v>10.02</v>
      </c>
      <c r="C123" s="242">
        <f>C117</f>
        <v>9.4992567677724862E-2</v>
      </c>
      <c r="D123" s="242">
        <f t="shared" si="6"/>
        <v>10.114992567677724</v>
      </c>
    </row>
    <row r="124" spans="1:4">
      <c r="A124" s="220" t="s">
        <v>141</v>
      </c>
      <c r="B124" s="166">
        <v>10.46</v>
      </c>
      <c r="C124" s="242">
        <f t="shared" ref="C124:C127" si="7">C118</f>
        <v>0.13570366811103551</v>
      </c>
      <c r="D124" s="242">
        <f t="shared" si="6"/>
        <v>10.595703668111037</v>
      </c>
    </row>
    <row r="125" spans="1:4">
      <c r="A125" s="220" t="s">
        <v>142</v>
      </c>
      <c r="B125" s="166">
        <v>16.82</v>
      </c>
      <c r="C125" s="242">
        <f t="shared" si="7"/>
        <v>0.25675134006607919</v>
      </c>
      <c r="D125" s="242">
        <f t="shared" si="6"/>
        <v>17.076751340066078</v>
      </c>
    </row>
    <row r="126" spans="1:4">
      <c r="A126" s="220" t="s">
        <v>143</v>
      </c>
      <c r="B126" s="166">
        <v>20.149999999999999</v>
      </c>
      <c r="C126" s="242">
        <f t="shared" si="7"/>
        <v>0.33274539420825916</v>
      </c>
      <c r="D126" s="242">
        <f t="shared" si="6"/>
        <v>20.482745394208258</v>
      </c>
    </row>
    <row r="127" spans="1:4">
      <c r="A127" s="220" t="s">
        <v>144</v>
      </c>
      <c r="B127" s="166">
        <v>27.25</v>
      </c>
      <c r="C127" s="242">
        <f t="shared" si="7"/>
        <v>0.45596432485307931</v>
      </c>
      <c r="D127" s="242">
        <f t="shared" si="6"/>
        <v>27.705964324853078</v>
      </c>
    </row>
    <row r="128" spans="1:4">
      <c r="A128" s="208"/>
      <c r="B128" s="245"/>
      <c r="C128" s="245"/>
      <c r="D128" s="245"/>
    </row>
    <row r="129" spans="1:4">
      <c r="A129" s="206" t="s">
        <v>149</v>
      </c>
      <c r="B129" s="246">
        <v>6.02</v>
      </c>
      <c r="C129" s="246">
        <f>'DF Calcs'!L54</f>
        <v>6.8213710503813849E-2</v>
      </c>
      <c r="D129" s="246">
        <f t="shared" si="6"/>
        <v>6.0882137105038137</v>
      </c>
    </row>
    <row r="130" spans="1:4">
      <c r="A130" s="206" t="s">
        <v>544</v>
      </c>
      <c r="B130" s="246">
        <v>2.13</v>
      </c>
      <c r="C130" s="246">
        <f>'DF Calcs'!L60</f>
        <v>1.5741625500880117E-2</v>
      </c>
      <c r="D130" s="246">
        <f t="shared" si="6"/>
        <v>2.1457416255008801</v>
      </c>
    </row>
    <row r="132" spans="1:4">
      <c r="A132" s="218" t="s">
        <v>595</v>
      </c>
    </row>
    <row r="133" spans="1:4">
      <c r="A133" s="220" t="s">
        <v>137</v>
      </c>
      <c r="B133" s="166">
        <v>31.94</v>
      </c>
      <c r="C133" s="242">
        <f>'DF Calcs'!L70</f>
        <v>0.70620188884982882</v>
      </c>
      <c r="D133" s="242">
        <f t="shared" ref="D133:D134" si="8">B133+C133</f>
        <v>32.646201888849831</v>
      </c>
    </row>
    <row r="134" spans="1:4">
      <c r="A134" s="206" t="s">
        <v>138</v>
      </c>
      <c r="B134" s="168">
        <v>42.6</v>
      </c>
      <c r="C134" s="245">
        <f>'DF Calcs'!L53</f>
        <v>0.91518553774082345</v>
      </c>
      <c r="D134" s="245">
        <f t="shared" si="8"/>
        <v>43.515185537740827</v>
      </c>
    </row>
    <row r="135" spans="1:4">
      <c r="B135" s="168"/>
      <c r="C135" s="245"/>
      <c r="D135" s="245"/>
    </row>
    <row r="136" spans="1:4">
      <c r="A136" s="220" t="s">
        <v>142</v>
      </c>
      <c r="B136" s="166">
        <v>34.08</v>
      </c>
      <c r="C136" s="242">
        <f>'DF Calcs'!L70</f>
        <v>0.70620188884982882</v>
      </c>
      <c r="D136" s="242">
        <f t="shared" si="6"/>
        <v>34.786201888849824</v>
      </c>
    </row>
    <row r="137" spans="1:4">
      <c r="A137" s="220" t="s">
        <v>143</v>
      </c>
      <c r="B137" s="242">
        <v>44.74</v>
      </c>
      <c r="C137" s="242">
        <f>C134</f>
        <v>0.91518553774082345</v>
      </c>
      <c r="D137" s="242">
        <f t="shared" si="6"/>
        <v>45.655185537740827</v>
      </c>
    </row>
  </sheetData>
  <pageMargins left="0.7" right="0.7" top="0.75" bottom="0.75" header="0.3" footer="0.3"/>
  <pageSetup scale="74" orientation="portrait" r:id="rId1"/>
  <headerFooter>
    <oddFooter>&amp;L&amp;F - &amp;A&amp;R&amp;P of &amp;N</oddFooter>
  </headerFooter>
  <rowBreaks count="2" manualBreakCount="2">
    <brk id="55" max="16383" man="1"/>
    <brk id="11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zoomScale="85" zoomScaleNormal="85" workbookViewId="0"/>
  </sheetViews>
  <sheetFormatPr defaultRowHeight="15"/>
  <cols>
    <col min="1" max="1" width="14.42578125" style="253" customWidth="1"/>
    <col min="2" max="2" width="13.7109375" style="253" bestFit="1" customWidth="1"/>
    <col min="3" max="3" width="14.85546875" style="253" bestFit="1" customWidth="1"/>
    <col min="4" max="4" width="12.85546875" style="253" bestFit="1" customWidth="1"/>
    <col min="5" max="5" width="14.140625" style="253" bestFit="1" customWidth="1"/>
    <col min="6" max="6" width="1.7109375" style="253" customWidth="1"/>
    <col min="7" max="7" width="10" style="253" bestFit="1" customWidth="1"/>
    <col min="8" max="8" width="11.5703125" style="253" bestFit="1" customWidth="1"/>
    <col min="9" max="9" width="1.7109375" style="253" customWidth="1"/>
    <col min="10" max="11" width="10" style="253" bestFit="1" customWidth="1"/>
    <col min="12" max="12" width="1.7109375" style="253" customWidth="1"/>
    <col min="13" max="14" width="10" style="253" customWidth="1"/>
    <col min="15" max="15" width="2.7109375" style="253" customWidth="1"/>
    <col min="16" max="16" width="14.28515625" style="240" bestFit="1" customWidth="1"/>
    <col min="17" max="17" width="15.42578125" style="240" bestFit="1" customWidth="1"/>
    <col min="18" max="18" width="16.42578125" style="13" customWidth="1"/>
    <col min="19" max="19" width="12.42578125" style="13" bestFit="1" customWidth="1"/>
    <col min="20" max="20" width="14" style="13" bestFit="1" customWidth="1"/>
    <col min="21" max="21" width="13.7109375" style="13" bestFit="1" customWidth="1"/>
    <col min="22" max="16384" width="9.140625" style="13"/>
  </cols>
  <sheetData>
    <row r="1" spans="1:27">
      <c r="A1" s="251" t="s">
        <v>157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2" spans="1:27">
      <c r="A2" s="239" t="s">
        <v>493</v>
      </c>
    </row>
    <row r="3" spans="1:27">
      <c r="A3" s="239" t="s">
        <v>617</v>
      </c>
    </row>
    <row r="4" spans="1:27" s="135" customFormat="1" ht="33" customHeight="1">
      <c r="A4" s="262" t="s">
        <v>619</v>
      </c>
      <c r="B4" s="262"/>
      <c r="C4" s="262"/>
      <c r="D4" s="262"/>
      <c r="E4" s="262"/>
      <c r="F4" s="262"/>
      <c r="G4" s="262"/>
      <c r="H4" s="262"/>
      <c r="I4" s="236"/>
      <c r="J4" s="237"/>
      <c r="K4" s="236"/>
      <c r="L4" s="236"/>
      <c r="M4" s="236"/>
      <c r="N4" s="236"/>
      <c r="O4" s="237"/>
      <c r="P4" s="236"/>
      <c r="Q4" s="237"/>
      <c r="R4" s="143"/>
      <c r="S4" s="142"/>
      <c r="T4" s="143"/>
      <c r="U4" s="142"/>
      <c r="V4" s="143"/>
      <c r="W4" s="142"/>
      <c r="X4" s="143"/>
      <c r="Y4" s="142"/>
      <c r="Z4" s="143"/>
      <c r="AA4" s="142"/>
    </row>
    <row r="5" spans="1:27" s="250" customFormat="1">
      <c r="A5" s="238"/>
      <c r="B5" s="237"/>
      <c r="C5" s="236"/>
      <c r="D5" s="237"/>
      <c r="E5" s="236"/>
      <c r="F5" s="237"/>
      <c r="G5" s="236"/>
      <c r="H5" s="237"/>
      <c r="I5" s="236"/>
      <c r="J5" s="237"/>
      <c r="K5" s="236"/>
      <c r="L5" s="236"/>
      <c r="M5" s="236"/>
      <c r="N5" s="236"/>
      <c r="O5" s="237"/>
      <c r="P5" s="236"/>
      <c r="Q5" s="237"/>
      <c r="R5" s="143"/>
      <c r="S5" s="142"/>
      <c r="T5" s="143"/>
      <c r="U5" s="142"/>
      <c r="V5" s="143"/>
      <c r="W5" s="142"/>
      <c r="X5" s="143"/>
      <c r="Y5" s="142"/>
      <c r="Z5" s="143"/>
      <c r="AA5" s="142"/>
    </row>
    <row r="6" spans="1:27">
      <c r="B6" s="263" t="s">
        <v>158</v>
      </c>
      <c r="C6" s="263"/>
      <c r="D6" s="263"/>
      <c r="E6" s="263"/>
      <c r="G6" s="263" t="s">
        <v>494</v>
      </c>
      <c r="H6" s="263"/>
      <c r="I6" s="235"/>
      <c r="J6" s="263" t="s">
        <v>495</v>
      </c>
      <c r="K6" s="263"/>
      <c r="L6" s="234"/>
      <c r="M6" s="263" t="s">
        <v>494</v>
      </c>
      <c r="N6" s="263"/>
      <c r="T6" s="136"/>
    </row>
    <row r="7" spans="1:27">
      <c r="B7" s="185" t="s">
        <v>496</v>
      </c>
      <c r="C7" s="185" t="s">
        <v>497</v>
      </c>
      <c r="D7" s="185" t="s">
        <v>498</v>
      </c>
      <c r="E7" s="185" t="s">
        <v>499</v>
      </c>
      <c r="G7" s="185" t="s">
        <v>500</v>
      </c>
      <c r="H7" s="185" t="s">
        <v>501</v>
      </c>
      <c r="I7" s="185"/>
      <c r="J7" s="185" t="s">
        <v>500</v>
      </c>
      <c r="K7" s="185" t="s">
        <v>501</v>
      </c>
      <c r="L7" s="254"/>
      <c r="M7" s="185" t="s">
        <v>502</v>
      </c>
      <c r="N7" s="185" t="s">
        <v>503</v>
      </c>
      <c r="P7" s="185" t="s">
        <v>504</v>
      </c>
      <c r="Q7" s="185" t="s">
        <v>505</v>
      </c>
      <c r="R7" s="136"/>
      <c r="S7" s="136"/>
      <c r="T7" s="136"/>
    </row>
    <row r="8" spans="1:27">
      <c r="A8" s="184" t="s">
        <v>506</v>
      </c>
      <c r="B8" s="240">
        <v>4840.5200000000004</v>
      </c>
      <c r="C8" s="186">
        <v>149565.79</v>
      </c>
      <c r="D8" s="240">
        <v>3756.04</v>
      </c>
      <c r="E8" s="186">
        <v>116374.34</v>
      </c>
      <c r="G8" s="240">
        <v>3.49</v>
      </c>
      <c r="H8" s="188">
        <v>56.04</v>
      </c>
      <c r="I8" s="240"/>
      <c r="J8" s="240">
        <v>0</v>
      </c>
      <c r="K8" s="188">
        <v>0</v>
      </c>
      <c r="L8" s="188"/>
      <c r="M8" s="187"/>
      <c r="N8" s="188"/>
      <c r="P8" s="240">
        <f>B8+D8+G8+J8+M8</f>
        <v>8600.0500000000011</v>
      </c>
      <c r="Q8" s="240">
        <f>C8+E8+H8+K8+N8</f>
        <v>265996.17</v>
      </c>
      <c r="R8" s="137"/>
      <c r="S8" s="134"/>
      <c r="T8" s="130"/>
      <c r="U8" s="36"/>
    </row>
    <row r="9" spans="1:27">
      <c r="A9" s="184" t="s">
        <v>507</v>
      </c>
      <c r="B9" s="240">
        <v>4262.62</v>
      </c>
      <c r="C9" s="186">
        <v>131685.37</v>
      </c>
      <c r="D9" s="240">
        <v>3436.96</v>
      </c>
      <c r="E9" s="186">
        <v>104704.65</v>
      </c>
      <c r="G9" s="240">
        <v>0.99</v>
      </c>
      <c r="H9" s="188">
        <v>20.12</v>
      </c>
      <c r="I9" s="240"/>
      <c r="J9" s="240"/>
      <c r="K9" s="188"/>
      <c r="L9" s="188"/>
      <c r="M9" s="187"/>
      <c r="N9" s="188"/>
      <c r="P9" s="240">
        <f t="shared" ref="P9:Q19" si="0">B9+D9+G9+J9+M9</f>
        <v>7700.57</v>
      </c>
      <c r="Q9" s="240">
        <f t="shared" si="0"/>
        <v>236410.13999999998</v>
      </c>
      <c r="R9" s="137"/>
      <c r="S9" s="134"/>
      <c r="T9" s="130"/>
      <c r="U9" s="36"/>
    </row>
    <row r="10" spans="1:27">
      <c r="A10" s="184" t="s">
        <v>508</v>
      </c>
      <c r="B10" s="240">
        <v>4951.18</v>
      </c>
      <c r="C10" s="186">
        <v>152972.95000000001</v>
      </c>
      <c r="D10" s="240">
        <v>3952.08</v>
      </c>
      <c r="E10" s="186">
        <v>122494.42</v>
      </c>
      <c r="G10" s="240">
        <v>9.18</v>
      </c>
      <c r="H10" s="188">
        <v>146.88</v>
      </c>
      <c r="I10" s="240"/>
      <c r="J10" s="240">
        <v>1.25</v>
      </c>
      <c r="K10" s="188">
        <v>20</v>
      </c>
      <c r="L10" s="188"/>
      <c r="M10" s="187">
        <v>3.7</v>
      </c>
      <c r="N10" s="188">
        <v>59.2</v>
      </c>
      <c r="P10" s="240">
        <f t="shared" si="0"/>
        <v>8917.3900000000012</v>
      </c>
      <c r="Q10" s="240">
        <f t="shared" si="0"/>
        <v>275693.45</v>
      </c>
      <c r="R10" s="137"/>
      <c r="S10" s="134"/>
      <c r="T10" s="130"/>
      <c r="U10" s="36"/>
    </row>
    <row r="11" spans="1:27">
      <c r="A11" s="184" t="s">
        <v>509</v>
      </c>
      <c r="B11" s="240">
        <v>5406.54</v>
      </c>
      <c r="C11" s="186">
        <v>167744.23000000001</v>
      </c>
      <c r="D11" s="240">
        <v>4171.8100000000004</v>
      </c>
      <c r="E11" s="186">
        <v>130981.46</v>
      </c>
      <c r="G11" s="240">
        <v>37.75</v>
      </c>
      <c r="H11" s="188">
        <v>723.73</v>
      </c>
      <c r="I11" s="240"/>
      <c r="J11" s="240">
        <v>12.51</v>
      </c>
      <c r="K11" s="188">
        <v>200.16</v>
      </c>
      <c r="L11" s="188"/>
      <c r="M11" s="187">
        <v>7.95</v>
      </c>
      <c r="N11" s="188">
        <v>125.12</v>
      </c>
      <c r="P11" s="240">
        <f t="shared" si="0"/>
        <v>9636.5600000000013</v>
      </c>
      <c r="Q11" s="240">
        <f t="shared" si="0"/>
        <v>299774.69999999995</v>
      </c>
      <c r="R11" s="137"/>
      <c r="S11" s="134"/>
      <c r="T11" s="130"/>
      <c r="U11" s="36"/>
    </row>
    <row r="12" spans="1:27">
      <c r="A12" s="184" t="s">
        <v>510</v>
      </c>
      <c r="B12" s="240">
        <v>5779.61</v>
      </c>
      <c r="C12" s="186">
        <v>178566.11</v>
      </c>
      <c r="D12" s="240">
        <v>3676.28</v>
      </c>
      <c r="E12" s="186">
        <v>113995.02</v>
      </c>
      <c r="G12" s="240">
        <v>54.01</v>
      </c>
      <c r="H12" s="188">
        <v>864.15</v>
      </c>
      <c r="I12" s="240"/>
      <c r="J12" s="240">
        <v>16.55</v>
      </c>
      <c r="K12" s="188">
        <v>248.8</v>
      </c>
      <c r="L12" s="188"/>
      <c r="M12" s="187"/>
      <c r="N12" s="188"/>
      <c r="P12" s="240">
        <f t="shared" si="0"/>
        <v>9526.4499999999989</v>
      </c>
      <c r="Q12" s="240">
        <f t="shared" si="0"/>
        <v>293674.08</v>
      </c>
      <c r="R12" s="137"/>
      <c r="S12" s="134"/>
      <c r="T12" s="130"/>
      <c r="U12" s="36"/>
    </row>
    <row r="13" spans="1:27">
      <c r="A13" s="184" t="s">
        <v>511</v>
      </c>
      <c r="B13" s="240">
        <v>5244.33</v>
      </c>
      <c r="C13" s="186">
        <v>161858.26</v>
      </c>
      <c r="D13" s="240">
        <v>4491.4799999999996</v>
      </c>
      <c r="E13" s="186">
        <v>138814.15</v>
      </c>
      <c r="G13" s="240">
        <v>45.33</v>
      </c>
      <c r="H13" s="188">
        <v>725.28</v>
      </c>
      <c r="I13" s="240"/>
      <c r="J13" s="240">
        <v>10.9</v>
      </c>
      <c r="K13" s="188">
        <v>174.4</v>
      </c>
      <c r="L13" s="188"/>
      <c r="M13" s="187"/>
      <c r="N13" s="188"/>
      <c r="P13" s="240">
        <f t="shared" si="0"/>
        <v>9792.0399999999991</v>
      </c>
      <c r="Q13" s="240">
        <f t="shared" si="0"/>
        <v>301572.09000000008</v>
      </c>
      <c r="R13" s="137"/>
      <c r="S13" s="134"/>
      <c r="T13" s="130"/>
      <c r="U13" s="36"/>
    </row>
    <row r="14" spans="1:27">
      <c r="A14" s="184" t="s">
        <v>512</v>
      </c>
      <c r="B14" s="240">
        <v>5762.93</v>
      </c>
      <c r="C14" s="186">
        <v>177550.78</v>
      </c>
      <c r="D14" s="240">
        <v>4790.8599999999997</v>
      </c>
      <c r="E14" s="186">
        <v>148346.31</v>
      </c>
      <c r="G14" s="240">
        <v>60.49</v>
      </c>
      <c r="H14" s="188">
        <v>967.84</v>
      </c>
      <c r="I14" s="240"/>
      <c r="J14" s="240">
        <v>18.440000000000001</v>
      </c>
      <c r="K14" s="188">
        <v>295.04000000000002</v>
      </c>
      <c r="L14" s="188"/>
      <c r="M14" s="187">
        <v>2.4500000000000002</v>
      </c>
      <c r="N14" s="188">
        <v>39.200000000000003</v>
      </c>
      <c r="P14" s="240">
        <f t="shared" si="0"/>
        <v>10635.170000000002</v>
      </c>
      <c r="Q14" s="240">
        <f t="shared" si="0"/>
        <v>327199.17</v>
      </c>
      <c r="R14" s="137"/>
      <c r="S14" s="134"/>
      <c r="T14" s="130"/>
      <c r="U14" s="36"/>
    </row>
    <row r="15" spans="1:27">
      <c r="A15" s="184" t="s">
        <v>513</v>
      </c>
      <c r="B15" s="240">
        <v>5483.92</v>
      </c>
      <c r="C15" s="186">
        <v>169286</v>
      </c>
      <c r="D15" s="240">
        <v>4032</v>
      </c>
      <c r="E15" s="186">
        <v>125200.17</v>
      </c>
      <c r="G15" s="240">
        <v>93.06</v>
      </c>
      <c r="H15" s="188">
        <v>1488.96</v>
      </c>
      <c r="I15" s="240"/>
      <c r="J15" s="240">
        <v>16.59</v>
      </c>
      <c r="K15" s="188">
        <v>265.44</v>
      </c>
      <c r="L15" s="188"/>
      <c r="M15" s="187"/>
      <c r="N15" s="188"/>
      <c r="P15" s="240">
        <f t="shared" si="0"/>
        <v>9625.57</v>
      </c>
      <c r="Q15" s="240">
        <f t="shared" si="0"/>
        <v>296240.57</v>
      </c>
      <c r="R15" s="137"/>
      <c r="S15" s="134"/>
      <c r="T15" s="130"/>
      <c r="U15" s="36"/>
    </row>
    <row r="16" spans="1:27">
      <c r="A16" s="184" t="s">
        <v>514</v>
      </c>
      <c r="B16" s="240">
        <v>5861.01</v>
      </c>
      <c r="C16" s="186">
        <v>180792.59</v>
      </c>
      <c r="D16" s="240">
        <v>4531.43</v>
      </c>
      <c r="E16" s="186">
        <v>142523.60999999999</v>
      </c>
      <c r="G16" s="240">
        <v>39.42</v>
      </c>
      <c r="H16" s="188">
        <v>630.72</v>
      </c>
      <c r="I16" s="240"/>
      <c r="J16" s="240">
        <v>10.82</v>
      </c>
      <c r="K16" s="188">
        <v>173.12</v>
      </c>
      <c r="L16" s="188"/>
      <c r="M16" s="187"/>
      <c r="N16" s="188"/>
      <c r="P16" s="240">
        <f t="shared" si="0"/>
        <v>10442.68</v>
      </c>
      <c r="Q16" s="240">
        <f t="shared" si="0"/>
        <v>324120.03999999992</v>
      </c>
      <c r="R16" s="137"/>
      <c r="S16" s="134"/>
      <c r="T16" s="130"/>
      <c r="U16" s="36"/>
    </row>
    <row r="17" spans="1:21">
      <c r="A17" s="184" t="s">
        <v>515</v>
      </c>
      <c r="B17" s="240">
        <v>5908.61</v>
      </c>
      <c r="C17" s="186">
        <v>182506.5</v>
      </c>
      <c r="D17" s="240">
        <v>5106.62</v>
      </c>
      <c r="E17" s="186">
        <v>158357.85999999999</v>
      </c>
      <c r="G17" s="240">
        <v>39.909999999999997</v>
      </c>
      <c r="H17" s="188">
        <v>638.55999999999995</v>
      </c>
      <c r="I17" s="240"/>
      <c r="J17" s="240">
        <v>9.02</v>
      </c>
      <c r="K17" s="188">
        <v>144.32</v>
      </c>
      <c r="L17" s="188"/>
      <c r="M17" s="187">
        <v>1.19</v>
      </c>
      <c r="N17" s="188">
        <v>19.04</v>
      </c>
      <c r="P17" s="240">
        <f t="shared" si="0"/>
        <v>11065.35</v>
      </c>
      <c r="Q17" s="240">
        <f t="shared" si="0"/>
        <v>341666.27999999997</v>
      </c>
      <c r="R17" s="137"/>
      <c r="S17" s="134"/>
      <c r="T17" s="130"/>
      <c r="U17" s="36"/>
    </row>
    <row r="18" spans="1:21">
      <c r="A18" s="184" t="s">
        <v>516</v>
      </c>
      <c r="B18" s="240">
        <v>5017.76</v>
      </c>
      <c r="C18" s="186">
        <v>155022.29</v>
      </c>
      <c r="D18" s="240">
        <v>4446.6099999999997</v>
      </c>
      <c r="E18" s="186">
        <v>137604.22</v>
      </c>
      <c r="G18" s="240">
        <v>28.51</v>
      </c>
      <c r="H18" s="188">
        <v>456.16</v>
      </c>
      <c r="I18" s="240"/>
      <c r="J18" s="240">
        <v>3.1</v>
      </c>
      <c r="K18" s="188">
        <v>49.6</v>
      </c>
      <c r="L18" s="188"/>
      <c r="M18" s="187"/>
      <c r="N18" s="188"/>
      <c r="P18" s="240">
        <f t="shared" si="0"/>
        <v>9495.98</v>
      </c>
      <c r="Q18" s="240">
        <f t="shared" si="0"/>
        <v>293132.26999999996</v>
      </c>
      <c r="R18" s="137"/>
      <c r="S18" s="134"/>
      <c r="T18" s="130"/>
      <c r="U18" s="36"/>
    </row>
    <row r="19" spans="1:21">
      <c r="A19" s="184" t="s">
        <v>517</v>
      </c>
      <c r="B19" s="148">
        <v>5324.98</v>
      </c>
      <c r="C19" s="149">
        <v>164455.82</v>
      </c>
      <c r="D19" s="148">
        <v>4200.34</v>
      </c>
      <c r="E19" s="149">
        <v>130473.2</v>
      </c>
      <c r="G19" s="148">
        <v>7.03</v>
      </c>
      <c r="H19" s="170">
        <v>112.48</v>
      </c>
      <c r="I19" s="240"/>
      <c r="J19" s="148">
        <v>0</v>
      </c>
      <c r="K19" s="170">
        <v>0</v>
      </c>
      <c r="L19" s="171"/>
      <c r="M19" s="171"/>
      <c r="N19" s="171"/>
      <c r="P19" s="240">
        <f t="shared" si="0"/>
        <v>9532.35</v>
      </c>
      <c r="Q19" s="240">
        <f t="shared" si="0"/>
        <v>295041.5</v>
      </c>
      <c r="R19" s="137"/>
      <c r="S19" s="134"/>
      <c r="T19" s="130"/>
      <c r="U19" s="36"/>
    </row>
    <row r="20" spans="1:21" s="14" customFormat="1">
      <c r="A20" s="239"/>
      <c r="B20" s="173">
        <f>SUM(B8:B19)</f>
        <v>63844.010000000009</v>
      </c>
      <c r="C20" s="172">
        <f t="shared" ref="C20:E20" si="1">SUM(C8:C19)</f>
        <v>1972006.6900000002</v>
      </c>
      <c r="D20" s="173">
        <f t="shared" si="1"/>
        <v>50592.510000000009</v>
      </c>
      <c r="E20" s="172">
        <f t="shared" si="1"/>
        <v>1569869.4100000001</v>
      </c>
      <c r="F20" s="239"/>
      <c r="G20" s="173">
        <f t="shared" ref="G20:H20" si="2">SUM(G8:G19)</f>
        <v>419.16999999999996</v>
      </c>
      <c r="H20" s="172">
        <f t="shared" si="2"/>
        <v>6830.92</v>
      </c>
      <c r="I20" s="173"/>
      <c r="J20" s="173">
        <f t="shared" ref="J20:N20" si="3">SUM(J8:J19)</f>
        <v>99.179999999999993</v>
      </c>
      <c r="K20" s="172">
        <f t="shared" si="3"/>
        <v>1570.8799999999999</v>
      </c>
      <c r="L20" s="172"/>
      <c r="M20" s="174">
        <f>SUM(M8:M19)</f>
        <v>15.290000000000001</v>
      </c>
      <c r="N20" s="175">
        <f t="shared" si="3"/>
        <v>242.55999999999997</v>
      </c>
      <c r="O20" s="239"/>
      <c r="P20" s="174">
        <f t="shared" ref="P20:Q20" si="4">SUM(P8:P19)</f>
        <v>114970.16000000002</v>
      </c>
      <c r="Q20" s="175">
        <f t="shared" si="4"/>
        <v>3550520.46</v>
      </c>
      <c r="R20" s="138"/>
      <c r="S20" s="139"/>
      <c r="T20" s="140"/>
      <c r="U20" s="138"/>
    </row>
    <row r="21" spans="1:21">
      <c r="B21" s="240"/>
      <c r="C21" s="186"/>
      <c r="D21" s="240"/>
      <c r="E21" s="186"/>
      <c r="G21" s="240"/>
      <c r="H21" s="188"/>
      <c r="I21" s="240"/>
      <c r="J21" s="240"/>
      <c r="K21" s="188"/>
      <c r="L21" s="188"/>
      <c r="M21" s="188"/>
      <c r="N21" s="188"/>
    </row>
    <row r="22" spans="1:21">
      <c r="A22" s="239" t="s">
        <v>494</v>
      </c>
      <c r="B22" s="240"/>
      <c r="C22" s="185" t="s">
        <v>497</v>
      </c>
      <c r="D22" s="240"/>
      <c r="E22" s="185" t="s">
        <v>499</v>
      </c>
      <c r="G22" s="240"/>
      <c r="H22" s="188"/>
      <c r="I22" s="240"/>
      <c r="J22" s="240"/>
      <c r="K22" s="188"/>
      <c r="L22" s="188"/>
      <c r="M22" s="188"/>
      <c r="N22" s="188"/>
      <c r="P22" s="233" t="s">
        <v>518</v>
      </c>
      <c r="Q22" s="232">
        <v>4233.3999999999996</v>
      </c>
      <c r="U22" s="141"/>
    </row>
    <row r="23" spans="1:21">
      <c r="A23" s="184" t="s">
        <v>506</v>
      </c>
      <c r="B23" s="240"/>
      <c r="C23" s="159">
        <v>108508.23</v>
      </c>
      <c r="D23" s="240"/>
      <c r="E23" s="159">
        <v>87548.46</v>
      </c>
      <c r="G23" s="240"/>
      <c r="H23" s="188"/>
      <c r="I23" s="240"/>
      <c r="J23" s="240"/>
      <c r="K23" s="188"/>
      <c r="L23" s="188"/>
      <c r="M23" s="188"/>
      <c r="N23" s="188"/>
      <c r="P23" s="233" t="s">
        <v>519</v>
      </c>
      <c r="Q23" s="179">
        <f>'[18]Yakima Consolidated IS'!C104</f>
        <v>3554753.86</v>
      </c>
      <c r="R23" s="141"/>
      <c r="T23" s="141"/>
    </row>
    <row r="24" spans="1:21">
      <c r="A24" s="184" t="s">
        <v>507</v>
      </c>
      <c r="C24" s="159">
        <v>94796.07</v>
      </c>
      <c r="E24" s="159">
        <v>77543.179999999993</v>
      </c>
      <c r="H24" s="188"/>
      <c r="I24" s="240"/>
      <c r="J24" s="240"/>
      <c r="K24" s="188"/>
      <c r="L24" s="188"/>
      <c r="M24" s="188"/>
      <c r="N24" s="188"/>
      <c r="P24" s="233" t="s">
        <v>520</v>
      </c>
      <c r="Q24" s="240">
        <f>Q20+Q22-Q23</f>
        <v>0</v>
      </c>
    </row>
    <row r="25" spans="1:21">
      <c r="A25" s="184" t="s">
        <v>508</v>
      </c>
      <c r="C25" s="159">
        <v>109916.58</v>
      </c>
      <c r="E25" s="159">
        <v>90999.76</v>
      </c>
      <c r="I25" s="240"/>
      <c r="K25" s="188"/>
      <c r="L25" s="188"/>
      <c r="M25" s="188"/>
      <c r="N25" s="188"/>
    </row>
    <row r="26" spans="1:21">
      <c r="A26" s="184" t="s">
        <v>509</v>
      </c>
      <c r="C26" s="159">
        <v>119908.36</v>
      </c>
      <c r="E26" s="159">
        <v>100797.82</v>
      </c>
      <c r="J26" s="176" t="s">
        <v>490</v>
      </c>
      <c r="K26" s="188"/>
      <c r="L26" s="188"/>
      <c r="M26" s="188"/>
      <c r="N26" s="188"/>
      <c r="O26" s="252"/>
      <c r="P26" s="261"/>
      <c r="Q26" s="261"/>
    </row>
    <row r="27" spans="1:21">
      <c r="A27" s="184" t="s">
        <v>510</v>
      </c>
      <c r="C27" s="159">
        <v>128996.18</v>
      </c>
      <c r="E27" s="159">
        <v>87049.8</v>
      </c>
      <c r="H27" s="231"/>
      <c r="K27" s="188"/>
      <c r="L27" s="188"/>
      <c r="M27" s="188"/>
      <c r="N27" s="188"/>
      <c r="O27" s="252"/>
      <c r="P27" s="230"/>
      <c r="Q27" s="230"/>
    </row>
    <row r="28" spans="1:21">
      <c r="A28" s="184" t="s">
        <v>511</v>
      </c>
      <c r="C28" s="159">
        <v>115725.75999999999</v>
      </c>
      <c r="E28" s="159">
        <v>105557.19</v>
      </c>
      <c r="K28" s="188"/>
      <c r="L28" s="188"/>
      <c r="M28" s="188"/>
      <c r="N28" s="188"/>
      <c r="O28" s="252"/>
      <c r="P28" s="150"/>
      <c r="Q28" s="230"/>
    </row>
    <row r="29" spans="1:21">
      <c r="A29" s="184" t="s">
        <v>512</v>
      </c>
      <c r="C29" s="159">
        <v>127319.76</v>
      </c>
      <c r="E29" s="159">
        <v>114058.07</v>
      </c>
      <c r="O29" s="252"/>
      <c r="P29" s="150"/>
      <c r="Q29" s="230"/>
    </row>
    <row r="30" spans="1:21">
      <c r="A30" s="184" t="s">
        <v>513</v>
      </c>
      <c r="C30" s="159">
        <v>120723.78</v>
      </c>
      <c r="E30" s="159">
        <v>94835.21</v>
      </c>
      <c r="O30" s="252"/>
      <c r="P30" s="230"/>
      <c r="Q30" s="189"/>
    </row>
    <row r="31" spans="1:21">
      <c r="A31" s="184" t="s">
        <v>514</v>
      </c>
      <c r="C31" s="159">
        <v>129418.82</v>
      </c>
      <c r="E31" s="159">
        <v>103127.69</v>
      </c>
      <c r="O31" s="252"/>
      <c r="P31" s="230"/>
      <c r="Q31" s="230"/>
    </row>
    <row r="32" spans="1:21">
      <c r="A32" s="184" t="s">
        <v>515</v>
      </c>
      <c r="C32" s="159">
        <v>131266.71</v>
      </c>
      <c r="E32" s="159">
        <v>117584.68</v>
      </c>
      <c r="O32" s="252"/>
      <c r="P32" s="230"/>
      <c r="Q32" s="230"/>
    </row>
    <row r="33" spans="1:17">
      <c r="A33" s="184" t="s">
        <v>516</v>
      </c>
      <c r="C33" s="159">
        <v>109672.92</v>
      </c>
      <c r="E33" s="159">
        <v>105382.3</v>
      </c>
      <c r="O33" s="252"/>
      <c r="P33" s="230"/>
      <c r="Q33" s="230"/>
    </row>
    <row r="34" spans="1:17">
      <c r="A34" s="184" t="s">
        <v>517</v>
      </c>
      <c r="C34" s="159">
        <v>115987.57</v>
      </c>
      <c r="E34" s="159">
        <v>98641.600000000006</v>
      </c>
      <c r="O34" s="252"/>
      <c r="P34" s="230"/>
      <c r="Q34" s="230"/>
    </row>
    <row r="35" spans="1:17">
      <c r="A35" s="239" t="s">
        <v>494</v>
      </c>
      <c r="C35" s="201">
        <f>SUM(C23:C34)</f>
        <v>1412240.74</v>
      </c>
      <c r="D35" s="151">
        <f>C35/C20</f>
        <v>0.71614399036344034</v>
      </c>
      <c r="E35" s="201">
        <f>SUM(E23:E34)</f>
        <v>1183125.76</v>
      </c>
      <c r="G35" s="151">
        <f>E35/E20</f>
        <v>0.75364597364821573</v>
      </c>
      <c r="O35" s="252"/>
      <c r="P35" s="230"/>
      <c r="Q35" s="230"/>
    </row>
    <row r="36" spans="1:17">
      <c r="D36" s="151"/>
      <c r="E36" s="159"/>
      <c r="G36" s="151"/>
      <c r="O36" s="252"/>
      <c r="P36" s="230"/>
      <c r="Q36" s="230"/>
    </row>
    <row r="37" spans="1:17">
      <c r="A37" s="239" t="s">
        <v>521</v>
      </c>
      <c r="C37" s="229">
        <f>C20-C35</f>
        <v>559765.95000000019</v>
      </c>
      <c r="D37" s="151">
        <f>C37/C20</f>
        <v>0.28385600963655966</v>
      </c>
      <c r="E37" s="229">
        <f>E20-E35</f>
        <v>386743.65000000014</v>
      </c>
      <c r="G37" s="151">
        <f>E37/E20</f>
        <v>0.24635402635178433</v>
      </c>
    </row>
    <row r="39" spans="1:17">
      <c r="C39" s="229">
        <f>SUM(C35:C37)</f>
        <v>1972006.6900000002</v>
      </c>
      <c r="D39" s="239"/>
      <c r="E39" s="229">
        <f>SUM(E35:E37)</f>
        <v>1569869.4100000001</v>
      </c>
    </row>
    <row r="41" spans="1:17">
      <c r="B41" s="231"/>
    </row>
    <row r="42" spans="1:17">
      <c r="B42" s="231"/>
    </row>
    <row r="43" spans="1:17">
      <c r="B43" s="231"/>
    </row>
    <row r="44" spans="1:17">
      <c r="B44" s="231"/>
    </row>
    <row r="45" spans="1:17">
      <c r="B45" s="231"/>
    </row>
    <row r="46" spans="1:17">
      <c r="B46" s="231"/>
    </row>
    <row r="47" spans="1:17">
      <c r="B47" s="231"/>
    </row>
    <row r="48" spans="1:17">
      <c r="B48" s="231"/>
    </row>
    <row r="49" spans="2:2">
      <c r="B49" s="231"/>
    </row>
    <row r="50" spans="2:2">
      <c r="B50" s="231"/>
    </row>
    <row r="51" spans="2:2">
      <c r="B51" s="231"/>
    </row>
    <row r="52" spans="2:2">
      <c r="B52" s="231"/>
    </row>
    <row r="53" spans="2:2">
      <c r="B53" s="231"/>
    </row>
    <row r="54" spans="2:2">
      <c r="B54" s="231"/>
    </row>
    <row r="55" spans="2:2">
      <c r="B55" s="231"/>
    </row>
    <row r="56" spans="2:2">
      <c r="B56" s="231"/>
    </row>
    <row r="57" spans="2:2">
      <c r="B57" s="231"/>
    </row>
    <row r="58" spans="2:2">
      <c r="B58" s="231"/>
    </row>
    <row r="59" spans="2:2">
      <c r="B59" s="231"/>
    </row>
    <row r="60" spans="2:2">
      <c r="B60" s="231"/>
    </row>
    <row r="61" spans="2:2">
      <c r="B61" s="231"/>
    </row>
    <row r="62" spans="2:2">
      <c r="B62" s="231"/>
    </row>
    <row r="63" spans="2:2">
      <c r="B63" s="231"/>
    </row>
    <row r="64" spans="2:2">
      <c r="B64" s="231"/>
    </row>
    <row r="65" spans="2:2">
      <c r="B65" s="231"/>
    </row>
    <row r="66" spans="2:2">
      <c r="B66" s="231"/>
    </row>
    <row r="67" spans="2:2">
      <c r="B67" s="231"/>
    </row>
    <row r="68" spans="2:2">
      <c r="B68" s="231"/>
    </row>
    <row r="69" spans="2:2">
      <c r="B69" s="231"/>
    </row>
    <row r="70" spans="2:2">
      <c r="B70" s="231"/>
    </row>
    <row r="71" spans="2:2">
      <c r="B71" s="231"/>
    </row>
    <row r="72" spans="2:2">
      <c r="B72" s="231"/>
    </row>
    <row r="73" spans="2:2">
      <c r="B73" s="231"/>
    </row>
    <row r="74" spans="2:2">
      <c r="B74" s="231"/>
    </row>
    <row r="75" spans="2:2">
      <c r="B75" s="231"/>
    </row>
    <row r="76" spans="2:2">
      <c r="B76" s="231"/>
    </row>
    <row r="77" spans="2:2">
      <c r="B77" s="231"/>
    </row>
    <row r="78" spans="2:2">
      <c r="B78" s="231"/>
    </row>
    <row r="79" spans="2:2">
      <c r="B79" s="231"/>
    </row>
    <row r="80" spans="2:2">
      <c r="B80" s="231"/>
    </row>
    <row r="81" spans="2:2">
      <c r="B81" s="231"/>
    </row>
    <row r="82" spans="2:2">
      <c r="B82" s="231"/>
    </row>
    <row r="83" spans="2:2">
      <c r="B83" s="231"/>
    </row>
    <row r="84" spans="2:2">
      <c r="B84" s="231"/>
    </row>
    <row r="85" spans="2:2">
      <c r="B85" s="231"/>
    </row>
    <row r="86" spans="2:2">
      <c r="B86" s="231"/>
    </row>
    <row r="87" spans="2:2">
      <c r="B87" s="231"/>
    </row>
    <row r="88" spans="2:2">
      <c r="B88" s="231"/>
    </row>
    <row r="89" spans="2:2">
      <c r="B89" s="231"/>
    </row>
    <row r="90" spans="2:2">
      <c r="B90" s="231"/>
    </row>
    <row r="91" spans="2:2">
      <c r="B91" s="231"/>
    </row>
    <row r="92" spans="2:2">
      <c r="B92" s="231"/>
    </row>
    <row r="93" spans="2:2">
      <c r="B93" s="231"/>
    </row>
    <row r="94" spans="2:2">
      <c r="B94" s="231"/>
    </row>
    <row r="95" spans="2:2">
      <c r="B95" s="231"/>
    </row>
    <row r="96" spans="2:2">
      <c r="B96" s="231"/>
    </row>
    <row r="97" spans="2:2">
      <c r="B97" s="231"/>
    </row>
    <row r="98" spans="2:2">
      <c r="B98" s="231"/>
    </row>
    <row r="99" spans="2:2">
      <c r="B99" s="231"/>
    </row>
    <row r="100" spans="2:2">
      <c r="B100" s="231"/>
    </row>
    <row r="101" spans="2:2">
      <c r="B101" s="231"/>
    </row>
    <row r="102" spans="2:2">
      <c r="B102" s="231"/>
    </row>
    <row r="103" spans="2:2">
      <c r="B103" s="231"/>
    </row>
    <row r="104" spans="2:2">
      <c r="B104" s="231"/>
    </row>
    <row r="105" spans="2:2">
      <c r="B105" s="231" t="e">
        <f t="shared" ref="B105:B110" si="5">C72/B72</f>
        <v>#DIV/0!</v>
      </c>
    </row>
    <row r="106" spans="2:2">
      <c r="B106" s="231" t="e">
        <f t="shared" si="5"/>
        <v>#DIV/0!</v>
      </c>
    </row>
    <row r="107" spans="2:2">
      <c r="B107" s="231" t="e">
        <f t="shared" si="5"/>
        <v>#DIV/0!</v>
      </c>
    </row>
    <row r="108" spans="2:2">
      <c r="B108" s="231" t="e">
        <f t="shared" si="5"/>
        <v>#DIV/0!</v>
      </c>
    </row>
    <row r="109" spans="2:2">
      <c r="B109" s="231" t="e">
        <f t="shared" si="5"/>
        <v>#DIV/0!</v>
      </c>
    </row>
    <row r="110" spans="2:2">
      <c r="B110" s="231" t="e">
        <f t="shared" si="5"/>
        <v>#DIV/0!</v>
      </c>
    </row>
  </sheetData>
  <mergeCells count="6">
    <mergeCell ref="P26:Q26"/>
    <mergeCell ref="A4:H4"/>
    <mergeCell ref="B6:E6"/>
    <mergeCell ref="G6:H6"/>
    <mergeCell ref="J6:K6"/>
    <mergeCell ref="M6:N6"/>
  </mergeCells>
  <pageMargins left="0.7" right="0.7" top="0.75" bottom="0.75" header="0.3" footer="0.3"/>
  <pageSetup scale="72" orientation="landscape" r:id="rId1"/>
  <headerFooter>
    <oddFooter>&amp;L&amp;F - &amp;A&amp;R&amp;P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18"/>
  <sheetViews>
    <sheetView topLeftCell="A193" zoomScale="85" zoomScaleNormal="85" workbookViewId="0">
      <selection activeCell="E218" sqref="E218"/>
    </sheetView>
  </sheetViews>
  <sheetFormatPr defaultRowHeight="15" customHeight="1"/>
  <cols>
    <col min="1" max="1" width="30.7109375" style="253" bestFit="1" customWidth="1"/>
    <col min="2" max="2" width="30.85546875" style="253" bestFit="1" customWidth="1"/>
    <col min="3" max="3" width="10.140625" style="253" bestFit="1" customWidth="1"/>
    <col min="4" max="4" width="4" style="253" customWidth="1"/>
    <col min="5" max="5" width="10.5703125" style="193" bestFit="1" customWidth="1"/>
    <col min="6" max="6" width="3.85546875" style="253" customWidth="1"/>
    <col min="7" max="8" width="10.42578125" style="253" bestFit="1" customWidth="1"/>
    <col min="9" max="9" width="9.140625" style="13" customWidth="1"/>
    <col min="10" max="16384" width="9.140625" style="13"/>
  </cols>
  <sheetData>
    <row r="1" spans="1:8" ht="15" customHeight="1">
      <c r="A1" s="239" t="s">
        <v>157</v>
      </c>
      <c r="B1" s="152"/>
      <c r="E1" s="153"/>
      <c r="F1" s="152"/>
      <c r="G1" s="152"/>
    </row>
    <row r="2" spans="1:8" ht="15" customHeight="1">
      <c r="A2" s="239" t="s">
        <v>614</v>
      </c>
      <c r="B2" s="152"/>
      <c r="C2" s="155"/>
      <c r="D2" s="152"/>
      <c r="E2" s="153"/>
      <c r="F2" s="152"/>
      <c r="G2" s="152"/>
    </row>
    <row r="3" spans="1:8" ht="15" customHeight="1">
      <c r="A3" s="239" t="s">
        <v>617</v>
      </c>
      <c r="B3" s="152"/>
      <c r="C3" s="155"/>
      <c r="D3" s="152"/>
      <c r="E3" s="153"/>
      <c r="F3" s="152"/>
      <c r="G3" s="152"/>
    </row>
    <row r="4" spans="1:8" s="248" customFormat="1" ht="27" customHeight="1">
      <c r="A4" s="262" t="s">
        <v>619</v>
      </c>
      <c r="B4" s="262"/>
      <c r="C4" s="262"/>
      <c r="D4" s="262"/>
      <c r="E4" s="262"/>
      <c r="F4" s="262"/>
      <c r="G4" s="262"/>
      <c r="H4" s="262"/>
    </row>
    <row r="5" spans="1:8" s="248" customFormat="1" ht="15" customHeight="1">
      <c r="A5" s="238"/>
      <c r="B5" s="152"/>
      <c r="C5" s="155"/>
      <c r="D5" s="152"/>
      <c r="E5" s="153"/>
      <c r="F5" s="152"/>
      <c r="G5" s="152"/>
      <c r="H5" s="178" t="s">
        <v>98</v>
      </c>
    </row>
    <row r="6" spans="1:8" ht="15" customHeight="1">
      <c r="A6" s="152"/>
      <c r="B6" s="147"/>
      <c r="C6" s="228" t="s">
        <v>121</v>
      </c>
      <c r="D6" s="152"/>
      <c r="E6" s="183" t="s">
        <v>160</v>
      </c>
      <c r="F6" s="152"/>
      <c r="G6" s="227" t="s">
        <v>161</v>
      </c>
      <c r="H6" s="178" t="s">
        <v>120</v>
      </c>
    </row>
    <row r="7" spans="1:8" ht="15" customHeight="1">
      <c r="A7" s="228" t="s">
        <v>99</v>
      </c>
      <c r="B7" s="147" t="s">
        <v>100</v>
      </c>
      <c r="C7" s="182">
        <v>41640</v>
      </c>
      <c r="D7" s="147"/>
      <c r="E7" s="183" t="s">
        <v>87</v>
      </c>
      <c r="F7" s="152"/>
      <c r="G7" s="147" t="s">
        <v>88</v>
      </c>
      <c r="H7" s="147" t="s">
        <v>88</v>
      </c>
    </row>
    <row r="8" spans="1:8" s="145" customFormat="1" ht="15" customHeight="1">
      <c r="A8" s="244" t="s">
        <v>163</v>
      </c>
      <c r="B8" s="244" t="s">
        <v>163</v>
      </c>
      <c r="C8" s="155"/>
      <c r="D8" s="154"/>
      <c r="E8" s="153"/>
      <c r="F8" s="152"/>
      <c r="G8" s="152"/>
      <c r="H8" s="253"/>
    </row>
    <row r="9" spans="1:8" s="145" customFormat="1" ht="15" customHeight="1">
      <c r="A9" s="244"/>
      <c r="B9" s="244"/>
      <c r="C9" s="155"/>
      <c r="D9" s="154"/>
      <c r="E9" s="153"/>
      <c r="F9" s="152"/>
      <c r="G9" s="152"/>
      <c r="H9" s="253"/>
    </row>
    <row r="10" spans="1:8" s="145" customFormat="1" ht="15" customHeight="1">
      <c r="A10" s="243" t="s">
        <v>164</v>
      </c>
      <c r="B10" s="243" t="s">
        <v>164</v>
      </c>
      <c r="C10" s="156"/>
      <c r="D10" s="156"/>
      <c r="E10" s="153"/>
      <c r="F10" s="152"/>
      <c r="G10" s="153"/>
      <c r="H10" s="253"/>
    </row>
    <row r="11" spans="1:8" s="145" customFormat="1" ht="15" customHeight="1">
      <c r="A11" s="252" t="s">
        <v>165</v>
      </c>
      <c r="B11" s="252" t="s">
        <v>166</v>
      </c>
      <c r="C11" s="156">
        <f>VLOOKUP(A11,'[19]Reg Rates'!$B$4:$D$998,3,FALSE)/2</f>
        <v>5.57</v>
      </c>
      <c r="D11" s="156"/>
      <c r="E11" s="153">
        <f>VLOOKUP(A11,'[19]Pivot - Value'!$B$84:$P$257,15,FALSE)</f>
        <v>858.10999999999979</v>
      </c>
      <c r="F11" s="152"/>
      <c r="G11" s="153">
        <f>E11/C11</f>
        <v>154.05924596050264</v>
      </c>
      <c r="H11" s="157">
        <f>SUM(G11:G11)/[18]Explanations!$C$48</f>
        <v>12.838270496708553</v>
      </c>
    </row>
    <row r="12" spans="1:8" s="145" customFormat="1" ht="15" customHeight="1">
      <c r="A12" s="252" t="s">
        <v>167</v>
      </c>
      <c r="B12" s="252" t="s">
        <v>168</v>
      </c>
      <c r="C12" s="156">
        <f>VLOOKUP(A12,'[19]Reg Rates'!$B$4:$D$998,3,FALSE)/2</f>
        <v>4.16</v>
      </c>
      <c r="D12" s="156"/>
      <c r="E12" s="153">
        <f>VLOOKUP(A12,'[19]Pivot - Value'!$B$84:$P$257,15,FALSE)</f>
        <v>1827.68</v>
      </c>
      <c r="F12" s="152"/>
      <c r="G12" s="153">
        <f t="shared" ref="G12:G39" si="0">E12/C12</f>
        <v>439.34615384615387</v>
      </c>
      <c r="H12" s="157">
        <f>SUM(G12:G12)/[18]Explanations!$C$48</f>
        <v>36.612179487179489</v>
      </c>
    </row>
    <row r="13" spans="1:8" s="145" customFormat="1" ht="15" customHeight="1">
      <c r="A13" s="252" t="s">
        <v>169</v>
      </c>
      <c r="B13" s="252" t="s">
        <v>170</v>
      </c>
      <c r="C13" s="156">
        <f>VLOOKUP(A13,'[19]Reg Rates'!$B$4:$D$998,3,FALSE)/2</f>
        <v>6.97</v>
      </c>
      <c r="D13" s="156"/>
      <c r="E13" s="153">
        <f>VLOOKUP(A13,'[19]Pivot - Value'!$B$84:$P$257,15,FALSE)</f>
        <v>243408.71499999994</v>
      </c>
      <c r="F13" s="152"/>
      <c r="G13" s="153">
        <f t="shared" si="0"/>
        <v>34922.340746054513</v>
      </c>
      <c r="H13" s="157">
        <f>SUM(G13:G13)/[18]Explanations!$C$48</f>
        <v>2910.1950621712094</v>
      </c>
    </row>
    <row r="14" spans="1:8" s="145" customFormat="1" ht="15" customHeight="1">
      <c r="A14" s="252" t="s">
        <v>171</v>
      </c>
      <c r="B14" s="252" t="s">
        <v>172</v>
      </c>
      <c r="C14" s="156">
        <f>VLOOKUP(A14,'[19]Reg Rates'!$B$4:$D$998,3,FALSE)/2</f>
        <v>9.15</v>
      </c>
      <c r="D14" s="156"/>
      <c r="E14" s="153">
        <f>VLOOKUP(A14,'[19]Pivot - Value'!$B$84:$P$257,15,FALSE)</f>
        <v>374749.375</v>
      </c>
      <c r="F14" s="152"/>
      <c r="G14" s="153">
        <f t="shared" si="0"/>
        <v>40956.215846994535</v>
      </c>
      <c r="H14" s="157">
        <f>SUM(G14:G14)/[18]Explanations!$C$48</f>
        <v>3413.0179872495446</v>
      </c>
    </row>
    <row r="15" spans="1:8" s="145" customFormat="1" ht="15" customHeight="1">
      <c r="A15" s="252" t="s">
        <v>173</v>
      </c>
      <c r="B15" s="252" t="s">
        <v>174</v>
      </c>
      <c r="C15" s="156">
        <f>VLOOKUP(A15,'[19]Reg Rates'!$B$4:$D$998,3,FALSE)/2</f>
        <v>11.3</v>
      </c>
      <c r="D15" s="156"/>
      <c r="E15" s="153">
        <f>VLOOKUP(A15,'[19]Pivot - Value'!$B$84:$P$257,15,FALSE)</f>
        <v>56491.195000000007</v>
      </c>
      <c r="F15" s="152"/>
      <c r="G15" s="153">
        <f t="shared" si="0"/>
        <v>4999.2207964601776</v>
      </c>
      <c r="H15" s="157">
        <f>SUM(G15:G15)/[18]Explanations!$C$48</f>
        <v>416.60173303834813</v>
      </c>
    </row>
    <row r="16" spans="1:8" s="145" customFormat="1" ht="15" customHeight="1">
      <c r="A16" s="252" t="s">
        <v>175</v>
      </c>
      <c r="B16" s="252" t="s">
        <v>176</v>
      </c>
      <c r="C16" s="156">
        <f>VLOOKUP(A16,'[19]Reg Rates'!$B$4:$D$998,3,FALSE)/2</f>
        <v>13.46</v>
      </c>
      <c r="D16" s="156"/>
      <c r="E16" s="153">
        <f>VLOOKUP(A16,'[19]Pivot - Value'!$B$84:$P$257,15,FALSE)</f>
        <v>9684.7750000000015</v>
      </c>
      <c r="F16" s="152"/>
      <c r="G16" s="153">
        <f t="shared" si="0"/>
        <v>719.52265973254089</v>
      </c>
      <c r="H16" s="157">
        <f>SUM(G16:G16)/[18]Explanations!$C$48</f>
        <v>59.960221644378407</v>
      </c>
    </row>
    <row r="17" spans="1:8" s="145" customFormat="1" ht="15" customHeight="1">
      <c r="A17" s="252" t="s">
        <v>177</v>
      </c>
      <c r="B17" s="252" t="s">
        <v>178</v>
      </c>
      <c r="C17" s="156">
        <f>VLOOKUP(A17,'[19]Reg Rates'!$B$4:$D$998,3,FALSE)/2</f>
        <v>15.89</v>
      </c>
      <c r="D17" s="156"/>
      <c r="E17" s="153">
        <f>VLOOKUP(A17,'[19]Pivot - Value'!$B$84:$P$257,15,FALSE)</f>
        <v>904.5300000000002</v>
      </c>
      <c r="F17" s="152"/>
      <c r="G17" s="153">
        <f t="shared" si="0"/>
        <v>56.924480805538082</v>
      </c>
      <c r="H17" s="157">
        <f>SUM(G17:G17)/[18]Explanations!$C$48</f>
        <v>4.7437067337948404</v>
      </c>
    </row>
    <row r="18" spans="1:8" s="145" customFormat="1" ht="15" customHeight="1">
      <c r="A18" s="252" t="s">
        <v>179</v>
      </c>
      <c r="B18" s="252" t="s">
        <v>180</v>
      </c>
      <c r="C18" s="156">
        <f>VLOOKUP(A18,'[19]Reg Rates'!$B$4:$D$998,3,FALSE)/2</f>
        <v>18.579999999999998</v>
      </c>
      <c r="D18" s="156"/>
      <c r="E18" s="153">
        <f>VLOOKUP(A18,'[19]Pivot - Value'!$B$84:$P$257,15,FALSE)</f>
        <v>232.25999999999993</v>
      </c>
      <c r="F18" s="152"/>
      <c r="G18" s="153">
        <f t="shared" si="0"/>
        <v>12.500538213132398</v>
      </c>
      <c r="H18" s="157">
        <f>SUM(G18:G18)/[18]Explanations!$C$48</f>
        <v>1.0417115177610332</v>
      </c>
    </row>
    <row r="19" spans="1:8" s="145" customFormat="1" ht="15" customHeight="1">
      <c r="A19" s="252" t="s">
        <v>181</v>
      </c>
      <c r="B19" s="252" t="s">
        <v>182</v>
      </c>
      <c r="C19" s="156">
        <f>VLOOKUP(A19,'[19]Reg Rates'!$B$4:$D$998,3,FALSE)/2</f>
        <v>9.9499999999999993</v>
      </c>
      <c r="D19" s="156"/>
      <c r="E19" s="153">
        <f>VLOOKUP(A19,'[19]Pivot - Value'!$B$84:$P$257,15,FALSE)</f>
        <v>81987.755000000005</v>
      </c>
      <c r="F19" s="152"/>
      <c r="G19" s="153">
        <f t="shared" si="0"/>
        <v>8239.9753768844239</v>
      </c>
      <c r="H19" s="157">
        <f>SUM(G19:G19)/[18]Explanations!$C$48</f>
        <v>686.66461474036862</v>
      </c>
    </row>
    <row r="20" spans="1:8" s="145" customFormat="1" ht="15" customHeight="1">
      <c r="A20" s="252" t="s">
        <v>183</v>
      </c>
      <c r="B20" s="252" t="s">
        <v>184</v>
      </c>
      <c r="C20" s="156">
        <f>VLOOKUP(A20,'[19]Reg Rates'!$B$4:$D$998,3,FALSE)/2</f>
        <v>10.45</v>
      </c>
      <c r="D20" s="156"/>
      <c r="E20" s="153">
        <f>VLOOKUP(A20,'[19]Pivot - Value'!$B$84:$P$257,15,FALSE)</f>
        <v>203904.78</v>
      </c>
      <c r="F20" s="152"/>
      <c r="G20" s="153">
        <f t="shared" si="0"/>
        <v>19512.41913875598</v>
      </c>
      <c r="H20" s="157">
        <f>SUM(G20:G20)/[18]Explanations!$C$48</f>
        <v>1626.034928229665</v>
      </c>
    </row>
    <row r="21" spans="1:8" s="145" customFormat="1" ht="15" customHeight="1">
      <c r="A21" s="252" t="s">
        <v>185</v>
      </c>
      <c r="B21" s="252" t="s">
        <v>186</v>
      </c>
      <c r="C21" s="156">
        <f>VLOOKUP(A21,'[19]Reg Rates'!$B$4:$D$998,3,FALSE)/2</f>
        <v>12.72</v>
      </c>
      <c r="D21" s="156"/>
      <c r="E21" s="153">
        <f>VLOOKUP(A21,'[19]Pivot - Value'!$B$84:$P$257,15,FALSE)</f>
        <v>340612.66</v>
      </c>
      <c r="F21" s="152"/>
      <c r="G21" s="153">
        <f t="shared" si="0"/>
        <v>26777.724842767293</v>
      </c>
      <c r="H21" s="157">
        <f>SUM(G21:G21)/[18]Explanations!$C$48</f>
        <v>2231.4770702306078</v>
      </c>
    </row>
    <row r="22" spans="1:8" s="145" customFormat="1" ht="15" customHeight="1">
      <c r="A22" s="252" t="s">
        <v>187</v>
      </c>
      <c r="B22" s="252" t="s">
        <v>188</v>
      </c>
      <c r="C22" s="156">
        <f>VLOOKUP(A22,'[19]Reg Rates'!$B$4:$D$998,3,FALSE)</f>
        <v>4.16</v>
      </c>
      <c r="D22" s="156"/>
      <c r="E22" s="153">
        <f>VLOOKUP(A22,'[19]Pivot - Value'!$B$84:$P$257,15,FALSE)</f>
        <v>183.04</v>
      </c>
      <c r="F22" s="152"/>
      <c r="G22" s="153">
        <f t="shared" si="0"/>
        <v>44</v>
      </c>
      <c r="H22" s="157">
        <f>SUM(G22:G22)/[18]Explanations!$C$48</f>
        <v>3.6666666666666665</v>
      </c>
    </row>
    <row r="23" spans="1:8" s="145" customFormat="1" ht="15" customHeight="1">
      <c r="A23" s="252" t="s">
        <v>189</v>
      </c>
      <c r="B23" s="252" t="s">
        <v>190</v>
      </c>
      <c r="C23" s="156">
        <f>VLOOKUP(A23,'[19]Reg Rates'!$B$4:$D$998,3,FALSE)</f>
        <v>2.0299999999999998</v>
      </c>
      <c r="D23" s="156"/>
      <c r="E23" s="153">
        <f>VLOOKUP(A23,'[19]Pivot - Value'!$B$84:$P$257,15,FALSE)</f>
        <v>63449.890000000014</v>
      </c>
      <c r="F23" s="152"/>
      <c r="G23" s="153">
        <f t="shared" si="0"/>
        <v>31256.103448275873</v>
      </c>
      <c r="H23" s="157">
        <f>SUM(G23:G23)/[18]Explanations!$C$48</f>
        <v>2604.6752873563228</v>
      </c>
    </row>
    <row r="24" spans="1:8" s="144" customFormat="1" ht="15" customHeight="1">
      <c r="A24" s="252" t="s">
        <v>191</v>
      </c>
      <c r="B24" s="252" t="s">
        <v>192</v>
      </c>
      <c r="C24" s="156">
        <f>VLOOKUP(A24,'[19]Reg Rates'!$B$4:$D$998,3,FALSE)</f>
        <v>1.72</v>
      </c>
      <c r="D24" s="156"/>
      <c r="E24" s="153">
        <f>VLOOKUP(A24,'[19]Pivot - Value'!$B$84:$P$257,15,FALSE)</f>
        <v>9761.9399999999987</v>
      </c>
      <c r="F24" s="152"/>
      <c r="G24" s="153">
        <f t="shared" si="0"/>
        <v>5675.5465116279065</v>
      </c>
      <c r="H24" s="157">
        <f>SUM(G24:G24)/[18]Explanations!$C$48</f>
        <v>472.96220930232556</v>
      </c>
    </row>
    <row r="25" spans="1:8" s="144" customFormat="1" ht="15" customHeight="1">
      <c r="A25" s="252" t="s">
        <v>193</v>
      </c>
      <c r="B25" s="252" t="s">
        <v>194</v>
      </c>
      <c r="C25" s="156">
        <v>14.78</v>
      </c>
      <c r="D25" s="156"/>
      <c r="E25" s="153">
        <f>VLOOKUP(A25,'[19]Pivot - Value'!$B$84:$P$257,15,FALSE)</f>
        <v>14.78</v>
      </c>
      <c r="F25" s="152"/>
      <c r="G25" s="153">
        <f t="shared" si="0"/>
        <v>1</v>
      </c>
      <c r="H25" s="157">
        <f>SUM(G25:G25)/[18]Explanations!$C$48</f>
        <v>8.3333333333333329E-2</v>
      </c>
    </row>
    <row r="26" spans="1:8" s="144" customFormat="1" ht="15" customHeight="1">
      <c r="A26" s="252" t="s">
        <v>195</v>
      </c>
      <c r="B26" s="252" t="s">
        <v>196</v>
      </c>
      <c r="C26" s="156">
        <v>6.92</v>
      </c>
      <c r="D26" s="156"/>
      <c r="E26" s="153">
        <f>VLOOKUP(A26,'[19]Pivot - Value'!$B$84:$P$257,15,FALSE)</f>
        <v>22.24</v>
      </c>
      <c r="F26" s="152"/>
      <c r="G26" s="153">
        <f t="shared" si="0"/>
        <v>3.2138728323699421</v>
      </c>
      <c r="H26" s="157">
        <f>SUM(G26:G26)/[18]Explanations!$C$48</f>
        <v>0.26782273603082851</v>
      </c>
    </row>
    <row r="27" spans="1:8" s="145" customFormat="1" ht="15" customHeight="1">
      <c r="A27" s="252" t="s">
        <v>197</v>
      </c>
      <c r="B27" s="252" t="s">
        <v>198</v>
      </c>
      <c r="C27" s="156">
        <f>VLOOKUP(A27,'[19]Reg Rates'!$B$4:$D$998,3,FALSE)/2</f>
        <v>0.60499999999999998</v>
      </c>
      <c r="D27" s="156"/>
      <c r="E27" s="153">
        <f>VLOOKUP(A27,'[19]Pivot - Value'!$B$84:$P$257,15,FALSE)</f>
        <v>183.02</v>
      </c>
      <c r="F27" s="152"/>
      <c r="G27" s="153">
        <f t="shared" si="0"/>
        <v>302.51239669421489</v>
      </c>
      <c r="H27" s="157">
        <f>SUM(G27:G27)/[18]Explanations!$C$48</f>
        <v>25.209366391184574</v>
      </c>
    </row>
    <row r="28" spans="1:8" s="145" customFormat="1" ht="15" customHeight="1">
      <c r="A28" s="252" t="s">
        <v>199</v>
      </c>
      <c r="B28" s="252" t="s">
        <v>200</v>
      </c>
      <c r="C28" s="156">
        <f>VLOOKUP(A28,'[19]Reg Rates'!$B$4:$D$998,3,FALSE)/2</f>
        <v>1.17</v>
      </c>
      <c r="D28" s="156"/>
      <c r="E28" s="153">
        <f>VLOOKUP(A28,'[19]Pivot - Value'!$B$84:$P$257,15,FALSE)</f>
        <v>916.68000000000018</v>
      </c>
      <c r="F28" s="152"/>
      <c r="G28" s="153">
        <f t="shared" si="0"/>
        <v>783.48717948717967</v>
      </c>
      <c r="H28" s="157">
        <f>SUM(G28:G28)/[18]Explanations!$C$48</f>
        <v>65.290598290598311</v>
      </c>
    </row>
    <row r="29" spans="1:8" s="144" customFormat="1" ht="15" customHeight="1">
      <c r="A29" s="252" t="s">
        <v>201</v>
      </c>
      <c r="B29" s="252" t="s">
        <v>202</v>
      </c>
      <c r="C29" s="156">
        <f>VLOOKUP(A29,'[19]Reg Rates'!$B$4:$D$998,3,FALSE)/2</f>
        <v>1.645</v>
      </c>
      <c r="D29" s="156"/>
      <c r="E29" s="153">
        <f>VLOOKUP(A29,'[19]Pivot - Value'!$B$84:$P$257,15,FALSE)</f>
        <v>546.1400000000001</v>
      </c>
      <c r="F29" s="152"/>
      <c r="G29" s="153">
        <f t="shared" si="0"/>
        <v>332.00000000000006</v>
      </c>
      <c r="H29" s="157">
        <f>SUM(G29:G29)/[18]Explanations!$C$48</f>
        <v>27.666666666666671</v>
      </c>
    </row>
    <row r="30" spans="1:8" s="144" customFormat="1" ht="15" customHeight="1">
      <c r="A30" s="252" t="s">
        <v>203</v>
      </c>
      <c r="B30" s="252" t="s">
        <v>204</v>
      </c>
      <c r="C30" s="156">
        <f>VLOOKUP(A30,'[19]Reg Rates'!$B$4:$D$998,3,FALSE)/2</f>
        <v>2.12</v>
      </c>
      <c r="D30" s="156"/>
      <c r="E30" s="153">
        <f>VLOOKUP(A30,'[19]Pivot - Value'!$B$84:$P$257,15,FALSE)</f>
        <v>483.89</v>
      </c>
      <c r="F30" s="152"/>
      <c r="G30" s="153">
        <f t="shared" si="0"/>
        <v>228.24999999999997</v>
      </c>
      <c r="H30" s="157">
        <f>SUM(G30:G30)/[18]Explanations!$C$48</f>
        <v>19.020833333333332</v>
      </c>
    </row>
    <row r="31" spans="1:8" s="144" customFormat="1" ht="15" customHeight="1">
      <c r="A31" s="252" t="s">
        <v>205</v>
      </c>
      <c r="B31" s="252" t="s">
        <v>206</v>
      </c>
      <c r="C31" s="156">
        <f>VLOOKUP(A31,'[19]Reg Rates'!$B$4:$D$998,3,FALSE)/2</f>
        <v>2.6</v>
      </c>
      <c r="D31" s="156"/>
      <c r="E31" s="153">
        <f>VLOOKUP(A31,'[19]Pivot - Value'!$B$84:$P$257,15,FALSE)</f>
        <v>217.84999999999997</v>
      </c>
      <c r="F31" s="152"/>
      <c r="G31" s="153">
        <f t="shared" si="0"/>
        <v>83.788461538461519</v>
      </c>
      <c r="H31" s="157">
        <f>SUM(G31:G31)/[18]Explanations!$C$48</f>
        <v>6.9823717948717929</v>
      </c>
    </row>
    <row r="32" spans="1:8" s="145" customFormat="1" ht="15" customHeight="1">
      <c r="A32" s="252" t="s">
        <v>207</v>
      </c>
      <c r="B32" s="252" t="s">
        <v>208</v>
      </c>
      <c r="C32" s="156">
        <f>VLOOKUP(A32,'[19]Reg Rates'!$B$4:$D$998,3,FALSE)/2</f>
        <v>3.0750000000000002</v>
      </c>
      <c r="D32" s="156"/>
      <c r="E32" s="153">
        <f>VLOOKUP(A32,'[19]Pivot - Value'!$B$84:$P$257,15,FALSE)</f>
        <v>183.73000000000002</v>
      </c>
      <c r="F32" s="152"/>
      <c r="G32" s="153">
        <f t="shared" si="0"/>
        <v>59.74959349593496</v>
      </c>
      <c r="H32" s="157">
        <f>SUM(G32:G32)/[18]Explanations!$C$48</f>
        <v>4.9791327913279133</v>
      </c>
    </row>
    <row r="33" spans="1:8" s="145" customFormat="1" ht="15" customHeight="1">
      <c r="A33" s="252" t="s">
        <v>209</v>
      </c>
      <c r="B33" s="252" t="s">
        <v>210</v>
      </c>
      <c r="C33" s="156">
        <f>VLOOKUP(A33,'[19]Reg Rates'!$B$4:$D$998,3,FALSE)/2</f>
        <v>3.42</v>
      </c>
      <c r="D33" s="156"/>
      <c r="E33" s="153">
        <f>VLOOKUP(A33,'[19]Pivot - Value'!$B$84:$P$257,15,FALSE)</f>
        <v>43558.710000000006</v>
      </c>
      <c r="F33" s="152"/>
      <c r="G33" s="153">
        <f t="shared" si="0"/>
        <v>12736.464912280704</v>
      </c>
      <c r="H33" s="157">
        <f>SUM(G33:G33)/[18]Explanations!$C$48</f>
        <v>1061.3720760233921</v>
      </c>
    </row>
    <row r="34" spans="1:8" s="145" customFormat="1" ht="15" customHeight="1">
      <c r="A34" s="252" t="s">
        <v>211</v>
      </c>
      <c r="B34" s="252" t="s">
        <v>212</v>
      </c>
      <c r="C34" s="156">
        <f>VLOOKUP(A34,'[19]Reg Rates'!$B$4:$D$998,3,FALSE)/2</f>
        <v>1.71</v>
      </c>
      <c r="D34" s="156"/>
      <c r="E34" s="153">
        <f>VLOOKUP(A34,'[19]Pivot - Value'!$B$84:$P$257,15,FALSE)</f>
        <v>27.36</v>
      </c>
      <c r="F34" s="152"/>
      <c r="G34" s="153">
        <f t="shared" si="0"/>
        <v>16</v>
      </c>
      <c r="H34" s="157">
        <f>SUM(G34:G34)/[18]Explanations!$C$48</f>
        <v>1.3333333333333333</v>
      </c>
    </row>
    <row r="35" spans="1:8" s="145" customFormat="1" ht="15" customHeight="1">
      <c r="A35" s="252" t="s">
        <v>213</v>
      </c>
      <c r="B35" s="252" t="s">
        <v>214</v>
      </c>
      <c r="C35" s="156">
        <f>VLOOKUP(A35,'[19]Reg Rates'!$B$4:$D$998,3,FALSE)/2</f>
        <v>0.79</v>
      </c>
      <c r="D35" s="156"/>
      <c r="E35" s="153">
        <f>VLOOKUP(A35,'[19]Pivot - Value'!$B$84:$P$257,15,FALSE)</f>
        <v>147.15</v>
      </c>
      <c r="F35" s="152"/>
      <c r="G35" s="153">
        <f t="shared" si="0"/>
        <v>186.26582278481013</v>
      </c>
      <c r="H35" s="157">
        <f>SUM(G35:G35)/[18]Explanations!$C$48</f>
        <v>15.522151898734178</v>
      </c>
    </row>
    <row r="36" spans="1:8" s="145" customFormat="1" ht="15" customHeight="1">
      <c r="A36" s="252" t="s">
        <v>215</v>
      </c>
      <c r="B36" s="252" t="s">
        <v>216</v>
      </c>
      <c r="C36" s="156">
        <f>VLOOKUP(A36,'[19]Reg Rates'!$B$4:$D$998,3,FALSE)</f>
        <v>14.78</v>
      </c>
      <c r="D36" s="156"/>
      <c r="E36" s="153">
        <f>VLOOKUP(A36,'[19]Pivot - Value'!$B$84:$P$257,15,FALSE)</f>
        <v>1817.84</v>
      </c>
      <c r="F36" s="152"/>
      <c r="G36" s="153">
        <f t="shared" si="0"/>
        <v>122.99323410013531</v>
      </c>
      <c r="H36" s="157">
        <f>SUM(G36:G36)/[18]Explanations!$C$48</f>
        <v>10.249436175011276</v>
      </c>
    </row>
    <row r="37" spans="1:8" s="145" customFormat="1" ht="15" customHeight="1">
      <c r="A37" s="252" t="s">
        <v>217</v>
      </c>
      <c r="B37" s="252" t="s">
        <v>218</v>
      </c>
      <c r="C37" s="156">
        <f>VLOOKUP(A37,'[19]Reg Rates'!$B$4:$D$998,3,FALSE)</f>
        <v>11.43</v>
      </c>
      <c r="D37" s="156"/>
      <c r="E37" s="153">
        <f>VLOOKUP(A37,'[19]Pivot - Value'!$B$84:$P$257,15,FALSE)</f>
        <v>7971.2000000000007</v>
      </c>
      <c r="F37" s="152"/>
      <c r="G37" s="153">
        <f t="shared" si="0"/>
        <v>697.39282589676293</v>
      </c>
      <c r="H37" s="157">
        <f>SUM(G37:G37)/[18]Explanations!$C$48</f>
        <v>58.116068824730242</v>
      </c>
    </row>
    <row r="38" spans="1:8" s="145" customFormat="1" ht="15" customHeight="1">
      <c r="A38" s="252" t="s">
        <v>219</v>
      </c>
      <c r="B38" s="252" t="s">
        <v>220</v>
      </c>
      <c r="C38" s="156">
        <f>VLOOKUP(A38,'[19]Reg Rates'!$B$4:$D$998,3,FALSE)</f>
        <v>4.1100000000000003</v>
      </c>
      <c r="D38" s="156"/>
      <c r="E38" s="153">
        <f>VLOOKUP(A38,'[19]Pivot - Value'!$B$84:$P$257,15,FALSE)</f>
        <v>616.50000000000011</v>
      </c>
      <c r="F38" s="152"/>
      <c r="G38" s="153">
        <f t="shared" si="0"/>
        <v>150.00000000000003</v>
      </c>
      <c r="H38" s="157">
        <f>SUM(G38:G38)/[18]Explanations!$C$48</f>
        <v>12.500000000000002</v>
      </c>
    </row>
    <row r="39" spans="1:8" s="145" customFormat="1" ht="15" customHeight="1">
      <c r="A39" s="252" t="s">
        <v>221</v>
      </c>
      <c r="B39" s="252" t="s">
        <v>222</v>
      </c>
      <c r="C39" s="156">
        <v>82.63</v>
      </c>
      <c r="D39" s="156"/>
      <c r="E39" s="153">
        <f>VLOOKUP(A39,'[19]Pivot - Value'!$B$84:$P$257,15,FALSE)</f>
        <v>82.63</v>
      </c>
      <c r="F39" s="152"/>
      <c r="G39" s="153">
        <f t="shared" si="0"/>
        <v>1</v>
      </c>
      <c r="H39" s="157">
        <f>SUM(G39:G39)/[18]Explanations!$C$48</f>
        <v>8.3333333333333329E-2</v>
      </c>
    </row>
    <row r="40" spans="1:8" s="145" customFormat="1" ht="15" customHeight="1">
      <c r="A40" s="252" t="s">
        <v>223</v>
      </c>
      <c r="B40" s="252" t="s">
        <v>224</v>
      </c>
      <c r="C40" s="156"/>
      <c r="D40" s="156"/>
      <c r="E40" s="153">
        <f>VLOOKUP(A40,'[19]Pivot - Value'!$B$84:$P$257,15,FALSE)</f>
        <v>691.62</v>
      </c>
      <c r="F40" s="152"/>
      <c r="G40" s="153"/>
      <c r="H40" s="157"/>
    </row>
    <row r="41" spans="1:8" s="145" customFormat="1" ht="15" customHeight="1">
      <c r="A41" s="252" t="s">
        <v>225</v>
      </c>
      <c r="B41" s="252" t="s">
        <v>226</v>
      </c>
      <c r="C41" s="156"/>
      <c r="D41" s="156"/>
      <c r="E41" s="153">
        <f>VLOOKUP(A41,'[19]Pivot - Value'!$B$84:$P$257,15,FALSE)</f>
        <v>0</v>
      </c>
      <c r="F41" s="152"/>
      <c r="G41" s="153"/>
      <c r="H41" s="157"/>
    </row>
    <row r="42" spans="1:8" s="145" customFormat="1" ht="15" customHeight="1">
      <c r="A42" s="161"/>
      <c r="B42" s="161"/>
      <c r="C42" s="156"/>
      <c r="D42" s="156"/>
      <c r="E42" s="153"/>
      <c r="F42" s="152"/>
      <c r="G42" s="152"/>
      <c r="H42" s="253"/>
    </row>
    <row r="43" spans="1:8" s="144" customFormat="1" ht="15" customHeight="1">
      <c r="A43" s="181"/>
      <c r="B43" s="160" t="s">
        <v>227</v>
      </c>
      <c r="C43" s="156"/>
      <c r="D43" s="156"/>
      <c r="E43" s="163">
        <f>SUM(E11:E42)</f>
        <v>1445538.0449999999</v>
      </c>
      <c r="F43" s="152"/>
      <c r="G43" s="153"/>
      <c r="H43" s="163">
        <f>SUM(H11:H42)</f>
        <v>15789.16817379076</v>
      </c>
    </row>
    <row r="44" spans="1:8" s="145" customFormat="1" ht="15" customHeight="1">
      <c r="A44" s="244"/>
      <c r="B44" s="162"/>
      <c r="C44" s="156"/>
      <c r="D44" s="156"/>
      <c r="E44" s="153"/>
      <c r="F44" s="152"/>
      <c r="G44" s="153"/>
      <c r="H44" s="253"/>
    </row>
    <row r="45" spans="1:8" s="145" customFormat="1" ht="15" customHeight="1">
      <c r="A45" s="243" t="s">
        <v>228</v>
      </c>
      <c r="B45" s="243" t="s">
        <v>228</v>
      </c>
      <c r="C45" s="156"/>
      <c r="D45" s="156"/>
      <c r="E45" s="153"/>
      <c r="F45" s="152"/>
      <c r="G45" s="153"/>
      <c r="H45" s="253"/>
    </row>
    <row r="46" spans="1:8" s="145" customFormat="1" ht="15" customHeight="1">
      <c r="A46" s="252" t="s">
        <v>229</v>
      </c>
      <c r="B46" s="252" t="s">
        <v>230</v>
      </c>
      <c r="C46" s="156">
        <f>VLOOKUP(A46,'[19]Reg Rates'!$B$4:$D$998,3,FALSE)/2</f>
        <v>8.1999999999999993</v>
      </c>
      <c r="D46" s="156"/>
      <c r="E46" s="153">
        <f>VLOOKUP(A46,'[19]Pivot - Value'!$B$84:$P$257,15,FALSE)</f>
        <v>252168.97999999998</v>
      </c>
      <c r="F46" s="152"/>
      <c r="G46" s="153">
        <f t="shared" ref="G46" si="1">E46/C46</f>
        <v>30752.314634146343</v>
      </c>
      <c r="H46" s="157">
        <f>SUM(G46:G46)/[18]Explanations!$C$48</f>
        <v>2562.692886178862</v>
      </c>
    </row>
    <row r="47" spans="1:8" s="145" customFormat="1" ht="15" customHeight="1">
      <c r="A47" s="165"/>
      <c r="B47" s="253"/>
      <c r="C47" s="156"/>
      <c r="D47" s="156"/>
      <c r="E47" s="153"/>
      <c r="F47" s="152"/>
      <c r="G47" s="153"/>
      <c r="H47" s="253"/>
    </row>
    <row r="48" spans="1:8" s="144" customFormat="1" ht="15" customHeight="1">
      <c r="A48" s="181"/>
      <c r="B48" s="160" t="s">
        <v>231</v>
      </c>
      <c r="C48" s="156"/>
      <c r="D48" s="156"/>
      <c r="E48" s="163">
        <f>SUM(E46:E47)</f>
        <v>252168.97999999998</v>
      </c>
      <c r="F48" s="152"/>
      <c r="G48" s="153"/>
      <c r="H48" s="163">
        <f>SUM(H46:H47)</f>
        <v>2562.692886178862</v>
      </c>
    </row>
    <row r="49" spans="1:8" s="145" customFormat="1" ht="15" customHeight="1">
      <c r="A49" s="181"/>
      <c r="B49" s="160"/>
      <c r="C49" s="156"/>
      <c r="D49" s="156"/>
      <c r="E49" s="153"/>
      <c r="F49" s="152"/>
      <c r="G49" s="153"/>
      <c r="H49" s="253"/>
    </row>
    <row r="50" spans="1:8" s="144" customFormat="1" ht="15" customHeight="1">
      <c r="A50" s="226" t="s">
        <v>232</v>
      </c>
      <c r="B50" s="226" t="s">
        <v>232</v>
      </c>
      <c r="C50" s="156"/>
      <c r="D50" s="156"/>
      <c r="E50" s="153"/>
      <c r="F50" s="152"/>
      <c r="G50" s="152"/>
      <c r="H50" s="152"/>
    </row>
    <row r="51" spans="1:8" s="145" customFormat="1" ht="15" customHeight="1">
      <c r="A51" s="252" t="s">
        <v>233</v>
      </c>
      <c r="B51" s="252" t="s">
        <v>234</v>
      </c>
      <c r="C51" s="156">
        <f>VLOOKUP(A51,'[19]Reg Rates'!$B$4:$D$998,3,FALSE)/2</f>
        <v>10.78</v>
      </c>
      <c r="D51" s="177"/>
      <c r="E51" s="153">
        <f>VLOOKUP(A51,'[19]Pivot - Value'!$B$84:$P$257,15,FALSE)</f>
        <v>71855.179999999993</v>
      </c>
      <c r="F51" s="152"/>
      <c r="G51" s="153">
        <f t="shared" ref="G51" si="2">E51/C51</f>
        <v>6665.6011131725418</v>
      </c>
      <c r="H51" s="157">
        <f>SUM(G51:G51)/[18]Explanations!$C$48</f>
        <v>555.46675943104515</v>
      </c>
    </row>
    <row r="52" spans="1:8" s="145" customFormat="1" ht="15" customHeight="1">
      <c r="A52" s="161"/>
      <c r="B52" s="161"/>
      <c r="C52" s="156"/>
      <c r="D52" s="225"/>
      <c r="E52" s="153"/>
      <c r="F52" s="152"/>
      <c r="G52" s="153"/>
      <c r="H52" s="253"/>
    </row>
    <row r="53" spans="1:8" s="145" customFormat="1" ht="15" customHeight="1">
      <c r="A53" s="181"/>
      <c r="B53" s="160" t="s">
        <v>235</v>
      </c>
      <c r="C53" s="156"/>
      <c r="D53" s="158"/>
      <c r="E53" s="163">
        <f>SUM(E51:E52)</f>
        <v>71855.179999999993</v>
      </c>
      <c r="F53" s="152"/>
      <c r="G53" s="152"/>
      <c r="H53" s="163">
        <f>SUM(H51:H52)</f>
        <v>555.46675943104515</v>
      </c>
    </row>
    <row r="54" spans="1:8" s="145" customFormat="1" ht="15" customHeight="1">
      <c r="A54" s="152"/>
      <c r="B54" s="152"/>
      <c r="C54" s="156"/>
      <c r="D54" s="156"/>
      <c r="E54" s="153"/>
      <c r="F54" s="152"/>
      <c r="G54" s="153"/>
      <c r="H54" s="253"/>
    </row>
    <row r="55" spans="1:8" ht="15" customHeight="1">
      <c r="A55" s="244" t="s">
        <v>236</v>
      </c>
      <c r="B55" s="244" t="s">
        <v>236</v>
      </c>
    </row>
    <row r="56" spans="1:8" ht="15" customHeight="1">
      <c r="A56" s="244"/>
      <c r="B56" s="244"/>
    </row>
    <row r="57" spans="1:8" s="145" customFormat="1" ht="15" customHeight="1">
      <c r="A57" s="243" t="s">
        <v>237</v>
      </c>
      <c r="B57" s="243" t="s">
        <v>237</v>
      </c>
      <c r="C57" s="156"/>
      <c r="D57" s="156"/>
      <c r="E57" s="153"/>
      <c r="F57" s="152"/>
      <c r="G57" s="153"/>
      <c r="H57" s="253"/>
    </row>
    <row r="58" spans="1:8" s="145" customFormat="1" ht="15" customHeight="1">
      <c r="A58" s="252" t="s">
        <v>238</v>
      </c>
      <c r="B58" s="252" t="s">
        <v>239</v>
      </c>
      <c r="C58" s="156">
        <f>VLOOKUP(A58,'[19]Reg Rates'!$B$4:$D$998,3,FALSE)</f>
        <v>26.02</v>
      </c>
      <c r="D58" s="156"/>
      <c r="E58" s="153">
        <f>VLOOKUP(A58,'[19]Pivot - Value'!$B$84:$P$257,15,FALSE)</f>
        <v>91.07</v>
      </c>
      <c r="F58" s="177"/>
      <c r="G58" s="153">
        <f t="shared" ref="G58:G121" si="3">E58/C58</f>
        <v>3.5</v>
      </c>
      <c r="H58" s="157">
        <f t="shared" ref="H58:H84" si="4">SUM(G58:G58)/12</f>
        <v>0.29166666666666669</v>
      </c>
    </row>
    <row r="59" spans="1:8" s="145" customFormat="1" ht="15" customHeight="1">
      <c r="A59" s="252" t="s">
        <v>240</v>
      </c>
      <c r="B59" s="252" t="s">
        <v>241</v>
      </c>
      <c r="C59" s="156">
        <f>VLOOKUP(A59,'[19]Reg Rates'!$B$4:$D$998,3,FALSE)</f>
        <v>29.83</v>
      </c>
      <c r="D59" s="156"/>
      <c r="E59" s="153">
        <f>VLOOKUP(A59,'[19]Pivot - Value'!$B$84:$P$257,15,FALSE)</f>
        <v>85664.340000000011</v>
      </c>
      <c r="F59" s="177"/>
      <c r="G59" s="153">
        <f t="shared" si="3"/>
        <v>2871.7512571237016</v>
      </c>
      <c r="H59" s="157">
        <f t="shared" si="4"/>
        <v>239.31260476030846</v>
      </c>
    </row>
    <row r="60" spans="1:8" s="145" customFormat="1" ht="15" customHeight="1">
      <c r="A60" s="252" t="s">
        <v>242</v>
      </c>
      <c r="B60" s="252" t="s">
        <v>243</v>
      </c>
      <c r="C60" s="156">
        <f>VLOOKUP(A60,'[19]Reg Rates'!$B$4:$D$998,3,FALSE)</f>
        <v>59.67</v>
      </c>
      <c r="D60" s="156"/>
      <c r="E60" s="153">
        <f>VLOOKUP(A60,'[19]Pivot - Value'!$B$84:$P$257,15,FALSE)</f>
        <v>10017.099999999999</v>
      </c>
      <c r="F60" s="177"/>
      <c r="G60" s="153">
        <f t="shared" si="3"/>
        <v>167.8749790514496</v>
      </c>
      <c r="H60" s="157">
        <f t="shared" si="4"/>
        <v>13.989581587620799</v>
      </c>
    </row>
    <row r="61" spans="1:8" s="145" customFormat="1" ht="15" customHeight="1">
      <c r="A61" s="252" t="s">
        <v>244</v>
      </c>
      <c r="B61" s="252" t="s">
        <v>245</v>
      </c>
      <c r="C61" s="156">
        <f>VLOOKUP(A61,'[19]Reg Rates'!$B$4:$D$998,3,FALSE)</f>
        <v>89.5</v>
      </c>
      <c r="D61" s="156"/>
      <c r="E61" s="153">
        <f>VLOOKUP(A61,'[19]Pivot - Value'!$B$84:$P$257,15,FALSE)</f>
        <v>5370</v>
      </c>
      <c r="F61" s="177"/>
      <c r="G61" s="153">
        <f t="shared" si="3"/>
        <v>60</v>
      </c>
      <c r="H61" s="157">
        <f t="shared" si="4"/>
        <v>5</v>
      </c>
    </row>
    <row r="62" spans="1:8" s="145" customFormat="1" ht="15" customHeight="1">
      <c r="A62" s="252" t="s">
        <v>246</v>
      </c>
      <c r="B62" s="252" t="s">
        <v>247</v>
      </c>
      <c r="C62" s="156">
        <f>VLOOKUP(A62,'[19]Reg Rates'!$B$4:$D$998,3,FALSE)</f>
        <v>149.16999999999999</v>
      </c>
      <c r="D62" s="156"/>
      <c r="E62" s="153">
        <f>VLOOKUP(A62,'[19]Pivot - Value'!$B$84:$P$257,15,FALSE)</f>
        <v>1790.0400000000002</v>
      </c>
      <c r="F62" s="177"/>
      <c r="G62" s="153">
        <f t="shared" si="3"/>
        <v>12.000000000000002</v>
      </c>
      <c r="H62" s="157">
        <f t="shared" si="4"/>
        <v>1.0000000000000002</v>
      </c>
    </row>
    <row r="63" spans="1:8" s="145" customFormat="1" ht="15" customHeight="1">
      <c r="A63" s="252" t="s">
        <v>248</v>
      </c>
      <c r="B63" s="252" t="s">
        <v>249</v>
      </c>
      <c r="C63" s="156">
        <f>VLOOKUP(A63,'[19]Reg Rates'!$B$4:$D$998,3,FALSE)</f>
        <v>29.83</v>
      </c>
      <c r="D63" s="156"/>
      <c r="E63" s="153">
        <f>VLOOKUP(A63,'[19]Pivot - Value'!$B$84:$P$257,15,FALSE)</f>
        <v>1500843.21</v>
      </c>
      <c r="F63" s="177"/>
      <c r="G63" s="153">
        <f t="shared" si="3"/>
        <v>50313.215219577607</v>
      </c>
      <c r="H63" s="157">
        <f t="shared" si="4"/>
        <v>4192.7679349648006</v>
      </c>
    </row>
    <row r="64" spans="1:8" s="145" customFormat="1" ht="15" customHeight="1">
      <c r="A64" s="252" t="s">
        <v>250</v>
      </c>
      <c r="B64" s="252" t="s">
        <v>251</v>
      </c>
      <c r="C64" s="156">
        <f>VLOOKUP(A64,'[19]Reg Rates'!$B$4:$D$998,3,FALSE)</f>
        <v>59.67</v>
      </c>
      <c r="D64" s="156"/>
      <c r="E64" s="153">
        <f>VLOOKUP(A64,'[19]Pivot - Value'!$B$84:$P$257,15,FALSE)</f>
        <v>70962.599999999991</v>
      </c>
      <c r="F64" s="177"/>
      <c r="G64" s="153">
        <f t="shared" si="3"/>
        <v>1189.250879839115</v>
      </c>
      <c r="H64" s="157">
        <f t="shared" si="4"/>
        <v>99.104239986592916</v>
      </c>
    </row>
    <row r="65" spans="1:8" s="144" customFormat="1" ht="15" customHeight="1">
      <c r="A65" s="252" t="s">
        <v>252</v>
      </c>
      <c r="B65" s="252" t="s">
        <v>253</v>
      </c>
      <c r="C65" s="156">
        <f>VLOOKUP(A65,'[19]Reg Rates'!$B$4:$D$998,3,FALSE)</f>
        <v>89.5</v>
      </c>
      <c r="D65" s="156"/>
      <c r="E65" s="153">
        <f>VLOOKUP(A65,'[19]Pivot - Value'!$B$84:$P$257,15,FALSE)</f>
        <v>3222</v>
      </c>
      <c r="F65" s="177"/>
      <c r="G65" s="153">
        <f t="shared" si="3"/>
        <v>36</v>
      </c>
      <c r="H65" s="157">
        <f t="shared" si="4"/>
        <v>3</v>
      </c>
    </row>
    <row r="66" spans="1:8" s="144" customFormat="1" ht="15" customHeight="1">
      <c r="A66" s="252" t="s">
        <v>254</v>
      </c>
      <c r="B66" s="252" t="s">
        <v>255</v>
      </c>
      <c r="C66" s="156"/>
      <c r="D66" s="156"/>
      <c r="E66" s="153"/>
      <c r="F66" s="177"/>
      <c r="G66" s="153"/>
      <c r="H66" s="157"/>
    </row>
    <row r="67" spans="1:8" s="145" customFormat="1" ht="15" customHeight="1">
      <c r="A67" s="252" t="s">
        <v>256</v>
      </c>
      <c r="B67" s="252" t="s">
        <v>257</v>
      </c>
      <c r="C67" s="156">
        <f>VLOOKUP(A67,'[19]Reg Rates'!$B$4:$D$998,3,FALSE)</f>
        <v>149.16999999999999</v>
      </c>
      <c r="D67" s="156"/>
      <c r="E67" s="153">
        <f>VLOOKUP(A67,'[19]Pivot - Value'!$B$84:$P$257,15,FALSE)</f>
        <v>5370.1200000000017</v>
      </c>
      <c r="F67" s="177"/>
      <c r="G67" s="153">
        <f t="shared" si="3"/>
        <v>36.000000000000014</v>
      </c>
      <c r="H67" s="157">
        <f t="shared" si="4"/>
        <v>3.0000000000000013</v>
      </c>
    </row>
    <row r="68" spans="1:8" s="145" customFormat="1" ht="15" customHeight="1">
      <c r="A68" s="252" t="s">
        <v>258</v>
      </c>
      <c r="B68" s="252" t="s">
        <v>259</v>
      </c>
      <c r="C68" s="156">
        <f>VLOOKUP(A68,'[19]Reg Rates'!$B$4:$D$998,3,FALSE)</f>
        <v>14.95</v>
      </c>
      <c r="D68" s="156"/>
      <c r="E68" s="153">
        <f>VLOOKUP(A68,'[19]Pivot - Value'!$B$84:$P$257,15,FALSE)</f>
        <v>10711.68</v>
      </c>
      <c r="F68" s="177"/>
      <c r="G68" s="153">
        <f t="shared" si="3"/>
        <v>716.50033444816063</v>
      </c>
      <c r="H68" s="157">
        <f t="shared" si="4"/>
        <v>59.708361204013386</v>
      </c>
    </row>
    <row r="69" spans="1:8" s="145" customFormat="1" ht="15" customHeight="1">
      <c r="A69" s="252" t="s">
        <v>260</v>
      </c>
      <c r="B69" s="252" t="s">
        <v>261</v>
      </c>
      <c r="C69" s="156">
        <f>VLOOKUP(A69,'[19]Reg Rates'!$B$4:$D$998,3,FALSE)</f>
        <v>52.35</v>
      </c>
      <c r="D69" s="156"/>
      <c r="E69" s="153">
        <f>VLOOKUP(A69,'[19]Pivot - Value'!$B$84:$P$257,15,FALSE)</f>
        <v>276063.82999999996</v>
      </c>
      <c r="F69" s="177"/>
      <c r="G69" s="153">
        <f t="shared" si="3"/>
        <v>5273.4255969436472</v>
      </c>
      <c r="H69" s="157">
        <f t="shared" si="4"/>
        <v>439.45213307863725</v>
      </c>
    </row>
    <row r="70" spans="1:8" s="145" customFormat="1" ht="15" customHeight="1">
      <c r="A70" s="252" t="s">
        <v>262</v>
      </c>
      <c r="B70" s="252" t="s">
        <v>263</v>
      </c>
      <c r="C70" s="156">
        <f>VLOOKUP(A70,'[19]Reg Rates'!$B$4:$D$998,3,FALSE)</f>
        <v>104.7</v>
      </c>
      <c r="D70" s="156"/>
      <c r="E70" s="153">
        <f>VLOOKUP(A70,'[19]Pivot - Value'!$B$84:$P$257,15,FALSE)</f>
        <v>114149.2</v>
      </c>
      <c r="F70" s="177"/>
      <c r="G70" s="153">
        <f t="shared" si="3"/>
        <v>1090.2502387774593</v>
      </c>
      <c r="H70" s="157">
        <f t="shared" si="4"/>
        <v>90.854186564788279</v>
      </c>
    </row>
    <row r="71" spans="1:8" s="145" customFormat="1" ht="15" customHeight="1">
      <c r="A71" s="252" t="s">
        <v>264</v>
      </c>
      <c r="B71" s="252" t="s">
        <v>265</v>
      </c>
      <c r="C71" s="156">
        <f>VLOOKUP(A71,'[19]Reg Rates'!$B$4:$D$998,3,FALSE)</f>
        <v>157.05000000000001</v>
      </c>
      <c r="D71" s="156"/>
      <c r="E71" s="153">
        <f>VLOOKUP(A71,'[19]Pivot - Value'!$B$84:$P$257,15,FALSE)</f>
        <v>35319.130000000005</v>
      </c>
      <c r="F71" s="177"/>
      <c r="G71" s="153">
        <f t="shared" si="3"/>
        <v>224.89099013053169</v>
      </c>
      <c r="H71" s="157">
        <f t="shared" si="4"/>
        <v>18.740915844210974</v>
      </c>
    </row>
    <row r="72" spans="1:8" s="145" customFormat="1" ht="15" customHeight="1">
      <c r="A72" s="252" t="s">
        <v>266</v>
      </c>
      <c r="B72" s="252" t="s">
        <v>267</v>
      </c>
      <c r="C72" s="156">
        <f>VLOOKUP(A72,'[19]Reg Rates'!$B$4:$D$998,3,FALSE)</f>
        <v>261.75</v>
      </c>
      <c r="D72" s="156"/>
      <c r="E72" s="153">
        <f>VLOOKUP(A72,'[19]Pivot - Value'!$B$84:$P$257,15,FALSE)</f>
        <v>24041.74</v>
      </c>
      <c r="F72" s="177"/>
      <c r="G72" s="153">
        <f t="shared" si="3"/>
        <v>91.850009551098381</v>
      </c>
      <c r="H72" s="157">
        <f t="shared" si="4"/>
        <v>7.6541674625915315</v>
      </c>
    </row>
    <row r="73" spans="1:8" s="145" customFormat="1" ht="15" customHeight="1">
      <c r="A73" s="252" t="s">
        <v>268</v>
      </c>
      <c r="B73" s="252" t="s">
        <v>269</v>
      </c>
      <c r="C73" s="156">
        <f>VLOOKUP(A73,'[19]Reg Rates'!$B$4:$D$998,3,FALSE)</f>
        <v>69.150000000000006</v>
      </c>
      <c r="D73" s="156"/>
      <c r="E73" s="153">
        <f>VLOOKUP(A73,'[19]Pivot - Value'!$B$84:$P$257,15,FALSE)</f>
        <v>169521.27</v>
      </c>
      <c r="F73" s="177"/>
      <c r="G73" s="153">
        <f t="shared" si="3"/>
        <v>2451.5006507592188</v>
      </c>
      <c r="H73" s="157">
        <f t="shared" si="4"/>
        <v>204.29172089660156</v>
      </c>
    </row>
    <row r="74" spans="1:8" s="145" customFormat="1" ht="15" customHeight="1">
      <c r="A74" s="252" t="s">
        <v>270</v>
      </c>
      <c r="B74" s="252" t="s">
        <v>271</v>
      </c>
      <c r="C74" s="156">
        <f>VLOOKUP(A74,'[19]Reg Rates'!$B$4:$D$998,3,FALSE)</f>
        <v>138.30000000000001</v>
      </c>
      <c r="D74" s="156"/>
      <c r="E74" s="153">
        <f>VLOOKUP(A74,'[19]Pivot - Value'!$B$84:$P$257,15,FALSE)</f>
        <v>127063.11000000002</v>
      </c>
      <c r="F74" s="177"/>
      <c r="G74" s="153">
        <f t="shared" si="3"/>
        <v>918.74989154013019</v>
      </c>
      <c r="H74" s="157">
        <f t="shared" si="4"/>
        <v>76.562490961677511</v>
      </c>
    </row>
    <row r="75" spans="1:8" s="145" customFormat="1" ht="15" customHeight="1">
      <c r="A75" s="252" t="s">
        <v>272</v>
      </c>
      <c r="B75" s="252" t="s">
        <v>273</v>
      </c>
      <c r="C75" s="156">
        <f>VLOOKUP(A75,'[19]Reg Rates'!$B$4:$D$998,3,FALSE)</f>
        <v>207.45</v>
      </c>
      <c r="D75" s="156"/>
      <c r="E75" s="153">
        <f>VLOOKUP(A75,'[19]Pivot - Value'!$B$84:$P$257,15,FALSE)</f>
        <v>69453.429999999993</v>
      </c>
      <c r="F75" s="177"/>
      <c r="G75" s="153">
        <f t="shared" si="3"/>
        <v>334.79599903591225</v>
      </c>
      <c r="H75" s="157">
        <f t="shared" si="4"/>
        <v>27.89966658632602</v>
      </c>
    </row>
    <row r="76" spans="1:8" s="145" customFormat="1" ht="15" customHeight="1">
      <c r="A76" s="252" t="s">
        <v>274</v>
      </c>
      <c r="B76" s="252" t="s">
        <v>275</v>
      </c>
      <c r="C76" s="156">
        <f>VLOOKUP(A76,'[19]Reg Rates'!$B$4:$D$998,3,FALSE)</f>
        <v>345.75</v>
      </c>
      <c r="D76" s="156"/>
      <c r="E76" s="153">
        <f>VLOOKUP(A76,'[19]Pivot - Value'!$B$84:$P$257,15,FALSE)</f>
        <v>74919.060000000012</v>
      </c>
      <c r="F76" s="177"/>
      <c r="G76" s="153">
        <f t="shared" si="3"/>
        <v>216.68563991323214</v>
      </c>
      <c r="H76" s="157">
        <f t="shared" si="4"/>
        <v>18.057136659436011</v>
      </c>
    </row>
    <row r="77" spans="1:8" s="145" customFormat="1" ht="15" customHeight="1">
      <c r="A77" s="252" t="s">
        <v>276</v>
      </c>
      <c r="B77" s="252" t="s">
        <v>277</v>
      </c>
      <c r="C77" s="156">
        <f>VLOOKUP(A77,'[19]Reg Rates'!$B$4:$D$998,3,FALSE)</f>
        <v>94</v>
      </c>
      <c r="D77" s="156"/>
      <c r="E77" s="153">
        <f>VLOOKUP(A77,'[19]Pivot - Value'!$B$84:$P$257,15,FALSE)</f>
        <v>262730</v>
      </c>
      <c r="F77" s="177"/>
      <c r="G77" s="153">
        <f t="shared" si="3"/>
        <v>2795</v>
      </c>
      <c r="H77" s="157">
        <f t="shared" si="4"/>
        <v>232.91666666666666</v>
      </c>
    </row>
    <row r="78" spans="1:8" s="145" customFormat="1" ht="15" customHeight="1">
      <c r="A78" s="252" t="s">
        <v>278</v>
      </c>
      <c r="B78" s="252" t="s">
        <v>279</v>
      </c>
      <c r="C78" s="156">
        <f>VLOOKUP(A78,'[19]Reg Rates'!$B$4:$D$998,3,FALSE)</f>
        <v>188.01</v>
      </c>
      <c r="D78" s="156"/>
      <c r="E78" s="153">
        <f>VLOOKUP(A78,'[19]Pivot - Value'!$B$84:$P$257,15,FALSE)</f>
        <v>282250.06</v>
      </c>
      <c r="F78" s="177"/>
      <c r="G78" s="153">
        <f t="shared" si="3"/>
        <v>1501.250252646136</v>
      </c>
      <c r="H78" s="157">
        <f t="shared" si="4"/>
        <v>125.10418772051133</v>
      </c>
    </row>
    <row r="79" spans="1:8" s="145" customFormat="1" ht="15" customHeight="1">
      <c r="A79" s="252" t="s">
        <v>280</v>
      </c>
      <c r="B79" s="252" t="s">
        <v>281</v>
      </c>
      <c r="C79" s="156">
        <f>VLOOKUP(A79,'[19]Reg Rates'!$B$4:$D$998,3,FALSE)</f>
        <v>282.01</v>
      </c>
      <c r="D79" s="156"/>
      <c r="E79" s="153">
        <f>VLOOKUP(A79,'[19]Pivot - Value'!$B$84:$P$257,15,FALSE)</f>
        <v>120904.54999999999</v>
      </c>
      <c r="F79" s="177"/>
      <c r="G79" s="153">
        <f t="shared" si="3"/>
        <v>428.72433601645326</v>
      </c>
      <c r="H79" s="157">
        <f t="shared" si="4"/>
        <v>35.727028001371103</v>
      </c>
    </row>
    <row r="80" spans="1:8" s="145" customFormat="1" ht="15" customHeight="1">
      <c r="A80" s="252" t="s">
        <v>282</v>
      </c>
      <c r="B80" s="252" t="s">
        <v>283</v>
      </c>
      <c r="C80" s="156">
        <f>VLOOKUP(A80,'[19]Reg Rates'!$B$4:$D$998,3,FALSE)</f>
        <v>376.02</v>
      </c>
      <c r="D80" s="156"/>
      <c r="E80" s="153">
        <f>VLOOKUP(A80,'[19]Pivot - Value'!$B$84:$P$257,15,FALSE)</f>
        <v>13536.719999999996</v>
      </c>
      <c r="F80" s="177"/>
      <c r="G80" s="153">
        <f t="shared" si="3"/>
        <v>35.999999999999993</v>
      </c>
      <c r="H80" s="157">
        <f t="shared" si="4"/>
        <v>2.9999999999999996</v>
      </c>
    </row>
    <row r="81" spans="1:8" s="145" customFormat="1" ht="15" customHeight="1">
      <c r="A81" s="252" t="s">
        <v>284</v>
      </c>
      <c r="B81" s="252" t="s">
        <v>285</v>
      </c>
      <c r="C81" s="156">
        <f>VLOOKUP(A81,'[19]Reg Rates'!$B$4:$D$998,3,FALSE)</f>
        <v>470.02</v>
      </c>
      <c r="D81" s="156"/>
      <c r="E81" s="153">
        <f>VLOOKUP(A81,'[19]Pivot - Value'!$B$84:$P$257,15,FALSE)</f>
        <v>143520.60999999999</v>
      </c>
      <c r="F81" s="177"/>
      <c r="G81" s="153">
        <f t="shared" si="3"/>
        <v>305.35000638270708</v>
      </c>
      <c r="H81" s="157">
        <f t="shared" si="4"/>
        <v>25.445833865225591</v>
      </c>
    </row>
    <row r="82" spans="1:8" s="145" customFormat="1" ht="15" customHeight="1">
      <c r="A82" s="252" t="s">
        <v>286</v>
      </c>
      <c r="B82" s="252" t="s">
        <v>287</v>
      </c>
      <c r="C82" s="156">
        <f>VLOOKUP(A82,'[19]Reg Rates'!$B$4:$D$998,3,FALSE)</f>
        <v>127.3</v>
      </c>
      <c r="D82" s="156"/>
      <c r="E82" s="153">
        <f>VLOOKUP(A82,'[19]Pivot - Value'!$B$84:$P$257,15,FALSE)</f>
        <v>6110.4000000000005</v>
      </c>
      <c r="F82" s="177"/>
      <c r="G82" s="153">
        <f t="shared" si="3"/>
        <v>48.000000000000007</v>
      </c>
      <c r="H82" s="157">
        <f t="shared" si="4"/>
        <v>4.0000000000000009</v>
      </c>
    </row>
    <row r="83" spans="1:8" s="145" customFormat="1" ht="15" customHeight="1">
      <c r="A83" s="252" t="s">
        <v>288</v>
      </c>
      <c r="B83" s="252" t="s">
        <v>289</v>
      </c>
      <c r="C83" s="156">
        <f>VLOOKUP(A83,'[19]Reg Rates'!$B$4:$D$998,3,FALSE)</f>
        <v>254.6</v>
      </c>
      <c r="D83" s="156"/>
      <c r="E83" s="153">
        <f>VLOOKUP(A83,'[19]Pivot - Value'!$B$84:$P$257,15,FALSE)</f>
        <v>3818.9999999999995</v>
      </c>
      <c r="F83" s="177"/>
      <c r="G83" s="153">
        <f t="shared" si="3"/>
        <v>14.999999999999998</v>
      </c>
      <c r="H83" s="157">
        <f t="shared" si="4"/>
        <v>1.2499999999999998</v>
      </c>
    </row>
    <row r="84" spans="1:8" s="145" customFormat="1" ht="15" customHeight="1">
      <c r="A84" s="252" t="s">
        <v>290</v>
      </c>
      <c r="B84" s="252" t="s">
        <v>291</v>
      </c>
      <c r="C84" s="156">
        <f>VLOOKUP(A84,'[19]Reg Rates'!$B$4:$D$998,3,FALSE)</f>
        <v>381.91</v>
      </c>
      <c r="D84" s="156"/>
      <c r="E84" s="153">
        <f>VLOOKUP(A84,'[19]Pivot - Value'!$B$84:$P$257,15,FALSE)</f>
        <v>793.22</v>
      </c>
      <c r="F84" s="177"/>
      <c r="G84" s="153">
        <f t="shared" si="3"/>
        <v>2.0769814877850803</v>
      </c>
      <c r="H84" s="157">
        <f t="shared" si="4"/>
        <v>0.1730817906487567</v>
      </c>
    </row>
    <row r="85" spans="1:8" s="145" customFormat="1" ht="15" customHeight="1">
      <c r="A85" s="252" t="s">
        <v>292</v>
      </c>
      <c r="B85" s="252" t="s">
        <v>293</v>
      </c>
      <c r="C85" s="156">
        <f>VLOOKUP(A85,'[19]Reg Rates'!$B$4:$D$998,3,FALSE)</f>
        <v>41.52</v>
      </c>
      <c r="D85" s="156"/>
      <c r="E85" s="153">
        <f>VLOOKUP(A85,'[19]Pivot - Value'!$B$84:$P$257,15,FALSE)</f>
        <v>3318.2700000000009</v>
      </c>
      <c r="F85" s="177"/>
      <c r="G85" s="153">
        <f t="shared" si="3"/>
        <v>79.919797687861291</v>
      </c>
      <c r="H85" s="157">
        <f>SUM(G85:G85)/12</f>
        <v>6.6599831406551075</v>
      </c>
    </row>
    <row r="86" spans="1:8" s="145" customFormat="1" ht="15" customHeight="1">
      <c r="A86" s="252" t="s">
        <v>294</v>
      </c>
      <c r="B86" s="252" t="s">
        <v>295</v>
      </c>
      <c r="C86" s="156">
        <f>VLOOKUP(A86,'[19]Reg Rates'!$B$4:$D$998,3,FALSE)</f>
        <v>9.52</v>
      </c>
      <c r="D86" s="156"/>
      <c r="E86" s="153">
        <f>VLOOKUP(A86,'[19]Pivot - Value'!$B$84:$P$257,15,FALSE)</f>
        <v>104.71999999999998</v>
      </c>
      <c r="F86" s="177"/>
      <c r="G86" s="153">
        <f t="shared" si="3"/>
        <v>10.999999999999998</v>
      </c>
      <c r="H86" s="157">
        <f t="shared" ref="H86:H95" si="5">SUM(G86:G86)/12</f>
        <v>0.91666666666666652</v>
      </c>
    </row>
    <row r="87" spans="1:8" s="145" customFormat="1" ht="15" customHeight="1">
      <c r="A87" s="252" t="s">
        <v>296</v>
      </c>
      <c r="B87" s="252" t="s">
        <v>297</v>
      </c>
      <c r="C87" s="156">
        <f>VLOOKUP(A87,'[19]Reg Rates'!$B$4:$D$998,3,FALSE)</f>
        <v>9.52</v>
      </c>
      <c r="D87" s="156"/>
      <c r="E87" s="153">
        <f>VLOOKUP(A87,'[19]Pivot - Value'!$B$84:$P$257,15,FALSE)</f>
        <v>8347.6</v>
      </c>
      <c r="F87" s="177"/>
      <c r="G87" s="153">
        <f t="shared" si="3"/>
        <v>876.84873949579844</v>
      </c>
      <c r="H87" s="157">
        <f t="shared" si="5"/>
        <v>73.070728291316541</v>
      </c>
    </row>
    <row r="88" spans="1:8" s="145" customFormat="1" ht="15" customHeight="1">
      <c r="A88" s="252" t="s">
        <v>298</v>
      </c>
      <c r="B88" s="252" t="s">
        <v>299</v>
      </c>
      <c r="C88" s="156">
        <f>VLOOKUP(A88,'[19]Reg Rates'!$B$4:$D$998,3,FALSE)</f>
        <v>17.5</v>
      </c>
      <c r="D88" s="156"/>
      <c r="E88" s="153">
        <f>VLOOKUP(A88,'[19]Pivot - Value'!$B$84:$P$257,15,FALSE)</f>
        <v>2205</v>
      </c>
      <c r="F88" s="177"/>
      <c r="G88" s="153">
        <f t="shared" si="3"/>
        <v>126</v>
      </c>
      <c r="H88" s="157">
        <f t="shared" si="5"/>
        <v>10.5</v>
      </c>
    </row>
    <row r="89" spans="1:8" s="144" customFormat="1" ht="15" customHeight="1">
      <c r="A89" s="252" t="s">
        <v>300</v>
      </c>
      <c r="B89" s="252" t="s">
        <v>301</v>
      </c>
      <c r="C89" s="156">
        <f>VLOOKUP(A89,'[19]Reg Rates'!$B$4:$D$998,3,FALSE)</f>
        <v>22.75</v>
      </c>
      <c r="D89" s="156"/>
      <c r="E89" s="153">
        <f>VLOOKUP(A89,'[19]Pivot - Value'!$B$84:$P$257,15,FALSE)</f>
        <v>1774.5</v>
      </c>
      <c r="F89" s="177"/>
      <c r="G89" s="153">
        <f t="shared" si="3"/>
        <v>78</v>
      </c>
      <c r="H89" s="157">
        <f t="shared" si="5"/>
        <v>6.5</v>
      </c>
    </row>
    <row r="90" spans="1:8" s="145" customFormat="1" ht="15" customHeight="1">
      <c r="A90" s="252" t="s">
        <v>302</v>
      </c>
      <c r="B90" s="252" t="s">
        <v>303</v>
      </c>
      <c r="C90" s="156">
        <f>VLOOKUP(A90,'[19]Reg Rates'!$B$4:$D$998,3,FALSE)</f>
        <v>27.08</v>
      </c>
      <c r="D90" s="156"/>
      <c r="E90" s="153">
        <f>VLOOKUP(A90,'[19]Pivot - Value'!$B$84:$P$257,15,FALSE)</f>
        <v>8151.2800000000007</v>
      </c>
      <c r="F90" s="177"/>
      <c r="G90" s="153">
        <f t="shared" si="3"/>
        <v>301.0073855243723</v>
      </c>
      <c r="H90" s="157">
        <f t="shared" si="5"/>
        <v>25.08394879369769</v>
      </c>
    </row>
    <row r="91" spans="1:8" s="145" customFormat="1" ht="15" customHeight="1">
      <c r="A91" s="252" t="s">
        <v>304</v>
      </c>
      <c r="B91" s="252" t="s">
        <v>305</v>
      </c>
      <c r="C91" s="156">
        <f>VLOOKUP(A91,'[19]Reg Rates'!$B$4:$D$998,3,FALSE)</f>
        <v>5.87</v>
      </c>
      <c r="D91" s="156"/>
      <c r="E91" s="153">
        <f>VLOOKUP(A91,'[19]Pivot - Value'!$B$84:$P$257,15,FALSE)</f>
        <v>127089.05000000002</v>
      </c>
      <c r="F91" s="177"/>
      <c r="G91" s="153">
        <f t="shared" si="3"/>
        <v>21650.604770017038</v>
      </c>
      <c r="H91" s="157">
        <f t="shared" si="5"/>
        <v>1804.2170641680866</v>
      </c>
    </row>
    <row r="92" spans="1:8" s="145" customFormat="1" ht="15" customHeight="1">
      <c r="A92" s="252" t="s">
        <v>306</v>
      </c>
      <c r="B92" s="252" t="s">
        <v>307</v>
      </c>
      <c r="C92" s="156">
        <f>VLOOKUP(A92,'[19]Reg Rates'!$B$4:$D$998,3,FALSE)</f>
        <v>11.69</v>
      </c>
      <c r="D92" s="156"/>
      <c r="E92" s="153">
        <f>VLOOKUP(A92,'[19]Pivot - Value'!$B$84:$P$257,15,FALSE)</f>
        <v>8679.7200000000012</v>
      </c>
      <c r="F92" s="177"/>
      <c r="G92" s="153">
        <f t="shared" si="3"/>
        <v>742.49101796407194</v>
      </c>
      <c r="H92" s="157">
        <f t="shared" si="5"/>
        <v>61.874251497005993</v>
      </c>
    </row>
    <row r="93" spans="1:8" s="145" customFormat="1" ht="15" customHeight="1">
      <c r="A93" s="252" t="s">
        <v>308</v>
      </c>
      <c r="B93" s="252" t="s">
        <v>309</v>
      </c>
      <c r="C93" s="156">
        <f>VLOOKUP(A93,'[19]Reg Rates'!$B$4:$D$998,3,FALSE)</f>
        <v>17.54</v>
      </c>
      <c r="D93" s="156"/>
      <c r="E93" s="153">
        <f>VLOOKUP(A93,'[19]Pivot - Value'!$B$84:$P$257,15,FALSE)</f>
        <v>1477.76</v>
      </c>
      <c r="F93" s="177"/>
      <c r="G93" s="153">
        <f t="shared" si="3"/>
        <v>84.250855188141401</v>
      </c>
      <c r="H93" s="157">
        <f t="shared" si="5"/>
        <v>7.0209045990117831</v>
      </c>
    </row>
    <row r="94" spans="1:8" s="145" customFormat="1" ht="15" customHeight="1">
      <c r="A94" s="252" t="s">
        <v>310</v>
      </c>
      <c r="B94" s="252" t="s">
        <v>311</v>
      </c>
      <c r="C94" s="156">
        <f>VLOOKUP(A94,'[19]Reg Rates'!$B$4:$D$998,3,FALSE)</f>
        <v>23.38</v>
      </c>
      <c r="D94" s="156"/>
      <c r="E94" s="153">
        <f>VLOOKUP(A94,'[19]Pivot - Value'!$B$84:$P$257,15,FALSE)</f>
        <v>631.26</v>
      </c>
      <c r="F94" s="177"/>
      <c r="G94" s="153">
        <f t="shared" si="3"/>
        <v>27</v>
      </c>
      <c r="H94" s="157">
        <f t="shared" si="5"/>
        <v>2.25</v>
      </c>
    </row>
    <row r="95" spans="1:8" s="145" customFormat="1" ht="15" customHeight="1">
      <c r="A95" s="252" t="s">
        <v>312</v>
      </c>
      <c r="B95" s="252" t="s">
        <v>313</v>
      </c>
      <c r="C95" s="156">
        <f>VLOOKUP(A95,'[19]Reg Rates'!$B$4:$D$998,3,FALSE)</f>
        <v>29.23</v>
      </c>
      <c r="D95" s="156"/>
      <c r="E95" s="153">
        <f>VLOOKUP(A95,'[19]Pivot - Value'!$B$84:$P$257,15,FALSE)</f>
        <v>292.3</v>
      </c>
      <c r="F95" s="177"/>
      <c r="G95" s="153">
        <f t="shared" si="3"/>
        <v>10</v>
      </c>
      <c r="H95" s="157">
        <f t="shared" si="5"/>
        <v>0.83333333333333337</v>
      </c>
    </row>
    <row r="96" spans="1:8" s="145" customFormat="1" ht="15" customHeight="1">
      <c r="A96" s="252" t="s">
        <v>314</v>
      </c>
      <c r="B96" s="252" t="s">
        <v>315</v>
      </c>
      <c r="C96" s="156">
        <f>VLOOKUP(A96,'[19]Reg Rates'!$B$4:$D$998,3,FALSE)</f>
        <v>10.220000000000001</v>
      </c>
      <c r="D96" s="156"/>
      <c r="E96" s="153">
        <f>VLOOKUP(A96,'[19]Pivot - Value'!$B$84:$P$257,15,FALSE)</f>
        <v>6682.58</v>
      </c>
      <c r="F96" s="177"/>
      <c r="G96" s="153">
        <f t="shared" si="3"/>
        <v>653.87279843444219</v>
      </c>
      <c r="H96" s="157">
        <f>SUM(G96:G96)/12</f>
        <v>54.489399869536847</v>
      </c>
    </row>
    <row r="97" spans="1:8" s="145" customFormat="1" ht="15" customHeight="1">
      <c r="A97" s="252" t="s">
        <v>316</v>
      </c>
      <c r="B97" s="252" t="s">
        <v>317</v>
      </c>
      <c r="C97" s="156">
        <f>VLOOKUP(A97,'[19]Reg Rates'!$B$4:$D$998,3,FALSE)</f>
        <v>10.83</v>
      </c>
      <c r="D97" s="156"/>
      <c r="E97" s="153">
        <f>VLOOKUP(A97,'[19]Pivot - Value'!$B$84:$P$257,15,FALSE)</f>
        <v>1499.96</v>
      </c>
      <c r="F97" s="177"/>
      <c r="G97" s="153">
        <f t="shared" si="3"/>
        <v>138.50046168051708</v>
      </c>
      <c r="H97" s="157">
        <f>SUM(G97:G97)/12</f>
        <v>11.54170514004309</v>
      </c>
    </row>
    <row r="98" spans="1:8" s="145" customFormat="1" ht="15" customHeight="1">
      <c r="A98" s="252" t="s">
        <v>318</v>
      </c>
      <c r="B98" s="252" t="s">
        <v>319</v>
      </c>
      <c r="C98" s="156">
        <f>VLOOKUP(A98,'[19]Reg Rates'!$B$4:$D$998,3,FALSE)</f>
        <v>13.16</v>
      </c>
      <c r="D98" s="156"/>
      <c r="E98" s="153">
        <f>VLOOKUP(A98,'[19]Pivot - Value'!$B$84:$P$257,15,FALSE)</f>
        <v>11363.66</v>
      </c>
      <c r="F98" s="177"/>
      <c r="G98" s="153">
        <f t="shared" si="3"/>
        <v>863.5</v>
      </c>
      <c r="H98" s="157">
        <f>SUM(G98:G98)/12</f>
        <v>71.958333333333329</v>
      </c>
    </row>
    <row r="99" spans="1:8" s="145" customFormat="1" ht="15" customHeight="1">
      <c r="A99" s="252" t="s">
        <v>320</v>
      </c>
      <c r="B99" s="252" t="s">
        <v>321</v>
      </c>
      <c r="C99" s="156">
        <f>VLOOKUP(A99,'[19]Reg Rates'!$B$4:$D$998,3,FALSE)</f>
        <v>1.75</v>
      </c>
      <c r="D99" s="156"/>
      <c r="E99" s="153">
        <f>VLOOKUP(A99,'[19]Pivot - Value'!$B$84:$P$257,15,FALSE)</f>
        <v>1.75</v>
      </c>
      <c r="F99" s="177"/>
      <c r="G99" s="153">
        <f t="shared" si="3"/>
        <v>1</v>
      </c>
      <c r="H99" s="157">
        <f t="shared" ref="H99:H146" si="6">SUM(G99:G99)/12</f>
        <v>8.3333333333333329E-2</v>
      </c>
    </row>
    <row r="100" spans="1:8" s="145" customFormat="1" ht="15" customHeight="1">
      <c r="A100" s="252" t="s">
        <v>322</v>
      </c>
      <c r="B100" s="252" t="s">
        <v>323</v>
      </c>
      <c r="C100" s="156">
        <f>VLOOKUP(A100,'[19]Reg Rates'!$B$4:$D$998,3,FALSE)</f>
        <v>10.039999999999999</v>
      </c>
      <c r="D100" s="156"/>
      <c r="E100" s="153">
        <f>VLOOKUP(A100,'[19]Pivot - Value'!$B$84:$P$257,15,FALSE)</f>
        <v>1862.4199999999998</v>
      </c>
      <c r="F100" s="177"/>
      <c r="G100" s="153">
        <f t="shared" si="3"/>
        <v>185.5</v>
      </c>
      <c r="H100" s="157">
        <f t="shared" si="6"/>
        <v>15.458333333333334</v>
      </c>
    </row>
    <row r="101" spans="1:8" s="145" customFormat="1" ht="15" customHeight="1">
      <c r="A101" s="252" t="s">
        <v>324</v>
      </c>
      <c r="B101" s="252" t="s">
        <v>325</v>
      </c>
      <c r="C101" s="156">
        <f>VLOOKUP(A101,'[19]Reg Rates'!$B$4:$D$998,3,FALSE)</f>
        <v>16.2</v>
      </c>
      <c r="D101" s="156"/>
      <c r="E101" s="153">
        <f>VLOOKUP(A101,'[19]Pivot - Value'!$B$84:$P$257,15,FALSE)</f>
        <v>1668.6000000000001</v>
      </c>
      <c r="F101" s="177"/>
      <c r="G101" s="153">
        <f t="shared" si="3"/>
        <v>103.00000000000001</v>
      </c>
      <c r="H101" s="157">
        <f t="shared" si="6"/>
        <v>8.5833333333333339</v>
      </c>
    </row>
    <row r="102" spans="1:8" s="145" customFormat="1" ht="15" customHeight="1">
      <c r="A102" s="252" t="s">
        <v>326</v>
      </c>
      <c r="B102" s="252" t="s">
        <v>327</v>
      </c>
      <c r="C102" s="156">
        <f>VLOOKUP(A102,'[19]Reg Rates'!$B$4:$D$998,3,FALSE)</f>
        <v>19.5</v>
      </c>
      <c r="D102" s="156"/>
      <c r="E102" s="153">
        <f>VLOOKUP(A102,'[19]Pivot - Value'!$B$84:$P$257,15,FALSE)</f>
        <v>1014</v>
      </c>
      <c r="F102" s="177"/>
      <c r="G102" s="153">
        <f t="shared" si="3"/>
        <v>52</v>
      </c>
      <c r="H102" s="157">
        <f t="shared" si="6"/>
        <v>4.333333333333333</v>
      </c>
    </row>
    <row r="103" spans="1:8" s="145" customFormat="1" ht="15" customHeight="1">
      <c r="A103" s="252" t="s">
        <v>328</v>
      </c>
      <c r="B103" s="252" t="s">
        <v>329</v>
      </c>
      <c r="C103" s="156">
        <f>VLOOKUP(A103,'[19]Reg Rates'!$B$4:$D$998,3,FALSE)</f>
        <v>26.6</v>
      </c>
      <c r="D103" s="156"/>
      <c r="E103" s="153">
        <f>VLOOKUP(A103,'[19]Pivot - Value'!$B$84:$P$257,15,FALSE)</f>
        <v>1729.0000000000002</v>
      </c>
      <c r="F103" s="177"/>
      <c r="G103" s="153">
        <f t="shared" si="3"/>
        <v>65</v>
      </c>
      <c r="H103" s="157">
        <f t="shared" si="6"/>
        <v>5.416666666666667</v>
      </c>
    </row>
    <row r="104" spans="1:8" s="145" customFormat="1" ht="15" customHeight="1">
      <c r="A104" s="252" t="s">
        <v>330</v>
      </c>
      <c r="B104" s="252" t="s">
        <v>331</v>
      </c>
      <c r="C104" s="156">
        <f>VLOOKUP(A104,'[19]Reg Rates'!$B$4:$D$998,3,FALSE)</f>
        <v>6.92</v>
      </c>
      <c r="D104" s="156"/>
      <c r="E104" s="153">
        <f>VLOOKUP(A104,'[19]Pivot - Value'!$B$84:$P$257,15,FALSE)</f>
        <v>36222.280000000006</v>
      </c>
      <c r="F104" s="177"/>
      <c r="G104" s="153">
        <f t="shared" si="3"/>
        <v>5234.4335260115613</v>
      </c>
      <c r="H104" s="157">
        <f t="shared" si="6"/>
        <v>436.20279383429676</v>
      </c>
    </row>
    <row r="105" spans="1:8" s="145" customFormat="1" ht="15" customHeight="1">
      <c r="A105" s="252" t="s">
        <v>332</v>
      </c>
      <c r="B105" s="252" t="s">
        <v>333</v>
      </c>
      <c r="C105" s="156">
        <f>VLOOKUP(A105,'[19]Reg Rates'!$B$4:$D$998,3,FALSE)</f>
        <v>6.22</v>
      </c>
      <c r="D105" s="156"/>
      <c r="E105" s="153">
        <f>VLOOKUP(A105,'[19]Pivot - Value'!$B$84:$P$257,15,FALSE)</f>
        <v>422.96000000000004</v>
      </c>
      <c r="F105" s="177"/>
      <c r="G105" s="153">
        <f t="shared" si="3"/>
        <v>68.000000000000014</v>
      </c>
      <c r="H105" s="157">
        <f t="shared" si="6"/>
        <v>5.6666666666666679</v>
      </c>
    </row>
    <row r="106" spans="1:8" s="145" customFormat="1" ht="15" customHeight="1">
      <c r="A106" s="252" t="s">
        <v>334</v>
      </c>
      <c r="B106" s="252" t="s">
        <v>335</v>
      </c>
      <c r="C106" s="156">
        <f>VLOOKUP(A106,'[19]Reg Rates'!$B$4:$D$998,3,FALSE)</f>
        <v>2.08</v>
      </c>
      <c r="D106" s="156"/>
      <c r="E106" s="153">
        <f>VLOOKUP(A106,'[19]Pivot - Value'!$B$84:$P$257,15,FALSE)</f>
        <v>2486.9500000000003</v>
      </c>
      <c r="F106" s="177"/>
      <c r="G106" s="153">
        <f t="shared" si="3"/>
        <v>1195.6490384615386</v>
      </c>
      <c r="H106" s="157">
        <f t="shared" si="6"/>
        <v>99.637419871794876</v>
      </c>
    </row>
    <row r="107" spans="1:8" s="145" customFormat="1" ht="15" customHeight="1">
      <c r="A107" s="252" t="s">
        <v>336</v>
      </c>
      <c r="B107" s="252" t="s">
        <v>337</v>
      </c>
      <c r="C107" s="156">
        <v>1.72</v>
      </c>
      <c r="D107" s="156"/>
      <c r="E107" s="153">
        <f>VLOOKUP(A107,'[19]Pivot - Value'!$B$84:$P$257,15,FALSE)</f>
        <v>149</v>
      </c>
      <c r="F107" s="177"/>
      <c r="G107" s="153">
        <f t="shared" si="3"/>
        <v>86.627906976744185</v>
      </c>
      <c r="H107" s="157">
        <f t="shared" si="6"/>
        <v>7.2189922480620154</v>
      </c>
    </row>
    <row r="108" spans="1:8" s="145" customFormat="1" ht="15" customHeight="1">
      <c r="A108" s="252" t="s">
        <v>338</v>
      </c>
      <c r="B108" s="252" t="s">
        <v>339</v>
      </c>
      <c r="C108" s="156">
        <v>30.89</v>
      </c>
      <c r="D108" s="156"/>
      <c r="E108" s="192">
        <f>VLOOKUP(A108,'[19]Pivot - Value'!$B$84:$P$257,15,FALSE)</f>
        <v>96.11</v>
      </c>
      <c r="F108" s="177"/>
      <c r="G108" s="153">
        <f t="shared" si="3"/>
        <v>3.1113629006150858</v>
      </c>
      <c r="H108" s="157">
        <f t="shared" si="6"/>
        <v>0.2592802417179238</v>
      </c>
    </row>
    <row r="109" spans="1:8" s="145" customFormat="1" ht="15" customHeight="1">
      <c r="A109" s="252" t="s">
        <v>340</v>
      </c>
      <c r="B109" s="252" t="s">
        <v>341</v>
      </c>
      <c r="C109" s="156">
        <f>VLOOKUP(A109,'[19]Reg Rates'!$B$4:$D$998,3,FALSE)</f>
        <v>9.51</v>
      </c>
      <c r="D109" s="156"/>
      <c r="E109" s="153"/>
      <c r="F109" s="177"/>
      <c r="G109" s="153">
        <f t="shared" si="3"/>
        <v>0</v>
      </c>
      <c r="H109" s="157">
        <f t="shared" si="6"/>
        <v>0</v>
      </c>
    </row>
    <row r="110" spans="1:8" s="145" customFormat="1" ht="15" customHeight="1">
      <c r="A110" s="252" t="s">
        <v>342</v>
      </c>
      <c r="B110" s="252" t="s">
        <v>343</v>
      </c>
      <c r="C110" s="156">
        <f>VLOOKUP(A110,'[19]Reg Rates'!$B$4:$D$998,3,FALSE)</f>
        <v>9.7200000000000006</v>
      </c>
      <c r="D110" s="156"/>
      <c r="E110" s="153">
        <f>VLOOKUP(A110,'[19]Pivot - Value'!$B$84:$P$257,15,FALSE)</f>
        <v>534973.59000000008</v>
      </c>
      <c r="F110" s="177"/>
      <c r="G110" s="153">
        <f t="shared" si="3"/>
        <v>55038.43518518519</v>
      </c>
      <c r="H110" s="157">
        <f t="shared" si="6"/>
        <v>4586.5362654320988</v>
      </c>
    </row>
    <row r="111" spans="1:8" s="145" customFormat="1" ht="15" customHeight="1">
      <c r="A111" s="252" t="s">
        <v>344</v>
      </c>
      <c r="B111" s="252" t="s">
        <v>345</v>
      </c>
      <c r="C111" s="156">
        <f>VLOOKUP(A111,'[19]Reg Rates'!$B$4:$D$998,3,FALSE)</f>
        <v>11.76</v>
      </c>
      <c r="D111" s="156"/>
      <c r="E111" s="153">
        <f>VLOOKUP(A111,'[19]Pivot - Value'!$B$84:$P$257,15,FALSE)</f>
        <v>78887.920000000013</v>
      </c>
      <c r="F111" s="177"/>
      <c r="G111" s="153">
        <f t="shared" si="3"/>
        <v>6708.1564625850351</v>
      </c>
      <c r="H111" s="157">
        <f t="shared" si="6"/>
        <v>559.01303854875289</v>
      </c>
    </row>
    <row r="112" spans="1:8" s="145" customFormat="1" ht="15" customHeight="1">
      <c r="A112" s="252" t="s">
        <v>346</v>
      </c>
      <c r="B112" s="252" t="s">
        <v>347</v>
      </c>
      <c r="C112" s="156">
        <f>VLOOKUP(A112,'[19]Reg Rates'!$B$4:$D$998,3,FALSE)</f>
        <v>14.31</v>
      </c>
      <c r="D112" s="156"/>
      <c r="E112" s="153">
        <f>VLOOKUP(A112,'[19]Pivot - Value'!$B$84:$P$257,15,FALSE)</f>
        <v>55772.580000000009</v>
      </c>
      <c r="F112" s="177"/>
      <c r="G112" s="153">
        <f t="shared" si="3"/>
        <v>3897.4549266247386</v>
      </c>
      <c r="H112" s="157">
        <f t="shared" si="6"/>
        <v>324.78791055206153</v>
      </c>
    </row>
    <row r="113" spans="1:8" s="145" customFormat="1" ht="15" customHeight="1">
      <c r="A113" s="252" t="s">
        <v>348</v>
      </c>
      <c r="B113" s="252" t="s">
        <v>349</v>
      </c>
      <c r="C113" s="156">
        <f>VLOOKUP(A113,'[19]Reg Rates'!$B$4:$D$998,3,FALSE)</f>
        <v>16.579999999999998</v>
      </c>
      <c r="D113" s="156"/>
      <c r="E113" s="153">
        <f>VLOOKUP(A113,'[19]Pivot - Value'!$B$84:$P$257,15,FALSE)</f>
        <v>83848.829999999987</v>
      </c>
      <c r="F113" s="177"/>
      <c r="G113" s="153">
        <f t="shared" si="3"/>
        <v>5057.2273823884198</v>
      </c>
      <c r="H113" s="157">
        <f t="shared" si="6"/>
        <v>421.435615199035</v>
      </c>
    </row>
    <row r="114" spans="1:8" s="145" customFormat="1" ht="15" customHeight="1">
      <c r="A114" s="252" t="s">
        <v>350</v>
      </c>
      <c r="B114" s="252" t="s">
        <v>351</v>
      </c>
      <c r="C114" s="156">
        <f>VLOOKUP(A114,'[19]Reg Rates'!$B$4:$D$998,3,FALSE)</f>
        <v>22.11</v>
      </c>
      <c r="D114" s="156"/>
      <c r="E114" s="153">
        <f>VLOOKUP(A114,'[19]Pivot - Value'!$B$84:$P$257,15,FALSE)</f>
        <v>2636.2</v>
      </c>
      <c r="F114" s="177"/>
      <c r="G114" s="153">
        <f t="shared" si="3"/>
        <v>119.23111714156489</v>
      </c>
      <c r="H114" s="157">
        <f t="shared" si="6"/>
        <v>9.9359264284637412</v>
      </c>
    </row>
    <row r="115" spans="1:8" s="145" customFormat="1" ht="15" customHeight="1">
      <c r="A115" s="252" t="s">
        <v>352</v>
      </c>
      <c r="B115" s="252" t="s">
        <v>353</v>
      </c>
      <c r="C115" s="156">
        <f>VLOOKUP(A115,'[19]Reg Rates'!$B$4:$D$998,3,FALSE)</f>
        <v>0.36</v>
      </c>
      <c r="D115" s="156"/>
      <c r="E115" s="153">
        <f>VLOOKUP(A115,'[19]Pivot - Value'!$B$84:$P$257,15,FALSE)</f>
        <v>7228.2099999999991</v>
      </c>
      <c r="F115" s="177"/>
      <c r="G115" s="153">
        <f t="shared" si="3"/>
        <v>20078.361111111109</v>
      </c>
      <c r="H115" s="157">
        <f t="shared" si="6"/>
        <v>1673.1967592592591</v>
      </c>
    </row>
    <row r="116" spans="1:8" s="145" customFormat="1" ht="15" customHeight="1">
      <c r="A116" s="252" t="s">
        <v>354</v>
      </c>
      <c r="B116" s="252" t="s">
        <v>355</v>
      </c>
      <c r="C116" s="156">
        <f>VLOOKUP(A116,'[19]Reg Rates'!$B$4:$D$998,3,FALSE)</f>
        <v>0.54</v>
      </c>
      <c r="D116" s="156"/>
      <c r="E116" s="153">
        <f>VLOOKUP(A116,'[19]Pivot - Value'!$B$84:$P$257,15,FALSE)</f>
        <v>1243.08</v>
      </c>
      <c r="F116" s="177"/>
      <c r="G116" s="153">
        <f t="shared" si="3"/>
        <v>2301.9999999999995</v>
      </c>
      <c r="H116" s="157">
        <f t="shared" si="6"/>
        <v>191.83333333333329</v>
      </c>
    </row>
    <row r="117" spans="1:8" s="145" customFormat="1" ht="15" customHeight="1">
      <c r="A117" s="252" t="s">
        <v>356</v>
      </c>
      <c r="B117" s="252" t="s">
        <v>357</v>
      </c>
      <c r="C117" s="156">
        <f>VLOOKUP(A117,'[19]Reg Rates'!$B$4:$D$998,3,FALSE)</f>
        <v>0.61</v>
      </c>
      <c r="D117" s="156"/>
      <c r="E117" s="153">
        <f>VLOOKUP(A117,'[19]Pivot - Value'!$B$84:$P$257,15,FALSE)</f>
        <v>1005.2800000000002</v>
      </c>
      <c r="F117" s="177"/>
      <c r="G117" s="153">
        <f t="shared" si="3"/>
        <v>1648.0000000000005</v>
      </c>
      <c r="H117" s="157">
        <f t="shared" si="6"/>
        <v>137.33333333333337</v>
      </c>
    </row>
    <row r="118" spans="1:8" s="145" customFormat="1" ht="15" customHeight="1">
      <c r="A118" s="252" t="s">
        <v>358</v>
      </c>
      <c r="B118" s="252" t="s">
        <v>359</v>
      </c>
      <c r="C118" s="156">
        <f>VLOOKUP(A118,'[19]Reg Rates'!$B$4:$D$998,3,FALSE)</f>
        <v>0.9</v>
      </c>
      <c r="D118" s="156"/>
      <c r="E118" s="153">
        <f>VLOOKUP(A118,'[19]Pivot - Value'!$B$84:$P$257,15,FALSE)</f>
        <v>1851.3</v>
      </c>
      <c r="F118" s="177"/>
      <c r="G118" s="153">
        <f t="shared" si="3"/>
        <v>2057</v>
      </c>
      <c r="H118" s="157">
        <f t="shared" si="6"/>
        <v>171.41666666666666</v>
      </c>
    </row>
    <row r="119" spans="1:8" s="145" customFormat="1" ht="15" customHeight="1">
      <c r="A119" s="252" t="s">
        <v>360</v>
      </c>
      <c r="B119" s="252" t="s">
        <v>361</v>
      </c>
      <c r="C119" s="156">
        <f>VLOOKUP(A119,'[19]Reg Rates'!$B$4:$D$998,3,FALSE)</f>
        <v>3.42</v>
      </c>
      <c r="D119" s="156"/>
      <c r="E119" s="153">
        <f>VLOOKUP(A119,'[19]Pivot - Value'!$B$84:$P$257,15,FALSE)</f>
        <v>635.28000000000009</v>
      </c>
      <c r="F119" s="177"/>
      <c r="G119" s="153">
        <f t="shared" si="3"/>
        <v>185.7543859649123</v>
      </c>
      <c r="H119" s="157">
        <f t="shared" si="6"/>
        <v>15.479532163742691</v>
      </c>
    </row>
    <row r="120" spans="1:8" s="145" customFormat="1" ht="15" customHeight="1">
      <c r="A120" s="252" t="s">
        <v>362</v>
      </c>
      <c r="B120" s="252" t="s">
        <v>363</v>
      </c>
      <c r="C120" s="156">
        <f>VLOOKUP(A120,'[19]Reg Rates'!$B$4:$D$998,3,FALSE)</f>
        <v>3.98</v>
      </c>
      <c r="D120" s="156"/>
      <c r="E120" s="153">
        <f>VLOOKUP(A120,'[19]Pivot - Value'!$B$84:$P$257,15,FALSE)</f>
        <v>6097.69</v>
      </c>
      <c r="F120" s="177"/>
      <c r="G120" s="153">
        <f t="shared" si="3"/>
        <v>1532.0829145728642</v>
      </c>
      <c r="H120" s="157">
        <f t="shared" si="6"/>
        <v>127.67357621440534</v>
      </c>
    </row>
    <row r="121" spans="1:8" s="145" customFormat="1" ht="15" customHeight="1">
      <c r="A121" s="252" t="s">
        <v>364</v>
      </c>
      <c r="B121" s="252" t="s">
        <v>365</v>
      </c>
      <c r="C121" s="156">
        <f>VLOOKUP(A121,'[19]Reg Rates'!$B$4:$D$998,3,FALSE)</f>
        <v>1.3</v>
      </c>
      <c r="D121" s="156"/>
      <c r="E121" s="153">
        <f>VLOOKUP(A121,'[19]Pivot - Value'!$B$84:$P$257,15,FALSE)</f>
        <v>287.43</v>
      </c>
      <c r="F121" s="177"/>
      <c r="G121" s="153">
        <f t="shared" si="3"/>
        <v>221.1</v>
      </c>
      <c r="H121" s="157">
        <f t="shared" si="6"/>
        <v>18.425000000000001</v>
      </c>
    </row>
    <row r="122" spans="1:8" s="145" customFormat="1" ht="15" customHeight="1">
      <c r="A122" s="252" t="s">
        <v>366</v>
      </c>
      <c r="B122" s="252" t="s">
        <v>367</v>
      </c>
      <c r="C122" s="156">
        <f>VLOOKUP(A122,'[19]Reg Rates'!$B$4:$D$998,3,FALSE)</f>
        <v>1.91</v>
      </c>
      <c r="D122" s="156"/>
      <c r="E122" s="153">
        <f>VLOOKUP(A122,'[19]Pivot - Value'!$B$84:$P$257,15,FALSE)</f>
        <v>45.839999999999996</v>
      </c>
      <c r="F122" s="177"/>
      <c r="G122" s="153">
        <f t="shared" ref="G122:G146" si="7">E122/C122</f>
        <v>24</v>
      </c>
      <c r="H122" s="157">
        <f t="shared" si="6"/>
        <v>2</v>
      </c>
    </row>
    <row r="123" spans="1:8" s="145" customFormat="1" ht="15" customHeight="1">
      <c r="A123" s="252" t="s">
        <v>368</v>
      </c>
      <c r="B123" s="252" t="s">
        <v>369</v>
      </c>
      <c r="C123" s="156">
        <f>VLOOKUP(A123,'[19]Reg Rates'!$B$4:$D$998,3,FALSE)</f>
        <v>2.5099999999999998</v>
      </c>
      <c r="D123" s="156"/>
      <c r="E123" s="153"/>
      <c r="F123" s="177"/>
      <c r="G123" s="153">
        <f t="shared" si="7"/>
        <v>0</v>
      </c>
      <c r="H123" s="157">
        <f t="shared" si="6"/>
        <v>0</v>
      </c>
    </row>
    <row r="124" spans="1:8" s="145" customFormat="1" ht="15" customHeight="1">
      <c r="A124" s="252" t="s">
        <v>370</v>
      </c>
      <c r="B124" s="252" t="s">
        <v>371</v>
      </c>
      <c r="C124" s="156">
        <f>VLOOKUP(A124,'[19]Reg Rates'!$B$4:$D$998,3,FALSE)</f>
        <v>3.12</v>
      </c>
      <c r="D124" s="156"/>
      <c r="E124" s="153">
        <f>VLOOKUP(A124,'[19]Pivot - Value'!$B$84:$P$257,15,FALSE)</f>
        <v>74.88000000000001</v>
      </c>
      <c r="F124" s="177"/>
      <c r="G124" s="153">
        <f t="shared" si="7"/>
        <v>24.000000000000004</v>
      </c>
      <c r="H124" s="157">
        <f t="shared" si="6"/>
        <v>2.0000000000000004</v>
      </c>
    </row>
    <row r="125" spans="1:8" s="145" customFormat="1" ht="15" customHeight="1">
      <c r="A125" s="252" t="s">
        <v>372</v>
      </c>
      <c r="B125" s="252" t="s">
        <v>373</v>
      </c>
      <c r="C125" s="156">
        <f>VLOOKUP(A125,'[19]Reg Rates'!$B$4:$D$998,3,FALSE)</f>
        <v>0.61</v>
      </c>
      <c r="D125" s="156"/>
      <c r="E125" s="153">
        <f>VLOOKUP(A125,'[19]Pivot - Value'!$B$84:$P$257,15,FALSE)</f>
        <v>290.99999999999994</v>
      </c>
      <c r="F125" s="177"/>
      <c r="G125" s="153">
        <f t="shared" si="7"/>
        <v>477.04918032786878</v>
      </c>
      <c r="H125" s="157">
        <f t="shared" si="6"/>
        <v>39.754098360655732</v>
      </c>
    </row>
    <row r="126" spans="1:8" s="145" customFormat="1" ht="15" customHeight="1">
      <c r="A126" s="252" t="s">
        <v>374</v>
      </c>
      <c r="B126" s="252" t="s">
        <v>375</v>
      </c>
      <c r="C126" s="156">
        <f>VLOOKUP(A126,'[19]Reg Rates'!$B$4:$D$998,3,FALSE)</f>
        <v>30.24</v>
      </c>
      <c r="D126" s="156"/>
      <c r="E126" s="153">
        <f>VLOOKUP(A126,'[19]Pivot - Value'!$B$84:$P$257,15,FALSE)</f>
        <v>90.72</v>
      </c>
      <c r="F126" s="177"/>
      <c r="G126" s="153">
        <f t="shared" si="7"/>
        <v>3</v>
      </c>
      <c r="H126" s="157">
        <f t="shared" si="6"/>
        <v>0.25</v>
      </c>
    </row>
    <row r="127" spans="1:8" s="145" customFormat="1" ht="15" customHeight="1">
      <c r="A127" s="252" t="s">
        <v>376</v>
      </c>
      <c r="B127" s="252" t="s">
        <v>377</v>
      </c>
      <c r="C127" s="156">
        <v>30.24</v>
      </c>
      <c r="D127" s="156"/>
      <c r="E127" s="153">
        <f>VLOOKUP(A127,'[19]Pivot - Value'!$B$84:$P$257,15,FALSE)</f>
        <v>284.95999999999998</v>
      </c>
      <c r="F127" s="177"/>
      <c r="G127" s="153">
        <f t="shared" si="7"/>
        <v>9.4232804232804224</v>
      </c>
      <c r="H127" s="157">
        <f t="shared" si="6"/>
        <v>0.78527336860670183</v>
      </c>
    </row>
    <row r="128" spans="1:8" s="145" customFormat="1" ht="15" customHeight="1">
      <c r="A128" s="252" t="s">
        <v>378</v>
      </c>
      <c r="B128" s="252" t="s">
        <v>379</v>
      </c>
      <c r="C128" s="156">
        <v>30.24</v>
      </c>
      <c r="D128" s="156"/>
      <c r="E128" s="153">
        <f>VLOOKUP(A128,'[19]Pivot - Value'!$B$84:$P$257,15,FALSE)</f>
        <v>391.98</v>
      </c>
      <c r="F128" s="177"/>
      <c r="G128" s="153">
        <f t="shared" si="7"/>
        <v>12.962301587301589</v>
      </c>
      <c r="H128" s="157">
        <f t="shared" si="6"/>
        <v>1.0801917989417991</v>
      </c>
    </row>
    <row r="129" spans="1:8" s="145" customFormat="1" ht="15" customHeight="1">
      <c r="A129" s="252" t="s">
        <v>380</v>
      </c>
      <c r="B129" s="252" t="s">
        <v>381</v>
      </c>
      <c r="C129" s="156">
        <v>21.52</v>
      </c>
      <c r="D129" s="156"/>
      <c r="E129" s="153">
        <f>VLOOKUP(A129,'[19]Pivot - Value'!$B$84:$P$257,15,FALSE)</f>
        <v>202.4</v>
      </c>
      <c r="F129" s="177"/>
      <c r="G129" s="153">
        <f t="shared" si="7"/>
        <v>9.4052044609665426</v>
      </c>
      <c r="H129" s="157">
        <f t="shared" si="6"/>
        <v>0.78376703841387851</v>
      </c>
    </row>
    <row r="130" spans="1:8" s="145" customFormat="1" ht="15" customHeight="1">
      <c r="A130" s="252" t="s">
        <v>382</v>
      </c>
      <c r="B130" s="252" t="s">
        <v>383</v>
      </c>
      <c r="C130" s="156">
        <f>VLOOKUP(A130,'[19]Reg Rates'!$B$4:$D$998,3,FALSE)</f>
        <v>21.52</v>
      </c>
      <c r="D130" s="156"/>
      <c r="E130" s="153">
        <f>VLOOKUP(A130,'[19]Pivot - Value'!$B$84:$P$257,15,FALSE)</f>
        <v>63.739999999999995</v>
      </c>
      <c r="F130" s="177"/>
      <c r="G130" s="153">
        <f t="shared" si="7"/>
        <v>2.9618959107806688</v>
      </c>
      <c r="H130" s="157">
        <f t="shared" si="6"/>
        <v>0.24682465923172239</v>
      </c>
    </row>
    <row r="131" spans="1:8" s="145" customFormat="1" ht="15" customHeight="1">
      <c r="A131" s="252" t="s">
        <v>384</v>
      </c>
      <c r="B131" s="252" t="s">
        <v>385</v>
      </c>
      <c r="C131" s="156">
        <v>34.35</v>
      </c>
      <c r="D131" s="156"/>
      <c r="E131" s="153">
        <f>VLOOKUP(A131,'[19]Pivot - Value'!$B$84:$P$257,15,FALSE)</f>
        <v>103.05000000000001</v>
      </c>
      <c r="F131" s="177"/>
      <c r="G131" s="153">
        <f t="shared" si="7"/>
        <v>3</v>
      </c>
      <c r="H131" s="157">
        <f t="shared" si="6"/>
        <v>0.25</v>
      </c>
    </row>
    <row r="132" spans="1:8" s="145" customFormat="1" ht="15" customHeight="1">
      <c r="A132" s="252" t="s">
        <v>386</v>
      </c>
      <c r="B132" s="252" t="s">
        <v>387</v>
      </c>
      <c r="C132" s="156">
        <f>VLOOKUP(A132,'[19]Reg Rates'!$B$4:$D$998,3,FALSE)</f>
        <v>18</v>
      </c>
      <c r="D132" s="156"/>
      <c r="E132" s="153">
        <f>VLOOKUP(A132,'[19]Pivot - Value'!$B$84:$P$257,15,FALSE)</f>
        <v>4428</v>
      </c>
      <c r="F132" s="177"/>
      <c r="G132" s="153">
        <f t="shared" si="7"/>
        <v>246</v>
      </c>
      <c r="H132" s="157">
        <f t="shared" si="6"/>
        <v>20.5</v>
      </c>
    </row>
    <row r="133" spans="1:8" s="145" customFormat="1" ht="15" customHeight="1">
      <c r="A133" s="252" t="s">
        <v>388</v>
      </c>
      <c r="B133" s="252" t="s">
        <v>389</v>
      </c>
      <c r="C133" s="156">
        <f>VLOOKUP(A133,'[19]Reg Rates'!$B$4:$D$998,3,FALSE)</f>
        <v>22.19</v>
      </c>
      <c r="D133" s="156"/>
      <c r="E133" s="153">
        <f>VLOOKUP(A133,'[19]Pivot - Value'!$B$84:$P$257,15,FALSE)</f>
        <v>847.29</v>
      </c>
      <c r="F133" s="177"/>
      <c r="G133" s="153">
        <f t="shared" si="7"/>
        <v>38.183415953132041</v>
      </c>
      <c r="H133" s="157">
        <f t="shared" si="6"/>
        <v>3.1819513294276702</v>
      </c>
    </row>
    <row r="134" spans="1:8" s="145" customFormat="1" ht="15" customHeight="1">
      <c r="A134" s="252" t="s">
        <v>390</v>
      </c>
      <c r="B134" s="252" t="s">
        <v>391</v>
      </c>
      <c r="C134" s="156">
        <f>VLOOKUP(A134,'[19]Reg Rates'!$B$4:$D$998,3,FALSE)</f>
        <v>22.19</v>
      </c>
      <c r="D134" s="156"/>
      <c r="E134" s="153">
        <f>VLOOKUP(A134,'[19]Pivot - Value'!$B$84:$P$257,15,FALSE)</f>
        <v>560.79000000000008</v>
      </c>
      <c r="F134" s="177"/>
      <c r="G134" s="153">
        <f t="shared" si="7"/>
        <v>25.272194682289321</v>
      </c>
      <c r="H134" s="157">
        <f t="shared" si="6"/>
        <v>2.1060162235241102</v>
      </c>
    </row>
    <row r="135" spans="1:8" s="145" customFormat="1" ht="15" customHeight="1">
      <c r="A135" s="252" t="s">
        <v>392</v>
      </c>
      <c r="B135" s="252" t="s">
        <v>393</v>
      </c>
      <c r="C135" s="156">
        <f>VLOOKUP(A135,'[19]Reg Rates'!$B$4:$D$998,3,FALSE)</f>
        <v>25.79</v>
      </c>
      <c r="D135" s="156"/>
      <c r="E135" s="153">
        <f>VLOOKUP(A135,'[19]Pivot - Value'!$B$84:$P$257,15,FALSE)</f>
        <v>1540.4299999999998</v>
      </c>
      <c r="F135" s="177"/>
      <c r="G135" s="153">
        <f t="shared" si="7"/>
        <v>59.729740209383479</v>
      </c>
      <c r="H135" s="157">
        <f t="shared" si="6"/>
        <v>4.9774783507819569</v>
      </c>
    </row>
    <row r="136" spans="1:8" s="145" customFormat="1" ht="15" customHeight="1">
      <c r="A136" s="252" t="s">
        <v>394</v>
      </c>
      <c r="B136" s="252" t="s">
        <v>395</v>
      </c>
      <c r="C136" s="156">
        <v>18</v>
      </c>
      <c r="D136" s="156"/>
      <c r="E136" s="153">
        <f>VLOOKUP(A136,'[19]Pivot - Value'!$B$84:$P$257,15,FALSE)</f>
        <v>167.37</v>
      </c>
      <c r="F136" s="177"/>
      <c r="G136" s="153">
        <f t="shared" si="7"/>
        <v>9.2983333333333338</v>
      </c>
      <c r="H136" s="157">
        <f t="shared" si="6"/>
        <v>0.77486111111111111</v>
      </c>
    </row>
    <row r="137" spans="1:8" s="145" customFormat="1" ht="15" customHeight="1">
      <c r="A137" s="252" t="s">
        <v>396</v>
      </c>
      <c r="B137" s="252" t="s">
        <v>397</v>
      </c>
      <c r="C137" s="156">
        <f>VLOOKUP(A137,'[19]Reg Rates'!$B$4:$D$998,3,FALSE)</f>
        <v>11.43</v>
      </c>
      <c r="D137" s="156"/>
      <c r="E137" s="153">
        <f>VLOOKUP(A137,'[19]Pivot - Value'!$B$84:$P$257,15,FALSE)</f>
        <v>4663.4400000000005</v>
      </c>
      <c r="F137" s="177"/>
      <c r="G137" s="153">
        <f t="shared" si="7"/>
        <v>408.00000000000006</v>
      </c>
      <c r="H137" s="157">
        <f t="shared" si="6"/>
        <v>34.000000000000007</v>
      </c>
    </row>
    <row r="138" spans="1:8" s="145" customFormat="1" ht="15" customHeight="1">
      <c r="A138" s="252" t="s">
        <v>398</v>
      </c>
      <c r="B138" s="252" t="s">
        <v>399</v>
      </c>
      <c r="C138" s="156">
        <v>82.63</v>
      </c>
      <c r="D138" s="156"/>
      <c r="E138" s="153">
        <f>VLOOKUP(A138,'[19]Pivot - Value'!$B$84:$P$257,15,FALSE)</f>
        <v>3565.32</v>
      </c>
      <c r="F138" s="177"/>
      <c r="G138" s="153">
        <f t="shared" si="7"/>
        <v>43.148009197627985</v>
      </c>
      <c r="H138" s="157">
        <f t="shared" si="6"/>
        <v>3.5956674331356653</v>
      </c>
    </row>
    <row r="139" spans="1:8" s="145" customFormat="1" ht="15" customHeight="1">
      <c r="A139" s="252" t="s">
        <v>400</v>
      </c>
      <c r="B139" s="252" t="s">
        <v>401</v>
      </c>
      <c r="C139" s="156">
        <v>4.1100000000000003</v>
      </c>
      <c r="D139" s="156"/>
      <c r="E139" s="153">
        <f>VLOOKUP(A139,'[19]Pivot - Value'!$B$84:$P$257,15,FALSE)</f>
        <v>93.59</v>
      </c>
      <c r="F139" s="177"/>
      <c r="G139" s="153">
        <f t="shared" si="7"/>
        <v>22.771289537712896</v>
      </c>
      <c r="H139" s="157">
        <f t="shared" si="6"/>
        <v>1.8976074614760747</v>
      </c>
    </row>
    <row r="140" spans="1:8" s="145" customFormat="1" ht="15" customHeight="1">
      <c r="A140" s="252" t="s">
        <v>402</v>
      </c>
      <c r="B140" s="252" t="s">
        <v>403</v>
      </c>
      <c r="C140" s="156">
        <v>1.1499999999999999</v>
      </c>
      <c r="D140" s="156"/>
      <c r="E140" s="153">
        <f>VLOOKUP(A140,'[19]Pivot - Value'!$B$84:$P$257,15,FALSE)</f>
        <v>6506.93</v>
      </c>
      <c r="F140" s="177"/>
      <c r="G140" s="153">
        <f t="shared" si="7"/>
        <v>5658.2000000000007</v>
      </c>
      <c r="H140" s="157">
        <f t="shared" si="6"/>
        <v>471.51666666666671</v>
      </c>
    </row>
    <row r="141" spans="1:8" s="145" customFormat="1" ht="15" customHeight="1">
      <c r="A141" s="252" t="s">
        <v>404</v>
      </c>
      <c r="B141" s="252" t="s">
        <v>405</v>
      </c>
      <c r="C141" s="156">
        <f>VLOOKUP(A141,'[19]Reg Rates'!$B$4:$D$998,3,FALSE)</f>
        <v>1.1499999999999999</v>
      </c>
      <c r="D141" s="156"/>
      <c r="E141" s="153">
        <f>VLOOKUP(A141,'[19]Pivot - Value'!$B$84:$P$257,15,FALSE)</f>
        <v>20600.86</v>
      </c>
      <c r="F141" s="177"/>
      <c r="G141" s="153">
        <f t="shared" si="7"/>
        <v>17913.791304347829</v>
      </c>
      <c r="H141" s="157">
        <f t="shared" si="6"/>
        <v>1492.8159420289858</v>
      </c>
    </row>
    <row r="142" spans="1:8" s="145" customFormat="1" ht="15" customHeight="1">
      <c r="A142" s="252" t="s">
        <v>406</v>
      </c>
      <c r="B142" s="252" t="s">
        <v>407</v>
      </c>
      <c r="C142" s="156">
        <f>VLOOKUP(A142,'[19]Reg Rates'!$B$4:$D$998,3,FALSE)</f>
        <v>18</v>
      </c>
      <c r="D142" s="156"/>
      <c r="E142" s="153">
        <f>VLOOKUP(A142,'[19]Pivot - Value'!$B$84:$P$257,15,FALSE)</f>
        <v>507.52</v>
      </c>
      <c r="F142" s="177"/>
      <c r="G142" s="153">
        <f t="shared" si="7"/>
        <v>28.195555555555554</v>
      </c>
      <c r="H142" s="157">
        <f t="shared" si="6"/>
        <v>2.3496296296296295</v>
      </c>
    </row>
    <row r="143" spans="1:8" s="145" customFormat="1" ht="15" customHeight="1">
      <c r="A143" s="252" t="s">
        <v>408</v>
      </c>
      <c r="B143" s="252" t="s">
        <v>409</v>
      </c>
      <c r="C143" s="156">
        <f>VLOOKUP(A143,'[19]Reg Rates'!$B$4:$D$998,3,FALSE)</f>
        <v>22.19</v>
      </c>
      <c r="D143" s="156"/>
      <c r="E143" s="153">
        <f>VLOOKUP(A143,'[19]Pivot - Value'!$B$84:$P$257,15,FALSE)</f>
        <v>22.19</v>
      </c>
      <c r="F143" s="177"/>
      <c r="G143" s="153">
        <f t="shared" si="7"/>
        <v>1</v>
      </c>
      <c r="H143" s="157">
        <f t="shared" si="6"/>
        <v>8.3333333333333329E-2</v>
      </c>
    </row>
    <row r="144" spans="1:8" s="145" customFormat="1" ht="15" customHeight="1">
      <c r="A144" s="252" t="s">
        <v>410</v>
      </c>
      <c r="B144" s="252" t="s">
        <v>411</v>
      </c>
      <c r="C144" s="156">
        <f>VLOOKUP(A144,'[19]Reg Rates'!$B$4:$D$998,3,FALSE)</f>
        <v>22.19</v>
      </c>
      <c r="D144" s="156"/>
      <c r="E144" s="153">
        <f>VLOOKUP(A144,'[19]Pivot - Value'!$B$84:$P$257,15,FALSE)</f>
        <v>22.19</v>
      </c>
      <c r="F144" s="177"/>
      <c r="G144" s="153">
        <f t="shared" si="7"/>
        <v>1</v>
      </c>
      <c r="H144" s="157">
        <f t="shared" si="6"/>
        <v>8.3333333333333329E-2</v>
      </c>
    </row>
    <row r="145" spans="1:8" s="145" customFormat="1" ht="15" customHeight="1">
      <c r="A145" s="252" t="s">
        <v>412</v>
      </c>
      <c r="B145" s="252" t="s">
        <v>413</v>
      </c>
      <c r="C145" s="156">
        <f>VLOOKUP(A145,'[19]Reg Rates'!$B$4:$D$998,3,FALSE)</f>
        <v>25.79</v>
      </c>
      <c r="D145" s="156"/>
      <c r="E145" s="153">
        <f>VLOOKUP(A145,'[19]Pivot - Value'!$B$84:$P$257,15,FALSE)</f>
        <v>51.58</v>
      </c>
      <c r="F145" s="177"/>
      <c r="G145" s="153">
        <f t="shared" si="7"/>
        <v>2</v>
      </c>
      <c r="H145" s="157">
        <f t="shared" si="6"/>
        <v>0.16666666666666666</v>
      </c>
    </row>
    <row r="146" spans="1:8" s="145" customFormat="1" ht="15" customHeight="1">
      <c r="A146" s="252" t="s">
        <v>414</v>
      </c>
      <c r="B146" s="252" t="s">
        <v>415</v>
      </c>
      <c r="C146" s="156">
        <v>18</v>
      </c>
      <c r="D146" s="156"/>
      <c r="E146" s="153">
        <f>VLOOKUP(A146,'[19]Pivot - Value'!$B$84:$P$257,15,FALSE)</f>
        <v>824.78</v>
      </c>
      <c r="F146" s="177"/>
      <c r="G146" s="153">
        <f t="shared" si="7"/>
        <v>45.821111111111108</v>
      </c>
      <c r="H146" s="157">
        <f t="shared" si="6"/>
        <v>3.8184259259259257</v>
      </c>
    </row>
    <row r="147" spans="1:8" s="145" customFormat="1" ht="15" customHeight="1">
      <c r="A147" s="252" t="s">
        <v>416</v>
      </c>
      <c r="B147" s="252" t="s">
        <v>417</v>
      </c>
      <c r="C147" s="156"/>
      <c r="D147" s="156"/>
      <c r="E147" s="153">
        <f>VLOOKUP(A147,'[19]Pivot - Value'!$B$84:$P$257,15,FALSE)</f>
        <v>20166.800000000003</v>
      </c>
      <c r="F147" s="177"/>
      <c r="G147" s="153"/>
      <c r="H147" s="157"/>
    </row>
    <row r="148" spans="1:8" s="145" customFormat="1" ht="15" customHeight="1">
      <c r="A148" s="252" t="s">
        <v>418</v>
      </c>
      <c r="B148" s="252" t="s">
        <v>226</v>
      </c>
      <c r="C148" s="156"/>
      <c r="D148" s="156"/>
      <c r="E148" s="153">
        <f>VLOOKUP(A148,'[19]Pivot - Value'!$B$84:$P$257,15,FALSE)</f>
        <v>0</v>
      </c>
      <c r="F148" s="177"/>
      <c r="G148" s="152"/>
      <c r="H148" s="253"/>
    </row>
    <row r="149" spans="1:8" s="145" customFormat="1" ht="15" customHeight="1">
      <c r="A149" s="252" t="s">
        <v>225</v>
      </c>
      <c r="B149" s="252" t="s">
        <v>226</v>
      </c>
      <c r="C149" s="156"/>
      <c r="D149" s="156"/>
      <c r="E149" s="153">
        <f>VLOOKUP(A149,'[19]Pivot - Value'!$B$84:$P$257,15,FALSE)</f>
        <v>0</v>
      </c>
      <c r="F149" s="177"/>
      <c r="G149" s="152"/>
      <c r="H149" s="253"/>
    </row>
    <row r="150" spans="1:8" s="145" customFormat="1" ht="15" customHeight="1">
      <c r="A150" s="161"/>
      <c r="B150" s="161"/>
      <c r="C150" s="156"/>
      <c r="D150" s="156"/>
      <c r="E150" s="153"/>
      <c r="F150" s="152"/>
      <c r="G150" s="152"/>
      <c r="H150" s="253"/>
    </row>
    <row r="151" spans="1:8" s="145" customFormat="1" ht="15" customHeight="1">
      <c r="A151" s="194"/>
      <c r="B151" s="195" t="s">
        <v>419</v>
      </c>
      <c r="C151" s="156"/>
      <c r="D151" s="156"/>
      <c r="E151" s="163">
        <f>SUM(E58:E150)</f>
        <v>4486093.2600000026</v>
      </c>
      <c r="F151" s="152"/>
      <c r="G151" s="152"/>
      <c r="H151" s="163">
        <f>SUM(H58:H150)</f>
        <v>18974.164768814913</v>
      </c>
    </row>
    <row r="152" spans="1:8" s="145" customFormat="1" ht="15" customHeight="1">
      <c r="A152" s="194"/>
      <c r="B152" s="194"/>
      <c r="C152" s="156"/>
      <c r="D152" s="156"/>
      <c r="E152" s="153"/>
      <c r="F152" s="152"/>
      <c r="G152" s="152"/>
      <c r="H152" s="253"/>
    </row>
    <row r="153" spans="1:8" ht="15" customHeight="1">
      <c r="A153" s="244" t="s">
        <v>420</v>
      </c>
      <c r="B153" s="244" t="s">
        <v>420</v>
      </c>
      <c r="H153" s="157"/>
    </row>
    <row r="154" spans="1:8" ht="15" customHeight="1">
      <c r="A154" s="162"/>
      <c r="B154" s="162"/>
    </row>
    <row r="155" spans="1:8" ht="15" customHeight="1">
      <c r="A155" s="226" t="s">
        <v>421</v>
      </c>
      <c r="B155" s="226" t="s">
        <v>421</v>
      </c>
    </row>
    <row r="156" spans="1:8" ht="15" customHeight="1">
      <c r="A156" s="252" t="s">
        <v>422</v>
      </c>
      <c r="B156" s="252" t="s">
        <v>423</v>
      </c>
      <c r="C156" s="156">
        <f>VLOOKUP(A156,'[19]Reg Rates'!$B$4:$D$998,3,FALSE)</f>
        <v>78.73</v>
      </c>
      <c r="E156" s="153">
        <f>VLOOKUP(A156,'[19]Pivot - Value'!$B$84:$P$257,15,FALSE)</f>
        <v>175329.87</v>
      </c>
      <c r="G156" s="153">
        <f t="shared" ref="G156:G178" si="8">E156/C156</f>
        <v>2226.9766289851391</v>
      </c>
      <c r="H156" s="157">
        <f>SUM(G156:G156)/12</f>
        <v>185.58138574876159</v>
      </c>
    </row>
    <row r="157" spans="1:8" ht="15" customHeight="1">
      <c r="A157" s="252" t="s">
        <v>424</v>
      </c>
      <c r="B157" s="252" t="s">
        <v>425</v>
      </c>
      <c r="C157" s="156">
        <f>VLOOKUP(A157,'[19]Reg Rates'!$B$4:$D$998,3,FALSE)</f>
        <v>88.24</v>
      </c>
      <c r="E157" s="153">
        <f>VLOOKUP(A157,'[19]Pivot - Value'!$B$84:$P$257,15,FALSE)</f>
        <v>476787.1399999999</v>
      </c>
      <c r="G157" s="153">
        <f t="shared" si="8"/>
        <v>5403.299410698095</v>
      </c>
      <c r="H157" s="157">
        <f>SUM(G157:G157)/12</f>
        <v>450.2749508915079</v>
      </c>
    </row>
    <row r="158" spans="1:8" ht="15" customHeight="1">
      <c r="A158" s="252" t="s">
        <v>426</v>
      </c>
      <c r="B158" s="252" t="s">
        <v>427</v>
      </c>
      <c r="C158" s="156">
        <f>VLOOKUP(A158,'[19]Reg Rates'!$B$4:$D$998,3,FALSE)</f>
        <v>108.46</v>
      </c>
      <c r="E158" s="153">
        <f>VLOOKUP(A158,'[19]Pivot - Value'!$B$84:$P$257,15,FALSE)</f>
        <v>232697.71999999997</v>
      </c>
      <c r="G158" s="153">
        <f t="shared" si="8"/>
        <v>2145.4704038355153</v>
      </c>
      <c r="H158" s="157">
        <f>SUM(G158:G158)/12</f>
        <v>178.78920031962627</v>
      </c>
    </row>
    <row r="159" spans="1:8" ht="15" customHeight="1">
      <c r="A159" s="252" t="s">
        <v>428</v>
      </c>
      <c r="B159" s="252" t="s">
        <v>429</v>
      </c>
      <c r="C159" s="156">
        <f>VLOOKUP(A159,'[19]Reg Rates'!$B$4:$D$998,3,FALSE)</f>
        <v>108.46</v>
      </c>
      <c r="E159" s="153">
        <f>VLOOKUP(A159,'[19]Pivot - Value'!$B$84:$P$257,15,FALSE)</f>
        <v>8676.7999999999993</v>
      </c>
      <c r="G159" s="153">
        <f t="shared" si="8"/>
        <v>80</v>
      </c>
      <c r="H159" s="157"/>
    </row>
    <row r="160" spans="1:8" ht="15" customHeight="1">
      <c r="A160" s="252" t="s">
        <v>430</v>
      </c>
      <c r="B160" s="252" t="s">
        <v>431</v>
      </c>
      <c r="C160" s="156">
        <f>VLOOKUP(A160,'[19]Reg Rates'!$B$4:$D$998,3,FALSE)</f>
        <v>135.02000000000001</v>
      </c>
      <c r="E160" s="153">
        <f>VLOOKUP(A160,'[19]Pivot - Value'!$B$84:$P$257,15,FALSE)</f>
        <v>29974.440000000002</v>
      </c>
      <c r="G160" s="153">
        <f t="shared" si="8"/>
        <v>222</v>
      </c>
      <c r="H160" s="157">
        <f t="shared" ref="H160:H178" si="9">SUM(G160:G160)/12</f>
        <v>18.5</v>
      </c>
    </row>
    <row r="161" spans="1:8" ht="15" customHeight="1">
      <c r="A161" s="252" t="s">
        <v>432</v>
      </c>
      <c r="B161" s="252" t="s">
        <v>433</v>
      </c>
      <c r="C161" s="156">
        <f>VLOOKUP(A161,'[19]Reg Rates'!$B$4:$D$998,3,FALSE)</f>
        <v>140.53</v>
      </c>
      <c r="E161" s="153">
        <f>VLOOKUP(A161,'[19]Pivot - Value'!$B$84:$P$257,15,FALSE)</f>
        <v>31187</v>
      </c>
      <c r="G161" s="153">
        <f t="shared" si="8"/>
        <v>221.92414431082332</v>
      </c>
      <c r="H161" s="157">
        <f t="shared" si="9"/>
        <v>18.493678692568611</v>
      </c>
    </row>
    <row r="162" spans="1:8" ht="15" customHeight="1">
      <c r="A162" s="252" t="s">
        <v>434</v>
      </c>
      <c r="B162" s="252" t="s">
        <v>435</v>
      </c>
      <c r="C162" s="156">
        <f>VLOOKUP(A162,'[19]Reg Rates'!$B$4:$D$998,3,FALSE)</f>
        <v>153.93</v>
      </c>
      <c r="E162" s="153">
        <f>VLOOKUP(A162,'[19]Pivot - Value'!$B$84:$P$257,15,FALSE)</f>
        <v>42786.71</v>
      </c>
      <c r="G162" s="153">
        <f t="shared" si="8"/>
        <v>277.96212564152535</v>
      </c>
      <c r="H162" s="157">
        <f t="shared" si="9"/>
        <v>23.163510470127111</v>
      </c>
    </row>
    <row r="163" spans="1:8" ht="15" customHeight="1">
      <c r="A163" s="252" t="s">
        <v>436</v>
      </c>
      <c r="B163" s="252" t="s">
        <v>437</v>
      </c>
      <c r="C163" s="156">
        <f>VLOOKUP(A163,'[19]Reg Rates'!$B$4:$D$998,3,FALSE)</f>
        <v>166.7</v>
      </c>
      <c r="E163" s="153">
        <f>VLOOKUP(A163,'[19]Pivot - Value'!$B$84:$P$257,15,FALSE)</f>
        <v>20347.179999999997</v>
      </c>
      <c r="G163" s="153">
        <f t="shared" si="8"/>
        <v>122.05866826634671</v>
      </c>
      <c r="H163" s="157">
        <f t="shared" si="9"/>
        <v>10.171555688862226</v>
      </c>
    </row>
    <row r="164" spans="1:8" ht="15" customHeight="1">
      <c r="A164" s="252" t="s">
        <v>438</v>
      </c>
      <c r="B164" s="252" t="s">
        <v>439</v>
      </c>
      <c r="C164" s="156">
        <f>VLOOKUP(A164,'[19]Reg Rates'!$B$4:$D$998,3,FALSE)</f>
        <v>198.68</v>
      </c>
      <c r="E164" s="153">
        <f>VLOOKUP(A164,'[19]Pivot - Value'!$B$84:$P$257,15,FALSE)</f>
        <v>7748.5199999999995</v>
      </c>
      <c r="G164" s="153">
        <f t="shared" si="8"/>
        <v>38.999999999999993</v>
      </c>
      <c r="H164" s="157">
        <f t="shared" si="9"/>
        <v>3.2499999999999996</v>
      </c>
    </row>
    <row r="165" spans="1:8" ht="15" customHeight="1">
      <c r="A165" s="252" t="s">
        <v>440</v>
      </c>
      <c r="B165" s="252" t="s">
        <v>441</v>
      </c>
      <c r="C165" s="156">
        <f>VLOOKUP(A165,'[19]Reg Rates'!$B$4:$D$998,3,FALSE)</f>
        <v>198.68</v>
      </c>
      <c r="E165" s="153">
        <f>VLOOKUP(A165,'[19]Pivot - Value'!$B$84:$P$257,15,FALSE)</f>
        <v>794.72</v>
      </c>
      <c r="G165" s="153">
        <f t="shared" si="8"/>
        <v>4</v>
      </c>
      <c r="H165" s="157">
        <f t="shared" si="9"/>
        <v>0.33333333333333331</v>
      </c>
    </row>
    <row r="166" spans="1:8" ht="15" customHeight="1">
      <c r="A166" s="252" t="s">
        <v>442</v>
      </c>
      <c r="B166" s="252" t="s">
        <v>443</v>
      </c>
      <c r="C166" s="156">
        <f>VLOOKUP(A166,'[19]Reg Rates'!$B$4:$D$998,3,FALSE)</f>
        <v>198.68</v>
      </c>
      <c r="E166" s="153">
        <f>VLOOKUP(A166,'[19]Pivot - Value'!$B$84:$P$257,15,FALSE)</f>
        <v>45092.829999999987</v>
      </c>
      <c r="G166" s="153">
        <f t="shared" si="8"/>
        <v>226.96209985906978</v>
      </c>
      <c r="H166" s="157">
        <f t="shared" si="9"/>
        <v>18.913508321589148</v>
      </c>
    </row>
    <row r="167" spans="1:8" ht="15" customHeight="1">
      <c r="A167" s="252" t="s">
        <v>444</v>
      </c>
      <c r="B167" s="252" t="s">
        <v>445</v>
      </c>
      <c r="C167" s="156">
        <f>VLOOKUP(A167,'[19]Reg Rates'!$B$4:$D$998,3,FALSE)</f>
        <v>78.73</v>
      </c>
      <c r="E167" s="153">
        <f>VLOOKUP(A167,'[19]Pivot - Value'!$B$84:$P$257,15,FALSE)</f>
        <v>19210.120000000003</v>
      </c>
      <c r="G167" s="153">
        <f t="shared" si="8"/>
        <v>244.00000000000003</v>
      </c>
      <c r="H167" s="157">
        <f t="shared" si="9"/>
        <v>20.333333333333336</v>
      </c>
    </row>
    <row r="168" spans="1:8" ht="15" customHeight="1">
      <c r="A168" s="252" t="s">
        <v>446</v>
      </c>
      <c r="B168" s="252" t="s">
        <v>447</v>
      </c>
      <c r="C168" s="156">
        <f>VLOOKUP(A168,'[19]Reg Rates'!$B$4:$D$998,3,FALSE)</f>
        <v>88.24</v>
      </c>
      <c r="E168" s="153">
        <f>VLOOKUP(A168,'[19]Pivot - Value'!$B$84:$P$257,15,FALSE)</f>
        <v>36524.68</v>
      </c>
      <c r="G168" s="153">
        <f t="shared" si="8"/>
        <v>413.92429737080693</v>
      </c>
      <c r="H168" s="157">
        <f t="shared" si="9"/>
        <v>34.493691447567244</v>
      </c>
    </row>
    <row r="169" spans="1:8" ht="15" customHeight="1">
      <c r="A169" s="252" t="s">
        <v>448</v>
      </c>
      <c r="B169" s="252" t="s">
        <v>449</v>
      </c>
      <c r="C169" s="156">
        <f>VLOOKUP(A169,'[19]Reg Rates'!$B$4:$D$998,3,FALSE)</f>
        <v>108.46</v>
      </c>
      <c r="E169" s="153">
        <f>VLOOKUP(A169,'[19]Pivot - Value'!$B$84:$P$257,15,FALSE)</f>
        <v>20169.45</v>
      </c>
      <c r="G169" s="153">
        <f t="shared" si="8"/>
        <v>185.96210584547299</v>
      </c>
      <c r="H169" s="157">
        <f t="shared" si="9"/>
        <v>15.496842153789416</v>
      </c>
    </row>
    <row r="170" spans="1:8" ht="15" customHeight="1">
      <c r="A170" s="252" t="s">
        <v>450</v>
      </c>
      <c r="B170" s="252" t="s">
        <v>451</v>
      </c>
      <c r="C170" s="156">
        <f>VLOOKUP(A170,'[19]Reg Rates'!$B$4:$D$998,3,FALSE)</f>
        <v>41.16</v>
      </c>
      <c r="E170" s="153">
        <f>VLOOKUP(A170,'[19]Pivot - Value'!$B$84:$P$257,15,FALSE)</f>
        <v>33697.050000000003</v>
      </c>
      <c r="G170" s="153">
        <f t="shared" si="8"/>
        <v>818.68440233236163</v>
      </c>
      <c r="H170" s="157">
        <f t="shared" si="9"/>
        <v>68.223700194363474</v>
      </c>
    </row>
    <row r="171" spans="1:8" ht="15" customHeight="1">
      <c r="A171" s="252" t="s">
        <v>452</v>
      </c>
      <c r="B171" s="252" t="s">
        <v>453</v>
      </c>
      <c r="C171" s="156">
        <f>VLOOKUP(A171,'[19]Reg Rates'!$B$4:$D$998,3,FALSE)</f>
        <v>36.590000000000003</v>
      </c>
      <c r="E171" s="153">
        <f>VLOOKUP(A171,'[19]Pivot - Value'!$B$84:$P$257,15,FALSE)</f>
        <v>28457.43</v>
      </c>
      <c r="G171" s="153">
        <f t="shared" si="8"/>
        <v>777.73790653183926</v>
      </c>
      <c r="H171" s="157">
        <f t="shared" si="9"/>
        <v>64.8114922109866</v>
      </c>
    </row>
    <row r="172" spans="1:8" ht="15" customHeight="1">
      <c r="A172" s="252" t="s">
        <v>454</v>
      </c>
      <c r="B172" s="252" t="s">
        <v>455</v>
      </c>
      <c r="C172" s="156">
        <f>VLOOKUP(A172,'[19]Reg Rates'!$B$4:$D$998,3,FALSE)</f>
        <v>42.67</v>
      </c>
      <c r="E172" s="153">
        <f>VLOOKUP(A172,'[19]Pivot - Value'!$B$84:$P$257,15,FALSE)</f>
        <v>46538.52</v>
      </c>
      <c r="G172" s="153">
        <f t="shared" si="8"/>
        <v>1090.6613545816731</v>
      </c>
      <c r="H172" s="157">
        <f t="shared" si="9"/>
        <v>90.888446215139425</v>
      </c>
    </row>
    <row r="173" spans="1:8" ht="15" customHeight="1">
      <c r="A173" s="252" t="s">
        <v>456</v>
      </c>
      <c r="B173" s="252" t="s">
        <v>457</v>
      </c>
      <c r="C173" s="156">
        <f>VLOOKUP(A173,'[19]Reg Rates'!$B$4:$D$998,3,FALSE)</f>
        <v>48.7</v>
      </c>
      <c r="E173" s="153">
        <f>VLOOKUP(A173,'[19]Pivot - Value'!$B$84:$P$257,15,FALSE)</f>
        <v>10830.880000000001</v>
      </c>
      <c r="G173" s="153">
        <f t="shared" si="8"/>
        <v>222.4</v>
      </c>
      <c r="H173" s="157">
        <f t="shared" si="9"/>
        <v>18.533333333333335</v>
      </c>
    </row>
    <row r="174" spans="1:8" ht="15" customHeight="1">
      <c r="A174" s="252" t="s">
        <v>458</v>
      </c>
      <c r="B174" s="252" t="s">
        <v>459</v>
      </c>
      <c r="C174" s="156">
        <f>VLOOKUP(A174,'[19]Reg Rates'!$B$4:$D$998,3,FALSE)</f>
        <v>3.85</v>
      </c>
      <c r="E174" s="153">
        <f>VLOOKUP(A174,'[19]Pivot - Value'!$B$84:$P$257,15,FALSE)</f>
        <v>70035.839999999997</v>
      </c>
      <c r="G174" s="153">
        <f t="shared" si="8"/>
        <v>18191.12727272727</v>
      </c>
      <c r="H174" s="157">
        <f t="shared" si="9"/>
        <v>1515.9272727272726</v>
      </c>
    </row>
    <row r="175" spans="1:8" ht="15" customHeight="1">
      <c r="A175" s="252" t="s">
        <v>460</v>
      </c>
      <c r="B175" s="252" t="s">
        <v>461</v>
      </c>
      <c r="C175" s="156">
        <f>VLOOKUP(A175,'[19]Reg Rates'!$B$4:$D$998,3,FALSE)</f>
        <v>4.5599999999999996</v>
      </c>
      <c r="E175" s="153">
        <f>VLOOKUP(A175,'[19]Pivot - Value'!$B$84:$P$257,15,FALSE)</f>
        <v>144346.89000000001</v>
      </c>
      <c r="G175" s="153">
        <f t="shared" si="8"/>
        <v>31655.01973684211</v>
      </c>
      <c r="H175" s="157">
        <f t="shared" si="9"/>
        <v>2637.9183114035091</v>
      </c>
    </row>
    <row r="176" spans="1:8" ht="15" customHeight="1">
      <c r="A176" s="252" t="s">
        <v>462</v>
      </c>
      <c r="B176" s="252" t="s">
        <v>463</v>
      </c>
      <c r="C176" s="156">
        <f>VLOOKUP(A176,'[19]Reg Rates'!$B$4:$D$998,3,FALSE)</f>
        <v>4.9400000000000004</v>
      </c>
      <c r="E176" s="153">
        <f>VLOOKUP(A176,'[19]Pivot - Value'!$B$84:$P$257,15,FALSE)</f>
        <v>37716.899999999994</v>
      </c>
      <c r="G176" s="153">
        <f t="shared" si="8"/>
        <v>7634.9999999999982</v>
      </c>
      <c r="H176" s="157">
        <f t="shared" si="9"/>
        <v>636.24999999999989</v>
      </c>
    </row>
    <row r="177" spans="1:8" ht="15" customHeight="1">
      <c r="A177" s="252" t="s">
        <v>464</v>
      </c>
      <c r="B177" s="252" t="s">
        <v>465</v>
      </c>
      <c r="C177" s="156">
        <f>VLOOKUP(A177,'[19]Reg Rates'!$B$4:$D$998,3,FALSE)</f>
        <v>3.07</v>
      </c>
      <c r="E177" s="153">
        <f>VLOOKUP(A177,'[19]Pivot - Value'!$B$84:$P$257,15,FALSE)</f>
        <v>59565.39</v>
      </c>
      <c r="G177" s="153">
        <f t="shared" si="8"/>
        <v>19402.407166123779</v>
      </c>
      <c r="H177" s="157">
        <f t="shared" si="9"/>
        <v>1616.8672638436483</v>
      </c>
    </row>
    <row r="178" spans="1:8" ht="15" customHeight="1">
      <c r="A178" s="252" t="s">
        <v>466</v>
      </c>
      <c r="B178" s="252" t="s">
        <v>467</v>
      </c>
      <c r="C178" s="156">
        <v>82.63</v>
      </c>
      <c r="E178" s="153">
        <f>VLOOKUP(A178,'[19]Pivot - Value'!$B$84:$P$257,15,FALSE)</f>
        <v>5470.14</v>
      </c>
      <c r="G178" s="153">
        <f t="shared" si="8"/>
        <v>66.200411472830694</v>
      </c>
      <c r="H178" s="157">
        <f t="shared" si="9"/>
        <v>5.5167009560692248</v>
      </c>
    </row>
    <row r="179" spans="1:8" ht="15" customHeight="1">
      <c r="A179" s="252" t="s">
        <v>468</v>
      </c>
      <c r="B179" s="252" t="s">
        <v>469</v>
      </c>
      <c r="C179" s="156"/>
      <c r="E179" s="153">
        <f>VLOOKUP(A179,'[19]Pivot - Value'!$B$84:$P$257,15,FALSE)</f>
        <v>2098.11</v>
      </c>
      <c r="G179" s="153"/>
      <c r="H179" s="157"/>
    </row>
    <row r="180" spans="1:8" s="145" customFormat="1" ht="15" customHeight="1">
      <c r="A180" s="252" t="s">
        <v>418</v>
      </c>
      <c r="B180" s="252" t="s">
        <v>226</v>
      </c>
      <c r="C180" s="156"/>
      <c r="D180" s="156"/>
      <c r="E180" s="153">
        <f>VLOOKUP(A180,'[19]Pivot - Value'!$B$84:$P$257,15,FALSE)</f>
        <v>0</v>
      </c>
      <c r="F180" s="152"/>
      <c r="G180" s="152"/>
      <c r="H180" s="253"/>
    </row>
    <row r="181" spans="1:8" s="145" customFormat="1" ht="15" customHeight="1">
      <c r="A181" s="252" t="s">
        <v>225</v>
      </c>
      <c r="B181" s="252" t="s">
        <v>226</v>
      </c>
      <c r="C181" s="156"/>
      <c r="D181" s="156"/>
      <c r="E181" s="153">
        <f>VLOOKUP(A181,'[19]Pivot - Value'!$B$84:$P$257,15,FALSE)</f>
        <v>0</v>
      </c>
      <c r="F181" s="152"/>
      <c r="G181" s="152"/>
      <c r="H181" s="253"/>
    </row>
    <row r="182" spans="1:8" ht="15" customHeight="1">
      <c r="A182" s="181"/>
      <c r="B182" s="181"/>
    </row>
    <row r="183" spans="1:8" ht="15" customHeight="1">
      <c r="A183" s="181"/>
      <c r="B183" s="160" t="s">
        <v>470</v>
      </c>
      <c r="E183" s="163">
        <f>SUM(E156:E182)</f>
        <v>1586084.3299999998</v>
      </c>
      <c r="H183" s="163">
        <f>SUM(H156:H182)</f>
        <v>7632.7315112853885</v>
      </c>
    </row>
    <row r="184" spans="1:8" ht="15" customHeight="1">
      <c r="A184" s="181"/>
      <c r="B184" s="181"/>
    </row>
    <row r="185" spans="1:8" ht="15" customHeight="1">
      <c r="A185" s="226" t="s">
        <v>471</v>
      </c>
      <c r="B185" s="226" t="s">
        <v>471</v>
      </c>
    </row>
    <row r="186" spans="1:8" ht="15" customHeight="1">
      <c r="A186" s="252" t="s">
        <v>472</v>
      </c>
      <c r="B186" s="252" t="s">
        <v>473</v>
      </c>
      <c r="C186" s="156">
        <f>VLOOKUP(A186,'[19]Reg Rates'!$B$4:$D$998,3,FALSE)</f>
        <v>30.89</v>
      </c>
      <c r="E186" s="153">
        <f>VLOOKUP(A186,'[19]Pivot - Value'!$B$84:$P$257,15,FALSE)</f>
        <v>1147723.08</v>
      </c>
    </row>
    <row r="188" spans="1:8" ht="15" customHeight="1">
      <c r="A188" s="181"/>
      <c r="B188" s="160" t="s">
        <v>474</v>
      </c>
      <c r="E188" s="163">
        <f t="shared" ref="E188" si="10">SUM(E186:E187)</f>
        <v>1147723.08</v>
      </c>
    </row>
    <row r="189" spans="1:8" ht="15" customHeight="1">
      <c r="A189" s="181"/>
      <c r="B189" s="160"/>
      <c r="E189" s="196"/>
    </row>
    <row r="190" spans="1:8" s="145" customFormat="1" ht="15" customHeight="1">
      <c r="A190" s="162" t="s">
        <v>475</v>
      </c>
      <c r="B190" s="162" t="s">
        <v>475</v>
      </c>
      <c r="C190" s="156"/>
      <c r="D190" s="156"/>
      <c r="E190" s="153"/>
      <c r="F190" s="152"/>
      <c r="G190" s="153"/>
      <c r="H190" s="253"/>
    </row>
    <row r="191" spans="1:8" s="145" customFormat="1" ht="15" customHeight="1">
      <c r="A191" s="252" t="s">
        <v>476</v>
      </c>
      <c r="B191" s="252" t="s">
        <v>477</v>
      </c>
      <c r="C191" s="156"/>
      <c r="D191" s="156"/>
      <c r="E191" s="153">
        <f>VLOOKUP(A191,'[19]Pivot - Value'!$B$84:$P$257,15,FALSE)</f>
        <v>-2160.9</v>
      </c>
      <c r="F191" s="152"/>
      <c r="G191" s="153"/>
      <c r="H191" s="253"/>
    </row>
    <row r="192" spans="1:8" s="145" customFormat="1" ht="15" customHeight="1">
      <c r="A192" s="252" t="s">
        <v>478</v>
      </c>
      <c r="B192" s="252" t="s">
        <v>479</v>
      </c>
      <c r="C192" s="156">
        <v>1</v>
      </c>
      <c r="D192" s="156"/>
      <c r="E192" s="153">
        <f>VLOOKUP(A192,'[19]Pivot - Value'!$B$84:$P$257,15,FALSE)</f>
        <v>28133.63</v>
      </c>
      <c r="F192" s="152"/>
      <c r="G192" s="153">
        <f t="shared" ref="G192:G193" si="11">E192/C192</f>
        <v>28133.63</v>
      </c>
      <c r="H192" s="157">
        <f t="shared" ref="H192:H193" si="12">SUM(G192:G192)/12</f>
        <v>2344.4691666666668</v>
      </c>
    </row>
    <row r="193" spans="1:8" s="145" customFormat="1" ht="15" customHeight="1">
      <c r="A193" s="252" t="s">
        <v>480</v>
      </c>
      <c r="B193" s="252" t="s">
        <v>481</v>
      </c>
      <c r="C193" s="156">
        <f>VLOOKUP(A193,'[19]Reg Rates'!$B$4:$D$998,3,FALSE)</f>
        <v>11.07</v>
      </c>
      <c r="D193" s="156"/>
      <c r="E193" s="153">
        <f>VLOOKUP(A193,'[19]Pivot - Value'!$B$84:$P$257,15,FALSE)</f>
        <v>420.24</v>
      </c>
      <c r="F193" s="152"/>
      <c r="G193" s="153">
        <f t="shared" si="11"/>
        <v>37.962059620596207</v>
      </c>
      <c r="H193" s="157">
        <f t="shared" si="12"/>
        <v>3.1635049683830174</v>
      </c>
    </row>
    <row r="194" spans="1:8" s="145" customFormat="1" ht="15" customHeight="1">
      <c r="A194" s="161"/>
      <c r="B194" s="161"/>
      <c r="C194" s="156"/>
      <c r="D194" s="156"/>
      <c r="E194" s="153"/>
      <c r="F194" s="152"/>
      <c r="G194" s="153"/>
      <c r="H194" s="253"/>
    </row>
    <row r="195" spans="1:8" s="145" customFormat="1" ht="15" customHeight="1">
      <c r="A195" s="181"/>
      <c r="B195" s="160" t="s">
        <v>482</v>
      </c>
      <c r="C195" s="156"/>
      <c r="D195" s="156"/>
      <c r="E195" s="163">
        <f>SUM(E191:E194)</f>
        <v>26392.97</v>
      </c>
      <c r="F195" s="152"/>
      <c r="G195" s="153"/>
      <c r="H195" s="253"/>
    </row>
    <row r="196" spans="1:8" ht="15" customHeight="1">
      <c r="A196" s="181"/>
      <c r="B196" s="160"/>
    </row>
    <row r="197" spans="1:8" ht="15" customHeight="1">
      <c r="A197" s="180"/>
      <c r="B197" s="195" t="s">
        <v>483</v>
      </c>
      <c r="E197" s="163">
        <f>SUM(E43,E48,E53,E151,E183,E188,E195)</f>
        <v>9015855.8450000044</v>
      </c>
    </row>
    <row r="198" spans="1:8" ht="15" customHeight="1">
      <c r="A198" s="180"/>
      <c r="B198" s="195"/>
      <c r="E198" s="196"/>
    </row>
    <row r="199" spans="1:8" ht="15" customHeight="1">
      <c r="A199" s="180"/>
      <c r="B199" s="195"/>
      <c r="E199" s="196"/>
    </row>
    <row r="200" spans="1:8" ht="15" customHeight="1">
      <c r="A200" s="180"/>
      <c r="B200" s="180"/>
    </row>
    <row r="201" spans="1:8" ht="15" customHeight="1">
      <c r="B201" s="197" t="s">
        <v>484</v>
      </c>
      <c r="E201" s="198" t="s">
        <v>87</v>
      </c>
    </row>
    <row r="202" spans="1:8" ht="15" customHeight="1">
      <c r="B202" s="199" t="s">
        <v>14</v>
      </c>
      <c r="E202" s="193">
        <f>E43</f>
        <v>1445538.0449999999</v>
      </c>
    </row>
    <row r="203" spans="1:8" ht="15" customHeight="1">
      <c r="B203" s="199" t="s">
        <v>15</v>
      </c>
      <c r="E203" s="193">
        <f>E151</f>
        <v>4486093.2600000026</v>
      </c>
    </row>
    <row r="204" spans="1:8" ht="15" customHeight="1">
      <c r="B204" s="199" t="s">
        <v>485</v>
      </c>
      <c r="E204" s="193">
        <f>E183</f>
        <v>1586084.3299999998</v>
      </c>
    </row>
    <row r="205" spans="1:8" ht="15" customHeight="1">
      <c r="B205" s="199" t="s">
        <v>486</v>
      </c>
      <c r="E205" s="193">
        <f>E195</f>
        <v>26392.97</v>
      </c>
    </row>
    <row r="206" spans="1:8" ht="15" customHeight="1">
      <c r="B206" s="199" t="s">
        <v>17</v>
      </c>
      <c r="E206" s="193">
        <f>SUM(E202:E205)</f>
        <v>7544108.6050000023</v>
      </c>
    </row>
    <row r="207" spans="1:8" ht="15" customHeight="1">
      <c r="B207" s="199" t="s">
        <v>487</v>
      </c>
      <c r="E207" s="193">
        <f>E191+E192+E179+E147+E40</f>
        <v>48929.26</v>
      </c>
    </row>
    <row r="208" spans="1:8" ht="15" customHeight="1">
      <c r="E208" s="200">
        <f>E206-E207</f>
        <v>7495179.3450000025</v>
      </c>
    </row>
    <row r="209" spans="2:7" ht="15" customHeight="1">
      <c r="G209" s="159"/>
    </row>
    <row r="210" spans="2:7" ht="15" customHeight="1">
      <c r="B210" s="199" t="s">
        <v>10</v>
      </c>
      <c r="C210" s="199" t="s">
        <v>122</v>
      </c>
      <c r="E210" s="200">
        <f>E208*I2</f>
        <v>0</v>
      </c>
      <c r="G210" s="159"/>
    </row>
    <row r="212" spans="2:7" ht="15" customHeight="1">
      <c r="B212" s="199" t="s">
        <v>159</v>
      </c>
      <c r="E212" s="193">
        <f>E48</f>
        <v>252168.97999999998</v>
      </c>
    </row>
    <row r="214" spans="2:7" ht="15" customHeight="1">
      <c r="B214" s="199" t="s">
        <v>10</v>
      </c>
      <c r="C214" s="199" t="s">
        <v>122</v>
      </c>
      <c r="E214" s="200">
        <f>E212*I3</f>
        <v>0</v>
      </c>
    </row>
    <row r="216" spans="2:7" ht="15" customHeight="1">
      <c r="B216" s="199" t="s">
        <v>162</v>
      </c>
      <c r="E216" s="193">
        <f>E53</f>
        <v>71855.179999999993</v>
      </c>
    </row>
    <row r="218" spans="2:7" ht="15" customHeight="1">
      <c r="B218" s="199" t="s">
        <v>10</v>
      </c>
      <c r="C218" s="199" t="s">
        <v>122</v>
      </c>
      <c r="E218" s="200">
        <f>E216*I4</f>
        <v>0</v>
      </c>
    </row>
  </sheetData>
  <mergeCells count="1">
    <mergeCell ref="A4:H4"/>
  </mergeCells>
  <printOptions horizontalCentered="1"/>
  <pageMargins left="0.7" right="0.7" top="0.75" bottom="0.75" header="0.3" footer="0.3"/>
  <pageSetup scale="82" fitToHeight="0" orientation="portrait" r:id="rId1"/>
  <headerFooter>
    <oddFooter>&amp;L&amp;F - &amp;A&amp;R&amp;P of &amp;N</oddFooter>
  </headerFooter>
  <rowBreaks count="3" manualBreakCount="3">
    <brk id="54" max="7" man="1"/>
    <brk id="103" max="7" man="1"/>
    <brk id="152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9885AC231413246B960DA8D3436436C" ma:contentTypeVersion="96" ma:contentTypeDescription="" ma:contentTypeScope="" ma:versionID="8106432f41928e7264237f9c082f538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2016-12-15T08:00:00+00:00</OpenedDate>
    <Date1 xmlns="dc463f71-b30c-4ab2-9473-d307f9d35888">2016-12-15T08:00:00+00:00</Date1>
    <IsDocumentOrder xmlns="dc463f71-b30c-4ab2-9473-d307f9d35888" xsi:nil="true"/>
    <IsHighlyConfidential xmlns="dc463f71-b30c-4ab2-9473-d307f9d35888">false</IsHighlyConfidential>
    <CaseCompanyNames xmlns="dc463f71-b30c-4ab2-9473-d307f9d35888">YAKIMA WASTE SYSTEMS, INC.</CaseCompanyNames>
    <DocketNumber xmlns="dc463f71-b30c-4ab2-9473-d307f9d35888">161289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0B41906-CE99-47AA-8C3B-00EA0CE63F0A}"/>
</file>

<file path=customXml/itemProps2.xml><?xml version="1.0" encoding="utf-8"?>
<ds:datastoreItem xmlns:ds="http://schemas.openxmlformats.org/officeDocument/2006/customXml" ds:itemID="{0156DE1A-E9F0-4560-B847-CDEE8036FF1E}"/>
</file>

<file path=customXml/itemProps3.xml><?xml version="1.0" encoding="utf-8"?>
<ds:datastoreItem xmlns:ds="http://schemas.openxmlformats.org/officeDocument/2006/customXml" ds:itemID="{9492E9C1-4FFD-4FDB-8958-358A75BDCA88}"/>
</file>

<file path=customXml/itemProps4.xml><?xml version="1.0" encoding="utf-8"?>
<ds:datastoreItem xmlns:ds="http://schemas.openxmlformats.org/officeDocument/2006/customXml" ds:itemID="{410C9EFC-9925-45A6-8F9A-86DE2A39AE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References</vt:lpstr>
      <vt:lpstr>DF Calcs</vt:lpstr>
      <vt:lpstr>Proposed Rates</vt:lpstr>
      <vt:lpstr>Disposal Schedule</vt:lpstr>
      <vt:lpstr>Regulated Co Provided Priceout</vt:lpstr>
      <vt:lpstr>'DF Calcs'!Print_Area</vt:lpstr>
      <vt:lpstr>'Disposal Schedule'!Print_Area</vt:lpstr>
      <vt:lpstr>'Regulated Co Provided Priceout'!Print_Area</vt:lpstr>
      <vt:lpstr>'Proposed Rates'!Print_Titles</vt:lpstr>
      <vt:lpstr>'Regulated Co Provided Priceout'!Print_Titles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Young</dc:creator>
  <cp:lastModifiedBy>Ben Thompson</cp:lastModifiedBy>
  <cp:lastPrinted>2016-12-15T22:05:01Z</cp:lastPrinted>
  <dcterms:created xsi:type="dcterms:W3CDTF">2013-10-29T22:33:54Z</dcterms:created>
  <dcterms:modified xsi:type="dcterms:W3CDTF">2016-12-15T22:07:33Z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0x0101006E56B4D1795A2E4DB2F0B01679ED314A00F9885AC231413246B960DA8D3436436C</vt:lpwstr>
  </property>
  <property fmtid="{D5CDD505-2E9C-101B-9397-08002B2CF9AE}" pid="3" name="_docset_NoMedatataSyncRequired">
    <vt:lpwstr>False</vt:lpwstr>
  </property>
</Properties>
</file>