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75" yWindow="-105" windowWidth="12120" windowHeight="9120"/>
  </bookViews>
  <sheets>
    <sheet name="Rate Calculation" sheetId="1" r:id="rId1"/>
    <sheet name="SAC" sheetId="2" r:id="rId2"/>
    <sheet name="Dose Rate" sheetId="3" r:id="rId3"/>
  </sheets>
  <definedNames>
    <definedName name="Allocators1997">'Rate Calculation'!#REF!</definedName>
    <definedName name="_xlnm.Print_Area" localSheetId="2">'Dose Rate'!$A$1:$H$16</definedName>
    <definedName name="_xlnm.Print_Area" localSheetId="0">'Rate Calculation'!$A$1:$N$50</definedName>
    <definedName name="_xlnm.Print_Area" localSheetId="1">SAC!$A$1:$I$32</definedName>
    <definedName name="RevReq1997">'Rate Calculation'!#REF!</definedName>
  </definedNames>
  <calcPr calcId="152511"/>
</workbook>
</file>

<file path=xl/calcChain.xml><?xml version="1.0" encoding="utf-8"?>
<calcChain xmlns="http://schemas.openxmlformats.org/spreadsheetml/2006/main">
  <c r="B3" i="3" l="1"/>
  <c r="F10" i="2"/>
  <c r="G10" i="2" s="1"/>
  <c r="I10" i="2" s="1"/>
  <c r="C22" i="2"/>
  <c r="B4" i="2"/>
  <c r="F13" i="1"/>
  <c r="F30" i="1" l="1"/>
  <c r="C5" i="2" s="1"/>
  <c r="C6" i="2" s="1"/>
  <c r="I20" i="2"/>
  <c r="I21" i="2"/>
  <c r="H9" i="1"/>
  <c r="H10" i="1" s="1"/>
  <c r="F14" i="1"/>
  <c r="F15" i="1" s="1"/>
  <c r="L8" i="1"/>
  <c r="L9" i="1" s="1"/>
  <c r="L10" i="1" s="1"/>
  <c r="H21" i="2"/>
  <c r="E21" i="2"/>
  <c r="E20" i="2"/>
  <c r="E19" i="2"/>
  <c r="E18" i="2"/>
  <c r="E17" i="2"/>
  <c r="E16" i="2"/>
  <c r="E15" i="2"/>
  <c r="E14" i="2"/>
  <c r="E13" i="2"/>
  <c r="E12" i="2"/>
  <c r="E11" i="2"/>
  <c r="A5" i="2"/>
  <c r="A6" i="2"/>
  <c r="F25" i="1"/>
  <c r="N26" i="1" s="1"/>
  <c r="G8" i="3"/>
  <c r="G9" i="3"/>
  <c r="G10" i="3"/>
  <c r="G11" i="3"/>
  <c r="A6" i="1"/>
  <c r="A7" i="1" s="1"/>
  <c r="A8" i="1" s="1"/>
  <c r="L37" i="1"/>
  <c r="K37" i="1"/>
  <c r="J37" i="1"/>
  <c r="I37" i="1"/>
  <c r="I8" i="1"/>
  <c r="I9" i="1" s="1"/>
  <c r="J8" i="1"/>
  <c r="J9" i="1" s="1"/>
  <c r="J10" i="1" s="1"/>
  <c r="K8" i="1"/>
  <c r="K9" i="1" s="1"/>
  <c r="K10" i="1" s="1"/>
  <c r="K44" i="1"/>
  <c r="J44" i="1"/>
  <c r="I44" i="1"/>
  <c r="N37" i="1"/>
  <c r="N33" i="1"/>
  <c r="N5" i="1"/>
  <c r="N6" i="1"/>
  <c r="N7" i="1"/>
  <c r="D8" i="1"/>
  <c r="N16" i="1"/>
  <c r="H7" i="3"/>
  <c r="E8" i="3"/>
  <c r="H8" i="3"/>
  <c r="E9" i="3"/>
  <c r="H9" i="3"/>
  <c r="E10" i="3"/>
  <c r="H10" i="3"/>
  <c r="E11" i="3"/>
  <c r="H11" i="3"/>
  <c r="C12" i="3"/>
  <c r="H12" i="3" l="1"/>
  <c r="N31" i="1"/>
  <c r="N32" i="1" s="1"/>
  <c r="I34" i="1" s="1"/>
  <c r="D9" i="1"/>
  <c r="A9" i="1"/>
  <c r="F14" i="2"/>
  <c r="G14" i="2" s="1"/>
  <c r="I14" i="2" s="1"/>
  <c r="F11" i="2"/>
  <c r="G11" i="2" s="1"/>
  <c r="F16" i="2"/>
  <c r="G16" i="2" s="1"/>
  <c r="I16" i="2" s="1"/>
  <c r="F21" i="2"/>
  <c r="F12" i="2"/>
  <c r="G12" i="2" s="1"/>
  <c r="I12" i="2" s="1"/>
  <c r="F20" i="2"/>
  <c r="F15" i="2"/>
  <c r="G15" i="2" s="1"/>
  <c r="F13" i="2"/>
  <c r="G13" i="2" s="1"/>
  <c r="I13" i="2" s="1"/>
  <c r="J17" i="1"/>
  <c r="J19" i="1" s="1"/>
  <c r="H17" i="1"/>
  <c r="H18" i="1" s="1"/>
  <c r="K17" i="1"/>
  <c r="K19" i="1" s="1"/>
  <c r="L17" i="1"/>
  <c r="L18" i="1" s="1"/>
  <c r="I17" i="1"/>
  <c r="I11" i="2"/>
  <c r="F17" i="2"/>
  <c r="G17" i="2" s="1"/>
  <c r="F19" i="2"/>
  <c r="G19" i="2" s="1"/>
  <c r="F18" i="2"/>
  <c r="G18" i="2" s="1"/>
  <c r="N8" i="1"/>
  <c r="N9" i="1"/>
  <c r="I10" i="1"/>
  <c r="N10" i="1" s="1"/>
  <c r="K18" i="1"/>
  <c r="J18" i="1"/>
  <c r="L19" i="1"/>
  <c r="J34" i="1" l="1"/>
  <c r="J35" i="1"/>
  <c r="K34" i="1"/>
  <c r="K35" i="1"/>
  <c r="L34" i="1"/>
  <c r="H34" i="1"/>
  <c r="N34" i="1" s="1"/>
  <c r="H19" i="1"/>
  <c r="A10" i="1"/>
  <c r="D10" i="1"/>
  <c r="H13" i="2"/>
  <c r="H12" i="2"/>
  <c r="H14" i="2"/>
  <c r="H16" i="2"/>
  <c r="I15" i="2"/>
  <c r="H15" i="2"/>
  <c r="L35" i="1"/>
  <c r="N17" i="1"/>
  <c r="I17" i="2"/>
  <c r="H17" i="2"/>
  <c r="H18" i="2"/>
  <c r="I18" i="2"/>
  <c r="H20" i="2"/>
  <c r="I19" i="2"/>
  <c r="H19" i="2"/>
  <c r="H11" i="2"/>
  <c r="I18" i="1"/>
  <c r="N18" i="1" s="1"/>
  <c r="I19" i="1"/>
  <c r="I35" i="1" s="1"/>
  <c r="H35" i="1" l="1"/>
  <c r="C4" i="2" s="1"/>
  <c r="A11" i="1"/>
  <c r="A12" i="1" s="1"/>
  <c r="I22" i="2"/>
  <c r="H40" i="1" s="1"/>
  <c r="N19" i="1"/>
  <c r="N35" i="1" l="1"/>
  <c r="A13" i="1"/>
  <c r="A14" i="1" s="1"/>
  <c r="I23" i="2"/>
  <c r="H36" i="1" l="1"/>
  <c r="K38" i="1" s="1"/>
  <c r="K39" i="1" s="1"/>
  <c r="A15" i="1"/>
  <c r="A16" i="1" s="1"/>
  <c r="D15" i="1"/>
  <c r="D14" i="1"/>
  <c r="I38" i="1" l="1"/>
  <c r="I39" i="1" s="1"/>
  <c r="J38" i="1"/>
  <c r="J39" i="1" s="1"/>
  <c r="J45" i="1" s="1"/>
  <c r="J46" i="1" s="1"/>
  <c r="K45" i="1"/>
  <c r="K46" i="1" s="1"/>
  <c r="K40" i="1"/>
  <c r="L38" i="1"/>
  <c r="A17" i="1"/>
  <c r="D17" i="1"/>
  <c r="J40" i="1"/>
  <c r="I40" i="1"/>
  <c r="I45" i="1"/>
  <c r="I46" i="1" s="1"/>
  <c r="L40" i="1" l="1"/>
  <c r="L43" i="1" s="1"/>
  <c r="L39" i="1"/>
  <c r="N38" i="1"/>
  <c r="A18" i="1"/>
  <c r="A19" i="1" s="1"/>
  <c r="D19" i="1"/>
  <c r="D18" i="1"/>
  <c r="N40" i="1"/>
  <c r="C3" i="3" l="1"/>
  <c r="N43" i="1"/>
  <c r="A20" i="1"/>
  <c r="A21" i="1" l="1"/>
  <c r="A22" i="1" s="1"/>
  <c r="A23" i="1" l="1"/>
  <c r="A24" i="1" s="1"/>
  <c r="A25" i="1" s="1"/>
  <c r="A26" i="1" l="1"/>
  <c r="D26" i="1"/>
  <c r="D25" i="1"/>
  <c r="A27" i="1" l="1"/>
  <c r="A28" i="1" s="1"/>
  <c r="A29" i="1" l="1"/>
  <c r="A30" i="1" s="1"/>
  <c r="B5" i="2" l="1"/>
  <c r="A31" i="1"/>
  <c r="D31" i="1"/>
  <c r="D30" i="1"/>
  <c r="A32" i="1" l="1"/>
  <c r="D32" i="1"/>
  <c r="A33" i="1" l="1"/>
  <c r="D34" i="1"/>
  <c r="A34" i="1" l="1"/>
  <c r="D37" i="1"/>
  <c r="A35" i="1" l="1"/>
  <c r="D35" i="1"/>
  <c r="A36" i="1" l="1"/>
  <c r="A37" i="1" l="1"/>
  <c r="A38" i="1" s="1"/>
  <c r="D38" i="1"/>
  <c r="A39" i="1" l="1"/>
  <c r="D39" i="1"/>
  <c r="A40" i="1" l="1"/>
  <c r="A41" i="1" s="1"/>
  <c r="D40" i="1"/>
  <c r="A42" i="1" l="1"/>
  <c r="A43" i="1" s="1"/>
  <c r="A44" i="1" l="1"/>
  <c r="D44" i="1"/>
  <c r="A45" i="1" l="1"/>
  <c r="D45" i="1"/>
  <c r="D46" i="1" l="1"/>
  <c r="A46" i="1"/>
</calcChain>
</file>

<file path=xl/sharedStrings.xml><?xml version="1.0" encoding="utf-8"?>
<sst xmlns="http://schemas.openxmlformats.org/spreadsheetml/2006/main" count="166" uniqueCount="141">
  <si>
    <t>Calculation Sheet 1</t>
  </si>
  <si>
    <t>Rate Components</t>
  </si>
  <si>
    <t>Source or Reference*</t>
  </si>
  <si>
    <t>Preliminary Calculations</t>
  </si>
  <si>
    <t>Site Availability Charge (SAC)</t>
  </si>
  <si>
    <t>Volume</t>
  </si>
  <si>
    <t>Shipments</t>
  </si>
  <si>
    <t>Greater than 1,280 c.f. or 6,400 mR/h†† but less than or equal to 2,560 c.f. and 12,800 mR/h††</t>
  </si>
  <si>
    <t>Greater than 2,560 c.f. or 12,800 mR/h†† but less than or equal to 5,120 c.f. and 25,600 mR/h††</t>
  </si>
  <si>
    <t>Greater than 5,120 c.f. or 25,600 mR/h††</t>
  </si>
  <si>
    <t>Total</t>
  </si>
  <si>
    <t>Calculation Sheet 3</t>
  </si>
  <si>
    <t>Dose Rate at Container Surface</t>
  </si>
  <si>
    <t>Tariff Sheet* Schedule A, B.4</t>
  </si>
  <si>
    <t>Set such that Column 5 will equal Column 3</t>
  </si>
  <si>
    <t>Less than or equal to 200 mR/h</t>
  </si>
  <si>
    <t>Underrecovery to be spread to other rate components pursuant to Settlement* § 2(b)(3), flush language</t>
  </si>
  <si>
    <t>Settlement § 1(c)</t>
  </si>
  <si>
    <t>Settlement § 1(c)(2)</t>
  </si>
  <si>
    <t>Column 1 x Column 4</t>
  </si>
  <si>
    <t>Containers</t>
  </si>
  <si>
    <t>Dose Rate</t>
  </si>
  <si>
    <t>TOTAL</t>
  </si>
  <si>
    <t>Exhibit 1</t>
  </si>
  <si>
    <t>Estimated net end-of-year collection/(refund) due to SAC true-up</t>
  </si>
  <si>
    <t>Exhibit 2</t>
  </si>
  <si>
    <t>Revenue</t>
  </si>
  <si>
    <t>Exhibit 3</t>
  </si>
  <si>
    <t>Expenses</t>
  </si>
  <si>
    <t>Net revenue</t>
  </si>
  <si>
    <t>Generators’ share of NORM/NARM net revenue</t>
  </si>
  <si>
    <t>Generators’ share of net revenue, by rate component</t>
  </si>
  <si>
    <t>Amount to be refunded to generators</t>
  </si>
  <si>
    <t>Greater than zero but less than or equal to 10 c.f. and 50 mR/h††</t>
  </si>
  <si>
    <t>Greater than 10 c.f. or 50 mR/h†† but less than or equal to 20 c.f. and 100 mR/h††</t>
  </si>
  <si>
    <t>Greater than 20 c.f. or 100 mR/h†† but less than or equal to 40 c.f. and 200 mR/h††</t>
  </si>
  <si>
    <t>†† For purposes of determining the Site Availability Charge, R per hour is calculated by summing the R per hour at container surface for all containers received during the year</t>
  </si>
  <si>
    <t>Greater than 40 c.f. or 200 mR/h†† but less than or equal to 80 c.f. and 400 mR/h††</t>
  </si>
  <si>
    <t>Greater than 80 c.f. or 400 mR/h†† but less than or equal to 160 c.f. and 800 mR/h††</t>
  </si>
  <si>
    <t>Greater than 160 c.f. or 800 mR/h†† but less than or equal to 320 c.f. and 1,600 mR/h††</t>
  </si>
  <si>
    <t>Greater than 320 c.f. or 1,600 mR/h†† but less than or equal to 640 c.f. and 3,200 mR/h††</t>
  </si>
  <si>
    <t>Greater than 640 c.f. or 3,200 mR/h†† but less than or equal to 1,280 c.f. and 6,400 mR/h††</t>
  </si>
  <si>
    <t>* “Tariff Sheet” refers to the tariff sheets entitled “US Ecology Washington, Inc., Washington Nuclear Center, Radioactive Waste Disposal,” filed with the Washington</t>
  </si>
  <si>
    <t>Column 1  x  Column 5</t>
  </si>
  <si>
    <t>SAC underrecovery to be allocated to other rate components</t>
  </si>
  <si>
    <t>Calculation Sheet 2</t>
  </si>
  <si>
    <t>Allocators for SAC underrecovery</t>
  </si>
  <si>
    <t>“Safety Margin”</t>
  </si>
  <si>
    <t>Inputs to SAC Calculation</t>
  </si>
  <si>
    <t>Block No.</t>
  </si>
  <si>
    <t>Characteristics for Year</t>
  </si>
  <si>
    <t>Column Number:</t>
  </si>
  <si>
    <t>1</t>
  </si>
  <si>
    <t>2</t>
  </si>
  <si>
    <t>3</t>
  </si>
  <si>
    <t>4</t>
  </si>
  <si>
    <t>5</t>
  </si>
  <si>
    <t>6</t>
  </si>
  <si>
    <t>Source:</t>
  </si>
  <si>
    <t>Division of each block by previous</t>
  </si>
  <si>
    <t>No site use at all</t>
  </si>
  <si>
    <t>US Ecology Washington, Inc.</t>
  </si>
  <si>
    <t>Greater than 200 mR/h but less than or equal to 1,000 mR/h</t>
  </si>
  <si>
    <t>Greater than 1,000 mR/h but less than or equal to 10,000 mR/h</t>
  </si>
  <si>
    <t>Greater than 10,000 mR/h but less than or equal to 100,000 mR/h</t>
  </si>
  <si>
    <t>Greater than 100,000 mR/h</t>
  </si>
  <si>
    <t>Settlement § 2(a)</t>
  </si>
  <si>
    <t>Settlement § 4(a)</t>
  </si>
  <si>
    <t xml:space="preserve">        Utilities and Transportation Commission in Docket No. TL-070848</t>
  </si>
  <si>
    <t xml:space="preserve">   “Settlement” refers to the Settlement Agreement executed as of April 30, 2007 between US Ecology Washington, Inc., and the Settling Parties, accepted by the Washington</t>
  </si>
  <si>
    <t>† Calculated to ensure compliance with the Settlement Agreement executed as of April 30, 2007, between US Ecology Washington, Inc., and the Settling</t>
  </si>
  <si>
    <t xml:space="preserve">        Parties, accepted by the Washington Utilities and Transportation Commission in Docket No. TL-070848, § 2(d)</t>
  </si>
  <si>
    <t>Calculation of revenue requirement not subject to Inflation Index</t>
  </si>
  <si>
    <t>Settlement § 1(a)</t>
  </si>
  <si>
    <t>Depreciation and amortization (including airspace amortization)</t>
  </si>
  <si>
    <t>Results of Operations</t>
  </si>
  <si>
    <t>Rate case expense</t>
  </si>
  <si>
    <t>Leasehold rent and taxes</t>
  </si>
  <si>
    <t>Total portion of revenue requirement not subject to Inflation Index</t>
  </si>
  <si>
    <t>Revenue requirement subject to Inflation Index</t>
  </si>
  <si>
    <t>Calculation of Inflation Index</t>
  </si>
  <si>
    <t>Exhibit 4 (Table 1.1.9 thereon)</t>
  </si>
  <si>
    <t>Inflation Index</t>
  </si>
  <si>
    <t>Revenue requirement subject to Inflation Index, inflated</t>
  </si>
  <si>
    <t xml:space="preserve">   “Results of Operations” refers to the spreadsheet entitled “US Ecology Washington, Inc. / Results of Operations,” filed with the Washington Utilities and Transportation Commission in Docket No. TL-070848</t>
  </si>
  <si>
    <t>Exhibit 5</t>
  </si>
  <si>
    <t>Maximum increase in SAC (Inflation Index x 2; see Settlement* 2(b)(3)(i))</t>
  </si>
  <si>
    <t>Maximum Increase in SAC</t>
  </si>
  <si>
    <t>7</t>
  </si>
  <si>
    <t>Tariff Sheet† Schedule A, A.1</t>
  </si>
  <si>
    <t>Column 2  x  Line 3</t>
  </si>
  <si>
    <t>** Calculated to ensure compliance with Settlement § 2(b)(3)</t>
  </si>
  <si>
    <t xml:space="preserve">        by the Washington Utilities and Transportation Commission in Docket No. TL-070848</t>
  </si>
  <si>
    <t>† “Tariff Sheet” refers to the tariff sheets entitled “US Ecology Washington, Inc., Washington Nuclear Center, Radioactive Waste Disposal,” filed with the Washington Utilities and</t>
  </si>
  <si>
    <t>Column 2 + Column 4 (except block No. 10 &amp; block No. 11; see footnote)</t>
  </si>
  <si>
    <t>* “Settlement” refers to the Settlement Agreement executed as of April 30, 2007 between US Ecology Washington, Inc., and the Settling Parties, accepted</t>
  </si>
  <si>
    <t>Gross domestic product implicit price deflator, 2015 Quarter 3</t>
  </si>
  <si>
    <t>Revenue requirement for 2016, before deferrals from 2015</t>
  </si>
  <si>
    <t>Allocators for 2016</t>
  </si>
  <si>
    <t xml:space="preserve">‡ Checked to ensure compliance with Settlement § 2(b)(3)(ii); the maximum charge for 2016 is $5,200,000 x 0.024 x 1.0217 [the 2009 Inflation Index] x 1.0118 [the 2010 Inflation Index] </t>
  </si>
  <si>
    <t xml:space="preserve">         x 1.0096 [the 2011 Inflation Index] x 1.0213 [the 2012 Inflation Index] x 1.0178 [the 2013 Inflation Index] x 1.0151 [the 2014 Inflation Index] x 1.0146 [the 2015 Inflation Index]</t>
  </si>
  <si>
    <t>2016 Dose Rate Charge</t>
  </si>
  <si>
    <t>Preliminary Calculation of 2017 Rates</t>
  </si>
  <si>
    <t>Revenue requirement by rate component for 2016</t>
  </si>
  <si>
    <t>2016 FCS 1, line 37</t>
  </si>
  <si>
    <t>Revenue collected 2016 January–October</t>
  </si>
  <si>
    <t>Projected revenue for 2016 November and December</t>
  </si>
  <si>
    <t>Projected revenue for 2016</t>
  </si>
  <si>
    <t>Projected revenue surplus/(deficit) for 2016</t>
  </si>
  <si>
    <t>Calculation of 2016 NORM/NARM net revenue</t>
  </si>
  <si>
    <t>Amount to be added to 2017 revenue requirement</t>
  </si>
  <si>
    <t>2016 FCS 1, line 27</t>
  </si>
  <si>
    <t>Gross domestic product implicit price deflator, 2016 Quarter 3</t>
  </si>
  <si>
    <t>Revenue requirement for 2017, before deferrals from 2016</t>
  </si>
  <si>
    <t>Allocators for 2017</t>
  </si>
  <si>
    <t>Allocated revenue requirement for 2017, before deferrals from 2016</t>
  </si>
  <si>
    <t>Allocated revenue requirement for 2017, including deferrals from 2016</t>
  </si>
  <si>
    <t>Allocated SAC underrecovery for 2017</t>
  </si>
  <si>
    <t>Allocated revenue requirement for 2017, including SAC reallocation</t>
  </si>
  <si>
    <t>Revenue requirement for 2017</t>
  </si>
  <si>
    <t>Projections for 2017</t>
  </si>
  <si>
    <t>Dose rate revenue requirement for 2017</t>
  </si>
  <si>
    <t>Billing determinants for 2017 rates</t>
  </si>
  <si>
    <t>Rates for 2017, before rounding</t>
  </si>
  <si>
    <t>Rates for 2017, rounded</t>
  </si>
  <si>
    <t>Preliminary Calculation of 2017 Site Availability Charge (SAC)</t>
  </si>
  <si>
    <t>2017 Projected Generators in Block</t>
  </si>
  <si>
    <t>2016 SAC</t>
  </si>
  <si>
    <t>Ratio of Each 2016 Block Charge to that of the Previous Block</t>
  </si>
  <si>
    <t>2017 SAC (2016 SAC plus Maximum Increase)‡</t>
  </si>
  <si>
    <t>Ratio of Each 2017 Block Charge to that of the Previous Block**</t>
  </si>
  <si>
    <t>2017 Projected Revenues from SAC</t>
  </si>
  <si>
    <t xml:space="preserve">         x 1.0100 [the 2016 Inflation Index] x 1.0129 or $142,656 for 2017.  Block No. 10 and Block No. 11 are affected by this provision in 2017</t>
  </si>
  <si>
    <t>* “2016 FCS” refers to US Ecology Washington, Inc., “Final Calculation of 2016 Rates, Calculation Sheet,” filed with the Washington Utilities and Transportation Commission in Docket No. TL-160385</t>
  </si>
  <si>
    <t>Preliminary Calculation of 2017 Dose Rate Charge</t>
  </si>
  <si>
    <t>2017 Projected Containers in Block</t>
  </si>
  <si>
    <t>2017 Dose Rate Charge</t>
  </si>
  <si>
    <t>Ratio of Each 2017 Block Charge to that of the Previous Block†</t>
  </si>
  <si>
    <t>2017 Projected Revenues from Dose Rate Charge</t>
  </si>
  <si>
    <t xml:space="preserve">        Utilities and Transportation Commission in Docket No. TL-160385</t>
  </si>
  <si>
    <t xml:space="preserve">        Transportation Commission in Docket No. TL-160385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</si>
</sst>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_);_(&quot;$&quot;* \(#,##0\);_(&quot;$&quot;* &quot;-&quot;??_);_(@_)"/>
    <numFmt numFmtId="166" formatCode="_(* #,##0.0_);_(* \(#,##0.0\);_(* &quot;-&quot;??_);_(@_)"/>
    <numFmt numFmtId="167" formatCode="_(* #,##0_);_(* \(#,##0\);_(* &quot;-&quot;??_);_(@_)"/>
    <numFmt numFmtId="168" formatCode="0.\ "/>
    <numFmt numFmtId="169" formatCode="_(* #,##0_);_(* \(#,##0\);_(* &quot;—&quot;___);_(@_)"/>
    <numFmt numFmtId="170" formatCode="#,##0.0_);\(#,##0.0\)"/>
    <numFmt numFmtId="171" formatCode="_(* #,##0.000_);_(* \(#,##0.000\);_(* &quot;-&quot;??_);_(@_)"/>
  </numFmts>
  <fonts count="11" x14ac:knownFonts="1">
    <font>
      <sz val="10"/>
      <name val="Helv"/>
    </font>
    <font>
      <sz val="10"/>
      <name val="Helv"/>
    </font>
    <font>
      <b/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1" xfId="0" quotePrefix="1" applyFont="1" applyBorder="1" applyAlignment="1">
      <alignment horizontal="left"/>
    </xf>
    <xf numFmtId="0" fontId="3" fillId="0" borderId="1" xfId="0" applyFont="1" applyBorder="1"/>
    <xf numFmtId="0" fontId="3" fillId="0" borderId="0" xfId="0" quotePrefix="1" applyFont="1" applyAlignment="1">
      <alignment horizontal="left"/>
    </xf>
    <xf numFmtId="0" fontId="4" fillId="0" borderId="2" xfId="0" applyFont="1" applyBorder="1" applyAlignment="1">
      <alignment horizontal="centerContinuous" wrapText="1"/>
    </xf>
    <xf numFmtId="0" fontId="3" fillId="0" borderId="2" xfId="0" applyFont="1" applyBorder="1" applyAlignment="1">
      <alignment horizontal="centerContinuous"/>
    </xf>
    <xf numFmtId="0" fontId="5" fillId="0" borderId="2" xfId="0" applyFont="1" applyBorder="1" applyAlignment="1">
      <alignment horizontal="centerContinuous"/>
    </xf>
    <xf numFmtId="0" fontId="4" fillId="0" borderId="3" xfId="0" quotePrefix="1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168" fontId="3" fillId="0" borderId="0" xfId="0" applyNumberFormat="1" applyFont="1"/>
    <xf numFmtId="164" fontId="3" fillId="0" borderId="0" xfId="0" applyNumberFormat="1" applyFont="1"/>
    <xf numFmtId="165" fontId="3" fillId="0" borderId="0" xfId="2" applyNumberFormat="1" applyFont="1"/>
    <xf numFmtId="0" fontId="3" fillId="0" borderId="0" xfId="0" quotePrefix="1" applyFont="1" applyAlignment="1"/>
    <xf numFmtId="167" fontId="3" fillId="0" borderId="0" xfId="1" applyNumberFormat="1" applyFont="1"/>
    <xf numFmtId="167" fontId="3" fillId="0" borderId="0" xfId="0" applyNumberFormat="1" applyFont="1"/>
    <xf numFmtId="167" fontId="3" fillId="0" borderId="2" xfId="0" applyNumberFormat="1" applyFont="1" applyBorder="1"/>
    <xf numFmtId="167" fontId="3" fillId="0" borderId="0" xfId="0" applyNumberFormat="1" applyFont="1" applyBorder="1"/>
    <xf numFmtId="165" fontId="3" fillId="0" borderId="0" xfId="0" applyNumberFormat="1" applyFont="1"/>
    <xf numFmtId="0" fontId="3" fillId="0" borderId="0" xfId="0" applyFont="1" applyAlignment="1">
      <alignment horizontal="left"/>
    </xf>
    <xf numFmtId="43" fontId="3" fillId="0" borderId="0" xfId="1" applyFont="1"/>
    <xf numFmtId="0" fontId="3" fillId="0" borderId="0" xfId="0" applyFont="1" applyAlignment="1"/>
    <xf numFmtId="9" fontId="3" fillId="0" borderId="0" xfId="3" applyFont="1"/>
    <xf numFmtId="44" fontId="3" fillId="0" borderId="0" xfId="2" applyFont="1"/>
    <xf numFmtId="0" fontId="2" fillId="0" borderId="0" xfId="0" applyFont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6" fillId="0" borderId="3" xfId="0" quotePrefix="1" applyFont="1" applyBorder="1" applyAlignment="1">
      <alignment horizontal="left"/>
    </xf>
    <xf numFmtId="0" fontId="6" fillId="0" borderId="3" xfId="0" applyFont="1" applyBorder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3" fillId="0" borderId="0" xfId="0" quotePrefix="1" applyFont="1" applyBorder="1" applyAlignment="1">
      <alignment horizontal="left"/>
    </xf>
    <xf numFmtId="42" fontId="3" fillId="0" borderId="0" xfId="0" applyNumberFormat="1" applyFont="1" applyBorder="1" applyAlignment="1"/>
    <xf numFmtId="0" fontId="3" fillId="0" borderId="0" xfId="0" applyFont="1" applyBorder="1" applyAlignment="1"/>
    <xf numFmtId="170" fontId="3" fillId="0" borderId="0" xfId="0" applyNumberFormat="1" applyFont="1" applyBorder="1" applyAlignment="1"/>
    <xf numFmtId="169" fontId="4" fillId="0" borderId="3" xfId="0" quotePrefix="1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5" fillId="0" borderId="0" xfId="0" quotePrefix="1" applyFont="1" applyBorder="1" applyAlignment="1">
      <alignment horizontal="right" vertical="center"/>
    </xf>
    <xf numFmtId="169" fontId="7" fillId="0" borderId="0" xfId="0" quotePrefix="1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quotePrefix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65" fontId="3" fillId="0" borderId="0" xfId="2" applyNumberFormat="1" applyFont="1" applyAlignment="1"/>
    <xf numFmtId="166" fontId="3" fillId="0" borderId="0" xfId="1" applyNumberFormat="1" applyFont="1" applyAlignment="1"/>
    <xf numFmtId="167" fontId="3" fillId="0" borderId="0" xfId="1" applyNumberFormat="1" applyFont="1" applyAlignment="1"/>
    <xf numFmtId="43" fontId="3" fillId="0" borderId="0" xfId="1" applyNumberFormat="1" applyFont="1" applyAlignment="1"/>
    <xf numFmtId="37" fontId="3" fillId="0" borderId="0" xfId="0" applyNumberFormat="1" applyFont="1" applyBorder="1" applyAlignment="1"/>
    <xf numFmtId="167" fontId="3" fillId="0" borderId="2" xfId="1" applyNumberFormat="1" applyFont="1" applyBorder="1" applyAlignment="1"/>
    <xf numFmtId="37" fontId="3" fillId="0" borderId="4" xfId="0" applyNumberFormat="1" applyFont="1" applyBorder="1" applyAlignment="1"/>
    <xf numFmtId="42" fontId="3" fillId="0" borderId="4" xfId="0" applyNumberFormat="1" applyFont="1" applyBorder="1" applyAlignment="1"/>
    <xf numFmtId="0" fontId="8" fillId="0" borderId="0" xfId="0" applyFont="1" applyAlignment="1"/>
    <xf numFmtId="170" fontId="3" fillId="0" borderId="0" xfId="0" applyNumberFormat="1" applyFont="1" applyAlignment="1"/>
    <xf numFmtId="42" fontId="3" fillId="0" borderId="0" xfId="0" applyNumberFormat="1" applyFont="1" applyAlignment="1"/>
    <xf numFmtId="0" fontId="2" fillId="0" borderId="0" xfId="0" applyFont="1" applyBorder="1" applyAlignment="1">
      <alignment horizontal="centerContinuous"/>
    </xf>
    <xf numFmtId="0" fontId="4" fillId="0" borderId="3" xfId="0" applyFont="1" applyBorder="1" applyAlignment="1">
      <alignment horizontal="left"/>
    </xf>
    <xf numFmtId="37" fontId="3" fillId="0" borderId="0" xfId="0" applyNumberFormat="1" applyFont="1"/>
    <xf numFmtId="42" fontId="3" fillId="0" borderId="0" xfId="0" applyNumberFormat="1" applyFont="1"/>
    <xf numFmtId="37" fontId="3" fillId="0" borderId="2" xfId="0" applyNumberFormat="1" applyFont="1" applyBorder="1"/>
    <xf numFmtId="37" fontId="3" fillId="0" borderId="4" xfId="0" applyNumberFormat="1" applyFont="1" applyBorder="1"/>
    <xf numFmtId="42" fontId="3" fillId="0" borderId="4" xfId="0" applyNumberFormat="1" applyFont="1" applyBorder="1"/>
    <xf numFmtId="42" fontId="3" fillId="0" borderId="0" xfId="3" applyNumberFormat="1" applyFont="1"/>
    <xf numFmtId="0" fontId="9" fillId="0" borderId="0" xfId="0" applyFont="1"/>
    <xf numFmtId="10" fontId="3" fillId="0" borderId="0" xfId="3" applyNumberFormat="1" applyFont="1"/>
    <xf numFmtId="0" fontId="10" fillId="0" borderId="0" xfId="0" quotePrefix="1" applyFont="1" applyAlignment="1">
      <alignment horizontal="left"/>
    </xf>
    <xf numFmtId="10" fontId="3" fillId="0" borderId="0" xfId="0" applyNumberFormat="1" applyFont="1" applyBorder="1" applyAlignment="1"/>
    <xf numFmtId="10" fontId="3" fillId="0" borderId="0" xfId="3" applyNumberFormat="1" applyFont="1" applyBorder="1" applyAlignment="1"/>
    <xf numFmtId="167" fontId="10" fillId="0" borderId="0" xfId="1" applyNumberFormat="1" applyFont="1"/>
    <xf numFmtId="171" fontId="3" fillId="0" borderId="0" xfId="1" applyNumberFormat="1" applyFont="1"/>
    <xf numFmtId="37" fontId="3" fillId="0" borderId="0" xfId="0" applyNumberFormat="1" applyFont="1" applyAlignment="1"/>
    <xf numFmtId="37" fontId="3" fillId="0" borderId="2" xfId="0" applyNumberFormat="1" applyFont="1" applyBorder="1" applyAlignme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showGridLines="0" tabSelected="1" workbookViewId="0">
      <selection activeCell="I41" sqref="I41"/>
    </sheetView>
  </sheetViews>
  <sheetFormatPr defaultRowHeight="12.75" x14ac:dyDescent="0.2"/>
  <cols>
    <col min="1" max="1" width="5" style="2" customWidth="1"/>
    <col min="2" max="2" width="2" style="2" customWidth="1"/>
    <col min="3" max="3" width="61.7109375" style="2" customWidth="1"/>
    <col min="4" max="4" width="28.7109375" style="2" customWidth="1"/>
    <col min="5" max="5" width="2" style="2" customWidth="1"/>
    <col min="6" max="6" width="11.7109375" style="2" customWidth="1"/>
    <col min="7" max="7" width="2" style="2" customWidth="1"/>
    <col min="8" max="8" width="12.42578125" style="2" customWidth="1"/>
    <col min="9" max="12" width="11.7109375" style="2" customWidth="1"/>
    <col min="13" max="13" width="2" style="2" customWidth="1"/>
    <col min="14" max="14" width="11.7109375" style="2" customWidth="1"/>
    <col min="15" max="16384" width="9.140625" style="2"/>
  </cols>
  <sheetData>
    <row r="1" spans="1:14" ht="15.75" x14ac:dyDescent="0.25">
      <c r="A1" s="1" t="s">
        <v>61</v>
      </c>
      <c r="N1" s="3" t="s">
        <v>0</v>
      </c>
    </row>
    <row r="2" spans="1:14" ht="16.5" thickBot="1" x14ac:dyDescent="0.3">
      <c r="A2" s="4" t="s">
        <v>102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36" customHeight="1" thickTop="1" x14ac:dyDescent="0.2">
      <c r="A3" s="6"/>
      <c r="B3" s="6"/>
      <c r="C3" s="6"/>
      <c r="D3" s="6"/>
      <c r="E3" s="6"/>
      <c r="H3" s="7" t="s">
        <v>1</v>
      </c>
      <c r="I3" s="8"/>
      <c r="J3" s="8"/>
      <c r="K3" s="8"/>
      <c r="L3" s="8"/>
      <c r="M3" s="8"/>
      <c r="N3" s="9"/>
    </row>
    <row r="4" spans="1:14" ht="30" customHeight="1" thickBot="1" x14ac:dyDescent="0.25">
      <c r="A4" s="6"/>
      <c r="B4" s="6"/>
      <c r="C4" s="6"/>
      <c r="D4" s="10" t="s">
        <v>2</v>
      </c>
      <c r="F4" s="10" t="s">
        <v>3</v>
      </c>
      <c r="H4" s="10" t="s">
        <v>4</v>
      </c>
      <c r="I4" s="11" t="s">
        <v>5</v>
      </c>
      <c r="J4" s="11" t="s">
        <v>6</v>
      </c>
      <c r="K4" s="11" t="s">
        <v>20</v>
      </c>
      <c r="L4" s="11" t="s">
        <v>21</v>
      </c>
      <c r="N4" s="11" t="s">
        <v>22</v>
      </c>
    </row>
    <row r="5" spans="1:14" ht="15.75" customHeight="1" x14ac:dyDescent="0.2">
      <c r="A5" s="12">
        <v>1</v>
      </c>
      <c r="B5" s="6" t="s">
        <v>103</v>
      </c>
      <c r="D5" s="6" t="s">
        <v>104</v>
      </c>
      <c r="H5" s="16">
        <v>587957</v>
      </c>
      <c r="I5" s="16">
        <v>2106280</v>
      </c>
      <c r="J5" s="16">
        <v>713202</v>
      </c>
      <c r="K5" s="16">
        <v>1433070</v>
      </c>
      <c r="L5" s="16">
        <v>1048875</v>
      </c>
      <c r="M5" s="14"/>
      <c r="N5" s="16">
        <f t="shared" ref="N5:N19" si="0">SUM(H5:L5)</f>
        <v>5889384</v>
      </c>
    </row>
    <row r="6" spans="1:14" ht="14.1" customHeight="1" x14ac:dyDescent="0.2">
      <c r="A6" s="12">
        <f t="shared" ref="A6:A32" si="1">A5+1</f>
        <v>2</v>
      </c>
      <c r="B6" s="6" t="s">
        <v>105</v>
      </c>
      <c r="D6" s="2" t="s">
        <v>23</v>
      </c>
      <c r="H6" s="68">
        <v>593317</v>
      </c>
      <c r="I6" s="68">
        <v>1632634</v>
      </c>
      <c r="J6" s="68">
        <v>492240</v>
      </c>
      <c r="K6" s="68">
        <v>978500</v>
      </c>
      <c r="L6" s="68">
        <v>941802</v>
      </c>
      <c r="M6" s="16"/>
      <c r="N6" s="16">
        <f>SUM(H6:L6)</f>
        <v>4638493</v>
      </c>
    </row>
    <row r="7" spans="1:14" ht="14.1" customHeight="1" x14ac:dyDescent="0.2">
      <c r="A7" s="12">
        <f t="shared" si="1"/>
        <v>3</v>
      </c>
      <c r="B7" s="6" t="s">
        <v>24</v>
      </c>
      <c r="D7" s="2" t="s">
        <v>25</v>
      </c>
      <c r="H7" s="16">
        <v>-74036</v>
      </c>
      <c r="N7" s="16">
        <f t="shared" si="0"/>
        <v>-74036</v>
      </c>
    </row>
    <row r="8" spans="1:14" ht="14.1" customHeight="1" x14ac:dyDescent="0.2">
      <c r="A8" s="12">
        <f t="shared" si="1"/>
        <v>4</v>
      </c>
      <c r="B8" s="6" t="s">
        <v>106</v>
      </c>
      <c r="D8" s="15" t="str">
        <f>"(Line "&amp;TEXT(A6,"#")&amp;" ÷ 10 ) x 2"</f>
        <v>(Line 2 ÷ 10 ) x 2</v>
      </c>
      <c r="I8" s="16">
        <f>(I6/10)*2</f>
        <v>326526.8</v>
      </c>
      <c r="J8" s="16">
        <f>(J6/10)*2</f>
        <v>98448</v>
      </c>
      <c r="K8" s="16">
        <f>(K6/10)*2</f>
        <v>195700</v>
      </c>
      <c r="L8" s="16">
        <f>(L6/10)*2</f>
        <v>188360.4</v>
      </c>
      <c r="M8" s="16"/>
      <c r="N8" s="16">
        <f t="shared" si="0"/>
        <v>809035.20000000007</v>
      </c>
    </row>
    <row r="9" spans="1:14" ht="14.1" customHeight="1" x14ac:dyDescent="0.2">
      <c r="A9" s="12">
        <f t="shared" si="1"/>
        <v>5</v>
      </c>
      <c r="B9" s="6" t="s">
        <v>107</v>
      </c>
      <c r="D9" s="15" t="str">
        <f>"Sum of lines "&amp;TEXT(A6,"#")&amp;"–"&amp;TEXT(A8,"#")</f>
        <v>Sum of lines 2–4</v>
      </c>
      <c r="H9" s="17">
        <f>SUM(H6:H8)</f>
        <v>519281</v>
      </c>
      <c r="I9" s="17">
        <f>SUM(I6:I8)</f>
        <v>1959160.8</v>
      </c>
      <c r="J9" s="17">
        <f>SUM(J6:J8)</f>
        <v>590688</v>
      </c>
      <c r="K9" s="17">
        <f>SUM(K6:K8)</f>
        <v>1174200</v>
      </c>
      <c r="L9" s="17">
        <f>SUM(L6:L8)</f>
        <v>1130162.3999999999</v>
      </c>
      <c r="M9" s="17"/>
      <c r="N9" s="16">
        <f t="shared" si="0"/>
        <v>5373492.1999999993</v>
      </c>
    </row>
    <row r="10" spans="1:14" ht="14.1" customHeight="1" x14ac:dyDescent="0.2">
      <c r="A10" s="12">
        <f t="shared" si="1"/>
        <v>6</v>
      </c>
      <c r="B10" s="6" t="s">
        <v>108</v>
      </c>
      <c r="D10" s="15" t="str">
        <f>"Line "&amp;TEXT(A9,"#")&amp;" – line "&amp;TEXT(A5,"#")</f>
        <v>Line 5 – line 1</v>
      </c>
      <c r="H10" s="17">
        <f>H9-H5</f>
        <v>-68676</v>
      </c>
      <c r="I10" s="17">
        <f>I9-I5</f>
        <v>-147119.19999999995</v>
      </c>
      <c r="J10" s="17">
        <f>J9-J5</f>
        <v>-122514</v>
      </c>
      <c r="K10" s="17">
        <f>K9-K5</f>
        <v>-258870</v>
      </c>
      <c r="L10" s="17">
        <f>L9-L5</f>
        <v>81287.399999999907</v>
      </c>
      <c r="M10" s="17"/>
      <c r="N10" s="16">
        <f t="shared" si="0"/>
        <v>-515891.80000000005</v>
      </c>
    </row>
    <row r="11" spans="1:14" ht="14.1" customHeight="1" x14ac:dyDescent="0.2">
      <c r="A11" s="12">
        <f t="shared" si="1"/>
        <v>7</v>
      </c>
      <c r="B11" s="6" t="s">
        <v>109</v>
      </c>
      <c r="D11" s="6" t="s">
        <v>67</v>
      </c>
      <c r="H11" s="17"/>
      <c r="I11" s="17"/>
      <c r="J11" s="17"/>
      <c r="K11" s="17"/>
      <c r="L11" s="17"/>
      <c r="M11" s="17"/>
      <c r="N11" s="16"/>
    </row>
    <row r="12" spans="1:14" ht="14.1" customHeight="1" x14ac:dyDescent="0.2">
      <c r="A12" s="12">
        <f t="shared" si="1"/>
        <v>8</v>
      </c>
      <c r="C12" s="6" t="s">
        <v>26</v>
      </c>
      <c r="D12" s="6" t="s">
        <v>27</v>
      </c>
      <c r="F12" s="14">
        <v>267403</v>
      </c>
      <c r="G12" s="14"/>
      <c r="H12" s="17"/>
      <c r="I12" s="17"/>
      <c r="J12" s="17"/>
      <c r="K12" s="17"/>
      <c r="L12" s="17"/>
      <c r="M12" s="17"/>
      <c r="N12" s="16"/>
    </row>
    <row r="13" spans="1:14" ht="14.1" customHeight="1" x14ac:dyDescent="0.2">
      <c r="A13" s="12">
        <f t="shared" si="1"/>
        <v>9</v>
      </c>
      <c r="C13" s="2" t="s">
        <v>28</v>
      </c>
      <c r="D13" s="6" t="s">
        <v>27</v>
      </c>
      <c r="F13" s="18">
        <f>-101323-4115-58679</f>
        <v>-164117</v>
      </c>
      <c r="G13" s="19"/>
      <c r="H13" s="17"/>
      <c r="I13" s="17"/>
      <c r="J13" s="17"/>
      <c r="K13" s="17"/>
      <c r="L13" s="17"/>
      <c r="M13" s="17"/>
      <c r="N13" s="16"/>
    </row>
    <row r="14" spans="1:14" ht="14.1" customHeight="1" x14ac:dyDescent="0.2">
      <c r="A14" s="12">
        <f t="shared" si="1"/>
        <v>10</v>
      </c>
      <c r="C14" s="6" t="s">
        <v>29</v>
      </c>
      <c r="D14" s="15" t="str">
        <f>"Line "&amp;TEXT(A12,"#")&amp;" – line "&amp;TEXT(A13,"#")</f>
        <v>Line 8 – line 9</v>
      </c>
      <c r="F14" s="17">
        <f>SUM(F12:F13)</f>
        <v>103286</v>
      </c>
      <c r="G14" s="17"/>
      <c r="H14" s="17"/>
      <c r="I14" s="17"/>
      <c r="J14" s="17"/>
      <c r="K14" s="17"/>
      <c r="L14" s="17"/>
      <c r="M14" s="17"/>
      <c r="N14" s="16"/>
    </row>
    <row r="15" spans="1:14" ht="14.1" customHeight="1" x14ac:dyDescent="0.2">
      <c r="A15" s="12">
        <f t="shared" si="1"/>
        <v>11</v>
      </c>
      <c r="C15" s="2" t="s">
        <v>30</v>
      </c>
      <c r="D15" s="15" t="str">
        <f>"Line "&amp;TEXT(A14,"#")&amp;" ÷ 2"</f>
        <v>Line 10 ÷ 2</v>
      </c>
      <c r="F15" s="17">
        <f>F14*0.5</f>
        <v>51643</v>
      </c>
      <c r="G15" s="17"/>
      <c r="H15" s="17"/>
      <c r="I15" s="17"/>
      <c r="J15" s="17"/>
      <c r="K15" s="17"/>
      <c r="L15" s="17"/>
      <c r="M15" s="17"/>
      <c r="N15" s="16"/>
    </row>
    <row r="16" spans="1:14" ht="14.1" customHeight="1" x14ac:dyDescent="0.2">
      <c r="A16" s="12">
        <f t="shared" si="1"/>
        <v>12</v>
      </c>
      <c r="B16" s="6"/>
      <c r="C16" s="6" t="s">
        <v>98</v>
      </c>
      <c r="D16" s="6" t="s">
        <v>66</v>
      </c>
      <c r="E16" s="6"/>
      <c r="H16" s="13">
        <v>0.22</v>
      </c>
      <c r="I16" s="13">
        <v>0.316</v>
      </c>
      <c r="J16" s="13">
        <v>0.107</v>
      </c>
      <c r="K16" s="13">
        <v>0.215</v>
      </c>
      <c r="L16" s="13">
        <v>0.14199999999999999</v>
      </c>
      <c r="M16" s="13"/>
      <c r="N16" s="13">
        <f>SUM(H16:M16)</f>
        <v>1</v>
      </c>
    </row>
    <row r="17" spans="1:14" ht="14.1" customHeight="1" x14ac:dyDescent="0.2">
      <c r="A17" s="12">
        <f t="shared" si="1"/>
        <v>13</v>
      </c>
      <c r="C17" s="6" t="s">
        <v>31</v>
      </c>
      <c r="D17" s="15" t="str">
        <f>"Line "&amp;TEXT(A16,"#")&amp;" x line "&amp;TEXT(A15,"#")</f>
        <v>Line 12 x line 11</v>
      </c>
      <c r="H17" s="17">
        <f>$F$15*H$16</f>
        <v>11361.460000000001</v>
      </c>
      <c r="I17" s="17">
        <f>$F$15*I$16</f>
        <v>16319.188</v>
      </c>
      <c r="J17" s="17">
        <f>$F$15*J$16</f>
        <v>5525.8009999999995</v>
      </c>
      <c r="K17" s="17">
        <f>$F$15*K$16</f>
        <v>11103.244999999999</v>
      </c>
      <c r="L17" s="17">
        <f>$F$15*L$16</f>
        <v>7333.3059999999996</v>
      </c>
      <c r="M17" s="17"/>
      <c r="N17" s="16">
        <f t="shared" si="0"/>
        <v>51643</v>
      </c>
    </row>
    <row r="18" spans="1:14" ht="14.1" customHeight="1" x14ac:dyDescent="0.2">
      <c r="A18" s="12">
        <f t="shared" si="1"/>
        <v>14</v>
      </c>
      <c r="B18" s="2" t="s">
        <v>32</v>
      </c>
      <c r="D18" s="15" t="str">
        <f>"Line "&amp;TEXT(A10,"#")&amp;" + line "&amp;TEXT(A17,"#")&amp;" (if positive)"</f>
        <v>Line 6 + line 13 (if positive)</v>
      </c>
      <c r="F18" s="20"/>
      <c r="G18" s="20"/>
      <c r="H18" s="17">
        <f>IF(SUM(H10,H17)&gt;=0,SUM(H10,H17),0)</f>
        <v>0</v>
      </c>
      <c r="I18" s="17">
        <f>IF(SUM(I10,I17)&gt;=0,SUM(I10,I17),0)</f>
        <v>0</v>
      </c>
      <c r="J18" s="17">
        <f>IF(SUM(J10,J17)&gt;=0,SUM(J10,J17),0)</f>
        <v>0</v>
      </c>
      <c r="K18" s="17">
        <f>IF(SUM(K10,K17)&gt;=0,SUM(K10,K17),0)</f>
        <v>0</v>
      </c>
      <c r="L18" s="17">
        <f>IF(SUM(L10,L17)&gt;=0,SUM(L10,L17),0)</f>
        <v>88620.705999999904</v>
      </c>
      <c r="M18" s="17"/>
      <c r="N18" s="16">
        <f t="shared" si="0"/>
        <v>88620.705999999904</v>
      </c>
    </row>
    <row r="19" spans="1:14" ht="14.1" customHeight="1" x14ac:dyDescent="0.2">
      <c r="A19" s="12">
        <f t="shared" si="1"/>
        <v>15</v>
      </c>
      <c r="B19" s="6" t="s">
        <v>110</v>
      </c>
      <c r="D19" s="15" t="str">
        <f>"Line "&amp;TEXT(A10,"#")&amp;" + line "&amp;TEXT(A17,"#")&amp;" (if negative)"</f>
        <v>Line 6 + line 13 (if negative)</v>
      </c>
      <c r="H19" s="17">
        <f>IF(SUM(H10,H17)&lt;0,-SUM(H10,H17),0)</f>
        <v>57314.54</v>
      </c>
      <c r="I19" s="17">
        <f>IF(SUM(I10,I17)&lt;0,-SUM(I10,I17),0)</f>
        <v>130800.01199999996</v>
      </c>
      <c r="J19" s="17">
        <f>IF(SUM(J10,J17)&lt;0,-SUM(J10,J17),0)</f>
        <v>116988.19899999999</v>
      </c>
      <c r="K19" s="17">
        <f>IF(SUM(K10,K17)&lt;0,-SUM(K10,K17),0)</f>
        <v>247766.755</v>
      </c>
      <c r="L19" s="17">
        <f>IF(SUM(L10,L17)&lt;0,-SUM(L10,L17),0)</f>
        <v>0</v>
      </c>
      <c r="M19" s="17"/>
      <c r="N19" s="16">
        <f t="shared" si="0"/>
        <v>552869.50599999994</v>
      </c>
    </row>
    <row r="20" spans="1:14" ht="14.1" customHeight="1" x14ac:dyDescent="0.2">
      <c r="A20" s="12">
        <f t="shared" si="1"/>
        <v>16</v>
      </c>
      <c r="B20" s="6" t="s">
        <v>97</v>
      </c>
      <c r="D20" s="6" t="s">
        <v>111</v>
      </c>
      <c r="H20" s="17"/>
      <c r="I20" s="17"/>
      <c r="J20" s="17"/>
      <c r="K20" s="17"/>
      <c r="L20" s="17"/>
      <c r="M20" s="17"/>
      <c r="N20" s="16">
        <v>5843113</v>
      </c>
    </row>
    <row r="21" spans="1:14" ht="14.1" customHeight="1" x14ac:dyDescent="0.2">
      <c r="A21" s="12">
        <f t="shared" si="1"/>
        <v>17</v>
      </c>
      <c r="B21" s="6" t="s">
        <v>72</v>
      </c>
      <c r="D21" s="6" t="s">
        <v>73</v>
      </c>
    </row>
    <row r="22" spans="1:14" ht="14.1" customHeight="1" x14ac:dyDescent="0.2">
      <c r="A22" s="12">
        <f t="shared" si="1"/>
        <v>18</v>
      </c>
      <c r="C22" s="6" t="s">
        <v>74</v>
      </c>
      <c r="D22" s="21" t="s">
        <v>75</v>
      </c>
      <c r="F22" s="14">
        <v>89513</v>
      </c>
      <c r="G22" s="14"/>
    </row>
    <row r="23" spans="1:14" ht="14.1" customHeight="1" x14ac:dyDescent="0.2">
      <c r="A23" s="12">
        <f t="shared" si="1"/>
        <v>19</v>
      </c>
      <c r="C23" s="2" t="s">
        <v>76</v>
      </c>
      <c r="D23" s="21" t="s">
        <v>75</v>
      </c>
      <c r="F23" s="17">
        <v>14983</v>
      </c>
      <c r="G23" s="17"/>
    </row>
    <row r="24" spans="1:14" ht="14.1" customHeight="1" x14ac:dyDescent="0.2">
      <c r="A24" s="12">
        <f t="shared" si="1"/>
        <v>20</v>
      </c>
      <c r="C24" s="6" t="s">
        <v>77</v>
      </c>
      <c r="D24" s="21" t="s">
        <v>75</v>
      </c>
      <c r="F24" s="18">
        <v>91729</v>
      </c>
      <c r="G24" s="19"/>
    </row>
    <row r="25" spans="1:14" ht="14.1" customHeight="1" x14ac:dyDescent="0.2">
      <c r="A25" s="12">
        <f t="shared" si="1"/>
        <v>21</v>
      </c>
      <c r="C25" s="6" t="s">
        <v>78</v>
      </c>
      <c r="D25" s="15" t="str">
        <f>"Sum of lines "&amp;TEXT(A22,"#")&amp;"–"&amp;TEXT(A24,"#")</f>
        <v>Sum of lines 18–20</v>
      </c>
      <c r="E25" s="63"/>
      <c r="F25" s="20">
        <f>SUM(F22:F24)</f>
        <v>196225</v>
      </c>
      <c r="G25" s="20"/>
    </row>
    <row r="26" spans="1:14" ht="14.1" customHeight="1" x14ac:dyDescent="0.2">
      <c r="A26" s="12">
        <f t="shared" si="1"/>
        <v>22</v>
      </c>
      <c r="B26" s="6" t="s">
        <v>79</v>
      </c>
      <c r="D26" s="15" t="str">
        <f>"Line "&amp;TEXT(A20,"#")&amp;" – line "&amp;TEXT(A25,"#")</f>
        <v>Line 16 – line 21</v>
      </c>
      <c r="N26" s="17">
        <f>N20-F25</f>
        <v>5646888</v>
      </c>
    </row>
    <row r="27" spans="1:14" ht="14.1" customHeight="1" x14ac:dyDescent="0.2">
      <c r="A27" s="12">
        <f t="shared" si="1"/>
        <v>23</v>
      </c>
      <c r="B27" s="6" t="s">
        <v>80</v>
      </c>
      <c r="D27" s="6" t="s">
        <v>73</v>
      </c>
    </row>
    <row r="28" spans="1:14" ht="14.1" customHeight="1" x14ac:dyDescent="0.2">
      <c r="A28" s="12">
        <f t="shared" si="1"/>
        <v>24</v>
      </c>
      <c r="C28" s="6" t="s">
        <v>112</v>
      </c>
      <c r="D28" s="6" t="s">
        <v>81</v>
      </c>
      <c r="E28" s="6"/>
      <c r="F28" s="69">
        <v>111.67</v>
      </c>
    </row>
    <row r="29" spans="1:14" ht="14.1" customHeight="1" x14ac:dyDescent="0.2">
      <c r="A29" s="12">
        <f t="shared" si="1"/>
        <v>25</v>
      </c>
      <c r="C29" s="6" t="s">
        <v>96</v>
      </c>
      <c r="D29" s="6" t="s">
        <v>81</v>
      </c>
      <c r="E29" s="6"/>
      <c r="F29" s="69">
        <v>110.253</v>
      </c>
    </row>
    <row r="30" spans="1:14" ht="14.1" customHeight="1" x14ac:dyDescent="0.2">
      <c r="A30" s="12">
        <f t="shared" si="1"/>
        <v>26</v>
      </c>
      <c r="C30" s="6" t="s">
        <v>82</v>
      </c>
      <c r="D30" s="15" t="str">
        <f>"(Line "&amp;TEXT(A28,"#")&amp;" ÷ line "&amp;TEXT(A29,"#")&amp;") – 1"</f>
        <v>(Line 24 ÷ line 25) – 1</v>
      </c>
      <c r="F30" s="64">
        <f>(F28/F29)-1</f>
        <v>1.2852257988444693E-2</v>
      </c>
      <c r="G30" s="64"/>
      <c r="H30" s="64"/>
    </row>
    <row r="31" spans="1:14" ht="14.1" customHeight="1" x14ac:dyDescent="0.2">
      <c r="A31" s="12">
        <f t="shared" si="1"/>
        <v>27</v>
      </c>
      <c r="B31" s="6" t="s">
        <v>83</v>
      </c>
      <c r="D31" s="15" t="str">
        <f>"Line "&amp;TEXT(A26,"#")&amp;" x (1 + line "&amp;TEXT(A30,"#")&amp;")"</f>
        <v>Line 22 x (1 + line 26)</v>
      </c>
      <c r="N31" s="17">
        <f>N26*(1+F30)</f>
        <v>5719463.2614078522</v>
      </c>
    </row>
    <row r="32" spans="1:14" ht="14.1" customHeight="1" x14ac:dyDescent="0.2">
      <c r="A32" s="12">
        <f t="shared" si="1"/>
        <v>28</v>
      </c>
      <c r="B32" s="6" t="s">
        <v>113</v>
      </c>
      <c r="D32" s="15" t="str">
        <f>"Line "&amp;TEXT(A25,"#")&amp;" + line "&amp;TEXT(A31,"#")</f>
        <v>Line 21 + line 27</v>
      </c>
      <c r="N32" s="17">
        <f>N31+F25</f>
        <v>5915688.2614078522</v>
      </c>
    </row>
    <row r="33" spans="1:14" ht="14.1" customHeight="1" x14ac:dyDescent="0.2">
      <c r="A33" s="12">
        <f>A32+1</f>
        <v>29</v>
      </c>
      <c r="B33" s="6" t="s">
        <v>114</v>
      </c>
      <c r="D33" s="6" t="s">
        <v>66</v>
      </c>
      <c r="H33" s="13">
        <v>0.22</v>
      </c>
      <c r="I33" s="13">
        <v>0.316</v>
      </c>
      <c r="J33" s="13">
        <v>0.107</v>
      </c>
      <c r="K33" s="13">
        <v>0.215</v>
      </c>
      <c r="L33" s="13">
        <v>0.14199999999999999</v>
      </c>
      <c r="M33" s="13"/>
      <c r="N33" s="13">
        <f>SUM(H33:L33)</f>
        <v>1</v>
      </c>
    </row>
    <row r="34" spans="1:14" ht="14.1" customHeight="1" x14ac:dyDescent="0.2">
      <c r="A34" s="12">
        <f t="shared" ref="A34:A46" si="2">A33+1</f>
        <v>30</v>
      </c>
      <c r="B34" s="6" t="s">
        <v>115</v>
      </c>
      <c r="C34" s="6"/>
      <c r="D34" s="15" t="str">
        <f>"Line "&amp;TEXT(A32,"#")&amp;" x line "&amp;TEXT(A33,"#")</f>
        <v>Line 28 x line 29</v>
      </c>
      <c r="F34" s="14"/>
      <c r="G34" s="14"/>
      <c r="H34" s="17">
        <f>H33*$N$32</f>
        <v>1301451.4175097274</v>
      </c>
      <c r="I34" s="17">
        <f>I33*$N$32</f>
        <v>1869357.4906048812</v>
      </c>
      <c r="J34" s="17">
        <f>J33*$N$32</f>
        <v>632978.64397064014</v>
      </c>
      <c r="K34" s="17">
        <f>K33*$N$32</f>
        <v>1271872.9762026882</v>
      </c>
      <c r="L34" s="17">
        <f>L33*$N$32</f>
        <v>840027.73311991489</v>
      </c>
      <c r="M34" s="17"/>
      <c r="N34" s="16">
        <f>SUM(H34:L34)</f>
        <v>5915688.2614078522</v>
      </c>
    </row>
    <row r="35" spans="1:14" ht="14.1" customHeight="1" x14ac:dyDescent="0.2">
      <c r="A35" s="12">
        <f t="shared" si="2"/>
        <v>31</v>
      </c>
      <c r="B35" s="6" t="s">
        <v>116</v>
      </c>
      <c r="D35" s="15" t="str">
        <f>"Line "&amp;TEXT(A19,"#")&amp;" + line "&amp;TEXT(A34,"#")</f>
        <v>Line 15 + line 30</v>
      </c>
      <c r="F35" s="17"/>
      <c r="G35" s="17"/>
      <c r="H35" s="17">
        <f>H34+H19</f>
        <v>1358765.9575097275</v>
      </c>
      <c r="I35" s="17">
        <f>I34+I19</f>
        <v>2000157.5026048811</v>
      </c>
      <c r="J35" s="17">
        <f>J34+J19</f>
        <v>749966.84297064017</v>
      </c>
      <c r="K35" s="17">
        <f>K34+K19</f>
        <v>1519639.7312026881</v>
      </c>
      <c r="L35" s="17">
        <f>L34+L19</f>
        <v>840027.73311991489</v>
      </c>
      <c r="M35" s="17"/>
      <c r="N35" s="16">
        <f>SUM(H35:L35)</f>
        <v>6468557.7674078522</v>
      </c>
    </row>
    <row r="36" spans="1:14" ht="14.1" customHeight="1" x14ac:dyDescent="0.2">
      <c r="A36" s="12">
        <f t="shared" si="2"/>
        <v>32</v>
      </c>
      <c r="B36" s="6" t="s">
        <v>44</v>
      </c>
      <c r="C36" s="6"/>
      <c r="D36" s="23" t="s">
        <v>45</v>
      </c>
      <c r="F36" s="19"/>
      <c r="G36" s="19"/>
      <c r="H36" s="17">
        <f>SAC!I23</f>
        <v>719492.57017332851</v>
      </c>
    </row>
    <row r="37" spans="1:14" ht="14.1" customHeight="1" x14ac:dyDescent="0.2">
      <c r="A37" s="12">
        <f t="shared" si="2"/>
        <v>33</v>
      </c>
      <c r="B37" s="21" t="s">
        <v>46</v>
      </c>
      <c r="D37" s="15" t="str">
        <f>"Line "&amp;TEXT(A33,"#")&amp;" reallocated without SAC"</f>
        <v>Line 29 reallocated without SAC</v>
      </c>
      <c r="H37" s="17"/>
      <c r="I37" s="13">
        <f>I33/SUM($I$33:$L$33)</f>
        <v>0.40512820512820513</v>
      </c>
      <c r="J37" s="13">
        <f>J33/SUM($I$33:$L$33)</f>
        <v>0.13717948717948716</v>
      </c>
      <c r="K37" s="13">
        <f>K33/SUM($I$33:$L$33)</f>
        <v>0.27564102564102561</v>
      </c>
      <c r="L37" s="13">
        <f>L33/SUM($I$33:$L$33)</f>
        <v>0.18205128205128202</v>
      </c>
      <c r="M37" s="17"/>
      <c r="N37" s="13">
        <f>SUM(I37:L37)</f>
        <v>1</v>
      </c>
    </row>
    <row r="38" spans="1:14" ht="14.1" customHeight="1" x14ac:dyDescent="0.2">
      <c r="A38" s="12">
        <f t="shared" si="2"/>
        <v>34</v>
      </c>
      <c r="B38" s="6" t="s">
        <v>117</v>
      </c>
      <c r="D38" s="15" t="str">
        <f>"Line "&amp;TEXT(A36,"#")&amp;" x line "&amp;TEXT(A37,"#")</f>
        <v>Line 32 x line 33</v>
      </c>
      <c r="H38" s="17"/>
      <c r="I38" s="17">
        <f>$H$36*I37</f>
        <v>291486.73355739977</v>
      </c>
      <c r="J38" s="17">
        <f>$H$36*J37</f>
        <v>98699.621805828385</v>
      </c>
      <c r="K38" s="17">
        <f>$H$36*K37</f>
        <v>198321.66998367387</v>
      </c>
      <c r="L38" s="17">
        <f>$H$36*L37</f>
        <v>130984.54482642644</v>
      </c>
      <c r="M38" s="17"/>
      <c r="N38" s="16">
        <f>SUM(H38:L38)</f>
        <v>719492.57017332839</v>
      </c>
    </row>
    <row r="39" spans="1:14" ht="14.1" customHeight="1" x14ac:dyDescent="0.2">
      <c r="A39" s="12">
        <f t="shared" si="2"/>
        <v>35</v>
      </c>
      <c r="B39" s="6" t="s">
        <v>118</v>
      </c>
      <c r="D39" s="15" t="str">
        <f>"Line "&amp;TEXT(A35,"#")&amp;" + line "&amp;TEXT(A38,"#")</f>
        <v>Line 31 + line 34</v>
      </c>
      <c r="H39" s="17"/>
      <c r="I39" s="17">
        <f>I35+I38</f>
        <v>2291644.2361622807</v>
      </c>
      <c r="J39" s="17">
        <f>J35+J38</f>
        <v>848666.46477646858</v>
      </c>
      <c r="K39" s="17">
        <f>K35+K38</f>
        <v>1717961.4011863619</v>
      </c>
      <c r="L39" s="17">
        <f>L35+L38</f>
        <v>971012.27794634132</v>
      </c>
      <c r="M39" s="17"/>
      <c r="N39" s="16"/>
    </row>
    <row r="40" spans="1:14" ht="14.1" customHeight="1" x14ac:dyDescent="0.2">
      <c r="A40" s="12">
        <f t="shared" si="2"/>
        <v>36</v>
      </c>
      <c r="B40" s="6" t="s">
        <v>119</v>
      </c>
      <c r="D40" s="15" t="str">
        <f>"Calculation Sheet 2 and line "&amp;TEXT(A39,"#")</f>
        <v>Calculation Sheet 2 and line 35</v>
      </c>
      <c r="H40" s="17">
        <f>SAC!I22</f>
        <v>639273.38733639894</v>
      </c>
      <c r="I40" s="17">
        <f>I39</f>
        <v>2291644.2361622807</v>
      </c>
      <c r="J40" s="17">
        <f>J39</f>
        <v>848666.46477646858</v>
      </c>
      <c r="K40" s="17">
        <f>K39</f>
        <v>1717961.4011863619</v>
      </c>
      <c r="L40" s="17">
        <f>N32*0.142+L38+L19</f>
        <v>971012.27794634132</v>
      </c>
      <c r="M40" s="17"/>
      <c r="N40" s="16">
        <f>SUM(H40:L40)</f>
        <v>6468557.7674078513</v>
      </c>
    </row>
    <row r="41" spans="1:14" ht="14.1" customHeight="1" x14ac:dyDescent="0.2">
      <c r="A41" s="12">
        <f t="shared" si="2"/>
        <v>37</v>
      </c>
      <c r="B41" s="6" t="s">
        <v>120</v>
      </c>
      <c r="D41" s="6" t="s">
        <v>85</v>
      </c>
      <c r="I41" s="17">
        <v>20521.599999999999</v>
      </c>
      <c r="J41" s="17">
        <v>70</v>
      </c>
      <c r="K41" s="17">
        <v>255</v>
      </c>
    </row>
    <row r="42" spans="1:14" ht="14.1" customHeight="1" x14ac:dyDescent="0.2">
      <c r="A42" s="12">
        <f t="shared" si="2"/>
        <v>38</v>
      </c>
      <c r="B42" s="6" t="s">
        <v>47</v>
      </c>
      <c r="D42" s="6" t="s">
        <v>17</v>
      </c>
      <c r="I42" s="24">
        <v>0.8</v>
      </c>
      <c r="J42" s="24">
        <v>0.8</v>
      </c>
      <c r="K42" s="24">
        <v>0.8</v>
      </c>
      <c r="L42" s="24">
        <v>0.8</v>
      </c>
    </row>
    <row r="43" spans="1:14" ht="14.1" customHeight="1" x14ac:dyDescent="0.2">
      <c r="A43" s="12">
        <f t="shared" si="2"/>
        <v>39</v>
      </c>
      <c r="B43" s="6" t="s">
        <v>121</v>
      </c>
      <c r="D43" s="6" t="s">
        <v>18</v>
      </c>
      <c r="I43" s="24"/>
      <c r="J43" s="24"/>
      <c r="K43" s="24"/>
      <c r="L43" s="17">
        <f>L40/L42</f>
        <v>1213765.3474329265</v>
      </c>
      <c r="N43" s="16">
        <f>SUM(H43:L43)</f>
        <v>1213765.3474329265</v>
      </c>
    </row>
    <row r="44" spans="1:14" ht="14.1" customHeight="1" x14ac:dyDescent="0.2">
      <c r="A44" s="12">
        <f t="shared" si="2"/>
        <v>40</v>
      </c>
      <c r="B44" s="6" t="s">
        <v>122</v>
      </c>
      <c r="D44" s="15" t="str">
        <f>"Line "&amp;TEXT(A41,"#")&amp;" x line "&amp;TEXT(A42,"#")</f>
        <v>Line 37 x line 38</v>
      </c>
      <c r="I44" s="17">
        <f>I41*I42</f>
        <v>16417.28</v>
      </c>
      <c r="J44" s="17">
        <f>J41*J42</f>
        <v>56</v>
      </c>
      <c r="K44" s="17">
        <f>K41*K42</f>
        <v>204</v>
      </c>
    </row>
    <row r="45" spans="1:14" ht="14.1" customHeight="1" x14ac:dyDescent="0.2">
      <c r="A45" s="12">
        <f t="shared" si="2"/>
        <v>41</v>
      </c>
      <c r="B45" s="6" t="s">
        <v>123</v>
      </c>
      <c r="D45" s="15" t="str">
        <f>"Line "&amp;TEXT(A39,"#")&amp;" ÷ line "&amp;TEXT(A44,"#")</f>
        <v>Line 35 ÷ line 40</v>
      </c>
      <c r="I45" s="25">
        <f>I39/I44</f>
        <v>139.58732726506955</v>
      </c>
      <c r="J45" s="25">
        <f>J39/J44</f>
        <v>15154.758299579797</v>
      </c>
      <c r="K45" s="25">
        <f>K39/K44</f>
        <v>8421.379417580205</v>
      </c>
    </row>
    <row r="46" spans="1:14" ht="14.1" customHeight="1" x14ac:dyDescent="0.2">
      <c r="A46" s="12">
        <f t="shared" si="2"/>
        <v>42</v>
      </c>
      <c r="B46" s="6" t="s">
        <v>124</v>
      </c>
      <c r="D46" s="15" t="str">
        <f>"Line "&amp;TEXT(A45,"#")&amp;", rounded"</f>
        <v>Line 41, rounded</v>
      </c>
      <c r="I46" s="25">
        <f>ROUND(I45,1)</f>
        <v>139.6</v>
      </c>
      <c r="J46" s="25">
        <f>ROUND(J45,-1)</f>
        <v>15150</v>
      </c>
      <c r="K46" s="25">
        <f>ROUND(K45,-1)</f>
        <v>8420</v>
      </c>
    </row>
    <row r="47" spans="1:14" ht="30" customHeight="1" x14ac:dyDescent="0.2">
      <c r="A47" s="6" t="s">
        <v>133</v>
      </c>
    </row>
    <row r="48" spans="1:14" x14ac:dyDescent="0.2">
      <c r="A48" s="6" t="s">
        <v>69</v>
      </c>
    </row>
    <row r="49" spans="1:1" x14ac:dyDescent="0.2">
      <c r="A49" s="6" t="s">
        <v>68</v>
      </c>
    </row>
    <row r="50" spans="1:1" x14ac:dyDescent="0.2">
      <c r="A50" s="6" t="s">
        <v>84</v>
      </c>
    </row>
  </sheetData>
  <phoneticPr fontId="0" type="noConversion"/>
  <printOptions horizontalCentered="1" gridLinesSet="0"/>
  <pageMargins left="0.25" right="0.25" top="0.5" bottom="0.5" header="0.5" footer="0.5"/>
  <pageSetup scale="73" orientation="landscape" horizontalDpi="4294967292" verticalDpi="4294967292" r:id="rId1"/>
  <headerFooter alignWithMargins="0"/>
  <ignoredErrors>
    <ignoredError sqref="H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showGridLines="0" topLeftCell="A8" zoomScaleNormal="100" workbookViewId="0">
      <selection activeCell="B19" sqref="B19"/>
    </sheetView>
  </sheetViews>
  <sheetFormatPr defaultColWidth="10.5703125" defaultRowHeight="12.75" x14ac:dyDescent="0.2"/>
  <cols>
    <col min="1" max="1" width="5" style="2" customWidth="1"/>
    <col min="2" max="2" width="80.7109375" style="2" customWidth="1"/>
    <col min="3" max="9" width="11.7109375" style="2" customWidth="1"/>
    <col min="10" max="16384" width="10.5703125" style="2"/>
  </cols>
  <sheetData>
    <row r="1" spans="1:12" ht="15.75" x14ac:dyDescent="0.25">
      <c r="A1" s="1" t="s">
        <v>61</v>
      </c>
      <c r="C1" s="26"/>
      <c r="D1" s="26"/>
      <c r="E1" s="26"/>
      <c r="F1" s="26"/>
      <c r="G1" s="26"/>
      <c r="H1" s="26"/>
      <c r="I1" s="3" t="s">
        <v>45</v>
      </c>
    </row>
    <row r="2" spans="1:12" ht="16.5" thickBot="1" x14ac:dyDescent="0.3">
      <c r="A2" s="4" t="s">
        <v>125</v>
      </c>
      <c r="B2" s="27"/>
      <c r="C2" s="27"/>
      <c r="D2" s="27"/>
      <c r="E2" s="27"/>
      <c r="F2" s="27"/>
      <c r="G2" s="27"/>
      <c r="H2" s="27"/>
      <c r="I2" s="27"/>
    </row>
    <row r="3" spans="1:12" ht="36" customHeight="1" thickTop="1" thickBot="1" x14ac:dyDescent="0.25">
      <c r="B3" s="28" t="s">
        <v>48</v>
      </c>
      <c r="C3" s="29"/>
      <c r="D3" s="30"/>
      <c r="E3" s="30"/>
      <c r="F3" s="30"/>
      <c r="G3" s="30"/>
      <c r="H3" s="30"/>
      <c r="I3" s="30"/>
    </row>
    <row r="4" spans="1:12" ht="15.75" customHeight="1" x14ac:dyDescent="0.2">
      <c r="A4" s="12">
        <v>1</v>
      </c>
      <c r="B4" s="31" t="str">
        <f>"Revenue requirement for 2017 SAC (from Calculation Sheet 1, line "&amp;TEXT('Rate Calculation'!A35,"#")&amp;")"</f>
        <v>Revenue requirement for 2017 SAC (from Calculation Sheet 1, line 31)</v>
      </c>
      <c r="C4" s="32">
        <f>'Rate Calculation'!H35</f>
        <v>1358765.9575097275</v>
      </c>
      <c r="D4" s="33"/>
      <c r="E4" s="34"/>
      <c r="F4" s="34"/>
      <c r="G4" s="34"/>
      <c r="H4" s="34"/>
    </row>
    <row r="5" spans="1:12" x14ac:dyDescent="0.2">
      <c r="A5" s="12">
        <f>A4+1</f>
        <v>2</v>
      </c>
      <c r="B5" s="31" t="str">
        <f>"Inflation Index (from Calculation Sheet 1, line "&amp;TEXT('Rate Calculation'!A30,"#")&amp;")"</f>
        <v>Inflation Index (from Calculation Sheet 1, line 26)</v>
      </c>
      <c r="C5" s="66">
        <f>'Rate Calculation'!F30</f>
        <v>1.2852257988444693E-2</v>
      </c>
      <c r="D5" s="33"/>
      <c r="E5" s="34"/>
      <c r="G5" s="30"/>
      <c r="H5" s="30"/>
      <c r="I5" s="30"/>
    </row>
    <row r="6" spans="1:12" x14ac:dyDescent="0.2">
      <c r="A6" s="12">
        <f>A5+1</f>
        <v>3</v>
      </c>
      <c r="B6" s="31" t="s">
        <v>86</v>
      </c>
      <c r="C6" s="67">
        <f>C5*2</f>
        <v>2.5704515976889386E-2</v>
      </c>
      <c r="D6" s="33"/>
      <c r="E6" s="34"/>
      <c r="G6" s="30"/>
      <c r="H6" s="30"/>
      <c r="I6" s="30"/>
    </row>
    <row r="7" spans="1:12" ht="108" customHeight="1" thickBot="1" x14ac:dyDescent="0.25">
      <c r="A7" s="11" t="s">
        <v>49</v>
      </c>
      <c r="B7" s="35" t="s">
        <v>50</v>
      </c>
      <c r="C7" s="35" t="s">
        <v>126</v>
      </c>
      <c r="D7" s="10" t="s">
        <v>127</v>
      </c>
      <c r="E7" s="10" t="s">
        <v>128</v>
      </c>
      <c r="F7" s="10" t="s">
        <v>87</v>
      </c>
      <c r="G7" s="10" t="s">
        <v>129</v>
      </c>
      <c r="H7" s="10" t="s">
        <v>130</v>
      </c>
      <c r="I7" s="10" t="s">
        <v>131</v>
      </c>
    </row>
    <row r="8" spans="1:12" ht="18" customHeight="1" x14ac:dyDescent="0.2">
      <c r="A8" s="36"/>
      <c r="B8" s="37" t="s">
        <v>51</v>
      </c>
      <c r="C8" s="38" t="s">
        <v>52</v>
      </c>
      <c r="D8" s="38" t="s">
        <v>53</v>
      </c>
      <c r="E8" s="38" t="s">
        <v>54</v>
      </c>
      <c r="F8" s="38" t="s">
        <v>55</v>
      </c>
      <c r="G8" s="38" t="s">
        <v>56</v>
      </c>
      <c r="H8" s="38" t="s">
        <v>57</v>
      </c>
      <c r="I8" s="38" t="s">
        <v>88</v>
      </c>
    </row>
    <row r="9" spans="1:12" ht="69.75" customHeight="1" x14ac:dyDescent="0.2">
      <c r="A9" s="39"/>
      <c r="B9" s="40" t="s">
        <v>58</v>
      </c>
      <c r="C9" s="38" t="s">
        <v>85</v>
      </c>
      <c r="D9" s="41" t="s">
        <v>89</v>
      </c>
      <c r="E9" s="42" t="s">
        <v>59</v>
      </c>
      <c r="F9" s="42" t="s">
        <v>90</v>
      </c>
      <c r="G9" s="42" t="s">
        <v>94</v>
      </c>
      <c r="H9" s="42" t="s">
        <v>59</v>
      </c>
      <c r="I9" s="42" t="s">
        <v>43</v>
      </c>
    </row>
    <row r="10" spans="1:12" ht="19.5" customHeight="1" x14ac:dyDescent="0.2">
      <c r="A10" s="43">
        <v>0</v>
      </c>
      <c r="B10" s="21" t="s">
        <v>60</v>
      </c>
      <c r="C10" s="70">
        <v>35</v>
      </c>
      <c r="D10" s="44">
        <v>282</v>
      </c>
      <c r="E10" s="45"/>
      <c r="F10" s="44">
        <f>$C$6*D10</f>
        <v>7.2486735054828069</v>
      </c>
      <c r="G10" s="44">
        <f>D10+F10</f>
        <v>289.24867350548283</v>
      </c>
      <c r="H10" s="45"/>
      <c r="I10" s="44">
        <f t="shared" ref="I10:I21" si="0">C10*G10</f>
        <v>10123.703572691898</v>
      </c>
    </row>
    <row r="11" spans="1:12" ht="12.75" customHeight="1" x14ac:dyDescent="0.2">
      <c r="A11" s="43">
        <v>1</v>
      </c>
      <c r="B11" s="6" t="s">
        <v>33</v>
      </c>
      <c r="C11" s="70">
        <v>31</v>
      </c>
      <c r="D11" s="46">
        <v>539</v>
      </c>
      <c r="E11" s="47">
        <f>D11/D10</f>
        <v>1.9113475177304964</v>
      </c>
      <c r="F11" s="46">
        <f>$C$6*D11</f>
        <v>13.85473411154338</v>
      </c>
      <c r="G11" s="46">
        <f>D11+F11</f>
        <v>552.85473411154339</v>
      </c>
      <c r="H11" s="47">
        <f>G11/G10</f>
        <v>1.9113475177304964</v>
      </c>
      <c r="I11" s="46">
        <f t="shared" si="0"/>
        <v>17138.496757457844</v>
      </c>
    </row>
    <row r="12" spans="1:12" ht="12.75" customHeight="1" x14ac:dyDescent="0.2">
      <c r="A12" s="43">
        <v>2</v>
      </c>
      <c r="B12" s="6" t="s">
        <v>34</v>
      </c>
      <c r="C12" s="70">
        <v>15</v>
      </c>
      <c r="D12" s="46">
        <v>1035</v>
      </c>
      <c r="E12" s="47">
        <f>D12/D11</f>
        <v>1.9202226345083488</v>
      </c>
      <c r="F12" s="46">
        <f t="shared" ref="F12:F21" si="1">$C$6*D12</f>
        <v>26.604174036080515</v>
      </c>
      <c r="G12" s="46">
        <f t="shared" ref="G12:G19" si="2">D12+F12</f>
        <v>1061.6041740360806</v>
      </c>
      <c r="H12" s="47">
        <f>G12/G11</f>
        <v>1.9202226345083488</v>
      </c>
      <c r="I12" s="46">
        <f t="shared" si="0"/>
        <v>15924.062610541208</v>
      </c>
      <c r="J12" s="23"/>
      <c r="K12" s="23"/>
      <c r="L12" s="23"/>
    </row>
    <row r="13" spans="1:12" x14ac:dyDescent="0.2">
      <c r="A13" s="43">
        <v>3</v>
      </c>
      <c r="B13" s="6" t="s">
        <v>35</v>
      </c>
      <c r="C13" s="70">
        <v>4</v>
      </c>
      <c r="D13" s="46">
        <v>1986</v>
      </c>
      <c r="E13" s="47">
        <f t="shared" ref="E13:E21" si="3">D13/D12</f>
        <v>1.9188405797101449</v>
      </c>
      <c r="F13" s="46">
        <f t="shared" si="1"/>
        <v>51.049168730102323</v>
      </c>
      <c r="G13" s="46">
        <f t="shared" si="2"/>
        <v>2037.0491687301023</v>
      </c>
      <c r="H13" s="47">
        <f t="shared" ref="H13:H21" si="4">G13/G12</f>
        <v>1.9188405797101447</v>
      </c>
      <c r="I13" s="46">
        <f t="shared" si="0"/>
        <v>8148.1966749204094</v>
      </c>
      <c r="J13" s="23"/>
      <c r="K13" s="23"/>
      <c r="L13" s="23"/>
    </row>
    <row r="14" spans="1:12" x14ac:dyDescent="0.2">
      <c r="A14" s="43">
        <v>4</v>
      </c>
      <c r="B14" s="6" t="s">
        <v>37</v>
      </c>
      <c r="C14" s="70">
        <v>2</v>
      </c>
      <c r="D14" s="46">
        <v>3813</v>
      </c>
      <c r="E14" s="47">
        <f t="shared" si="3"/>
        <v>1.9199395770392749</v>
      </c>
      <c r="F14" s="46">
        <f t="shared" si="1"/>
        <v>98.011319419879229</v>
      </c>
      <c r="G14" s="46">
        <f t="shared" si="2"/>
        <v>3911.0113194198793</v>
      </c>
      <c r="H14" s="47">
        <f t="shared" si="4"/>
        <v>1.9199395770392749</v>
      </c>
      <c r="I14" s="46">
        <f t="shared" si="0"/>
        <v>7822.0226388397587</v>
      </c>
      <c r="J14" s="23"/>
      <c r="K14" s="23"/>
      <c r="L14" s="23"/>
    </row>
    <row r="15" spans="1:12" x14ac:dyDescent="0.2">
      <c r="A15" s="43">
        <v>5</v>
      </c>
      <c r="B15" s="6" t="s">
        <v>38</v>
      </c>
      <c r="C15" s="48">
        <v>3</v>
      </c>
      <c r="D15" s="46">
        <v>7323</v>
      </c>
      <c r="E15" s="47">
        <f t="shared" si="3"/>
        <v>1.920535011801731</v>
      </c>
      <c r="F15" s="46">
        <f t="shared" si="1"/>
        <v>188.23417049876096</v>
      </c>
      <c r="G15" s="46">
        <f t="shared" si="2"/>
        <v>7511.2341704987612</v>
      </c>
      <c r="H15" s="47">
        <f t="shared" si="4"/>
        <v>1.920535011801731</v>
      </c>
      <c r="I15" s="46">
        <f t="shared" si="0"/>
        <v>22533.702511496282</v>
      </c>
      <c r="J15" s="23"/>
      <c r="K15" s="23"/>
      <c r="L15" s="23"/>
    </row>
    <row r="16" spans="1:12" x14ac:dyDescent="0.2">
      <c r="A16" s="43">
        <v>6</v>
      </c>
      <c r="B16" s="6" t="s">
        <v>39</v>
      </c>
      <c r="C16" s="48">
        <v>0</v>
      </c>
      <c r="D16" s="46">
        <v>14045</v>
      </c>
      <c r="E16" s="47">
        <f t="shared" si="3"/>
        <v>1.9179298101870819</v>
      </c>
      <c r="F16" s="46">
        <f t="shared" si="1"/>
        <v>361.0199268954114</v>
      </c>
      <c r="G16" s="46">
        <f t="shared" si="2"/>
        <v>14406.019926895411</v>
      </c>
      <c r="H16" s="47">
        <f t="shared" si="4"/>
        <v>1.9179298101870816</v>
      </c>
      <c r="I16" s="46">
        <f t="shared" si="0"/>
        <v>0</v>
      </c>
      <c r="J16" s="23"/>
      <c r="K16" s="23"/>
      <c r="L16" s="23"/>
    </row>
    <row r="17" spans="1:12" x14ac:dyDescent="0.2">
      <c r="A17" s="43">
        <v>7</v>
      </c>
      <c r="B17" s="6" t="s">
        <v>40</v>
      </c>
      <c r="C17" s="48">
        <v>1</v>
      </c>
      <c r="D17" s="46">
        <v>26968</v>
      </c>
      <c r="E17" s="47">
        <f t="shared" si="3"/>
        <v>1.9201139195443218</v>
      </c>
      <c r="F17" s="46">
        <f t="shared" si="1"/>
        <v>693.19938686475291</v>
      </c>
      <c r="G17" s="46">
        <f t="shared" si="2"/>
        <v>27661.199386864751</v>
      </c>
      <c r="H17" s="47">
        <f t="shared" si="4"/>
        <v>1.9201139195443218</v>
      </c>
      <c r="I17" s="46">
        <f t="shared" si="0"/>
        <v>27661.199386864751</v>
      </c>
      <c r="J17" s="23"/>
      <c r="K17" s="23"/>
      <c r="L17" s="23"/>
    </row>
    <row r="18" spans="1:12" x14ac:dyDescent="0.2">
      <c r="A18" s="43">
        <v>8</v>
      </c>
      <c r="B18" s="6" t="s">
        <v>41</v>
      </c>
      <c r="C18" s="48">
        <v>0</v>
      </c>
      <c r="D18" s="46">
        <v>51771</v>
      </c>
      <c r="E18" s="47">
        <f t="shared" si="3"/>
        <v>1.9197196677543755</v>
      </c>
      <c r="F18" s="46">
        <f t="shared" si="1"/>
        <v>1330.7484966395405</v>
      </c>
      <c r="G18" s="46">
        <f t="shared" si="2"/>
        <v>53101.748496639542</v>
      </c>
      <c r="H18" s="47">
        <f t="shared" si="4"/>
        <v>1.9197196677543757</v>
      </c>
      <c r="I18" s="46">
        <f t="shared" si="0"/>
        <v>0</v>
      </c>
      <c r="J18" s="23"/>
      <c r="K18" s="23"/>
      <c r="L18" s="23"/>
    </row>
    <row r="19" spans="1:12" x14ac:dyDescent="0.2">
      <c r="A19" s="43">
        <v>9</v>
      </c>
      <c r="B19" s="6" t="s">
        <v>7</v>
      </c>
      <c r="C19" s="48">
        <v>1</v>
      </c>
      <c r="D19" s="46">
        <v>99399</v>
      </c>
      <c r="E19" s="47">
        <f t="shared" si="3"/>
        <v>1.9199745031001911</v>
      </c>
      <c r="F19" s="46">
        <f t="shared" si="1"/>
        <v>2555.0031835868281</v>
      </c>
      <c r="G19" s="46">
        <f t="shared" si="2"/>
        <v>101954.00318358683</v>
      </c>
      <c r="H19" s="47">
        <f t="shared" si="4"/>
        <v>1.9199745031001911</v>
      </c>
      <c r="I19" s="46">
        <f t="shared" si="0"/>
        <v>101954.00318358683</v>
      </c>
      <c r="J19" s="23"/>
      <c r="K19" s="23"/>
      <c r="L19" s="23"/>
    </row>
    <row r="20" spans="1:12" x14ac:dyDescent="0.2">
      <c r="A20" s="43">
        <v>10</v>
      </c>
      <c r="B20" s="6" t="s">
        <v>8</v>
      </c>
      <c r="C20" s="48">
        <v>1</v>
      </c>
      <c r="D20" s="46">
        <v>140839</v>
      </c>
      <c r="E20" s="47">
        <f t="shared" si="3"/>
        <v>1.416905602672059</v>
      </c>
      <c r="F20" s="46">
        <f t="shared" si="1"/>
        <v>3620.1983256691242</v>
      </c>
      <c r="G20" s="46">
        <v>142656</v>
      </c>
      <c r="H20" s="47">
        <f t="shared" si="4"/>
        <v>1.3992192120511617</v>
      </c>
      <c r="I20" s="46">
        <f t="shared" si="0"/>
        <v>142656</v>
      </c>
      <c r="J20" s="23"/>
      <c r="K20" s="23"/>
      <c r="L20" s="23"/>
    </row>
    <row r="21" spans="1:12" x14ac:dyDescent="0.2">
      <c r="A21" s="43">
        <v>11</v>
      </c>
      <c r="B21" s="6" t="s">
        <v>9</v>
      </c>
      <c r="C21" s="71">
        <v>2</v>
      </c>
      <c r="D21" s="46">
        <v>140839</v>
      </c>
      <c r="E21" s="47">
        <f t="shared" si="3"/>
        <v>1</v>
      </c>
      <c r="F21" s="46">
        <f t="shared" si="1"/>
        <v>3620.1983256691242</v>
      </c>
      <c r="G21" s="46">
        <v>142656</v>
      </c>
      <c r="H21" s="47">
        <f t="shared" si="4"/>
        <v>1</v>
      </c>
      <c r="I21" s="49">
        <f t="shared" si="0"/>
        <v>285312</v>
      </c>
      <c r="J21" s="23"/>
      <c r="K21" s="23"/>
      <c r="L21" s="23"/>
    </row>
    <row r="22" spans="1:12" ht="15.75" customHeight="1" thickBot="1" x14ac:dyDescent="0.25">
      <c r="A22" s="23"/>
      <c r="B22" s="23" t="s">
        <v>10</v>
      </c>
      <c r="C22" s="50">
        <f>SUM(C10:C21)</f>
        <v>95</v>
      </c>
      <c r="D22" s="23"/>
      <c r="E22" s="23"/>
      <c r="F22" s="23"/>
      <c r="G22" s="23"/>
      <c r="H22" s="23"/>
      <c r="I22" s="49">
        <f>SUM(I10:I21)</f>
        <v>639273.38733639894</v>
      </c>
      <c r="J22" s="23"/>
      <c r="K22" s="23"/>
      <c r="L22" s="23"/>
    </row>
    <row r="23" spans="1:12" ht="19.5" customHeight="1" thickTop="1" thickBot="1" x14ac:dyDescent="0.25">
      <c r="A23" s="23"/>
      <c r="B23" s="6" t="s">
        <v>16</v>
      </c>
      <c r="C23" s="48"/>
      <c r="D23" s="23"/>
      <c r="E23" s="23"/>
      <c r="F23" s="23"/>
      <c r="G23" s="23"/>
      <c r="H23" s="23"/>
      <c r="I23" s="51">
        <f>C4-I22</f>
        <v>719492.57017332851</v>
      </c>
      <c r="J23" s="23"/>
      <c r="K23" s="23"/>
      <c r="L23" s="23"/>
    </row>
    <row r="24" spans="1:12" ht="30" customHeight="1" thickTop="1" x14ac:dyDescent="0.2">
      <c r="A24" s="6" t="s">
        <v>95</v>
      </c>
      <c r="B24" s="52"/>
      <c r="C24" s="48"/>
      <c r="D24" s="23"/>
      <c r="E24" s="23"/>
      <c r="F24" s="23"/>
      <c r="G24" s="23"/>
      <c r="H24" s="23"/>
      <c r="I24" s="32"/>
      <c r="J24" s="23"/>
      <c r="K24" s="23"/>
      <c r="L24" s="23"/>
    </row>
    <row r="25" spans="1:12" ht="12.75" customHeight="1" x14ac:dyDescent="0.2">
      <c r="A25" s="65" t="s">
        <v>92</v>
      </c>
      <c r="B25" s="52"/>
      <c r="C25" s="48"/>
      <c r="D25" s="23"/>
      <c r="E25" s="23"/>
      <c r="F25" s="23"/>
      <c r="G25" s="23"/>
      <c r="H25" s="23"/>
      <c r="I25" s="32"/>
      <c r="J25" s="23"/>
      <c r="K25" s="23"/>
      <c r="L25" s="23"/>
    </row>
    <row r="26" spans="1:12" ht="12.75" customHeight="1" x14ac:dyDescent="0.2">
      <c r="A26" s="65" t="s">
        <v>93</v>
      </c>
      <c r="B26" s="52"/>
      <c r="C26" s="48"/>
      <c r="D26" s="23"/>
      <c r="E26" s="23"/>
      <c r="F26" s="23"/>
      <c r="G26" s="23"/>
      <c r="H26" s="23"/>
      <c r="I26" s="32"/>
      <c r="J26" s="23"/>
      <c r="K26" s="23"/>
      <c r="L26" s="23"/>
    </row>
    <row r="27" spans="1:12" x14ac:dyDescent="0.2">
      <c r="A27" s="6" t="s">
        <v>140</v>
      </c>
      <c r="B27" s="52"/>
      <c r="C27" s="48"/>
      <c r="D27" s="23"/>
      <c r="E27" s="23"/>
      <c r="F27" s="23"/>
      <c r="G27" s="23"/>
      <c r="H27" s="23"/>
      <c r="I27" s="32"/>
      <c r="J27" s="23"/>
      <c r="K27" s="23"/>
      <c r="L27" s="23"/>
    </row>
    <row r="28" spans="1:12" x14ac:dyDescent="0.2">
      <c r="A28" s="6" t="s">
        <v>99</v>
      </c>
      <c r="B28" s="52"/>
      <c r="C28" s="48"/>
      <c r="D28" s="23"/>
      <c r="E28" s="23"/>
      <c r="F28" s="23"/>
      <c r="G28" s="23"/>
      <c r="H28" s="23"/>
      <c r="I28" s="32"/>
      <c r="J28" s="23"/>
      <c r="K28" s="23"/>
      <c r="L28" s="23"/>
    </row>
    <row r="29" spans="1:12" x14ac:dyDescent="0.2">
      <c r="A29" s="6" t="s">
        <v>100</v>
      </c>
      <c r="B29" s="52"/>
      <c r="C29" s="48"/>
      <c r="D29" s="23"/>
      <c r="E29" s="23"/>
      <c r="F29" s="23"/>
      <c r="G29" s="23"/>
      <c r="H29" s="23"/>
      <c r="I29" s="32"/>
      <c r="J29" s="23"/>
      <c r="K29" s="23"/>
      <c r="L29" s="23"/>
    </row>
    <row r="30" spans="1:12" x14ac:dyDescent="0.2">
      <c r="A30" s="6" t="s">
        <v>132</v>
      </c>
      <c r="B30" s="52"/>
      <c r="C30" s="48"/>
      <c r="D30" s="23"/>
      <c r="E30" s="23"/>
      <c r="F30" s="23"/>
      <c r="G30" s="23"/>
      <c r="H30" s="23"/>
      <c r="I30" s="32"/>
      <c r="J30" s="23"/>
      <c r="K30" s="23"/>
      <c r="L30" s="23"/>
    </row>
    <row r="31" spans="1:12" x14ac:dyDescent="0.2">
      <c r="A31" s="65" t="s">
        <v>91</v>
      </c>
      <c r="B31" s="52"/>
      <c r="C31" s="48"/>
      <c r="D31" s="23"/>
      <c r="E31" s="23"/>
      <c r="F31" s="23"/>
      <c r="G31" s="23"/>
      <c r="H31" s="23"/>
      <c r="I31" s="32"/>
      <c r="J31" s="23"/>
      <c r="K31" s="23"/>
      <c r="L31" s="23"/>
    </row>
    <row r="32" spans="1:12" x14ac:dyDescent="0.2">
      <c r="A32" s="65" t="s">
        <v>36</v>
      </c>
      <c r="C32" s="23"/>
      <c r="D32" s="23"/>
      <c r="E32" s="53"/>
      <c r="F32" s="53"/>
      <c r="G32" s="53"/>
      <c r="H32" s="53"/>
      <c r="I32" s="54"/>
      <c r="J32" s="23"/>
      <c r="K32" s="23"/>
      <c r="L32" s="23"/>
    </row>
    <row r="33" spans="1:12" x14ac:dyDescent="0.2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</row>
    <row r="34" spans="1:12" x14ac:dyDescent="0.2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</row>
    <row r="35" spans="1:12" x14ac:dyDescent="0.2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</row>
    <row r="36" spans="1:12" x14ac:dyDescent="0.2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</row>
    <row r="37" spans="1:12" x14ac:dyDescent="0.2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</row>
    <row r="38" spans="1:12" x14ac:dyDescent="0.2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</row>
    <row r="39" spans="1:12" x14ac:dyDescent="0.2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</row>
    <row r="40" spans="1:12" x14ac:dyDescent="0.2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</row>
    <row r="41" spans="1:12" x14ac:dyDescent="0.2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</row>
    <row r="42" spans="1:12" x14ac:dyDescent="0.2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</row>
    <row r="43" spans="1:12" x14ac:dyDescent="0.2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</row>
    <row r="44" spans="1:12" x14ac:dyDescent="0.2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</row>
    <row r="45" spans="1:12" x14ac:dyDescent="0.2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</row>
    <row r="46" spans="1:12" x14ac:dyDescent="0.2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</row>
    <row r="47" spans="1:12" x14ac:dyDescent="0.2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</row>
    <row r="48" spans="1:12" x14ac:dyDescent="0.2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</row>
    <row r="49" spans="1:12" x14ac:dyDescent="0.2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</row>
    <row r="50" spans="1:12" x14ac:dyDescent="0.2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</row>
    <row r="51" spans="1:12" x14ac:dyDescent="0.2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</row>
    <row r="52" spans="1:12" x14ac:dyDescent="0.2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</row>
    <row r="53" spans="1:12" x14ac:dyDescent="0.2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</row>
    <row r="54" spans="1:12" x14ac:dyDescent="0.2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</row>
    <row r="55" spans="1:12" x14ac:dyDescent="0.2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</row>
    <row r="56" spans="1:12" x14ac:dyDescent="0.2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</row>
    <row r="57" spans="1:12" x14ac:dyDescent="0.2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</row>
    <row r="58" spans="1:12" x14ac:dyDescent="0.2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</row>
    <row r="59" spans="1:12" x14ac:dyDescent="0.2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</row>
    <row r="60" spans="1:12" x14ac:dyDescent="0.2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</row>
    <row r="61" spans="1:12" x14ac:dyDescent="0.2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</row>
    <row r="62" spans="1:12" x14ac:dyDescent="0.2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</row>
    <row r="63" spans="1:12" x14ac:dyDescent="0.2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</row>
    <row r="64" spans="1:12" x14ac:dyDescent="0.2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</row>
    <row r="65" spans="1:12" x14ac:dyDescent="0.2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</row>
    <row r="66" spans="1:12" x14ac:dyDescent="0.2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</row>
    <row r="67" spans="1:12" x14ac:dyDescent="0.2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</row>
  </sheetData>
  <phoneticPr fontId="0" type="noConversion"/>
  <printOptions horizontalCentered="1" gridLinesSet="0"/>
  <pageMargins left="0.5" right="0.5" top="0.5" bottom="0.5" header="0.5" footer="0.5"/>
  <pageSetup scale="77" orientation="landscape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showGridLines="0" workbookViewId="0">
      <selection activeCell="B7" sqref="B7"/>
    </sheetView>
  </sheetViews>
  <sheetFormatPr defaultRowHeight="12.75" x14ac:dyDescent="0.2"/>
  <cols>
    <col min="1" max="1" width="6" style="2" customWidth="1"/>
    <col min="2" max="2" width="77" style="2" customWidth="1"/>
    <col min="3" max="8" width="13" style="2" customWidth="1"/>
    <col min="9" max="9" width="11.85546875" style="2" bestFit="1" customWidth="1"/>
    <col min="10" max="16384" width="9.140625" style="2"/>
  </cols>
  <sheetData>
    <row r="1" spans="1:13" ht="15.75" x14ac:dyDescent="0.25">
      <c r="A1" s="1" t="s">
        <v>61</v>
      </c>
      <c r="C1" s="26"/>
      <c r="D1" s="26"/>
      <c r="E1" s="26"/>
      <c r="F1" s="26"/>
      <c r="G1" s="26"/>
      <c r="H1" s="3" t="s">
        <v>11</v>
      </c>
    </row>
    <row r="2" spans="1:13" ht="16.5" thickBot="1" x14ac:dyDescent="0.3">
      <c r="A2" s="4" t="s">
        <v>134</v>
      </c>
      <c r="B2" s="27"/>
      <c r="C2" s="27"/>
      <c r="D2" s="27"/>
      <c r="E2" s="27"/>
      <c r="F2" s="27"/>
      <c r="G2" s="27"/>
      <c r="H2" s="27"/>
    </row>
    <row r="3" spans="1:13" ht="36" customHeight="1" thickTop="1" x14ac:dyDescent="0.25">
      <c r="B3" s="31" t="str">
        <f>"Revenue requirement for 2017 dose rate charge (from Calculation Sheet 1, line "&amp;TEXT('Rate Calculation'!A43,"#")&amp;")"</f>
        <v>Revenue requirement for 2017 dose rate charge (from Calculation Sheet 1, line 39)</v>
      </c>
      <c r="C3" s="32">
        <f>'Rate Calculation'!L43</f>
        <v>1213765.3474329265</v>
      </c>
      <c r="D3" s="55"/>
      <c r="E3" s="55"/>
      <c r="F3" s="55"/>
      <c r="G3" s="55"/>
      <c r="H3" s="55"/>
    </row>
    <row r="4" spans="1:13" ht="99.75" customHeight="1" thickBot="1" x14ac:dyDescent="0.25">
      <c r="A4" s="11" t="s">
        <v>49</v>
      </c>
      <c r="B4" s="56" t="s">
        <v>12</v>
      </c>
      <c r="C4" s="35" t="s">
        <v>135</v>
      </c>
      <c r="D4" s="10" t="s">
        <v>101</v>
      </c>
      <c r="E4" s="10" t="s">
        <v>128</v>
      </c>
      <c r="F4" s="10" t="s">
        <v>136</v>
      </c>
      <c r="G4" s="10" t="s">
        <v>137</v>
      </c>
      <c r="H4" s="10" t="s">
        <v>138</v>
      </c>
    </row>
    <row r="5" spans="1:13" ht="36" customHeight="1" x14ac:dyDescent="0.2">
      <c r="A5" s="36"/>
      <c r="B5" s="37" t="s">
        <v>51</v>
      </c>
      <c r="C5" s="38" t="s">
        <v>52</v>
      </c>
      <c r="D5" s="38" t="s">
        <v>53</v>
      </c>
      <c r="E5" s="38" t="s">
        <v>54</v>
      </c>
      <c r="F5" s="38" t="s">
        <v>55</v>
      </c>
      <c r="G5" s="38" t="s">
        <v>56</v>
      </c>
      <c r="H5" s="38" t="s">
        <v>57</v>
      </c>
      <c r="I5" s="38"/>
      <c r="J5" s="38"/>
      <c r="K5" s="38"/>
    </row>
    <row r="6" spans="1:13" ht="36" customHeight="1" x14ac:dyDescent="0.2">
      <c r="A6" s="36"/>
      <c r="B6" s="40" t="s">
        <v>58</v>
      </c>
      <c r="C6" s="38" t="s">
        <v>85</v>
      </c>
      <c r="D6" s="42" t="s">
        <v>13</v>
      </c>
      <c r="E6" s="42" t="s">
        <v>59</v>
      </c>
      <c r="F6" s="41" t="s">
        <v>14</v>
      </c>
      <c r="G6" s="42" t="s">
        <v>59</v>
      </c>
      <c r="H6" s="42" t="s">
        <v>19</v>
      </c>
      <c r="I6" s="41"/>
      <c r="J6" s="42"/>
      <c r="K6" s="42"/>
    </row>
    <row r="7" spans="1:13" ht="18" customHeight="1" x14ac:dyDescent="0.2">
      <c r="A7" s="43">
        <v>1</v>
      </c>
      <c r="B7" s="6" t="s">
        <v>15</v>
      </c>
      <c r="C7" s="57">
        <v>239</v>
      </c>
      <c r="D7" s="58">
        <v>24</v>
      </c>
      <c r="E7" s="45"/>
      <c r="F7" s="58">
        <v>253</v>
      </c>
      <c r="G7" s="45"/>
      <c r="H7" s="14">
        <f>C7*F7</f>
        <v>60467</v>
      </c>
      <c r="I7" s="58"/>
      <c r="J7" s="58"/>
      <c r="K7" s="58"/>
      <c r="L7" s="58"/>
      <c r="M7" s="58"/>
    </row>
    <row r="8" spans="1:13" x14ac:dyDescent="0.2">
      <c r="A8" s="43">
        <v>2</v>
      </c>
      <c r="B8" s="6" t="s">
        <v>62</v>
      </c>
      <c r="C8" s="57">
        <v>4</v>
      </c>
      <c r="D8" s="57">
        <v>1706</v>
      </c>
      <c r="E8" s="45">
        <f>D8/D7</f>
        <v>71.083333333333329</v>
      </c>
      <c r="F8" s="16">
        <v>17990</v>
      </c>
      <c r="G8" s="45">
        <f>F8/F7</f>
        <v>71.106719367588937</v>
      </c>
      <c r="H8" s="57">
        <f>C8*F8</f>
        <v>71960</v>
      </c>
      <c r="I8" s="16"/>
      <c r="J8" s="16"/>
      <c r="K8" s="16"/>
      <c r="L8" s="16"/>
      <c r="M8" s="16"/>
    </row>
    <row r="9" spans="1:13" x14ac:dyDescent="0.2">
      <c r="A9" s="43">
        <v>3</v>
      </c>
      <c r="B9" s="6" t="s">
        <v>63</v>
      </c>
      <c r="C9" s="57">
        <v>6</v>
      </c>
      <c r="D9" s="57">
        <v>6750</v>
      </c>
      <c r="E9" s="45">
        <f>D9/D8</f>
        <v>3.9566236811254396</v>
      </c>
      <c r="F9" s="16">
        <v>72050</v>
      </c>
      <c r="G9" s="45">
        <f>F9/F8</f>
        <v>4.0050027793218455</v>
      </c>
      <c r="H9" s="57">
        <f>C9*F9</f>
        <v>432300</v>
      </c>
      <c r="I9" s="16"/>
      <c r="J9" s="16"/>
      <c r="K9" s="16"/>
      <c r="L9" s="16"/>
      <c r="M9" s="16"/>
    </row>
    <row r="10" spans="1:13" x14ac:dyDescent="0.2">
      <c r="A10" s="43">
        <v>4</v>
      </c>
      <c r="B10" s="6" t="s">
        <v>64</v>
      </c>
      <c r="C10" s="57">
        <v>6</v>
      </c>
      <c r="D10" s="57">
        <v>10050</v>
      </c>
      <c r="E10" s="45">
        <f>D10/D9</f>
        <v>1.4888888888888889</v>
      </c>
      <c r="F10" s="16">
        <v>108170</v>
      </c>
      <c r="G10" s="45">
        <f>F10/F9</f>
        <v>1.5013185287994448</v>
      </c>
      <c r="H10" s="57">
        <f>C10*F10</f>
        <v>649020</v>
      </c>
      <c r="I10" s="16"/>
      <c r="J10" s="16"/>
      <c r="K10" s="16"/>
      <c r="L10" s="16"/>
      <c r="M10" s="16"/>
    </row>
    <row r="11" spans="1:13" x14ac:dyDescent="0.2">
      <c r="A11" s="43">
        <v>5</v>
      </c>
      <c r="B11" s="6" t="s">
        <v>65</v>
      </c>
      <c r="C11" s="59">
        <v>0</v>
      </c>
      <c r="D11" s="57">
        <v>169300</v>
      </c>
      <c r="E11" s="45">
        <f>D11/D10</f>
        <v>16.845771144278608</v>
      </c>
      <c r="F11" s="16">
        <v>1817000</v>
      </c>
      <c r="G11" s="45">
        <f>F11/F10</f>
        <v>16.797633354904317</v>
      </c>
      <c r="H11" s="59">
        <f>C11*F11</f>
        <v>0</v>
      </c>
      <c r="I11" s="16"/>
      <c r="J11" s="16"/>
      <c r="K11" s="16"/>
      <c r="L11" s="16"/>
      <c r="M11" s="16"/>
    </row>
    <row r="12" spans="1:13" ht="18" customHeight="1" thickBot="1" x14ac:dyDescent="0.25">
      <c r="B12" s="2" t="s">
        <v>10</v>
      </c>
      <c r="C12" s="60">
        <f>SUM(C7:C11)</f>
        <v>255</v>
      </c>
      <c r="H12" s="61">
        <f>SUM(H7:H11)</f>
        <v>1213747</v>
      </c>
      <c r="I12" s="22"/>
    </row>
    <row r="13" spans="1:13" ht="30" customHeight="1" thickTop="1" x14ac:dyDescent="0.2">
      <c r="A13" s="6" t="s">
        <v>42</v>
      </c>
      <c r="B13" s="52"/>
      <c r="H13" s="58"/>
      <c r="I13" s="62"/>
    </row>
    <row r="14" spans="1:13" x14ac:dyDescent="0.2">
      <c r="A14" s="6" t="s">
        <v>139</v>
      </c>
      <c r="B14" s="52"/>
    </row>
    <row r="15" spans="1:13" x14ac:dyDescent="0.2">
      <c r="A15" s="6" t="s">
        <v>70</v>
      </c>
    </row>
    <row r="16" spans="1:13" x14ac:dyDescent="0.2">
      <c r="A16" s="6" t="s">
        <v>71</v>
      </c>
    </row>
  </sheetData>
  <phoneticPr fontId="0" type="noConversion"/>
  <printOptions horizontalCentered="1" gridLinesSet="0"/>
  <pageMargins left="0.5" right="0.5" top="0.5" bottom="0.5" header="0.5" footer="0.5"/>
  <pageSetup scale="80" orientation="landscape" horizontalDpi="4294967292" verticalDpi="4294967292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CE0D96F067CD74B8E0D63C8A9BA2DC6" ma:contentTypeVersion="104" ma:contentTypeDescription="" ma:contentTypeScope="" ma:versionID="3780449a0001335b4ec23ab21deaf9f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TL</Prefix>
    <DocumentSetType xmlns="dc463f71-b30c-4ab2-9473-d307f9d35888">Workpapers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219</IndustryCode>
    <CaseStatus xmlns="dc463f71-b30c-4ab2-9473-d307f9d35888">Closed</CaseStatus>
    <OpenedDate xmlns="dc463f71-b30c-4ab2-9473-d307f9d35888">2016-11-23T08:00:00+00:00</OpenedDate>
    <Date1 xmlns="dc463f71-b30c-4ab2-9473-d307f9d35888">2016-11-23T08:00:00+00:00</Date1>
    <IsDocumentOrder xmlns="dc463f71-b30c-4ab2-9473-d307f9d35888" xsi:nil="true"/>
    <IsHighlyConfidential xmlns="dc463f71-b30c-4ab2-9473-d307f9d35888">false</IsHighlyConfidential>
    <CaseCompanyNames xmlns="dc463f71-b30c-4ab2-9473-d307f9d35888">US Ecology Washington, Inc.</CaseCompanyNames>
    <DocketNumber xmlns="dc463f71-b30c-4ab2-9473-d307f9d35888">161237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CEA58672-BC20-47A7-B9D7-13CCB22DE9ED}"/>
</file>

<file path=customXml/itemProps2.xml><?xml version="1.0" encoding="utf-8"?>
<ds:datastoreItem xmlns:ds="http://schemas.openxmlformats.org/officeDocument/2006/customXml" ds:itemID="{3E1200D7-8167-4A28-ACB1-03351E49E4F6}"/>
</file>

<file path=customXml/itemProps3.xml><?xml version="1.0" encoding="utf-8"?>
<ds:datastoreItem xmlns:ds="http://schemas.openxmlformats.org/officeDocument/2006/customXml" ds:itemID="{3E44FFAE-C7F7-4AB8-89ED-5D28CF778512}"/>
</file>

<file path=customXml/itemProps4.xml><?xml version="1.0" encoding="utf-8"?>
<ds:datastoreItem xmlns:ds="http://schemas.openxmlformats.org/officeDocument/2006/customXml" ds:itemID="{40AD702B-D2A4-4565-8B13-92C0CD7E5F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Rate Calculation</vt:lpstr>
      <vt:lpstr>SAC</vt:lpstr>
      <vt:lpstr>Dose Rate</vt:lpstr>
      <vt:lpstr>'Dose Rate'!Print_Area</vt:lpstr>
      <vt:lpstr>'Rate Calculation'!Print_Area</vt:lpstr>
      <vt:lpstr>SAC!Print_Area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Tray Caldwell</dc:creator>
  <cp:lastModifiedBy>Candace Shofstall</cp:lastModifiedBy>
  <cp:lastPrinted>2016-11-22T16:26:19Z</cp:lastPrinted>
  <dcterms:created xsi:type="dcterms:W3CDTF">1997-12-09T13:15:08Z</dcterms:created>
  <dcterms:modified xsi:type="dcterms:W3CDTF">2016-11-22T17:36:38Z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0x0101006E56B4D1795A2E4DB2F0B01679ED314A005CE0D96F067CD74B8E0D63C8A9BA2DC6</vt:lpwstr>
  </property>
  <property fmtid="{D5CDD505-2E9C-101B-9397-08002B2CF9AE}" pid="3" name="_docset_NoMedatataSyncRequired">
    <vt:lpwstr>False</vt:lpwstr>
  </property>
</Properties>
</file>