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his Week\3. Friday\TG-161228 Basin Disposal\"/>
    </mc:Choice>
  </mc:AlternateContent>
  <bookViews>
    <workbookView xWindow="195" yWindow="180" windowWidth="13380" windowHeight="7350" activeTab="1"/>
  </bookViews>
  <sheets>
    <sheet name="References" sheetId="4" r:id="rId1"/>
    <sheet name="Calculations" sheetId="7" r:id="rId2"/>
  </sheets>
  <definedNames>
    <definedName name="_xlnm.Print_Area" localSheetId="1">Calculations!$A$2:$Q$119</definedName>
    <definedName name="_xlnm.Print_Titles" localSheetId="1">Calculations!$1:$1</definedName>
  </definedNames>
  <calcPr calcId="152511"/>
</workbook>
</file>

<file path=xl/calcChain.xml><?xml version="1.0" encoding="utf-8"?>
<calcChain xmlns="http://schemas.openxmlformats.org/spreadsheetml/2006/main">
  <c r="G2" i="7" l="1"/>
  <c r="G3" i="7"/>
  <c r="G4" i="7"/>
  <c r="G5" i="7"/>
  <c r="G6" i="7"/>
  <c r="G8" i="7"/>
  <c r="G9" i="7"/>
  <c r="G12" i="7"/>
  <c r="H12" i="7" s="1"/>
  <c r="G13" i="7"/>
  <c r="H13" i="7" s="1"/>
  <c r="G14" i="7"/>
  <c r="H14" i="7" s="1"/>
  <c r="G15" i="7"/>
  <c r="H15" i="7" s="1"/>
  <c r="G17" i="7"/>
  <c r="H17" i="7" s="1"/>
  <c r="G18" i="7"/>
  <c r="H18" i="7" s="1"/>
  <c r="G19" i="7"/>
  <c r="H19" i="7"/>
  <c r="G20" i="7"/>
  <c r="H20" i="7" s="1"/>
  <c r="G22" i="7"/>
  <c r="H22" i="7" s="1"/>
  <c r="G23" i="7"/>
  <c r="H23" i="7" s="1"/>
  <c r="G25" i="7"/>
  <c r="H25" i="7" s="1"/>
  <c r="G26" i="7"/>
  <c r="H26" i="7" s="1"/>
  <c r="G28" i="7"/>
  <c r="H28" i="7" s="1"/>
  <c r="G29" i="7"/>
  <c r="G30" i="7"/>
  <c r="H30" i="7"/>
  <c r="G32" i="7"/>
  <c r="H32" i="7" s="1"/>
  <c r="G33" i="7"/>
  <c r="H33" i="7" s="1"/>
  <c r="G34" i="7"/>
  <c r="H34" i="7" s="1"/>
  <c r="G35" i="7"/>
  <c r="H35" i="7" s="1"/>
  <c r="G42" i="7"/>
  <c r="H42" i="7" s="1"/>
  <c r="G43" i="7"/>
  <c r="H43" i="7"/>
  <c r="G44" i="7"/>
  <c r="H44" i="7" s="1"/>
  <c r="G46" i="7"/>
  <c r="H46" i="7" s="1"/>
  <c r="G47" i="7"/>
  <c r="H47" i="7" s="1"/>
  <c r="G48" i="7"/>
  <c r="H48" i="7"/>
  <c r="G49" i="7"/>
  <c r="H49" i="7" s="1"/>
  <c r="G54" i="7"/>
  <c r="H54" i="7" s="1"/>
  <c r="G55" i="7"/>
  <c r="H55" i="7" s="1"/>
  <c r="G56" i="7"/>
  <c r="H56" i="7"/>
  <c r="G57" i="7"/>
  <c r="H57" i="7" s="1"/>
  <c r="G58" i="7"/>
  <c r="H58" i="7" s="1"/>
  <c r="G59" i="7"/>
  <c r="H59" i="7" s="1"/>
  <c r="G60" i="7"/>
  <c r="H60" i="7"/>
  <c r="G61" i="7"/>
  <c r="H61" i="7" s="1"/>
  <c r="G62" i="7"/>
  <c r="H62" i="7" s="1"/>
  <c r="G63" i="7"/>
  <c r="H63" i="7" s="1"/>
  <c r="G64" i="7"/>
  <c r="H64" i="7"/>
  <c r="G65" i="7"/>
  <c r="H65" i="7" s="1"/>
  <c r="G66" i="7"/>
  <c r="H66" i="7" s="1"/>
  <c r="G67" i="7"/>
  <c r="H67" i="7" s="1"/>
  <c r="N45" i="7"/>
  <c r="P45" i="7" s="1"/>
  <c r="N41" i="7"/>
  <c r="P41" i="7" s="1"/>
  <c r="Q41" i="7" s="1"/>
  <c r="N36" i="7"/>
  <c r="P36" i="7"/>
  <c r="N31" i="7"/>
  <c r="P31" i="7" s="1"/>
  <c r="N27" i="7"/>
  <c r="P27" i="7" s="1"/>
  <c r="Q27" i="7" s="1"/>
  <c r="N24" i="7"/>
  <c r="P24" i="7" s="1"/>
  <c r="N21" i="7"/>
  <c r="P21" i="7" s="1"/>
  <c r="N16" i="7"/>
  <c r="P16" i="7"/>
  <c r="Q7" i="7"/>
  <c r="G48" i="4"/>
  <c r="H37" i="7"/>
  <c r="H38" i="7"/>
  <c r="H39" i="7"/>
  <c r="H40" i="7"/>
  <c r="H51" i="7"/>
  <c r="H52" i="7"/>
  <c r="D117" i="7"/>
  <c r="C47" i="4"/>
  <c r="C48" i="4"/>
  <c r="G79" i="7"/>
  <c r="G104" i="7"/>
  <c r="G103" i="7"/>
  <c r="G102" i="7"/>
  <c r="G98" i="7"/>
  <c r="G97" i="7"/>
  <c r="G96" i="7"/>
  <c r="G95" i="7"/>
  <c r="G94" i="7"/>
  <c r="O50" i="7"/>
  <c r="G87" i="7"/>
  <c r="G86" i="7"/>
  <c r="G85" i="7"/>
  <c r="H93" i="7"/>
  <c r="O36" i="7"/>
  <c r="O27" i="7"/>
  <c r="O24" i="7"/>
  <c r="O21" i="7"/>
  <c r="O16" i="7"/>
  <c r="O45" i="7"/>
  <c r="O31" i="7"/>
  <c r="O41" i="7"/>
  <c r="F69" i="7"/>
  <c r="G74" i="7"/>
  <c r="G75" i="7"/>
  <c r="G76" i="7"/>
  <c r="G77" i="7"/>
  <c r="G78" i="7"/>
  <c r="G80" i="7"/>
  <c r="G81" i="7"/>
  <c r="G82" i="7"/>
  <c r="G83" i="7"/>
  <c r="G84" i="7"/>
  <c r="D11" i="7"/>
  <c r="D70" i="7" s="1"/>
  <c r="O67" i="7"/>
  <c r="O66" i="7"/>
  <c r="O65" i="7"/>
  <c r="O64" i="7"/>
  <c r="O63" i="7"/>
  <c r="O62" i="7"/>
  <c r="O61" i="7"/>
  <c r="O60" i="7"/>
  <c r="O59" i="7"/>
  <c r="O58" i="7"/>
  <c r="O57" i="7"/>
  <c r="O56" i="7"/>
  <c r="O55" i="7"/>
  <c r="O54" i="7"/>
  <c r="O52" i="7"/>
  <c r="O51" i="7"/>
  <c r="O47" i="7"/>
  <c r="O48" i="7"/>
  <c r="O49" i="7"/>
  <c r="O2" i="7"/>
  <c r="G101" i="7"/>
  <c r="G100" i="7"/>
  <c r="G99" i="7"/>
  <c r="G92" i="7"/>
  <c r="G91" i="7"/>
  <c r="G90" i="7"/>
  <c r="O40" i="7"/>
  <c r="O42" i="7"/>
  <c r="O43" i="7"/>
  <c r="O44" i="7"/>
  <c r="O46" i="7"/>
  <c r="O3" i="7"/>
  <c r="E69" i="7"/>
  <c r="D69" i="7"/>
  <c r="O15" i="7"/>
  <c r="O14" i="7"/>
  <c r="O17" i="7"/>
  <c r="O18" i="7"/>
  <c r="O13" i="7"/>
  <c r="O19" i="7"/>
  <c r="O20" i="7"/>
  <c r="O22" i="7"/>
  <c r="O23" i="7"/>
  <c r="O25" i="7"/>
  <c r="O26" i="7"/>
  <c r="O28" i="7"/>
  <c r="O29" i="7"/>
  <c r="O30" i="7"/>
  <c r="O32" i="7"/>
  <c r="O33" i="7"/>
  <c r="O34" i="7"/>
  <c r="O35" i="7"/>
  <c r="O37" i="7"/>
  <c r="O38" i="7"/>
  <c r="O39" i="7"/>
  <c r="O12" i="7"/>
  <c r="O5" i="7"/>
  <c r="O6" i="7"/>
  <c r="O8" i="7"/>
  <c r="O9" i="7"/>
  <c r="B54" i="4"/>
  <c r="O4" i="7"/>
  <c r="B3" i="4"/>
  <c r="F3" i="4" s="1"/>
  <c r="B4" i="4"/>
  <c r="H4" i="4" s="1"/>
  <c r="B5" i="4"/>
  <c r="D5" i="4" s="1"/>
  <c r="B6" i="4"/>
  <c r="C6" i="4" s="1"/>
  <c r="E4" i="4"/>
  <c r="F5" i="4"/>
  <c r="C5" i="4"/>
  <c r="D4" i="4"/>
  <c r="E5" i="4"/>
  <c r="G5" i="4"/>
  <c r="H5" i="4"/>
  <c r="G3" i="4"/>
  <c r="H3" i="4"/>
  <c r="G47" i="4"/>
  <c r="B49" i="4"/>
  <c r="B52" i="4" s="1"/>
  <c r="B9" i="4"/>
  <c r="E92" i="7" s="1"/>
  <c r="F92" i="7" s="1"/>
  <c r="H92" i="7" s="1"/>
  <c r="B8" i="4"/>
  <c r="G8" i="4" s="1"/>
  <c r="B7" i="4"/>
  <c r="E2" i="7" s="1"/>
  <c r="F2" i="7" s="1"/>
  <c r="F8" i="4"/>
  <c r="E8" i="4"/>
  <c r="D8" i="4"/>
  <c r="D7" i="4"/>
  <c r="G9" i="4"/>
  <c r="E80" i="7" l="1"/>
  <c r="F80" i="7" s="1"/>
  <c r="H80" i="7" s="1"/>
  <c r="E76" i="7"/>
  <c r="F76" i="7" s="1"/>
  <c r="H76" i="7" s="1"/>
  <c r="E85" i="7"/>
  <c r="F85" i="7" s="1"/>
  <c r="H85" i="7" s="1"/>
  <c r="E99" i="7"/>
  <c r="F99" i="7" s="1"/>
  <c r="F9" i="4"/>
  <c r="E7" i="4"/>
  <c r="G50" i="4"/>
  <c r="G52" i="4" s="1"/>
  <c r="B53" i="4" s="1"/>
  <c r="B55" i="4" s="1"/>
  <c r="C4" i="4"/>
  <c r="E82" i="7"/>
  <c r="F82" i="7" s="1"/>
  <c r="H82" i="7" s="1"/>
  <c r="E95" i="7"/>
  <c r="F95" i="7" s="1"/>
  <c r="H95" i="7" s="1"/>
  <c r="Q31" i="7"/>
  <c r="Q45" i="7"/>
  <c r="G7" i="4"/>
  <c r="E84" i="7"/>
  <c r="F84" i="7" s="1"/>
  <c r="H84" i="7" s="1"/>
  <c r="E75" i="7"/>
  <c r="F75" i="7" s="1"/>
  <c r="H75" i="7" s="1"/>
  <c r="E94" i="7"/>
  <c r="F94" i="7" s="1"/>
  <c r="H94" i="7" s="1"/>
  <c r="Q36" i="7"/>
  <c r="H9" i="4"/>
  <c r="H7" i="4"/>
  <c r="F4" i="4"/>
  <c r="G4" i="4"/>
  <c r="Q24" i="7"/>
  <c r="O11" i="7"/>
  <c r="H99" i="7"/>
  <c r="H6" i="4"/>
  <c r="G6" i="4"/>
  <c r="O69" i="7"/>
  <c r="H29" i="7"/>
  <c r="H69" i="7" s="1"/>
  <c r="G69" i="7"/>
  <c r="F6" i="4"/>
  <c r="E6" i="4"/>
  <c r="D6" i="4"/>
  <c r="H2" i="7"/>
  <c r="H8" i="4"/>
  <c r="E4" i="7"/>
  <c r="F4" i="7" s="1"/>
  <c r="H4" i="7" s="1"/>
  <c r="E9" i="7"/>
  <c r="F9" i="7" s="1"/>
  <c r="H9" i="7" s="1"/>
  <c r="E100" i="7"/>
  <c r="F100" i="7" s="1"/>
  <c r="H100" i="7" s="1"/>
  <c r="E86" i="7"/>
  <c r="F86" i="7" s="1"/>
  <c r="H86" i="7" s="1"/>
  <c r="C9" i="4"/>
  <c r="E81" i="7" s="1"/>
  <c r="F81" i="7" s="1"/>
  <c r="H81" i="7" s="1"/>
  <c r="E5" i="7"/>
  <c r="F5" i="7" s="1"/>
  <c r="H5" i="7" s="1"/>
  <c r="E96" i="7"/>
  <c r="F96" i="7" s="1"/>
  <c r="H96" i="7" s="1"/>
  <c r="E104" i="7"/>
  <c r="F104" i="7" s="1"/>
  <c r="H104" i="7" s="1"/>
  <c r="E97" i="7"/>
  <c r="F97" i="7" s="1"/>
  <c r="H97" i="7" s="1"/>
  <c r="E87" i="7"/>
  <c r="F87" i="7" s="1"/>
  <c r="H87" i="7" s="1"/>
  <c r="E98" i="7"/>
  <c r="F98" i="7" s="1"/>
  <c r="H98" i="7" s="1"/>
  <c r="E91" i="7"/>
  <c r="F91" i="7" s="1"/>
  <c r="H91" i="7" s="1"/>
  <c r="E9" i="4"/>
  <c r="E93" i="7"/>
  <c r="E103" i="7"/>
  <c r="F103" i="7" s="1"/>
  <c r="H103" i="7" s="1"/>
  <c r="C49" i="4"/>
  <c r="E3" i="4"/>
  <c r="C3" i="4"/>
  <c r="E102" i="7"/>
  <c r="F102" i="7" s="1"/>
  <c r="H102" i="7" s="1"/>
  <c r="Q16" i="7"/>
  <c r="Q21" i="7"/>
  <c r="D3" i="4"/>
  <c r="D9" i="4"/>
  <c r="C8" i="4"/>
  <c r="E90" i="7"/>
  <c r="F90" i="7" s="1"/>
  <c r="H90" i="7" s="1"/>
  <c r="E101" i="7"/>
  <c r="F101" i="7" s="1"/>
  <c r="H101" i="7" s="1"/>
  <c r="E105" i="7"/>
  <c r="F105" i="7" s="1"/>
  <c r="H105" i="7" s="1"/>
  <c r="C7" i="4"/>
  <c r="E77" i="7"/>
  <c r="F77" i="7" s="1"/>
  <c r="H77" i="7" s="1"/>
  <c r="E83" i="7"/>
  <c r="F83" i="7" s="1"/>
  <c r="H83" i="7" s="1"/>
  <c r="E74" i="7"/>
  <c r="F74" i="7" s="1"/>
  <c r="H74" i="7" s="1"/>
  <c r="E8" i="7"/>
  <c r="F8" i="7" s="1"/>
  <c r="H8" i="7" s="1"/>
  <c r="E3" i="7"/>
  <c r="F3" i="7" s="1"/>
  <c r="H3" i="7" s="1"/>
  <c r="F7" i="4"/>
  <c r="E78" i="7"/>
  <c r="F78" i="7" s="1"/>
  <c r="H78" i="7" s="1"/>
  <c r="E79" i="7"/>
  <c r="F79" i="7" s="1"/>
  <c r="H79" i="7" s="1"/>
  <c r="E6" i="7"/>
  <c r="F6" i="7" s="1"/>
  <c r="H6" i="7" s="1"/>
  <c r="O70" i="7" l="1"/>
  <c r="H11" i="7"/>
  <c r="H70" i="7" s="1"/>
  <c r="D119" i="7" s="1"/>
  <c r="F11" i="7"/>
  <c r="F70" i="7" l="1"/>
  <c r="D118" i="7"/>
  <c r="I67" i="7"/>
  <c r="J67" i="7" s="1"/>
  <c r="K67" i="7" s="1"/>
  <c r="L67" i="7" s="1"/>
  <c r="N67" i="7" s="1"/>
  <c r="P67" i="7" s="1"/>
  <c r="Q67" i="7" s="1"/>
  <c r="I59" i="7"/>
  <c r="J59" i="7" s="1"/>
  <c r="K59" i="7" s="1"/>
  <c r="L59" i="7" s="1"/>
  <c r="N59" i="7" s="1"/>
  <c r="P59" i="7" s="1"/>
  <c r="Q59" i="7" s="1"/>
  <c r="I50" i="7"/>
  <c r="J50" i="7" s="1"/>
  <c r="K50" i="7" s="1"/>
  <c r="L50" i="7" s="1"/>
  <c r="N50" i="7" s="1"/>
  <c r="P50" i="7" s="1"/>
  <c r="Q50" i="7" s="1"/>
  <c r="I8" i="7"/>
  <c r="J8" i="7" s="1"/>
  <c r="K8" i="7" s="1"/>
  <c r="L8" i="7" s="1"/>
  <c r="N8" i="7" s="1"/>
  <c r="P8" i="7" s="1"/>
  <c r="Q8" i="7" s="1"/>
  <c r="I6" i="7"/>
  <c r="J6" i="7" s="1"/>
  <c r="K6" i="7" s="1"/>
  <c r="L6" i="7" s="1"/>
  <c r="N6" i="7" s="1"/>
  <c r="P6" i="7" s="1"/>
  <c r="Q6" i="7" s="1"/>
  <c r="I63" i="7"/>
  <c r="J63" i="7" s="1"/>
  <c r="K63" i="7" s="1"/>
  <c r="L63" i="7" s="1"/>
  <c r="N63" i="7" s="1"/>
  <c r="P63" i="7" s="1"/>
  <c r="Q63" i="7" s="1"/>
  <c r="I55" i="7"/>
  <c r="J55" i="7" s="1"/>
  <c r="K55" i="7" s="1"/>
  <c r="L55" i="7" s="1"/>
  <c r="N55" i="7" s="1"/>
  <c r="P55" i="7" s="1"/>
  <c r="Q55" i="7" s="1"/>
  <c r="I46" i="7"/>
  <c r="J46" i="7" s="1"/>
  <c r="K46" i="7" s="1"/>
  <c r="L46" i="7" s="1"/>
  <c r="N46" i="7" s="1"/>
  <c r="P46" i="7" s="1"/>
  <c r="Q46" i="7" s="1"/>
  <c r="I42" i="7"/>
  <c r="J42" i="7" s="1"/>
  <c r="K42" i="7" s="1"/>
  <c r="L42" i="7" s="1"/>
  <c r="N42" i="7" s="1"/>
  <c r="P42" i="7" s="1"/>
  <c r="Q42" i="7" s="1"/>
  <c r="I38" i="7"/>
  <c r="J38" i="7" s="1"/>
  <c r="K38" i="7" s="1"/>
  <c r="L38" i="7" s="1"/>
  <c r="N38" i="7" s="1"/>
  <c r="P38" i="7" s="1"/>
  <c r="Q38" i="7" s="1"/>
  <c r="I34" i="7"/>
  <c r="J34" i="7" s="1"/>
  <c r="K34" i="7" s="1"/>
  <c r="L34" i="7" s="1"/>
  <c r="N34" i="7" s="1"/>
  <c r="P34" i="7" s="1"/>
  <c r="Q34" i="7" s="1"/>
  <c r="I30" i="7"/>
  <c r="J30" i="7" s="1"/>
  <c r="K30" i="7" s="1"/>
  <c r="L30" i="7" s="1"/>
  <c r="N30" i="7" s="1"/>
  <c r="P30" i="7" s="1"/>
  <c r="Q30" i="7" s="1"/>
  <c r="I26" i="7"/>
  <c r="J26" i="7" s="1"/>
  <c r="K26" i="7" s="1"/>
  <c r="L26" i="7" s="1"/>
  <c r="N26" i="7" s="1"/>
  <c r="P26" i="7" s="1"/>
  <c r="Q26" i="7" s="1"/>
  <c r="I22" i="7"/>
  <c r="J22" i="7" s="1"/>
  <c r="K22" i="7" s="1"/>
  <c r="L22" i="7" s="1"/>
  <c r="N22" i="7" s="1"/>
  <c r="P22" i="7" s="1"/>
  <c r="Q22" i="7" s="1"/>
  <c r="I18" i="7"/>
  <c r="J18" i="7" s="1"/>
  <c r="K18" i="7" s="1"/>
  <c r="L18" i="7" s="1"/>
  <c r="N18" i="7" s="1"/>
  <c r="P18" i="7" s="1"/>
  <c r="Q18" i="7" s="1"/>
  <c r="I14" i="7"/>
  <c r="J14" i="7" s="1"/>
  <c r="K14" i="7" s="1"/>
  <c r="L14" i="7" s="1"/>
  <c r="N14" i="7" s="1"/>
  <c r="P14" i="7" s="1"/>
  <c r="Q14" i="7" s="1"/>
  <c r="I2" i="7"/>
  <c r="I79" i="7"/>
  <c r="J79" i="7" s="1"/>
  <c r="K79" i="7" s="1"/>
  <c r="L79" i="7" s="1"/>
  <c r="N79" i="7" s="1"/>
  <c r="I105" i="7"/>
  <c r="J105" i="7" s="1"/>
  <c r="K105" i="7" s="1"/>
  <c r="L105" i="7" s="1"/>
  <c r="N105" i="7" s="1"/>
  <c r="I64" i="7"/>
  <c r="J64" i="7" s="1"/>
  <c r="K64" i="7" s="1"/>
  <c r="L64" i="7" s="1"/>
  <c r="N64" i="7" s="1"/>
  <c r="P64" i="7" s="1"/>
  <c r="Q64" i="7" s="1"/>
  <c r="I56" i="7"/>
  <c r="J56" i="7" s="1"/>
  <c r="K56" i="7" s="1"/>
  <c r="L56" i="7" s="1"/>
  <c r="N56" i="7" s="1"/>
  <c r="P56" i="7" s="1"/>
  <c r="Q56" i="7" s="1"/>
  <c r="I47" i="7"/>
  <c r="J47" i="7" s="1"/>
  <c r="K47" i="7" s="1"/>
  <c r="L47" i="7" s="1"/>
  <c r="N47" i="7" s="1"/>
  <c r="P47" i="7" s="1"/>
  <c r="Q47" i="7" s="1"/>
  <c r="I43" i="7"/>
  <c r="J43" i="7" s="1"/>
  <c r="K43" i="7" s="1"/>
  <c r="L43" i="7" s="1"/>
  <c r="N43" i="7" s="1"/>
  <c r="P43" i="7" s="1"/>
  <c r="Q43" i="7" s="1"/>
  <c r="I39" i="7"/>
  <c r="J39" i="7" s="1"/>
  <c r="K39" i="7" s="1"/>
  <c r="L39" i="7" s="1"/>
  <c r="N39" i="7" s="1"/>
  <c r="P39" i="7" s="1"/>
  <c r="Q39" i="7" s="1"/>
  <c r="I35" i="7"/>
  <c r="J35" i="7" s="1"/>
  <c r="K35" i="7" s="1"/>
  <c r="L35" i="7" s="1"/>
  <c r="N35" i="7" s="1"/>
  <c r="P35" i="7" s="1"/>
  <c r="Q35" i="7" s="1"/>
  <c r="I23" i="7"/>
  <c r="J23" i="7" s="1"/>
  <c r="K23" i="7" s="1"/>
  <c r="L23" i="7" s="1"/>
  <c r="N23" i="7" s="1"/>
  <c r="P23" i="7" s="1"/>
  <c r="Q23" i="7" s="1"/>
  <c r="I19" i="7"/>
  <c r="J19" i="7" s="1"/>
  <c r="K19" i="7" s="1"/>
  <c r="L19" i="7" s="1"/>
  <c r="N19" i="7" s="1"/>
  <c r="P19" i="7" s="1"/>
  <c r="Q19" i="7" s="1"/>
  <c r="I15" i="7"/>
  <c r="J15" i="7" s="1"/>
  <c r="K15" i="7" s="1"/>
  <c r="L15" i="7" s="1"/>
  <c r="N15" i="7" s="1"/>
  <c r="P15" i="7" s="1"/>
  <c r="Q15" i="7" s="1"/>
  <c r="I3" i="7"/>
  <c r="J3" i="7" s="1"/>
  <c r="K3" i="7" s="1"/>
  <c r="L3" i="7" s="1"/>
  <c r="N3" i="7" s="1"/>
  <c r="P3" i="7" s="1"/>
  <c r="Q3" i="7" s="1"/>
  <c r="I65" i="7"/>
  <c r="J65" i="7" s="1"/>
  <c r="K65" i="7" s="1"/>
  <c r="L65" i="7" s="1"/>
  <c r="N65" i="7" s="1"/>
  <c r="P65" i="7" s="1"/>
  <c r="Q65" i="7" s="1"/>
  <c r="I57" i="7"/>
  <c r="J57" i="7" s="1"/>
  <c r="K57" i="7" s="1"/>
  <c r="L57" i="7" s="1"/>
  <c r="N57" i="7" s="1"/>
  <c r="P57" i="7" s="1"/>
  <c r="Q57" i="7" s="1"/>
  <c r="I48" i="7"/>
  <c r="J48" i="7" s="1"/>
  <c r="K48" i="7" s="1"/>
  <c r="L48" i="7" s="1"/>
  <c r="N48" i="7" s="1"/>
  <c r="P48" i="7" s="1"/>
  <c r="Q48" i="7" s="1"/>
  <c r="I44" i="7"/>
  <c r="J44" i="7" s="1"/>
  <c r="K44" i="7" s="1"/>
  <c r="L44" i="7" s="1"/>
  <c r="N44" i="7" s="1"/>
  <c r="P44" i="7" s="1"/>
  <c r="Q44" i="7" s="1"/>
  <c r="I40" i="7"/>
  <c r="J40" i="7" s="1"/>
  <c r="K40" i="7" s="1"/>
  <c r="L40" i="7" s="1"/>
  <c r="N40" i="7" s="1"/>
  <c r="P40" i="7" s="1"/>
  <c r="Q40" i="7" s="1"/>
  <c r="I20" i="7"/>
  <c r="J20" i="7" s="1"/>
  <c r="K20" i="7" s="1"/>
  <c r="L20" i="7" s="1"/>
  <c r="N20" i="7" s="1"/>
  <c r="P20" i="7" s="1"/>
  <c r="Q20" i="7" s="1"/>
  <c r="I4" i="7"/>
  <c r="J4" i="7" s="1"/>
  <c r="K4" i="7" s="1"/>
  <c r="L4" i="7" s="1"/>
  <c r="N4" i="7" s="1"/>
  <c r="P4" i="7" s="1"/>
  <c r="Q4" i="7" s="1"/>
  <c r="I103" i="7"/>
  <c r="J103" i="7" s="1"/>
  <c r="K103" i="7" s="1"/>
  <c r="L103" i="7" s="1"/>
  <c r="N103" i="7" s="1"/>
  <c r="I52" i="7"/>
  <c r="J52" i="7" s="1"/>
  <c r="K52" i="7" s="1"/>
  <c r="L52" i="7" s="1"/>
  <c r="N52" i="7" s="1"/>
  <c r="P52" i="7" s="1"/>
  <c r="Q52" i="7" s="1"/>
  <c r="I32" i="7"/>
  <c r="J32" i="7" s="1"/>
  <c r="K32" i="7" s="1"/>
  <c r="L32" i="7" s="1"/>
  <c r="N32" i="7" s="1"/>
  <c r="P32" i="7" s="1"/>
  <c r="Q32" i="7" s="1"/>
  <c r="I97" i="7"/>
  <c r="J97" i="7" s="1"/>
  <c r="K97" i="7" s="1"/>
  <c r="L97" i="7" s="1"/>
  <c r="N97" i="7" s="1"/>
  <c r="I84" i="7"/>
  <c r="J84" i="7" s="1"/>
  <c r="K84" i="7" s="1"/>
  <c r="L84" i="7" s="1"/>
  <c r="N84" i="7" s="1"/>
  <c r="I90" i="7"/>
  <c r="J90" i="7" s="1"/>
  <c r="K90" i="7" s="1"/>
  <c r="L90" i="7" s="1"/>
  <c r="N90" i="7" s="1"/>
  <c r="I82" i="7"/>
  <c r="J82" i="7" s="1"/>
  <c r="K82" i="7" s="1"/>
  <c r="L82" i="7" s="1"/>
  <c r="N82" i="7" s="1"/>
  <c r="I99" i="7"/>
  <c r="J99" i="7" s="1"/>
  <c r="K99" i="7" s="1"/>
  <c r="L99" i="7" s="1"/>
  <c r="N99" i="7" s="1"/>
  <c r="I91" i="7"/>
  <c r="J91" i="7" s="1"/>
  <c r="K91" i="7" s="1"/>
  <c r="L91" i="7" s="1"/>
  <c r="N91" i="7" s="1"/>
  <c r="I62" i="7"/>
  <c r="J62" i="7" s="1"/>
  <c r="K62" i="7" s="1"/>
  <c r="L62" i="7" s="1"/>
  <c r="N62" i="7" s="1"/>
  <c r="P62" i="7" s="1"/>
  <c r="Q62" i="7" s="1"/>
  <c r="I37" i="7"/>
  <c r="J37" i="7" s="1"/>
  <c r="K37" i="7" s="1"/>
  <c r="L37" i="7" s="1"/>
  <c r="N37" i="7" s="1"/>
  <c r="P37" i="7" s="1"/>
  <c r="Q37" i="7" s="1"/>
  <c r="I29" i="7"/>
  <c r="J29" i="7" s="1"/>
  <c r="K29" i="7" s="1"/>
  <c r="L29" i="7" s="1"/>
  <c r="N29" i="7" s="1"/>
  <c r="P29" i="7" s="1"/>
  <c r="Q29" i="7" s="1"/>
  <c r="I13" i="7"/>
  <c r="J13" i="7" s="1"/>
  <c r="K13" i="7" s="1"/>
  <c r="L13" i="7" s="1"/>
  <c r="N13" i="7" s="1"/>
  <c r="P13" i="7" s="1"/>
  <c r="Q13" i="7" s="1"/>
  <c r="I104" i="7"/>
  <c r="J104" i="7" s="1"/>
  <c r="K104" i="7" s="1"/>
  <c r="L104" i="7" s="1"/>
  <c r="N104" i="7" s="1"/>
  <c r="I86" i="7"/>
  <c r="J86" i="7" s="1"/>
  <c r="K86" i="7" s="1"/>
  <c r="L86" i="7" s="1"/>
  <c r="N86" i="7" s="1"/>
  <c r="I78" i="7"/>
  <c r="J78" i="7" s="1"/>
  <c r="K78" i="7" s="1"/>
  <c r="L78" i="7" s="1"/>
  <c r="N78" i="7" s="1"/>
  <c r="I101" i="7"/>
  <c r="J101" i="7" s="1"/>
  <c r="K101" i="7" s="1"/>
  <c r="L101" i="7" s="1"/>
  <c r="N101" i="7" s="1"/>
  <c r="I51" i="7"/>
  <c r="J51" i="7" s="1"/>
  <c r="K51" i="7" s="1"/>
  <c r="L51" i="7" s="1"/>
  <c r="N51" i="7" s="1"/>
  <c r="P51" i="7" s="1"/>
  <c r="Q51" i="7" s="1"/>
  <c r="I95" i="7"/>
  <c r="J95" i="7" s="1"/>
  <c r="K95" i="7" s="1"/>
  <c r="L95" i="7" s="1"/>
  <c r="N95" i="7" s="1"/>
  <c r="I66" i="7"/>
  <c r="J66" i="7" s="1"/>
  <c r="K66" i="7" s="1"/>
  <c r="L66" i="7" s="1"/>
  <c r="N66" i="7" s="1"/>
  <c r="P66" i="7" s="1"/>
  <c r="Q66" i="7" s="1"/>
  <c r="I49" i="7"/>
  <c r="J49" i="7" s="1"/>
  <c r="K49" i="7" s="1"/>
  <c r="L49" i="7" s="1"/>
  <c r="N49" i="7" s="1"/>
  <c r="P49" i="7" s="1"/>
  <c r="Q49" i="7" s="1"/>
  <c r="I5" i="7"/>
  <c r="J5" i="7" s="1"/>
  <c r="K5" i="7" s="1"/>
  <c r="L5" i="7" s="1"/>
  <c r="N5" i="7" s="1"/>
  <c r="P5" i="7" s="1"/>
  <c r="Q5" i="7" s="1"/>
  <c r="I93" i="7"/>
  <c r="J93" i="7" s="1"/>
  <c r="K93" i="7" s="1"/>
  <c r="L93" i="7" s="1"/>
  <c r="N93" i="7" s="1"/>
  <c r="I98" i="7"/>
  <c r="J98" i="7" s="1"/>
  <c r="K98" i="7" s="1"/>
  <c r="L98" i="7" s="1"/>
  <c r="N98" i="7" s="1"/>
  <c r="I77" i="7"/>
  <c r="J77" i="7" s="1"/>
  <c r="K77" i="7" s="1"/>
  <c r="L77" i="7" s="1"/>
  <c r="N77" i="7" s="1"/>
  <c r="I92" i="7"/>
  <c r="J92" i="7" s="1"/>
  <c r="K92" i="7" s="1"/>
  <c r="L92" i="7" s="1"/>
  <c r="N92" i="7" s="1"/>
  <c r="I102" i="7"/>
  <c r="J102" i="7" s="1"/>
  <c r="K102" i="7" s="1"/>
  <c r="L102" i="7" s="1"/>
  <c r="N102" i="7" s="1"/>
  <c r="I75" i="7"/>
  <c r="J75" i="7" s="1"/>
  <c r="K75" i="7" s="1"/>
  <c r="L75" i="7" s="1"/>
  <c r="N75" i="7" s="1"/>
  <c r="I61" i="7"/>
  <c r="J61" i="7" s="1"/>
  <c r="K61" i="7" s="1"/>
  <c r="L61" i="7" s="1"/>
  <c r="N61" i="7" s="1"/>
  <c r="P61" i="7" s="1"/>
  <c r="Q61" i="7" s="1"/>
  <c r="I28" i="7"/>
  <c r="J28" i="7" s="1"/>
  <c r="K28" i="7" s="1"/>
  <c r="L28" i="7" s="1"/>
  <c r="N28" i="7" s="1"/>
  <c r="P28" i="7" s="1"/>
  <c r="Q28" i="7" s="1"/>
  <c r="I12" i="7"/>
  <c r="I85" i="7"/>
  <c r="J85" i="7" s="1"/>
  <c r="K85" i="7" s="1"/>
  <c r="L85" i="7" s="1"/>
  <c r="N85" i="7" s="1"/>
  <c r="I76" i="7"/>
  <c r="J76" i="7" s="1"/>
  <c r="K76" i="7" s="1"/>
  <c r="L76" i="7" s="1"/>
  <c r="N76" i="7" s="1"/>
  <c r="I83" i="7"/>
  <c r="J83" i="7" s="1"/>
  <c r="K83" i="7" s="1"/>
  <c r="L83" i="7" s="1"/>
  <c r="N83" i="7" s="1"/>
  <c r="I54" i="7"/>
  <c r="J54" i="7" s="1"/>
  <c r="K54" i="7" s="1"/>
  <c r="L54" i="7" s="1"/>
  <c r="N54" i="7" s="1"/>
  <c r="P54" i="7" s="1"/>
  <c r="Q54" i="7" s="1"/>
  <c r="I33" i="7"/>
  <c r="J33" i="7" s="1"/>
  <c r="K33" i="7" s="1"/>
  <c r="L33" i="7" s="1"/>
  <c r="N33" i="7" s="1"/>
  <c r="P33" i="7" s="1"/>
  <c r="Q33" i="7" s="1"/>
  <c r="I25" i="7"/>
  <c r="J25" i="7" s="1"/>
  <c r="K25" i="7" s="1"/>
  <c r="L25" i="7" s="1"/>
  <c r="N25" i="7" s="1"/>
  <c r="P25" i="7" s="1"/>
  <c r="Q25" i="7" s="1"/>
  <c r="I17" i="7"/>
  <c r="J17" i="7" s="1"/>
  <c r="K17" i="7" s="1"/>
  <c r="L17" i="7" s="1"/>
  <c r="N17" i="7" s="1"/>
  <c r="P17" i="7" s="1"/>
  <c r="Q17" i="7" s="1"/>
  <c r="I96" i="7"/>
  <c r="J96" i="7" s="1"/>
  <c r="K96" i="7" s="1"/>
  <c r="L96" i="7" s="1"/>
  <c r="N96" i="7" s="1"/>
  <c r="I58" i="7"/>
  <c r="J58" i="7" s="1"/>
  <c r="K58" i="7" s="1"/>
  <c r="L58" i="7" s="1"/>
  <c r="N58" i="7" s="1"/>
  <c r="P58" i="7" s="1"/>
  <c r="Q58" i="7" s="1"/>
  <c r="I100" i="7"/>
  <c r="J100" i="7" s="1"/>
  <c r="K100" i="7" s="1"/>
  <c r="L100" i="7" s="1"/>
  <c r="N100" i="7" s="1"/>
  <c r="I94" i="7"/>
  <c r="J94" i="7" s="1"/>
  <c r="K94" i="7" s="1"/>
  <c r="L94" i="7" s="1"/>
  <c r="N94" i="7" s="1"/>
  <c r="I60" i="7"/>
  <c r="J60" i="7" s="1"/>
  <c r="K60" i="7" s="1"/>
  <c r="L60" i="7" s="1"/>
  <c r="N60" i="7" s="1"/>
  <c r="P60" i="7" s="1"/>
  <c r="Q60" i="7" s="1"/>
  <c r="I87" i="7"/>
  <c r="J87" i="7" s="1"/>
  <c r="K87" i="7" s="1"/>
  <c r="L87" i="7" s="1"/>
  <c r="N87" i="7" s="1"/>
  <c r="I9" i="7"/>
  <c r="J9" i="7" s="1"/>
  <c r="K9" i="7" s="1"/>
  <c r="L9" i="7" s="1"/>
  <c r="N9" i="7" s="1"/>
  <c r="P9" i="7" s="1"/>
  <c r="Q9" i="7" s="1"/>
  <c r="I81" i="7"/>
  <c r="J81" i="7" s="1"/>
  <c r="K81" i="7" s="1"/>
  <c r="L81" i="7" s="1"/>
  <c r="N81" i="7" s="1"/>
  <c r="I74" i="7"/>
  <c r="J74" i="7" s="1"/>
  <c r="K74" i="7" s="1"/>
  <c r="L74" i="7" s="1"/>
  <c r="N74" i="7" s="1"/>
  <c r="I80" i="7"/>
  <c r="J80" i="7" s="1"/>
  <c r="K80" i="7" s="1"/>
  <c r="L80" i="7" s="1"/>
  <c r="N80" i="7" s="1"/>
  <c r="I69" i="7" l="1"/>
  <c r="J12" i="7"/>
  <c r="K12" i="7" s="1"/>
  <c r="L12" i="7" s="1"/>
  <c r="N12" i="7" s="1"/>
  <c r="P12" i="7" s="1"/>
  <c r="I11" i="7"/>
  <c r="J2" i="7"/>
  <c r="K2" i="7" s="1"/>
  <c r="L2" i="7" s="1"/>
  <c r="N2" i="7" s="1"/>
  <c r="P2" i="7" s="1"/>
  <c r="I70" i="7" l="1"/>
  <c r="Q2" i="7"/>
  <c r="Q11" i="7" s="1"/>
  <c r="P11" i="7"/>
  <c r="Q12" i="7"/>
  <c r="Q69" i="7" s="1"/>
  <c r="P69" i="7"/>
  <c r="P70" i="7" l="1"/>
  <c r="Q70" i="7"/>
  <c r="B60" i="4" l="1"/>
  <c r="B61" i="4" s="1"/>
  <c r="B64" i="4"/>
  <c r="B65" i="4" s="1"/>
  <c r="C65" i="4" l="1"/>
</calcChain>
</file>

<file path=xl/sharedStrings.xml><?xml version="1.0" encoding="utf-8"?>
<sst xmlns="http://schemas.openxmlformats.org/spreadsheetml/2006/main" count="224" uniqueCount="197">
  <si>
    <t>Monthly Frequency</t>
  </si>
  <si>
    <t>Annual PU's</t>
  </si>
  <si>
    <t>Gross Up</t>
  </si>
  <si>
    <t>Increase per ton</t>
  </si>
  <si>
    <t>Total Pick Ups</t>
  </si>
  <si>
    <t>Per Ton</t>
  </si>
  <si>
    <t>Per Pound</t>
  </si>
  <si>
    <t xml:space="preserve">Current Rate </t>
  </si>
  <si>
    <t>New Rate per ton</t>
  </si>
  <si>
    <t>Increase</t>
  </si>
  <si>
    <t>Meeks Weights</t>
  </si>
  <si>
    <t>Adjustment factor</t>
  </si>
  <si>
    <t>Collected Revenue Excess/(Deficiency)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</si>
  <si>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</si>
  <si>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</si>
  <si>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</si>
  <si>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</si>
  <si>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</si>
  <si>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</si>
  <si>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</si>
  <si>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</si>
  <si>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</si>
  <si>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</si>
  <si>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</si>
  <si>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</si>
  <si>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Grossed Up Increase per ton</t>
  </si>
  <si>
    <t>Gross Up Factors</t>
  </si>
  <si>
    <t>B&amp;O tax</t>
  </si>
  <si>
    <t>WUTC fees</t>
  </si>
  <si>
    <t>Factor</t>
  </si>
  <si>
    <t>Disposal Fee Revenue Increase</t>
  </si>
  <si>
    <t>Extras</t>
  </si>
  <si>
    <t>Total Tonnage</t>
  </si>
  <si>
    <t>Total Pounds</t>
  </si>
  <si>
    <t>Calculated Annual Pounds</t>
  </si>
  <si>
    <t>Adjusted Annual Pounds</t>
  </si>
  <si>
    <t>Company Current Revenue</t>
  </si>
  <si>
    <t>Monthly Customers</t>
  </si>
  <si>
    <t>Tariff Rate Increase</t>
  </si>
  <si>
    <t>Revised Revenue Increase</t>
  </si>
  <si>
    <t>1 unit</t>
  </si>
  <si>
    <t>2 units</t>
  </si>
  <si>
    <t>3 units</t>
  </si>
  <si>
    <t>n/a</t>
  </si>
  <si>
    <t>Revenue from Revised Rates</t>
  </si>
  <si>
    <t>4 units</t>
  </si>
  <si>
    <t>5 units</t>
  </si>
  <si>
    <t>6 units</t>
  </si>
  <si>
    <t>Bad Debts</t>
  </si>
  <si>
    <t>Res'l</t>
  </si>
  <si>
    <t>7 unit</t>
  </si>
  <si>
    <t>5 Times per Week</t>
  </si>
  <si>
    <t>3 Times per Week</t>
  </si>
  <si>
    <t>2 Times per Week</t>
  </si>
  <si>
    <t>Pickups:</t>
  </si>
  <si>
    <t>1 can</t>
  </si>
  <si>
    <t>2 cans</t>
  </si>
  <si>
    <t>3 cans</t>
  </si>
  <si>
    <t>4 cans</t>
  </si>
  <si>
    <t>5 cans</t>
  </si>
  <si>
    <t>6 cans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</si>
  <si>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</si>
  <si>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</si>
  <si>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</si>
  <si>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</si>
  <si>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</si>
  <si>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</si>
  <si>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</si>
  <si>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</si>
  <si>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</si>
  <si>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</si>
  <si>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</si>
  <si>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</si>
  <si>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3 yd packer/compactor</t>
  </si>
  <si>
    <t>2 yd packer/compactor</t>
  </si>
  <si>
    <t>4 yd packer/compactor</t>
  </si>
  <si>
    <t>5 yd packer/compactor</t>
  </si>
  <si>
    <t>6 yd packer/compactor</t>
  </si>
  <si>
    <t>Yards</t>
  </si>
  <si>
    <t>Pounds per Pickup</t>
  </si>
  <si>
    <t>20 gal minican</t>
  </si>
  <si>
    <t>*</t>
  </si>
  <si>
    <t>Res'l &amp; Com'l</t>
  </si>
  <si>
    <t>Revenue Inc from Co Proposed Rates</t>
  </si>
  <si>
    <t>Company Proposed Rates</t>
  </si>
  <si>
    <t>Staff Revised Rates</t>
  </si>
  <si>
    <t>Adjustment Factor Calculation</t>
  </si>
  <si>
    <t>4 Times per Week</t>
  </si>
  <si>
    <t>1 yd packer/compactor</t>
  </si>
  <si>
    <t>1.5 yd packer/compactor</t>
  </si>
  <si>
    <t>8 yd packer/compactor</t>
  </si>
  <si>
    <t>No Current Customers</t>
  </si>
  <si>
    <t>* not on meeks - calculated by staff</t>
  </si>
  <si>
    <t>Transfer Station</t>
  </si>
  <si>
    <t>Comments</t>
  </si>
  <si>
    <t>Differ from Company</t>
  </si>
  <si>
    <t>35 gallon Can</t>
  </si>
  <si>
    <t>Calculated Annual PUs based on freq</t>
  </si>
  <si>
    <t>na - multiple pickups not on tariff</t>
  </si>
  <si>
    <t>64 gal cart weekly</t>
  </si>
  <si>
    <t>32 Gal weekly</t>
  </si>
  <si>
    <t>64 gal cart monthly</t>
  </si>
  <si>
    <t>96 gal cart 1x per month</t>
  </si>
  <si>
    <t>96 gal cart weekly</t>
  </si>
  <si>
    <t>20A</t>
  </si>
  <si>
    <t>32 gal can week</t>
  </si>
  <si>
    <t>64 gal can week</t>
  </si>
  <si>
    <t>96 gal can weekly</t>
  </si>
  <si>
    <t>4 Yard</t>
  </si>
  <si>
    <t>6 Yard</t>
  </si>
  <si>
    <t>8 Yard</t>
  </si>
  <si>
    <t>10 Yard</t>
  </si>
  <si>
    <t>Res_Extra_bag/Box</t>
  </si>
  <si>
    <t>Extra_Yards</t>
  </si>
  <si>
    <t>Not on Meeks, Co provided weight</t>
  </si>
  <si>
    <t>1 Can 1/MG</t>
  </si>
  <si>
    <t>1 Can 2/MG</t>
  </si>
  <si>
    <t>1 Can WG</t>
  </si>
  <si>
    <t>2 Cans WG</t>
  </si>
  <si>
    <t>3 Cans WG</t>
  </si>
  <si>
    <t>4 Cans WG</t>
  </si>
  <si>
    <t>5 Cans WG</t>
  </si>
  <si>
    <t>6 Cans WG</t>
  </si>
  <si>
    <t>64 gal cart 1/MG</t>
  </si>
  <si>
    <t>Add'l yards (cust load)</t>
  </si>
  <si>
    <t>1-4 yards (comp load)</t>
  </si>
  <si>
    <t>Add'l yards (comp load)</t>
  </si>
  <si>
    <t>96 gal cart 1/MG</t>
  </si>
  <si>
    <t>Customer Owned</t>
  </si>
  <si>
    <t>300 Gal MG</t>
  </si>
  <si>
    <t>1 Yard - 1st Pickup</t>
  </si>
  <si>
    <t>1 Yard - Additional Pickup</t>
  </si>
  <si>
    <t>1 Yard - Special</t>
  </si>
  <si>
    <t>1 Yard - Temporary</t>
  </si>
  <si>
    <t>1.5 Yard - 1st Pickup</t>
  </si>
  <si>
    <t>1.5 - Additional Pickup</t>
  </si>
  <si>
    <t>1.5 - Special</t>
  </si>
  <si>
    <t>1.5 - Temporary</t>
  </si>
  <si>
    <t>2 Yard - 1st Pickup</t>
  </si>
  <si>
    <t>2 Yard - Additional Pickup</t>
  </si>
  <si>
    <t>2 Yard - Special</t>
  </si>
  <si>
    <t>2 Yard - Temporary</t>
  </si>
  <si>
    <t>3 Yard - 1st Pickup</t>
  </si>
  <si>
    <t>3 Yard - Additional Pickup</t>
  </si>
  <si>
    <t>3 Yard - Special</t>
  </si>
  <si>
    <t xml:space="preserve">3 Yard - Temporary </t>
  </si>
  <si>
    <t>4 Yard - 1st Pickup</t>
  </si>
  <si>
    <t>4 Yard - Additional Pickup</t>
  </si>
  <si>
    <t>4 Yard - Special</t>
  </si>
  <si>
    <t>4 Yard - Temporary</t>
  </si>
  <si>
    <t>5 Yard - 1st Pickup</t>
  </si>
  <si>
    <t>5 Yard - Additional Pickup</t>
  </si>
  <si>
    <t>5 Yard - Special</t>
  </si>
  <si>
    <t>5 Yard - Temporary</t>
  </si>
  <si>
    <t>6 Yard - 1st Pickup</t>
  </si>
  <si>
    <t>6 Yard - Additional Pickup</t>
  </si>
  <si>
    <t>6 Yard - Special</t>
  </si>
  <si>
    <t>8 Yard - 1st Pickup</t>
  </si>
  <si>
    <t>8 Yard - Additional Pickup</t>
  </si>
  <si>
    <t>8 Yard - Special</t>
  </si>
  <si>
    <t xml:space="preserve">8 Yard - Temporary </t>
  </si>
  <si>
    <t>10 Yard - 1st Pickup</t>
  </si>
  <si>
    <t xml:space="preserve">10 Yard - Special </t>
  </si>
  <si>
    <t xml:space="preserve">10 Yard - Temporary </t>
  </si>
  <si>
    <t>Customer Owned Containers</t>
  </si>
  <si>
    <t>32 gal can week-Scheduled</t>
  </si>
  <si>
    <t>32 gal can week-Special</t>
  </si>
  <si>
    <t>64 gal can week-Scheduled</t>
  </si>
  <si>
    <t>64 gal can week-Special</t>
  </si>
  <si>
    <t>96 gal can week-Scheduled</t>
  </si>
  <si>
    <t>96 gal can week-Special</t>
  </si>
  <si>
    <t>1 Yard-Scheduled</t>
  </si>
  <si>
    <t>1 Yard-Special</t>
  </si>
  <si>
    <t>1.5 Yard-Scheduled</t>
  </si>
  <si>
    <t>1.5 Yard-Special</t>
  </si>
  <si>
    <t>2 Yard-Scheduled</t>
  </si>
  <si>
    <t>2 Yard-Special</t>
  </si>
  <si>
    <t>1.5 Yard Rent</t>
  </si>
  <si>
    <t>2 Yard Rent</t>
  </si>
  <si>
    <t>3 Yard Rent</t>
  </si>
  <si>
    <t>4 Yard Rent</t>
  </si>
  <si>
    <t>5 Yard Rent</t>
  </si>
  <si>
    <t>6 Yard Rent</t>
  </si>
  <si>
    <t>8 Yard Rent</t>
  </si>
  <si>
    <t>10 Yard Rent</t>
  </si>
  <si>
    <t>1 Yard Rent</t>
  </si>
  <si>
    <t>32 gal cart WG (cust owned)</t>
  </si>
  <si>
    <t>96 gal cart WG (cust owned)</t>
  </si>
  <si>
    <t>Mini can WG (coll provided)</t>
  </si>
  <si>
    <t>32 gal cart MG (coll provided)</t>
  </si>
  <si>
    <t>29, 29A</t>
  </si>
  <si>
    <t>28B</t>
  </si>
  <si>
    <t>28, 28A</t>
  </si>
  <si>
    <t>Company        Calculated Rate</t>
  </si>
  <si>
    <t>Company    Current Tariff</t>
  </si>
  <si>
    <t>Company Calculated Revenue</t>
  </si>
  <si>
    <t>Walla Walla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</si>
</sst>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_);_(* \(#,##0\);_(* &quot;-&quot;??_);_(@_)"/>
    <numFmt numFmtId="167" formatCode="_(* #,##0.000000_);_(* \(#,##0.000000\);_(* &quot;-&quot;??_);_(@_)"/>
    <numFmt numFmtId="168" formatCode="0.0000%"/>
    <numFmt numFmtId="169" formatCode="_(&quot;$&quot;* #,##0.000000_);_(&quot;$&quot;* \(#,##0.000000\);_(&quot;$&quot;* &quot;-&quot;??_);_(@_)"/>
    <numFmt numFmtId="170" formatCode="0.000000"/>
    <numFmt numFmtId="171" formatCode="0.0%"/>
  </numFmts>
  <fonts count="6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2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2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i/>
      <sz val="10"/>
      <color indexed="10"/>
      <name val="Arial"/>
      <family val="2"/>
    </font>
    <font>
      <b/>
      <sz val="18"/>
      <color indexed="61"/>
      <name val="Cambria"/>
      <family val="2"/>
    </font>
    <font>
      <sz val="11"/>
      <color indexed="8"/>
      <name val="Arial"/>
      <family val="2"/>
    </font>
    <font>
      <b/>
      <sz val="11"/>
      <color indexed="52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b/>
      <u/>
      <sz val="11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8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22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gray0625"/>
    </fill>
    <fill>
      <patternFill patternType="gray0625">
        <bgColor indexed="13"/>
      </patternFill>
    </fill>
    <fill>
      <patternFill patternType="solid">
        <fgColor indexed="42"/>
        <bgColor indexed="64"/>
      </patternFill>
    </fill>
    <fill>
      <patternFill patternType="gray0625">
        <bgColor indexed="42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1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90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2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1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2" borderId="0" applyNumberFormat="0" applyBorder="0" applyAlignment="0" applyProtection="0"/>
    <xf numFmtId="0" fontId="14" fillId="4" borderId="0" applyNumberFormat="0" applyBorder="0" applyAlignment="0" applyProtection="0"/>
    <xf numFmtId="0" fontId="14" fillId="6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1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4" fillId="21" borderId="0" applyNumberFormat="0" applyBorder="0" applyAlignment="0" applyProtection="0"/>
    <xf numFmtId="0" fontId="14" fillId="23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4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14" fillId="18" borderId="0" applyNumberFormat="0" applyBorder="0" applyAlignment="0" applyProtection="0"/>
    <xf numFmtId="0" fontId="14" fillId="23" borderId="0" applyNumberFormat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3" fontId="2" fillId="0" borderId="0"/>
    <xf numFmtId="3" fontId="2" fillId="0" borderId="0"/>
    <xf numFmtId="3" fontId="2" fillId="0" borderId="0"/>
    <xf numFmtId="3" fontId="2" fillId="0" borderId="0"/>
    <xf numFmtId="0" fontId="32" fillId="26" borderId="1" applyNumberFormat="0" applyAlignment="0" applyProtection="0"/>
    <xf numFmtId="0" fontId="47" fillId="26" borderId="1" applyNumberFormat="0" applyAlignment="0" applyProtection="0"/>
    <xf numFmtId="0" fontId="16" fillId="26" borderId="1" applyNumberFormat="0" applyAlignment="0" applyProtection="0"/>
    <xf numFmtId="0" fontId="47" fillId="4" borderId="1" applyNumberFormat="0" applyAlignment="0" applyProtection="0"/>
    <xf numFmtId="0" fontId="17" fillId="28" borderId="3" applyNumberFormat="0" applyAlignment="0" applyProtection="0"/>
    <xf numFmtId="0" fontId="17" fillId="27" borderId="2" applyNumberFormat="0" applyAlignment="0" applyProtection="0"/>
    <xf numFmtId="0" fontId="2" fillId="29" borderId="0">
      <alignment horizontal="center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8" fillId="0" borderId="0"/>
    <xf numFmtId="0" fontId="33" fillId="0" borderId="0"/>
    <xf numFmtId="0" fontId="33" fillId="0" borderId="0"/>
    <xf numFmtId="0" fontId="34" fillId="30" borderId="4" applyAlignment="0">
      <alignment horizontal="right"/>
      <protection locked="0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5" fillId="31" borderId="0">
      <alignment horizontal="right"/>
      <protection locked="0"/>
    </xf>
    <xf numFmtId="14" fontId="2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35" fillId="31" borderId="0">
      <alignment horizontal="right"/>
      <protection locked="0"/>
    </xf>
    <xf numFmtId="1" fontId="2" fillId="0" borderId="0">
      <alignment horizontal="center"/>
    </xf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36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8" applyNumberFormat="0" applyFill="0" applyAlignment="0" applyProtection="0"/>
    <xf numFmtId="0" fontId="49" fillId="0" borderId="5" applyNumberFormat="0" applyFill="0" applyAlignment="0" applyProtection="0"/>
    <xf numFmtId="0" fontId="37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10" applyNumberFormat="0" applyFill="0" applyAlignment="0" applyProtection="0"/>
    <xf numFmtId="0" fontId="50" fillId="0" borderId="9" applyNumberFormat="0" applyFill="0" applyAlignment="0" applyProtection="0"/>
    <xf numFmtId="0" fontId="38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4" applyNumberFormat="0" applyFill="0" applyAlignment="0" applyProtection="0"/>
    <xf numFmtId="0" fontId="51" fillId="0" borderId="11" applyNumberFormat="0" applyFill="0" applyAlignment="0" applyProtection="0"/>
    <xf numFmtId="0" fontId="3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41" fillId="13" borderId="1" applyNumberFormat="0" applyAlignment="0" applyProtection="0"/>
    <xf numFmtId="0" fontId="25" fillId="13" borderId="1" applyNumberFormat="0" applyAlignment="0" applyProtection="0"/>
    <xf numFmtId="3" fontId="10" fillId="32" borderId="0">
      <protection locked="0"/>
    </xf>
    <xf numFmtId="4" fontId="10" fillId="32" borderId="0">
      <protection locked="0"/>
    </xf>
    <xf numFmtId="0" fontId="42" fillId="0" borderId="16" applyNumberFormat="0" applyFill="0" applyAlignment="0" applyProtection="0"/>
    <xf numFmtId="0" fontId="52" fillId="0" borderId="15" applyNumberFormat="0" applyFill="0" applyAlignment="0" applyProtection="0"/>
    <xf numFmtId="0" fontId="26" fillId="0" borderId="17" applyNumberFormat="0" applyFill="0" applyAlignment="0" applyProtection="0"/>
    <xf numFmtId="0" fontId="43" fillId="13" borderId="0" applyNumberFormat="0" applyBorder="0" applyAlignment="0" applyProtection="0"/>
    <xf numFmtId="0" fontId="53" fillId="13" borderId="0" applyNumberFormat="0" applyBorder="0" applyAlignment="0" applyProtection="0"/>
    <xf numFmtId="0" fontId="27" fillId="13" borderId="0" applyNumberFormat="0" applyBorder="0" applyAlignment="0" applyProtection="0"/>
    <xf numFmtId="43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59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59" fillId="0" borderId="0"/>
    <xf numFmtId="0" fontId="1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3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0" borderId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9" borderId="18" applyNumberFormat="0" applyFont="0" applyAlignment="0" applyProtection="0"/>
    <xf numFmtId="0" fontId="8" fillId="9" borderId="18" applyNumberFormat="0" applyFont="0" applyAlignment="0" applyProtection="0"/>
    <xf numFmtId="0" fontId="28" fillId="9" borderId="18" applyNumberFormat="0" applyFont="0" applyAlignment="0" applyProtection="0"/>
    <xf numFmtId="0" fontId="48" fillId="9" borderId="18" applyNumberFormat="0" applyFont="0" applyAlignment="0" applyProtection="0"/>
    <xf numFmtId="171" fontId="44" fillId="0" borderId="0" applyNumberFormat="0"/>
    <xf numFmtId="0" fontId="24" fillId="26" borderId="20" applyNumberFormat="0" applyAlignment="0" applyProtection="0"/>
    <xf numFmtId="0" fontId="29" fillId="26" borderId="19" applyNumberForma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171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38" fontId="5" fillId="0" borderId="0" applyNumberFormat="0" applyFont="0" applyFill="0" applyBorder="0">
      <alignment horizontal="left" indent="4"/>
      <protection locked="0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21">
      <alignment horizontal="center"/>
    </xf>
    <xf numFmtId="3" fontId="6" fillId="0" borderId="0" applyFont="0" applyFill="0" applyBorder="0" applyAlignment="0" applyProtection="0"/>
    <xf numFmtId="0" fontId="6" fillId="33" borderId="0" applyNumberFormat="0" applyFont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 applyNumberFormat="0" applyBorder="0" applyAlignment="0"/>
    <xf numFmtId="37" fontId="55" fillId="0" borderId="0"/>
    <xf numFmtId="0" fontId="4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23" applyNumberFormat="0" applyFill="0" applyAlignment="0" applyProtection="0"/>
    <xf numFmtId="0" fontId="31" fillId="0" borderId="24" applyNumberFormat="0" applyFill="0" applyAlignment="0" applyProtection="0"/>
    <xf numFmtId="0" fontId="31" fillId="0" borderId="25" applyNumberFormat="0" applyFill="0" applyAlignment="0" applyProtection="0"/>
    <xf numFmtId="0" fontId="31" fillId="0" borderId="2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6" fontId="4" fillId="34" borderId="0" applyFont="0" applyFill="0" applyBorder="0" applyAlignment="0" applyProtection="0">
      <alignment wrapText="1"/>
    </xf>
  </cellStyleXfs>
  <cellXfs count="182">
    <xf numFmtId="0" fontId="0" fillId="0" borderId="0" xfId="0"/>
    <xf numFmtId="43" fontId="0" fillId="0" borderId="0" xfId="82" applyFont="1"/>
    <xf numFmtId="0" fontId="3" fillId="0" borderId="0" xfId="0" applyFont="1"/>
    <xf numFmtId="0" fontId="0" fillId="0" borderId="0" xfId="0" applyFont="1"/>
    <xf numFmtId="44" fontId="3" fillId="0" borderId="0" xfId="0" applyNumberFormat="1" applyFont="1"/>
    <xf numFmtId="165" fontId="0" fillId="35" borderId="0" xfId="126" applyNumberFormat="1" applyFont="1" applyFill="1"/>
    <xf numFmtId="44" fontId="0" fillId="35" borderId="0" xfId="126" applyFont="1" applyFill="1"/>
    <xf numFmtId="44" fontId="0" fillId="35" borderId="4" xfId="126" applyFont="1" applyFill="1" applyBorder="1"/>
    <xf numFmtId="165" fontId="0" fillId="35" borderId="4" xfId="126" applyNumberFormat="1" applyFont="1" applyFill="1" applyBorder="1"/>
    <xf numFmtId="167" fontId="0" fillId="0" borderId="0" xfId="82" applyNumberFormat="1" applyFont="1"/>
    <xf numFmtId="167" fontId="0" fillId="0" borderId="0" xfId="82" applyNumberFormat="1" applyFont="1" applyBorder="1"/>
    <xf numFmtId="167" fontId="0" fillId="0" borderId="4" xfId="82" applyNumberFormat="1" applyFont="1" applyBorder="1"/>
    <xf numFmtId="169" fontId="0" fillId="35" borderId="0" xfId="126" applyNumberFormat="1" applyFont="1" applyFill="1"/>
    <xf numFmtId="166" fontId="0" fillId="0" borderId="0" xfId="82" applyNumberFormat="1" applyFont="1"/>
    <xf numFmtId="166" fontId="0" fillId="0" borderId="4" xfId="82" applyNumberFormat="1" applyFont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0" fontId="0" fillId="35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168" fontId="0" fillId="0" borderId="0" xfId="0" applyNumberFormat="1" applyFont="1"/>
    <xf numFmtId="44" fontId="0" fillId="0" borderId="0" xfId="0" applyNumberFormat="1" applyFont="1"/>
    <xf numFmtId="170" fontId="0" fillId="0" borderId="0" xfId="0" applyNumberFormat="1" applyFont="1"/>
    <xf numFmtId="0" fontId="0" fillId="36" borderId="4" xfId="0" applyFont="1" applyFill="1" applyBorder="1" applyAlignment="1">
      <alignment horizontal="center"/>
    </xf>
    <xf numFmtId="0" fontId="0" fillId="36" borderId="4" xfId="0" applyFont="1" applyFill="1" applyBorder="1"/>
    <xf numFmtId="0" fontId="3" fillId="36" borderId="4" xfId="0" applyFont="1" applyFill="1" applyBorder="1"/>
    <xf numFmtId="43" fontId="0" fillId="0" borderId="0" xfId="82" applyFont="1" applyAlignment="1">
      <alignment horizontal="center"/>
    </xf>
    <xf numFmtId="164" fontId="0" fillId="0" borderId="0" xfId="126" applyNumberFormat="1" applyFont="1" applyBorder="1"/>
    <xf numFmtId="10" fontId="0" fillId="0" borderId="0" xfId="338" applyNumberFormat="1" applyFont="1" applyBorder="1"/>
    <xf numFmtId="43" fontId="0" fillId="0" borderId="0" xfId="82" applyFont="1" applyFill="1" applyBorder="1"/>
    <xf numFmtId="43" fontId="0" fillId="0" borderId="0" xfId="82" applyFont="1" applyBorder="1"/>
    <xf numFmtId="165" fontId="0" fillId="0" borderId="0" xfId="126" applyNumberFormat="1" applyFont="1" applyBorder="1"/>
    <xf numFmtId="44" fontId="0" fillId="0" borderId="0" xfId="126" applyFont="1" applyBorder="1" applyAlignment="1">
      <alignment horizontal="right"/>
    </xf>
    <xf numFmtId="10" fontId="0" fillId="0" borderId="0" xfId="338" applyNumberFormat="1" applyFont="1" applyBorder="1" applyAlignment="1">
      <alignment horizontal="right"/>
    </xf>
    <xf numFmtId="166" fontId="0" fillId="0" borderId="0" xfId="82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43" fontId="0" fillId="0" borderId="0" xfId="82" applyFont="1" applyBorder="1" applyAlignment="1">
      <alignment horizontal="right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right" wrapText="1"/>
    </xf>
    <xf numFmtId="43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44" fontId="0" fillId="0" borderId="0" xfId="0" applyNumberFormat="1" applyFont="1" applyBorder="1"/>
    <xf numFmtId="0" fontId="11" fillId="0" borderId="0" xfId="330" applyFont="1" applyFill="1" applyBorder="1" applyAlignment="1">
      <alignment horizontal="left"/>
    </xf>
    <xf numFmtId="166" fontId="11" fillId="0" borderId="0" xfId="82" applyNumberFormat="1" applyFont="1" applyFill="1" applyBorder="1" applyAlignment="1">
      <alignment horizontal="left"/>
    </xf>
    <xf numFmtId="166" fontId="0" fillId="0" borderId="0" xfId="82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0" fillId="36" borderId="4" xfId="0" applyFont="1" applyFill="1" applyBorder="1" applyAlignment="1">
      <alignment vertical="center" textRotation="90"/>
    </xf>
    <xf numFmtId="0" fontId="12" fillId="36" borderId="4" xfId="330" applyFont="1" applyFill="1" applyBorder="1" applyAlignment="1">
      <alignment horizontal="left"/>
    </xf>
    <xf numFmtId="44" fontId="0" fillId="0" borderId="0" xfId="0" applyNumberFormat="1" applyFont="1" applyFill="1" applyBorder="1"/>
    <xf numFmtId="3" fontId="3" fillId="36" borderId="4" xfId="0" applyNumberFormat="1" applyFont="1" applyFill="1" applyBorder="1" applyAlignment="1">
      <alignment horizontal="right"/>
    </xf>
    <xf numFmtId="43" fontId="0" fillId="36" borderId="4" xfId="82" applyFont="1" applyFill="1" applyBorder="1"/>
    <xf numFmtId="166" fontId="3" fillId="36" borderId="4" xfId="0" applyNumberFormat="1" applyFont="1" applyFill="1" applyBorder="1"/>
    <xf numFmtId="43" fontId="0" fillId="36" borderId="4" xfId="0" applyNumberFormat="1" applyFont="1" applyFill="1" applyBorder="1"/>
    <xf numFmtId="166" fontId="3" fillId="36" borderId="4" xfId="82" applyNumberFormat="1" applyFont="1" applyFill="1" applyBorder="1"/>
    <xf numFmtId="166" fontId="3" fillId="0" borderId="4" xfId="82" applyNumberFormat="1" applyFont="1" applyBorder="1" applyAlignment="1">
      <alignment horizontal="center"/>
    </xf>
    <xf numFmtId="44" fontId="0" fillId="0" borderId="0" xfId="82" applyNumberFormat="1" applyFont="1" applyFill="1" applyBorder="1"/>
    <xf numFmtId="166" fontId="0" fillId="0" borderId="0" xfId="82" applyNumberFormat="1" applyFont="1" applyBorder="1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164" fontId="0" fillId="0" borderId="0" xfId="0" applyNumberFormat="1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vertical="center" textRotation="90"/>
    </xf>
    <xf numFmtId="0" fontId="12" fillId="0" borderId="0" xfId="330" applyFont="1" applyFill="1" applyBorder="1" applyAlignment="1">
      <alignment horizontal="left"/>
    </xf>
    <xf numFmtId="166" fontId="3" fillId="0" borderId="0" xfId="82" applyNumberFormat="1" applyFont="1" applyBorder="1" applyAlignment="1">
      <alignment horizontal="right"/>
    </xf>
    <xf numFmtId="0" fontId="9" fillId="0" borderId="0" xfId="319" applyFont="1" applyBorder="1" applyAlignment="1">
      <alignment horizontal="left"/>
    </xf>
    <xf numFmtId="166" fontId="0" fillId="35" borderId="0" xfId="82" applyNumberFormat="1" applyFont="1" applyFill="1" applyBorder="1" applyAlignment="1">
      <alignment horizontal="right"/>
    </xf>
    <xf numFmtId="44" fontId="0" fillId="0" borderId="0" xfId="126" applyFont="1" applyFill="1" applyBorder="1"/>
    <xf numFmtId="166" fontId="0" fillId="0" borderId="0" xfId="82" applyNumberFormat="1" applyFont="1" applyFill="1" applyBorder="1"/>
    <xf numFmtId="43" fontId="0" fillId="0" borderId="0" xfId="82" applyNumberFormat="1" applyFont="1" applyFill="1" applyBorder="1"/>
    <xf numFmtId="166" fontId="0" fillId="0" borderId="26" xfId="82" applyNumberFormat="1" applyFont="1" applyFill="1" applyBorder="1"/>
    <xf numFmtId="44" fontId="0" fillId="32" borderId="0" xfId="126" applyFont="1" applyFill="1" applyBorder="1"/>
    <xf numFmtId="44" fontId="0" fillId="0" borderId="26" xfId="126" applyFont="1" applyFill="1" applyBorder="1"/>
    <xf numFmtId="44" fontId="3" fillId="36" borderId="4" xfId="126" applyFont="1" applyFill="1" applyBorder="1"/>
    <xf numFmtId="44" fontId="0" fillId="36" borderId="4" xfId="126" applyFont="1" applyFill="1" applyBorder="1"/>
    <xf numFmtId="44" fontId="3" fillId="0" borderId="0" xfId="126" applyFont="1" applyBorder="1" applyAlignment="1">
      <alignment horizontal="right"/>
    </xf>
    <xf numFmtId="0" fontId="0" fillId="36" borderId="0" xfId="0" applyFont="1" applyFill="1" applyBorder="1"/>
    <xf numFmtId="0" fontId="0" fillId="36" borderId="0" xfId="0" applyFont="1" applyFill="1" applyBorder="1" applyAlignment="1">
      <alignment horizontal="center"/>
    </xf>
    <xf numFmtId="0" fontId="0" fillId="36" borderId="0" xfId="0" applyFont="1" applyFill="1" applyBorder="1" applyAlignment="1">
      <alignment horizontal="right"/>
    </xf>
    <xf numFmtId="166" fontId="0" fillId="36" borderId="0" xfId="82" applyNumberFormat="1" applyFont="1" applyFill="1" applyBorder="1"/>
    <xf numFmtId="44" fontId="0" fillId="36" borderId="0" xfId="82" applyNumberFormat="1" applyFont="1" applyFill="1" applyBorder="1"/>
    <xf numFmtId="0" fontId="3" fillId="36" borderId="0" xfId="0" applyFont="1" applyFill="1" applyBorder="1"/>
    <xf numFmtId="166" fontId="0" fillId="0" borderId="4" xfId="82" applyNumberFormat="1" applyFont="1" applyFill="1" applyBorder="1"/>
    <xf numFmtId="0" fontId="3" fillId="36" borderId="4" xfId="0" applyFont="1" applyFill="1" applyBorder="1" applyAlignment="1">
      <alignment horizontal="center" wrapText="1"/>
    </xf>
    <xf numFmtId="0" fontId="3" fillId="36" borderId="4" xfId="0" applyFont="1" applyFill="1" applyBorder="1" applyAlignment="1">
      <alignment horizontal="center" vertical="center"/>
    </xf>
    <xf numFmtId="0" fontId="0" fillId="36" borderId="4" xfId="0" applyFont="1" applyFill="1" applyBorder="1" applyAlignment="1">
      <alignment horizontal="center" vertical="center"/>
    </xf>
    <xf numFmtId="3" fontId="3" fillId="36" borderId="4" xfId="0" applyNumberFormat="1" applyFont="1" applyFill="1" applyBorder="1"/>
    <xf numFmtId="0" fontId="0" fillId="0" borderId="0" xfId="0" applyFont="1" applyFill="1" applyBorder="1" applyAlignment="1"/>
    <xf numFmtId="0" fontId="11" fillId="0" borderId="0" xfId="319" applyFont="1" applyBorder="1" applyAlignment="1">
      <alignment horizontal="left"/>
    </xf>
    <xf numFmtId="0" fontId="0" fillId="35" borderId="0" xfId="0" applyFont="1" applyFill="1" applyBorder="1" applyAlignment="1">
      <alignment horizontal="left"/>
    </xf>
    <xf numFmtId="0" fontId="9" fillId="0" borderId="0" xfId="330" applyFont="1" applyFill="1" applyBorder="1" applyAlignment="1">
      <alignment horizontal="left"/>
    </xf>
    <xf numFmtId="0" fontId="0" fillId="37" borderId="0" xfId="0" applyFont="1" applyFill="1" applyBorder="1" applyAlignment="1">
      <alignment horizontal="left"/>
    </xf>
    <xf numFmtId="44" fontId="0" fillId="0" borderId="4" xfId="126" applyFont="1" applyFill="1" applyBorder="1"/>
    <xf numFmtId="44" fontId="0" fillId="0" borderId="0" xfId="126" applyFont="1" applyBorder="1"/>
    <xf numFmtId="0" fontId="3" fillId="0" borderId="27" xfId="0" applyFont="1" applyBorder="1"/>
    <xf numFmtId="0" fontId="0" fillId="36" borderId="28" xfId="0" applyFont="1" applyFill="1" applyBorder="1" applyAlignment="1">
      <alignment horizontal="center"/>
    </xf>
    <xf numFmtId="0" fontId="0" fillId="0" borderId="29" xfId="0" applyFont="1" applyBorder="1"/>
    <xf numFmtId="44" fontId="0" fillId="0" borderId="30" xfId="126" applyFont="1" applyBorder="1"/>
    <xf numFmtId="0" fontId="0" fillId="0" borderId="30" xfId="0" applyFont="1" applyBorder="1"/>
    <xf numFmtId="0" fontId="3" fillId="0" borderId="29" xfId="0" applyFont="1" applyBorder="1"/>
    <xf numFmtId="0" fontId="0" fillId="36" borderId="31" xfId="0" applyFont="1" applyFill="1" applyBorder="1" applyAlignment="1">
      <alignment horizontal="center"/>
    </xf>
    <xf numFmtId="44" fontId="1" fillId="0" borderId="30" xfId="126" applyFont="1" applyBorder="1"/>
    <xf numFmtId="0" fontId="0" fillId="0" borderId="32" xfId="0" applyFont="1" applyBorder="1" applyAlignment="1">
      <alignment horizontal="left"/>
    </xf>
    <xf numFmtId="44" fontId="0" fillId="0" borderId="33" xfId="126" applyFont="1" applyBorder="1"/>
    <xf numFmtId="164" fontId="0" fillId="0" borderId="0" xfId="0" applyNumberFormat="1" applyFont="1" applyFill="1" applyBorder="1"/>
    <xf numFmtId="43" fontId="3" fillId="0" borderId="0" xfId="82" applyNumberFormat="1" applyFont="1" applyBorder="1" applyAlignment="1">
      <alignment horizontal="right"/>
    </xf>
    <xf numFmtId="43" fontId="0" fillId="0" borderId="4" xfId="82" applyNumberFormat="1" applyFont="1" applyFill="1" applyBorder="1"/>
    <xf numFmtId="166" fontId="0" fillId="0" borderId="4" xfId="82" applyNumberFormat="1" applyFont="1" applyFill="1" applyBorder="1" applyAlignment="1">
      <alignment horizontal="center" wrapText="1"/>
    </xf>
    <xf numFmtId="0" fontId="11" fillId="0" borderId="0" xfId="329" applyFont="1" applyBorder="1"/>
    <xf numFmtId="0" fontId="0" fillId="0" borderId="4" xfId="0" applyFont="1" applyFill="1" applyBorder="1" applyAlignment="1">
      <alignment horizontal="center" vertical="center"/>
    </xf>
    <xf numFmtId="166" fontId="11" fillId="0" borderId="0" xfId="82" applyNumberFormat="1" applyFont="1" applyFill="1" applyBorder="1"/>
    <xf numFmtId="0" fontId="11" fillId="0" borderId="4" xfId="329" applyFont="1" applyBorder="1"/>
    <xf numFmtId="0" fontId="3" fillId="36" borderId="4" xfId="0" applyFont="1" applyFill="1" applyBorder="1" applyAlignment="1">
      <alignment wrapText="1"/>
    </xf>
    <xf numFmtId="166" fontId="0" fillId="0" borderId="26" xfId="82" applyNumberFormat="1" applyFont="1" applyFill="1" applyBorder="1" applyAlignment="1">
      <alignment horizontal="center" wrapText="1"/>
    </xf>
    <xf numFmtId="166" fontId="3" fillId="36" borderId="4" xfId="82" applyNumberFormat="1" applyFont="1" applyFill="1" applyBorder="1" applyAlignment="1">
      <alignment horizontal="center" wrapText="1"/>
    </xf>
    <xf numFmtId="0" fontId="56" fillId="0" borderId="0" xfId="82" applyNumberFormat="1" applyFont="1" applyBorder="1" applyAlignment="1">
      <alignment horizontal="left"/>
    </xf>
    <xf numFmtId="0" fontId="0" fillId="0" borderId="0" xfId="82" applyNumberFormat="1" applyFont="1" applyBorder="1"/>
    <xf numFmtId="0" fontId="0" fillId="0" borderId="4" xfId="0" applyFont="1" applyFill="1" applyBorder="1" applyAlignment="1">
      <alignment vertical="center" textRotation="90"/>
    </xf>
    <xf numFmtId="43" fontId="9" fillId="0" borderId="0" xfId="82" applyNumberFormat="1" applyFont="1" applyFill="1" applyBorder="1"/>
    <xf numFmtId="0" fontId="0" fillId="0" borderId="0" xfId="0" applyFont="1" applyFill="1" applyBorder="1" applyAlignment="1">
      <alignment vertical="center"/>
    </xf>
    <xf numFmtId="3" fontId="0" fillId="0" borderId="0" xfId="0" applyNumberFormat="1" applyFont="1" applyFill="1" applyBorder="1"/>
    <xf numFmtId="0" fontId="0" fillId="0" borderId="0" xfId="0" applyFont="1" applyFill="1" applyAlignment="1">
      <alignment horizontal="right"/>
    </xf>
    <xf numFmtId="4" fontId="0" fillId="0" borderId="0" xfId="0" applyNumberFormat="1" applyFont="1" applyBorder="1"/>
    <xf numFmtId="43" fontId="11" fillId="0" borderId="0" xfId="83" applyFont="1"/>
    <xf numFmtId="44" fontId="11" fillId="0" borderId="0" xfId="129" applyFont="1"/>
    <xf numFmtId="3" fontId="11" fillId="0" borderId="0" xfId="200" applyNumberFormat="1" applyFont="1" applyBorder="1"/>
    <xf numFmtId="166" fontId="11" fillId="0" borderId="0" xfId="322" applyNumberFormat="1" applyFont="1" applyBorder="1"/>
    <xf numFmtId="3" fontId="11" fillId="0" borderId="0" xfId="200" applyNumberFormat="1" applyFont="1"/>
    <xf numFmtId="166" fontId="11" fillId="0" borderId="0" xfId="82" applyNumberFormat="1" applyFont="1"/>
    <xf numFmtId="166" fontId="11" fillId="0" borderId="0" xfId="82" applyNumberFormat="1" applyFont="1" applyFill="1"/>
    <xf numFmtId="10" fontId="0" fillId="0" borderId="0" xfId="338" applyNumberFormat="1" applyFont="1" applyFill="1" applyBorder="1"/>
    <xf numFmtId="0" fontId="11" fillId="0" borderId="0" xfId="329" applyFont="1" applyBorder="1" applyAlignment="1">
      <alignment horizontal="left" indent="1"/>
    </xf>
    <xf numFmtId="166" fontId="0" fillId="35" borderId="0" xfId="82" applyNumberFormat="1" applyFont="1" applyFill="1" applyBorder="1"/>
    <xf numFmtId="0" fontId="0" fillId="0" borderId="34" xfId="0" applyFont="1" applyFill="1" applyBorder="1" applyAlignment="1">
      <alignment horizontal="center" vertical="center" textRotation="90"/>
    </xf>
    <xf numFmtId="0" fontId="0" fillId="0" borderId="34" xfId="0" applyFont="1" applyFill="1" applyBorder="1" applyAlignment="1">
      <alignment horizontal="center" vertical="center"/>
    </xf>
    <xf numFmtId="166" fontId="0" fillId="0" borderId="34" xfId="82" applyNumberFormat="1" applyFont="1" applyBorder="1"/>
    <xf numFmtId="43" fontId="0" fillId="0" borderId="34" xfId="82" applyNumberFormat="1" applyFont="1" applyFill="1" applyBorder="1"/>
    <xf numFmtId="166" fontId="0" fillId="0" borderId="34" xfId="82" applyNumberFormat="1" applyFont="1" applyFill="1" applyBorder="1"/>
    <xf numFmtId="166" fontId="0" fillId="0" borderId="34" xfId="82" applyNumberFormat="1" applyFont="1" applyFill="1" applyBorder="1" applyAlignment="1">
      <alignment horizontal="center" wrapText="1"/>
    </xf>
    <xf numFmtId="44" fontId="0" fillId="0" borderId="34" xfId="126" applyFont="1" applyFill="1" applyBorder="1"/>
    <xf numFmtId="44" fontId="0" fillId="0" borderId="34" xfId="126" applyFont="1" applyBorder="1"/>
    <xf numFmtId="0" fontId="0" fillId="0" borderId="0" xfId="0" applyFont="1" applyFill="1" applyBorder="1" applyAlignment="1">
      <alignment horizontal="center" vertical="center" textRotation="90"/>
    </xf>
    <xf numFmtId="44" fontId="11" fillId="0" borderId="0" xfId="126" applyFont="1" applyFill="1" applyBorder="1"/>
    <xf numFmtId="44" fontId="3" fillId="36" borderId="4" xfId="126" applyFont="1" applyFill="1" applyBorder="1" applyAlignment="1">
      <alignment horizontal="right"/>
    </xf>
    <xf numFmtId="3" fontId="12" fillId="0" borderId="0" xfId="200" applyNumberFormat="1" applyFont="1"/>
    <xf numFmtId="0" fontId="0" fillId="0" borderId="0" xfId="0" applyFont="1" applyFill="1"/>
    <xf numFmtId="3" fontId="11" fillId="38" borderId="0" xfId="200" applyNumberFormat="1" applyFont="1" applyFill="1"/>
    <xf numFmtId="4" fontId="0" fillId="38" borderId="0" xfId="0" applyNumberFormat="1" applyFont="1" applyFill="1" applyBorder="1"/>
    <xf numFmtId="43" fontId="0" fillId="38" borderId="0" xfId="82" applyNumberFormat="1" applyFont="1" applyFill="1" applyBorder="1"/>
    <xf numFmtId="166" fontId="11" fillId="38" borderId="0" xfId="82" applyNumberFormat="1" applyFont="1" applyFill="1"/>
    <xf numFmtId="166" fontId="0" fillId="38" borderId="0" xfId="82" applyNumberFormat="1" applyFont="1" applyFill="1" applyBorder="1"/>
    <xf numFmtId="166" fontId="0" fillId="38" borderId="0" xfId="82" applyNumberFormat="1" applyFont="1" applyFill="1" applyBorder="1" applyAlignment="1">
      <alignment horizontal="center" wrapText="1"/>
    </xf>
    <xf numFmtId="44" fontId="0" fillId="38" borderId="0" xfId="126" applyFont="1" applyFill="1" applyBorder="1"/>
    <xf numFmtId="166" fontId="11" fillId="38" borderId="0" xfId="82" applyNumberFormat="1" applyFont="1" applyFill="1" applyBorder="1"/>
    <xf numFmtId="166" fontId="11" fillId="0" borderId="0" xfId="83" applyNumberFormat="1" applyFont="1"/>
    <xf numFmtId="166" fontId="9" fillId="0" borderId="0" xfId="83" applyNumberFormat="1" applyFont="1"/>
    <xf numFmtId="166" fontId="11" fillId="35" borderId="0" xfId="83" applyNumberFormat="1" applyFont="1" applyFill="1"/>
    <xf numFmtId="166" fontId="11" fillId="38" borderId="0" xfId="83" applyNumberFormat="1" applyFont="1" applyFill="1"/>
    <xf numFmtId="166" fontId="11" fillId="0" borderId="0" xfId="83" applyNumberFormat="1" applyFont="1" applyFill="1"/>
    <xf numFmtId="166" fontId="11" fillId="39" borderId="0" xfId="83" applyNumberFormat="1" applyFont="1" applyFill="1"/>
    <xf numFmtId="166" fontId="9" fillId="38" borderId="0" xfId="83" applyNumberFormat="1" applyFont="1" applyFill="1"/>
    <xf numFmtId="166" fontId="3" fillId="36" borderId="4" xfId="0" applyNumberFormat="1" applyFont="1" applyFill="1" applyBorder="1" applyAlignment="1">
      <alignment horizontal="right"/>
    </xf>
    <xf numFmtId="166" fontId="0" fillId="0" borderId="0" xfId="0" applyNumberFormat="1" applyFont="1" applyBorder="1"/>
    <xf numFmtId="166" fontId="0" fillId="36" borderId="0" xfId="0" applyNumberFormat="1" applyFont="1" applyFill="1" applyBorder="1"/>
    <xf numFmtId="3" fontId="11" fillId="0" borderId="0" xfId="200" applyNumberFormat="1" applyFont="1" applyFill="1"/>
    <xf numFmtId="0" fontId="11" fillId="0" borderId="0" xfId="329" applyFont="1" applyBorder="1" applyAlignment="1">
      <alignment horizontal="left"/>
    </xf>
    <xf numFmtId="44" fontId="0" fillId="40" borderId="26" xfId="126" applyFont="1" applyFill="1" applyBorder="1"/>
    <xf numFmtId="44" fontId="0" fillId="40" borderId="0" xfId="126" applyFont="1" applyFill="1" applyBorder="1"/>
    <xf numFmtId="44" fontId="0" fillId="40" borderId="4" xfId="126" applyFont="1" applyFill="1" applyBorder="1"/>
    <xf numFmtId="44" fontId="0" fillId="41" borderId="0" xfId="126" applyFont="1" applyFill="1" applyBorder="1"/>
    <xf numFmtId="44" fontId="11" fillId="38" borderId="0" xfId="126" applyFont="1" applyFill="1" applyBorder="1"/>
    <xf numFmtId="44" fontId="11" fillId="0" borderId="0" xfId="126" applyFont="1" applyBorder="1"/>
    <xf numFmtId="0" fontId="0" fillId="36" borderId="0" xfId="0" applyFont="1" applyFill="1" applyAlignment="1">
      <alignment horizontal="center"/>
    </xf>
    <xf numFmtId="0" fontId="3" fillId="36" borderId="4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36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textRotation="90"/>
    </xf>
    <xf numFmtId="0" fontId="0" fillId="0" borderId="26" xfId="0" applyFont="1" applyFill="1" applyBorder="1" applyAlignment="1">
      <alignment horizontal="center" vertical="center" textRotation="90"/>
    </xf>
  </cellXfs>
  <cellStyles count="390">
    <cellStyle name="20% - Accent1 2" xfId="1"/>
    <cellStyle name="20% - Accent1 2 2" xfId="2"/>
    <cellStyle name="20% - Accent1 3" xfId="3"/>
    <cellStyle name="20% - Accent1 3 2" xfId="4"/>
    <cellStyle name="20% - Accent2 2" xfId="5"/>
    <cellStyle name="20% - Accent2 3" xfId="6"/>
    <cellStyle name="20% - Accent3 2" xfId="7"/>
    <cellStyle name="20% - Accent3 3" xfId="8"/>
    <cellStyle name="20% - Accent4 2" xfId="9"/>
    <cellStyle name="20% - Accent4 2 2" xfId="10"/>
    <cellStyle name="20% - Accent4 3" xfId="11"/>
    <cellStyle name="20% - Accent4 3 2" xfId="12"/>
    <cellStyle name="20% - Accent5 2" xfId="13"/>
    <cellStyle name="20% - Accent5 3" xfId="14"/>
    <cellStyle name="20% - Accent6 2" xfId="15"/>
    <cellStyle name="20% - Accent6 3" xfId="16"/>
    <cellStyle name="40% - Accent1 2" xfId="17"/>
    <cellStyle name="40% - Accent1 3" xfId="18"/>
    <cellStyle name="40% - Accent1 3 2" xfId="19"/>
    <cellStyle name="40% - Accent2 2" xfId="20"/>
    <cellStyle name="40% - Accent2 3" xfId="21"/>
    <cellStyle name="40% - Accent3 2" xfId="22"/>
    <cellStyle name="40% - Accent3 3" xfId="23"/>
    <cellStyle name="40% - Accent4 2" xfId="24"/>
    <cellStyle name="40% - Accent4 3" xfId="25"/>
    <cellStyle name="40% - Accent4 3 2" xfId="26"/>
    <cellStyle name="40% - Accent5 2" xfId="27"/>
    <cellStyle name="40% - Accent5 3" xfId="28"/>
    <cellStyle name="40% - Accent6 2" xfId="29"/>
    <cellStyle name="40% - Accent6 3" xfId="30"/>
    <cellStyle name="40% - Accent6 3 2" xfId="31"/>
    <cellStyle name="60% - Accent1 2" xfId="32"/>
    <cellStyle name="60% - Accent1 2 2" xfId="33"/>
    <cellStyle name="60% - Accent1 3" xfId="34"/>
    <cellStyle name="60% - Accent1 3 2" xfId="35"/>
    <cellStyle name="60% - Accent2 2" xfId="36"/>
    <cellStyle name="60% - Accent2 3" xfId="37"/>
    <cellStyle name="60% - Accent3 2" xfId="38"/>
    <cellStyle name="60% - Accent3 3" xfId="39"/>
    <cellStyle name="60% - Accent3 3 2" xfId="40"/>
    <cellStyle name="60% - Accent4 2" xfId="41"/>
    <cellStyle name="60% - Accent4 3" xfId="42"/>
    <cellStyle name="60% - Accent4 3 2" xfId="43"/>
    <cellStyle name="60% - Accent5 2" xfId="44"/>
    <cellStyle name="60% - Accent5 2 2" xfId="45"/>
    <cellStyle name="60% - Accent5 3" xfId="46"/>
    <cellStyle name="60% - Accent6 2" xfId="47"/>
    <cellStyle name="60% - Accent6 3" xfId="48"/>
    <cellStyle name="Accent1 2" xfId="49"/>
    <cellStyle name="Accent1 2 2" xfId="50"/>
    <cellStyle name="Accent1 3" xfId="51"/>
    <cellStyle name="Accent1 3 2" xfId="52"/>
    <cellStyle name="Accent2 2" xfId="53"/>
    <cellStyle name="Accent2 3" xfId="54"/>
    <cellStyle name="Accent3 2" xfId="55"/>
    <cellStyle name="Accent3 2 2" xfId="56"/>
    <cellStyle name="Accent3 3" xfId="57"/>
    <cellStyle name="Accent4 2" xfId="58"/>
    <cellStyle name="Accent4 3" xfId="59"/>
    <cellStyle name="Accent5 2" xfId="60"/>
    <cellStyle name="Accent5 3" xfId="61"/>
    <cellStyle name="Accent6 2" xfId="62"/>
    <cellStyle name="Accent6 2 2" xfId="63"/>
    <cellStyle name="Accent6 3" xfId="64"/>
    <cellStyle name="Accounting" xfId="65"/>
    <cellStyle name="Accounting 2" xfId="66"/>
    <cellStyle name="Accounting 3" xfId="67"/>
    <cellStyle name="Accounting_2011-11" xfId="68"/>
    <cellStyle name="Bad 2" xfId="69"/>
    <cellStyle name="Bad 3" xfId="70"/>
    <cellStyle name="Budget" xfId="71"/>
    <cellStyle name="Budget 2" xfId="72"/>
    <cellStyle name="Budget 3" xfId="73"/>
    <cellStyle name="Budget_2011-11" xfId="74"/>
    <cellStyle name="Calculation 2" xfId="75"/>
    <cellStyle name="Calculation 2 2" xfId="76"/>
    <cellStyle name="Calculation 3" xfId="77"/>
    <cellStyle name="Calculation 3 2" xfId="78"/>
    <cellStyle name="Check Cell 2" xfId="79"/>
    <cellStyle name="Check Cell 3" xfId="80"/>
    <cellStyle name="combo" xfId="81"/>
    <cellStyle name="Comma" xfId="82" builtinId="3"/>
    <cellStyle name="Comma 10" xfId="83"/>
    <cellStyle name="Comma 11" xfId="84"/>
    <cellStyle name="Comma 12" xfId="85"/>
    <cellStyle name="Comma 12 2" xfId="86"/>
    <cellStyle name="Comma 12 3" xfId="87"/>
    <cellStyle name="Comma 13" xfId="88"/>
    <cellStyle name="Comma 14" xfId="89"/>
    <cellStyle name="Comma 15" xfId="90"/>
    <cellStyle name="Comma 16" xfId="91"/>
    <cellStyle name="Comma 17" xfId="92"/>
    <cellStyle name="Comma 18" xfId="93"/>
    <cellStyle name="Comma 19" xfId="94"/>
    <cellStyle name="Comma 2" xfId="95"/>
    <cellStyle name="Comma 2 2" xfId="96"/>
    <cellStyle name="Comma 2 2 2" xfId="97"/>
    <cellStyle name="Comma 2 3" xfId="98"/>
    <cellStyle name="Comma 2 4" xfId="99"/>
    <cellStyle name="Comma 2 6" xfId="100"/>
    <cellStyle name="Comma 2 6 2" xfId="101"/>
    <cellStyle name="Comma 20" xfId="102"/>
    <cellStyle name="Comma 3" xfId="103"/>
    <cellStyle name="Comma 3 2" xfId="104"/>
    <cellStyle name="Comma 3 2 2" xfId="105"/>
    <cellStyle name="Comma 3 3" xfId="106"/>
    <cellStyle name="Comma 3 4" xfId="107"/>
    <cellStyle name="Comma 4" xfId="108"/>
    <cellStyle name="Comma 4 2" xfId="109"/>
    <cellStyle name="Comma 4 2 2" xfId="110"/>
    <cellStyle name="Comma 4 3" xfId="111"/>
    <cellStyle name="Comma 4 3 2" xfId="112"/>
    <cellStyle name="Comma 4 4" xfId="113"/>
    <cellStyle name="Comma 4 5" xfId="114"/>
    <cellStyle name="Comma 4 6" xfId="115"/>
    <cellStyle name="Comma 5" xfId="116"/>
    <cellStyle name="Comma 6" xfId="117"/>
    <cellStyle name="Comma 6 2" xfId="118"/>
    <cellStyle name="Comma 7" xfId="119"/>
    <cellStyle name="Comma 8" xfId="120"/>
    <cellStyle name="Comma 9" xfId="121"/>
    <cellStyle name="Comma(2)" xfId="122"/>
    <cellStyle name="Comma0 - Style2" xfId="123"/>
    <cellStyle name="Comma1 - Style1" xfId="124"/>
    <cellStyle name="Comments" xfId="125"/>
    <cellStyle name="Currency" xfId="126" builtinId="4"/>
    <cellStyle name="Currency 10" xfId="127"/>
    <cellStyle name="Currency 11" xfId="128"/>
    <cellStyle name="Currency 2" xfId="129"/>
    <cellStyle name="Currency 2 2" xfId="130"/>
    <cellStyle name="Currency 2 2 2" xfId="131"/>
    <cellStyle name="Currency 2 3" xfId="132"/>
    <cellStyle name="Currency 2 3 2" xfId="133"/>
    <cellStyle name="Currency 2 6" xfId="134"/>
    <cellStyle name="Currency 2 6 2" xfId="135"/>
    <cellStyle name="Currency 3" xfId="136"/>
    <cellStyle name="Currency 3 2" xfId="137"/>
    <cellStyle name="Currency 3 3" xfId="138"/>
    <cellStyle name="Currency 3 4" xfId="139"/>
    <cellStyle name="Currency 4" xfId="140"/>
    <cellStyle name="Currency 4 2" xfId="141"/>
    <cellStyle name="Currency 5" xfId="142"/>
    <cellStyle name="Currency 5 2" xfId="143"/>
    <cellStyle name="Currency 5 3" xfId="144"/>
    <cellStyle name="Currency 6" xfId="145"/>
    <cellStyle name="Currency 7" xfId="146"/>
    <cellStyle name="Currency 8" xfId="147"/>
    <cellStyle name="Currency 9" xfId="148"/>
    <cellStyle name="Data Enter" xfId="149"/>
    <cellStyle name="date" xfId="150"/>
    <cellStyle name="Explanatory Text 2" xfId="151"/>
    <cellStyle name="Explanatory Text 3" xfId="152"/>
    <cellStyle name="FactSheet" xfId="153"/>
    <cellStyle name="fish" xfId="154"/>
    <cellStyle name="Good 2" xfId="155"/>
    <cellStyle name="Good 3" xfId="156"/>
    <cellStyle name="Heading 1 2" xfId="157"/>
    <cellStyle name="Heading 1 2 2" xfId="158"/>
    <cellStyle name="Heading 1 3" xfId="159"/>
    <cellStyle name="Heading 1 3 2" xfId="160"/>
    <cellStyle name="Heading 2 2" xfId="161"/>
    <cellStyle name="Heading 2 2 2" xfId="162"/>
    <cellStyle name="Heading 2 3" xfId="163"/>
    <cellStyle name="Heading 2 3 2" xfId="164"/>
    <cellStyle name="Heading 3 2" xfId="165"/>
    <cellStyle name="Heading 3 2 2" xfId="166"/>
    <cellStyle name="Heading 3 3" xfId="167"/>
    <cellStyle name="Heading 3 3 2" xfId="168"/>
    <cellStyle name="Heading 4 2" xfId="169"/>
    <cellStyle name="Heading 4 3" xfId="170"/>
    <cellStyle name="Hyperlink 2" xfId="171"/>
    <cellStyle name="Hyperlink 3" xfId="172"/>
    <cellStyle name="Hyperlink 3 2" xfId="173"/>
    <cellStyle name="Input 2" xfId="174"/>
    <cellStyle name="Input 3" xfId="175"/>
    <cellStyle name="input(0)" xfId="176"/>
    <cellStyle name="Input(2)" xfId="177"/>
    <cellStyle name="Linked Cell 2" xfId="178"/>
    <cellStyle name="Linked Cell 2 2" xfId="179"/>
    <cellStyle name="Linked Cell 3" xfId="180"/>
    <cellStyle name="Neutral 2" xfId="181"/>
    <cellStyle name="Neutral 2 2" xfId="182"/>
    <cellStyle name="Neutral 3" xfId="183"/>
    <cellStyle name="New_normal" xfId="184"/>
    <cellStyle name="Normal" xfId="0" builtinId="0"/>
    <cellStyle name="Normal - Style1" xfId="185"/>
    <cellStyle name="Normal - Style2" xfId="186"/>
    <cellStyle name="Normal - Style3" xfId="187"/>
    <cellStyle name="Normal - Style4" xfId="188"/>
    <cellStyle name="Normal - Style5" xfId="189"/>
    <cellStyle name="Normal 10" xfId="190"/>
    <cellStyle name="Normal 10 2" xfId="191"/>
    <cellStyle name="Normal 10 2 2" xfId="192"/>
    <cellStyle name="Normal 10 2 3" xfId="193"/>
    <cellStyle name="Normal 10_2112 DF Schedule" xfId="194"/>
    <cellStyle name="Normal 100" xfId="195"/>
    <cellStyle name="Normal 101" xfId="196"/>
    <cellStyle name="Normal 102" xfId="197"/>
    <cellStyle name="Normal 103" xfId="198"/>
    <cellStyle name="Normal 104" xfId="199"/>
    <cellStyle name="Normal 105" xfId="200"/>
    <cellStyle name="Normal 106" xfId="201"/>
    <cellStyle name="Normal 107" xfId="202"/>
    <cellStyle name="Normal 108" xfId="203"/>
    <cellStyle name="Normal 11" xfId="204"/>
    <cellStyle name="Normal 12" xfId="205"/>
    <cellStyle name="Normal 12 2" xfId="206"/>
    <cellStyle name="Normal 13" xfId="207"/>
    <cellStyle name="Normal 13 2" xfId="208"/>
    <cellStyle name="Normal 14" xfId="209"/>
    <cellStyle name="Normal 14 2" xfId="210"/>
    <cellStyle name="Normal 15" xfId="211"/>
    <cellStyle name="Normal 15 2" xfId="212"/>
    <cellStyle name="Normal 16" xfId="213"/>
    <cellStyle name="Normal 16 2" xfId="214"/>
    <cellStyle name="Normal 17" xfId="215"/>
    <cellStyle name="Normal 17 2" xfId="216"/>
    <cellStyle name="Normal 18" xfId="217"/>
    <cellStyle name="Normal 18 2" xfId="218"/>
    <cellStyle name="Normal 19" xfId="219"/>
    <cellStyle name="Normal 19 2" xfId="220"/>
    <cellStyle name="Normal 2" xfId="221"/>
    <cellStyle name="Normal 2 2" xfId="222"/>
    <cellStyle name="Normal 2 2 2" xfId="223"/>
    <cellStyle name="Normal 2 2 3" xfId="224"/>
    <cellStyle name="Normal 2 2_Actual_Fuel" xfId="225"/>
    <cellStyle name="Normal 2 3" xfId="226"/>
    <cellStyle name="Normal 2 3 2" xfId="227"/>
    <cellStyle name="Normal 2 3 3" xfId="228"/>
    <cellStyle name="Normal 2 4" xfId="229"/>
    <cellStyle name="Normal 2 5" xfId="230"/>
    <cellStyle name="Normal 2_2012-10" xfId="231"/>
    <cellStyle name="Normal 20" xfId="232"/>
    <cellStyle name="Normal 21" xfId="233"/>
    <cellStyle name="Normal 22" xfId="234"/>
    <cellStyle name="Normal 23" xfId="235"/>
    <cellStyle name="Normal 24" xfId="236"/>
    <cellStyle name="Normal 25" xfId="237"/>
    <cellStyle name="Normal 26" xfId="238"/>
    <cellStyle name="Normal 27" xfId="239"/>
    <cellStyle name="Normal 28" xfId="240"/>
    <cellStyle name="Normal 29" xfId="241"/>
    <cellStyle name="Normal 3" xfId="242"/>
    <cellStyle name="Normal 3 2" xfId="243"/>
    <cellStyle name="Normal 3 3" xfId="244"/>
    <cellStyle name="Normal 3 4" xfId="245"/>
    <cellStyle name="Normal 3_2012 PR" xfId="246"/>
    <cellStyle name="Normal 30" xfId="247"/>
    <cellStyle name="Normal 31" xfId="248"/>
    <cellStyle name="Normal 32" xfId="249"/>
    <cellStyle name="Normal 33" xfId="250"/>
    <cellStyle name="Normal 34" xfId="251"/>
    <cellStyle name="Normal 35" xfId="252"/>
    <cellStyle name="Normal 36" xfId="253"/>
    <cellStyle name="Normal 37" xfId="254"/>
    <cellStyle name="Normal 38" xfId="255"/>
    <cellStyle name="Normal 39" xfId="256"/>
    <cellStyle name="Normal 4" xfId="257"/>
    <cellStyle name="Normal 4 2" xfId="258"/>
    <cellStyle name="Normal 40" xfId="259"/>
    <cellStyle name="Normal 41" xfId="260"/>
    <cellStyle name="Normal 42" xfId="261"/>
    <cellStyle name="Normal 43" xfId="262"/>
    <cellStyle name="Normal 44" xfId="263"/>
    <cellStyle name="Normal 45" xfId="264"/>
    <cellStyle name="Normal 46" xfId="265"/>
    <cellStyle name="Normal 47" xfId="266"/>
    <cellStyle name="Normal 48" xfId="267"/>
    <cellStyle name="Normal 49" xfId="268"/>
    <cellStyle name="Normal 5" xfId="269"/>
    <cellStyle name="Normal 5 2" xfId="270"/>
    <cellStyle name="Normal 5_2112 DF Schedule" xfId="271"/>
    <cellStyle name="Normal 50" xfId="272"/>
    <cellStyle name="Normal 51" xfId="273"/>
    <cellStyle name="Normal 52" xfId="274"/>
    <cellStyle name="Normal 53" xfId="275"/>
    <cellStyle name="Normal 54" xfId="276"/>
    <cellStyle name="Normal 55" xfId="277"/>
    <cellStyle name="Normal 56" xfId="278"/>
    <cellStyle name="Normal 57" xfId="279"/>
    <cellStyle name="Normal 58" xfId="280"/>
    <cellStyle name="Normal 59" xfId="281"/>
    <cellStyle name="Normal 6" xfId="282"/>
    <cellStyle name="Normal 6 2" xfId="283"/>
    <cellStyle name="Normal 60" xfId="284"/>
    <cellStyle name="Normal 61" xfId="285"/>
    <cellStyle name="Normal 62" xfId="286"/>
    <cellStyle name="Normal 63" xfId="287"/>
    <cellStyle name="Normal 64" xfId="288"/>
    <cellStyle name="Normal 65" xfId="289"/>
    <cellStyle name="Normal 66" xfId="290"/>
    <cellStyle name="Normal 67" xfId="291"/>
    <cellStyle name="Normal 68" xfId="292"/>
    <cellStyle name="Normal 69" xfId="293"/>
    <cellStyle name="Normal 7" xfId="294"/>
    <cellStyle name="Normal 70" xfId="295"/>
    <cellStyle name="Normal 71" xfId="296"/>
    <cellStyle name="Normal 72" xfId="297"/>
    <cellStyle name="Normal 73" xfId="298"/>
    <cellStyle name="Normal 74" xfId="299"/>
    <cellStyle name="Normal 75" xfId="300"/>
    <cellStyle name="Normal 76" xfId="301"/>
    <cellStyle name="Normal 77" xfId="302"/>
    <cellStyle name="Normal 78" xfId="303"/>
    <cellStyle name="Normal 79" xfId="304"/>
    <cellStyle name="Normal 8" xfId="305"/>
    <cellStyle name="Normal 80" xfId="306"/>
    <cellStyle name="Normal 81" xfId="307"/>
    <cellStyle name="Normal 82" xfId="308"/>
    <cellStyle name="Normal 83" xfId="309"/>
    <cellStyle name="Normal 84" xfId="310"/>
    <cellStyle name="Normal 84 2" xfId="311"/>
    <cellStyle name="Normal 84 3" xfId="312"/>
    <cellStyle name="Normal 85" xfId="313"/>
    <cellStyle name="Normal 86" xfId="314"/>
    <cellStyle name="Normal 87" xfId="315"/>
    <cellStyle name="Normal 88" xfId="316"/>
    <cellStyle name="Normal 89" xfId="317"/>
    <cellStyle name="Normal 9" xfId="318"/>
    <cellStyle name="Normal 90" xfId="319"/>
    <cellStyle name="Normal 91" xfId="320"/>
    <cellStyle name="Normal 92" xfId="321"/>
    <cellStyle name="Normal 93" xfId="322"/>
    <cellStyle name="Normal 94" xfId="323"/>
    <cellStyle name="Normal 95" xfId="324"/>
    <cellStyle name="Normal 96" xfId="325"/>
    <cellStyle name="Normal 97" xfId="326"/>
    <cellStyle name="Normal 98" xfId="327"/>
    <cellStyle name="Normal 99" xfId="328"/>
    <cellStyle name="Normal_Murrey's Jan-Dec 2012" xfId="329"/>
    <cellStyle name="Normal_Price out" xfId="330"/>
    <cellStyle name="Note 2" xfId="331"/>
    <cellStyle name="Note 2 2" xfId="332"/>
    <cellStyle name="Note 3" xfId="333"/>
    <cellStyle name="Note 3 2" xfId="334"/>
    <cellStyle name="Notes" xfId="335"/>
    <cellStyle name="Output 2" xfId="336"/>
    <cellStyle name="Output 3" xfId="337"/>
    <cellStyle name="Percent" xfId="338" builtinId="5"/>
    <cellStyle name="Percent 2" xfId="339"/>
    <cellStyle name="Percent 2 2" xfId="340"/>
    <cellStyle name="Percent 2 2 2" xfId="341"/>
    <cellStyle name="Percent 2 3" xfId="342"/>
    <cellStyle name="Percent 2 6" xfId="343"/>
    <cellStyle name="Percent 3" xfId="344"/>
    <cellStyle name="Percent 3 2" xfId="345"/>
    <cellStyle name="Percent 4" xfId="346"/>
    <cellStyle name="Percent 4 2" xfId="347"/>
    <cellStyle name="Percent 4 3" xfId="348"/>
    <cellStyle name="Percent 5" xfId="349"/>
    <cellStyle name="Percent 6" xfId="350"/>
    <cellStyle name="Percent 7" xfId="351"/>
    <cellStyle name="Percent 7 2" xfId="352"/>
    <cellStyle name="Percent 7 3" xfId="353"/>
    <cellStyle name="Percent 8" xfId="354"/>
    <cellStyle name="Percent 9" xfId="355"/>
    <cellStyle name="Percent(1)" xfId="356"/>
    <cellStyle name="Percent(2)" xfId="357"/>
    <cellStyle name="PRM" xfId="358"/>
    <cellStyle name="PRM 2" xfId="359"/>
    <cellStyle name="PRM 3" xfId="360"/>
    <cellStyle name="PRM_2011-11" xfId="361"/>
    <cellStyle name="PS_Comma" xfId="362"/>
    <cellStyle name="PSChar" xfId="363"/>
    <cellStyle name="PSDate" xfId="364"/>
    <cellStyle name="PSDec" xfId="365"/>
    <cellStyle name="PSHeading" xfId="366"/>
    <cellStyle name="PSInt" xfId="367"/>
    <cellStyle name="PSSpacer" xfId="368"/>
    <cellStyle name="STYL0 - Style1" xfId="369"/>
    <cellStyle name="STYL1 - Style2" xfId="370"/>
    <cellStyle name="STYL2 - Style3" xfId="371"/>
    <cellStyle name="STYL3 - Style4" xfId="372"/>
    <cellStyle name="STYL4 - Style5" xfId="373"/>
    <cellStyle name="STYL5 - Style6" xfId="374"/>
    <cellStyle name="STYL6 - Style7" xfId="375"/>
    <cellStyle name="STYL7 - Style8" xfId="376"/>
    <cellStyle name="Style 1" xfId="377"/>
    <cellStyle name="Style 1 2" xfId="378"/>
    <cellStyle name="STYLE1" xfId="379"/>
    <cellStyle name="sub heading" xfId="380"/>
    <cellStyle name="Title 2" xfId="381"/>
    <cellStyle name="Title 3" xfId="382"/>
    <cellStyle name="Total 2" xfId="383"/>
    <cellStyle name="Total 2 2" xfId="384"/>
    <cellStyle name="Total 3" xfId="385"/>
    <cellStyle name="Total 3 2" xfId="386"/>
    <cellStyle name="Warning Text 2" xfId="387"/>
    <cellStyle name="Warning Text 3" xfId="388"/>
    <cellStyle name="WM_STANDARD" xfId="3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topLeftCell="A31" workbookViewId="0">
      <selection activeCell="B54" sqref="B54"/>
    </sheetView>
  </sheetViews>
  <sheetFormatPr defaultRowHeight="15"/>
  <cols>
    <col min="1" max="1" width="36.28515625" style="3" bestFit="1" customWidth="1"/>
    <col min="2" max="2" width="19" style="3" bestFit="1" customWidth="1"/>
    <col min="3" max="3" width="16" style="3" bestFit="1" customWidth="1"/>
    <col min="4" max="4" width="10.5703125" style="3" bestFit="1" customWidth="1"/>
    <col min="5" max="5" width="7" style="3" bestFit="1" customWidth="1"/>
    <col min="6" max="6" width="11.42578125" style="3" bestFit="1" customWidth="1"/>
    <col min="7" max="7" width="10" style="3" bestFit="1" customWidth="1"/>
    <col min="8" max="8" width="8" style="3" bestFit="1" customWidth="1"/>
    <col min="9" max="9" width="15.85546875" style="3" bestFit="1" customWidth="1"/>
    <col min="10" max="10" width="12" style="3" bestFit="1" customWidth="1"/>
    <col min="11" max="16384" width="9.140625" style="3"/>
  </cols>
  <sheetData>
    <row r="1" spans="1:8">
      <c r="A1" s="176" t="s">
        <v>18</v>
      </c>
      <c r="B1" s="176"/>
      <c r="C1" s="176"/>
      <c r="D1" s="176"/>
      <c r="E1" s="176"/>
      <c r="F1" s="176"/>
      <c r="G1" s="176"/>
      <c r="H1" s="176"/>
    </row>
    <row r="2" spans="1:8">
      <c r="A2" s="3" t="s">
        <v>54</v>
      </c>
      <c r="B2" s="17" t="s">
        <v>40</v>
      </c>
      <c r="C2" s="17" t="s">
        <v>41</v>
      </c>
      <c r="D2" s="17" t="s">
        <v>42</v>
      </c>
      <c r="E2" s="18" t="s">
        <v>45</v>
      </c>
      <c r="F2" s="18" t="s">
        <v>46</v>
      </c>
      <c r="G2" s="18" t="s">
        <v>47</v>
      </c>
      <c r="H2" s="17" t="s">
        <v>50</v>
      </c>
    </row>
    <row r="3" spans="1:8">
      <c r="A3" s="3" t="s">
        <v>51</v>
      </c>
      <c r="B3" s="1">
        <f>52*5/12</f>
        <v>21.666666666666668</v>
      </c>
      <c r="C3" s="19">
        <f>$B$3*2</f>
        <v>43.333333333333336</v>
      </c>
      <c r="D3" s="19">
        <f>$B$3*3</f>
        <v>65</v>
      </c>
      <c r="E3" s="19">
        <f>$B$3*4</f>
        <v>86.666666666666671</v>
      </c>
      <c r="F3" s="19">
        <f>$B$3*5</f>
        <v>108.33333333333334</v>
      </c>
      <c r="G3" s="19">
        <f>$B$3*6</f>
        <v>130</v>
      </c>
      <c r="H3" s="19">
        <f>$B$3*7</f>
        <v>151.66666666666669</v>
      </c>
    </row>
    <row r="4" spans="1:8">
      <c r="A4" s="3" t="s">
        <v>87</v>
      </c>
      <c r="B4" s="1">
        <f>52*4/12</f>
        <v>17.333333333333332</v>
      </c>
      <c r="C4" s="19">
        <f>$B$4*2</f>
        <v>34.666666666666664</v>
      </c>
      <c r="D4" s="19">
        <f>$B$4*3</f>
        <v>52</v>
      </c>
      <c r="E4" s="19">
        <f>$B$4*4</f>
        <v>69.333333333333329</v>
      </c>
      <c r="F4" s="19">
        <f>$B$4*5</f>
        <v>86.666666666666657</v>
      </c>
      <c r="G4" s="19">
        <f>$B$4*6</f>
        <v>104</v>
      </c>
      <c r="H4" s="19">
        <f>$B$4*7</f>
        <v>121.33333333333333</v>
      </c>
    </row>
    <row r="5" spans="1:8">
      <c r="A5" s="3" t="s">
        <v>52</v>
      </c>
      <c r="B5" s="1">
        <f>52*3/12</f>
        <v>13</v>
      </c>
      <c r="C5" s="19">
        <f>$B$5*2</f>
        <v>26</v>
      </c>
      <c r="D5" s="19">
        <f>$B$5*3</f>
        <v>39</v>
      </c>
      <c r="E5" s="19">
        <f>$B$5*4</f>
        <v>52</v>
      </c>
      <c r="F5" s="19">
        <f>$B$5*5</f>
        <v>65</v>
      </c>
      <c r="G5" s="19">
        <f>$B$5*6</f>
        <v>78</v>
      </c>
      <c r="H5" s="19">
        <f>$B$5*7</f>
        <v>91</v>
      </c>
    </row>
    <row r="6" spans="1:8">
      <c r="A6" s="3" t="s">
        <v>53</v>
      </c>
      <c r="B6" s="1">
        <f>52*2/12</f>
        <v>8.6666666666666661</v>
      </c>
      <c r="C6" s="20">
        <f>$B$6*2</f>
        <v>17.333333333333332</v>
      </c>
      <c r="D6" s="20">
        <f>$B$6*3</f>
        <v>26</v>
      </c>
      <c r="E6" s="20">
        <f>$B$6*4</f>
        <v>34.666666666666664</v>
      </c>
      <c r="F6" s="20">
        <f>$B$6*5</f>
        <v>43.333333333333329</v>
      </c>
      <c r="G6" s="20">
        <f>$B$6*6</f>
        <v>52</v>
      </c>
      <c r="H6" s="20">
        <f>$B$6*7</f>
        <v>60.666666666666664</v>
      </c>
    </row>
    <row r="7" spans="1:8">
      <c r="A7" s="3" t="s">
        <v>21</v>
      </c>
      <c r="B7" s="1">
        <f>52/12</f>
        <v>4.333333333333333</v>
      </c>
      <c r="C7" s="20">
        <f>$B$7*2</f>
        <v>8.6666666666666661</v>
      </c>
      <c r="D7" s="20">
        <f>$B$7*3</f>
        <v>13</v>
      </c>
      <c r="E7" s="20">
        <f>$B$7*4</f>
        <v>17.333333333333332</v>
      </c>
      <c r="F7" s="20">
        <f>$B$7*5</f>
        <v>21.666666666666664</v>
      </c>
      <c r="G7" s="20">
        <f>$B$7*6</f>
        <v>26</v>
      </c>
      <c r="H7" s="20">
        <f>$B$7*7</f>
        <v>30.333333333333332</v>
      </c>
    </row>
    <row r="8" spans="1:8">
      <c r="A8" s="3" t="s">
        <v>23</v>
      </c>
      <c r="B8" s="1">
        <f>26/12</f>
        <v>2.1666666666666665</v>
      </c>
      <c r="C8" s="20">
        <f>$B$8*2</f>
        <v>4.333333333333333</v>
      </c>
      <c r="D8" s="20">
        <f>$B$8*3</f>
        <v>6.5</v>
      </c>
      <c r="E8" s="20">
        <f>$B$8*4</f>
        <v>8.6666666666666661</v>
      </c>
      <c r="F8" s="20">
        <f>$B$8*5</f>
        <v>10.833333333333332</v>
      </c>
      <c r="G8" s="20">
        <f>$B$8*6</f>
        <v>13</v>
      </c>
      <c r="H8" s="20">
        <f>$B$8*7</f>
        <v>15.166666666666666</v>
      </c>
    </row>
    <row r="9" spans="1:8">
      <c r="A9" s="3" t="s">
        <v>22</v>
      </c>
      <c r="B9" s="1">
        <f>12/12</f>
        <v>1</v>
      </c>
      <c r="C9" s="20">
        <f>$B$9*2</f>
        <v>2</v>
      </c>
      <c r="D9" s="20">
        <f>$B$9*3</f>
        <v>3</v>
      </c>
      <c r="E9" s="20">
        <f>$B$9*4</f>
        <v>4</v>
      </c>
      <c r="F9" s="20">
        <f>$B$9*5</f>
        <v>5</v>
      </c>
      <c r="G9" s="20">
        <f>$B$9*6</f>
        <v>6</v>
      </c>
      <c r="H9" s="20">
        <f>$B$9*7</f>
        <v>7</v>
      </c>
    </row>
    <row r="10" spans="1:8">
      <c r="B10" s="1"/>
      <c r="C10" s="20"/>
      <c r="D10" s="20"/>
      <c r="E10" s="20"/>
      <c r="F10" s="20"/>
      <c r="G10" s="20"/>
      <c r="H10" s="20"/>
    </row>
    <row r="11" spans="1:8">
      <c r="A11" s="176" t="s">
        <v>10</v>
      </c>
      <c r="B11" s="176"/>
      <c r="C11" s="20"/>
      <c r="D11" s="20"/>
      <c r="E11" s="20"/>
      <c r="F11" s="20"/>
      <c r="G11" s="20"/>
      <c r="H11" s="20"/>
    </row>
    <row r="12" spans="1:8">
      <c r="A12" s="2" t="s">
        <v>49</v>
      </c>
      <c r="B12" s="30" t="s">
        <v>79</v>
      </c>
      <c r="C12" s="20"/>
      <c r="D12" s="20"/>
      <c r="E12" s="20"/>
      <c r="F12" s="20"/>
      <c r="G12" s="20"/>
      <c r="H12" s="20"/>
    </row>
    <row r="13" spans="1:8">
      <c r="A13" s="21" t="s">
        <v>80</v>
      </c>
      <c r="B13" s="13">
        <v>20</v>
      </c>
      <c r="C13" s="20"/>
      <c r="D13" s="20"/>
      <c r="E13" s="20"/>
      <c r="F13" s="20"/>
      <c r="G13" s="20"/>
      <c r="H13" s="20"/>
    </row>
    <row r="14" spans="1:8">
      <c r="A14" s="21" t="s">
        <v>55</v>
      </c>
      <c r="B14" s="13">
        <v>34</v>
      </c>
      <c r="C14" s="20"/>
      <c r="D14" s="20"/>
      <c r="E14" s="20"/>
      <c r="F14" s="20"/>
      <c r="G14" s="20"/>
      <c r="H14" s="20"/>
    </row>
    <row r="15" spans="1:8">
      <c r="A15" s="21" t="s">
        <v>56</v>
      </c>
      <c r="B15" s="13">
        <v>51</v>
      </c>
      <c r="C15" s="20"/>
      <c r="D15" s="20"/>
      <c r="E15" s="20"/>
      <c r="F15" s="20"/>
      <c r="G15" s="20"/>
      <c r="H15" s="20"/>
    </row>
    <row r="16" spans="1:8">
      <c r="A16" s="21" t="s">
        <v>57</v>
      </c>
      <c r="B16" s="13">
        <v>77</v>
      </c>
      <c r="C16" s="20"/>
      <c r="D16" s="20"/>
      <c r="E16" s="20"/>
      <c r="F16" s="3" t="s">
        <v>19</v>
      </c>
      <c r="G16" s="13">
        <v>2000</v>
      </c>
      <c r="H16" s="20"/>
    </row>
    <row r="17" spans="1:8">
      <c r="A17" s="21" t="s">
        <v>58</v>
      </c>
      <c r="B17" s="13">
        <v>97</v>
      </c>
      <c r="C17" s="20"/>
      <c r="D17" s="20"/>
      <c r="E17" s="20"/>
      <c r="F17" s="3" t="s">
        <v>20</v>
      </c>
      <c r="G17" s="22" t="s">
        <v>43</v>
      </c>
      <c r="H17" s="20"/>
    </row>
    <row r="18" spans="1:8">
      <c r="A18" s="21" t="s">
        <v>59</v>
      </c>
      <c r="B18" s="13">
        <v>117</v>
      </c>
      <c r="C18" s="20"/>
      <c r="D18" s="20"/>
      <c r="E18" s="20"/>
      <c r="H18" s="20"/>
    </row>
    <row r="19" spans="1:8">
      <c r="A19" s="21" t="s">
        <v>60</v>
      </c>
      <c r="B19" s="13">
        <v>157</v>
      </c>
      <c r="C19" s="20"/>
      <c r="D19" s="20"/>
      <c r="E19" s="20"/>
      <c r="F19" s="15"/>
      <c r="G19" s="16"/>
      <c r="H19" s="20"/>
    </row>
    <row r="20" spans="1:8">
      <c r="A20" s="21" t="s">
        <v>96</v>
      </c>
      <c r="B20" s="13">
        <v>37</v>
      </c>
      <c r="C20" s="20" t="s">
        <v>81</v>
      </c>
      <c r="D20" s="20"/>
      <c r="E20" s="20"/>
      <c r="F20" s="15"/>
      <c r="G20" s="16"/>
      <c r="H20" s="20"/>
    </row>
    <row r="21" spans="1:8">
      <c r="A21" s="21" t="s">
        <v>61</v>
      </c>
      <c r="B21" s="13">
        <v>47</v>
      </c>
      <c r="C21" s="20"/>
      <c r="D21" s="20"/>
      <c r="E21" s="20"/>
      <c r="F21" s="20"/>
      <c r="G21" s="20"/>
      <c r="H21" s="20"/>
    </row>
    <row r="22" spans="1:8">
      <c r="A22" s="21" t="s">
        <v>62</v>
      </c>
      <c r="B22" s="13">
        <v>68</v>
      </c>
      <c r="C22" s="20"/>
      <c r="D22" s="20"/>
      <c r="E22" s="20"/>
      <c r="F22" s="20"/>
      <c r="G22" s="20"/>
      <c r="H22" s="20"/>
    </row>
    <row r="23" spans="1:8">
      <c r="A23" s="21" t="s">
        <v>63</v>
      </c>
      <c r="B23" s="13">
        <v>34</v>
      </c>
      <c r="C23" s="20"/>
      <c r="D23" s="20"/>
      <c r="E23" s="20"/>
      <c r="F23" s="20"/>
      <c r="G23" s="20"/>
      <c r="H23" s="20"/>
    </row>
    <row r="24" spans="1:8">
      <c r="A24" s="21" t="s">
        <v>31</v>
      </c>
      <c r="B24" s="13">
        <v>34</v>
      </c>
      <c r="C24" s="20"/>
      <c r="D24" s="20"/>
      <c r="E24" s="20"/>
      <c r="F24" s="20"/>
      <c r="G24" s="20"/>
      <c r="H24" s="20"/>
    </row>
    <row r="25" spans="1:8">
      <c r="A25" s="2" t="s">
        <v>64</v>
      </c>
      <c r="B25" s="13"/>
      <c r="C25" s="20"/>
      <c r="D25" s="20"/>
      <c r="E25" s="20"/>
      <c r="F25" s="20"/>
      <c r="G25" s="20"/>
      <c r="H25" s="20"/>
    </row>
    <row r="26" spans="1:8">
      <c r="A26" s="21" t="s">
        <v>65</v>
      </c>
      <c r="B26" s="13">
        <v>29</v>
      </c>
      <c r="C26" s="20"/>
      <c r="D26" s="20"/>
      <c r="E26" s="20"/>
      <c r="F26" s="20"/>
      <c r="G26" s="20"/>
      <c r="H26" s="20"/>
    </row>
    <row r="27" spans="1:8">
      <c r="A27" s="21" t="s">
        <v>66</v>
      </c>
      <c r="B27" s="13">
        <v>175</v>
      </c>
      <c r="C27" s="20"/>
      <c r="D27" s="20"/>
      <c r="E27" s="20"/>
      <c r="F27" s="20"/>
      <c r="G27" s="20"/>
      <c r="H27" s="20"/>
    </row>
    <row r="28" spans="1:8">
      <c r="A28" s="21" t="s">
        <v>67</v>
      </c>
      <c r="B28" s="13">
        <v>250</v>
      </c>
      <c r="C28" s="20"/>
      <c r="D28" s="20"/>
      <c r="E28" s="20"/>
      <c r="F28" s="20"/>
      <c r="G28" s="20"/>
      <c r="H28" s="20"/>
    </row>
    <row r="29" spans="1:8">
      <c r="A29" s="21" t="s">
        <v>68</v>
      </c>
      <c r="B29" s="13">
        <v>324</v>
      </c>
      <c r="C29" s="20"/>
      <c r="D29" s="20"/>
      <c r="E29" s="20"/>
      <c r="F29" s="20"/>
      <c r="G29" s="20"/>
      <c r="H29" s="20"/>
    </row>
    <row r="30" spans="1:8">
      <c r="A30" s="21" t="s">
        <v>69</v>
      </c>
      <c r="B30" s="13">
        <v>473</v>
      </c>
      <c r="C30" s="20"/>
      <c r="D30" s="20"/>
      <c r="E30" s="20"/>
      <c r="F30" s="20"/>
      <c r="G30" s="20"/>
      <c r="H30" s="20"/>
    </row>
    <row r="31" spans="1:8">
      <c r="A31" s="21" t="s">
        <v>70</v>
      </c>
      <c r="B31" s="13">
        <v>613</v>
      </c>
      <c r="C31" s="20"/>
      <c r="D31" s="20"/>
      <c r="E31" s="20"/>
      <c r="F31" s="20"/>
      <c r="G31" s="20"/>
      <c r="H31" s="20"/>
    </row>
    <row r="32" spans="1:8">
      <c r="A32" s="21" t="s">
        <v>71</v>
      </c>
      <c r="B32" s="13">
        <v>840</v>
      </c>
      <c r="C32" s="20"/>
      <c r="D32" s="20"/>
      <c r="E32" s="20"/>
      <c r="F32" s="20"/>
      <c r="G32" s="20"/>
      <c r="H32" s="20"/>
    </row>
    <row r="33" spans="1:8">
      <c r="A33" s="21" t="s">
        <v>72</v>
      </c>
      <c r="B33" s="13">
        <v>980</v>
      </c>
      <c r="C33" s="20"/>
      <c r="D33" s="20"/>
      <c r="E33" s="20"/>
      <c r="F33" s="20"/>
      <c r="G33" s="20"/>
      <c r="H33" s="20"/>
    </row>
    <row r="34" spans="1:8">
      <c r="A34" s="21" t="s">
        <v>88</v>
      </c>
      <c r="B34" s="13">
        <v>482</v>
      </c>
      <c r="C34" s="20" t="s">
        <v>81</v>
      </c>
      <c r="D34" s="20"/>
      <c r="E34" s="20"/>
      <c r="F34" s="20"/>
      <c r="G34" s="20"/>
      <c r="H34" s="20"/>
    </row>
    <row r="35" spans="1:8">
      <c r="A35" s="21" t="s">
        <v>89</v>
      </c>
      <c r="B35" s="13">
        <v>689</v>
      </c>
      <c r="C35" s="20" t="s">
        <v>81</v>
      </c>
      <c r="D35" s="20"/>
      <c r="E35" s="20"/>
      <c r="F35" s="20"/>
      <c r="G35" s="20"/>
      <c r="H35" s="20"/>
    </row>
    <row r="36" spans="1:8">
      <c r="A36" s="21" t="s">
        <v>74</v>
      </c>
      <c r="B36" s="13">
        <v>892</v>
      </c>
      <c r="C36" s="20" t="s">
        <v>81</v>
      </c>
      <c r="D36" s="20"/>
      <c r="E36" s="20"/>
      <c r="F36" s="20"/>
      <c r="G36" s="20"/>
      <c r="H36" s="20"/>
    </row>
    <row r="37" spans="1:8">
      <c r="A37" s="21" t="s">
        <v>73</v>
      </c>
      <c r="B37" s="13">
        <v>1301</v>
      </c>
      <c r="C37" s="20"/>
      <c r="D37" s="20"/>
      <c r="E37" s="20"/>
      <c r="F37" s="20"/>
      <c r="G37" s="20"/>
      <c r="H37" s="20"/>
    </row>
    <row r="38" spans="1:8">
      <c r="A38" s="21" t="s">
        <v>75</v>
      </c>
      <c r="B38" s="13">
        <v>1686</v>
      </c>
      <c r="C38" s="20"/>
      <c r="D38" s="20"/>
      <c r="E38" s="20"/>
      <c r="F38" s="20"/>
      <c r="G38" s="20"/>
      <c r="H38" s="20"/>
    </row>
    <row r="39" spans="1:8">
      <c r="A39" s="21" t="s">
        <v>76</v>
      </c>
      <c r="B39" s="13">
        <v>2046</v>
      </c>
      <c r="C39" s="20"/>
      <c r="D39" s="20"/>
      <c r="E39" s="20"/>
      <c r="F39" s="20"/>
      <c r="G39" s="20"/>
      <c r="H39" s="20"/>
    </row>
    <row r="40" spans="1:8">
      <c r="A40" s="21" t="s">
        <v>77</v>
      </c>
      <c r="B40" s="13">
        <v>2310</v>
      </c>
      <c r="C40" s="20"/>
      <c r="D40" s="20"/>
      <c r="E40" s="20"/>
      <c r="F40" s="20"/>
      <c r="G40" s="20"/>
      <c r="H40" s="20"/>
    </row>
    <row r="41" spans="1:8">
      <c r="A41" s="21" t="s">
        <v>90</v>
      </c>
      <c r="B41" s="13">
        <v>2800</v>
      </c>
      <c r="C41" s="20" t="s">
        <v>81</v>
      </c>
      <c r="D41" s="20"/>
      <c r="E41" s="20"/>
      <c r="F41" s="20"/>
      <c r="G41" s="20"/>
      <c r="H41" s="20"/>
    </row>
    <row r="42" spans="1:8">
      <c r="A42" s="21" t="s">
        <v>78</v>
      </c>
      <c r="B42" s="13">
        <v>125</v>
      </c>
      <c r="C42" s="20"/>
      <c r="D42" s="20"/>
      <c r="E42" s="20"/>
      <c r="F42" s="20"/>
      <c r="G42" s="20"/>
      <c r="H42" s="20"/>
    </row>
    <row r="43" spans="1:8">
      <c r="B43" s="178" t="s">
        <v>92</v>
      </c>
      <c r="C43" s="178"/>
    </row>
    <row r="46" spans="1:8">
      <c r="A46" s="29" t="s">
        <v>196</v>
      </c>
      <c r="B46" s="27" t="s">
        <v>5</v>
      </c>
      <c r="C46" s="27" t="s">
        <v>6</v>
      </c>
      <c r="F46" s="177" t="s">
        <v>26</v>
      </c>
      <c r="G46" s="177"/>
    </row>
    <row r="47" spans="1:8">
      <c r="A47" s="23" t="s">
        <v>7</v>
      </c>
      <c r="B47" s="6">
        <v>82.8</v>
      </c>
      <c r="C47" s="5">
        <f>B47/2000</f>
        <v>4.1399999999999999E-2</v>
      </c>
      <c r="F47" s="3" t="s">
        <v>27</v>
      </c>
      <c r="G47" s="9">
        <f>0.015</f>
        <v>1.4999999999999999E-2</v>
      </c>
    </row>
    <row r="48" spans="1:8">
      <c r="A48" s="23" t="s">
        <v>8</v>
      </c>
      <c r="B48" s="7">
        <v>85.3</v>
      </c>
      <c r="C48" s="8">
        <f>B48/2000</f>
        <v>4.265E-2</v>
      </c>
      <c r="F48" s="3" t="s">
        <v>28</v>
      </c>
      <c r="G48" s="10">
        <f>0.004</f>
        <v>4.0000000000000001E-3</v>
      </c>
    </row>
    <row r="49" spans="1:7">
      <c r="A49" s="21" t="s">
        <v>9</v>
      </c>
      <c r="B49" s="6">
        <f>B48-B47</f>
        <v>2.5</v>
      </c>
      <c r="C49" s="12">
        <f>C48-C47</f>
        <v>1.2500000000000011E-3</v>
      </c>
      <c r="F49" s="3" t="s">
        <v>48</v>
      </c>
      <c r="G49" s="11"/>
    </row>
    <row r="50" spans="1:7">
      <c r="F50" s="3" t="s">
        <v>16</v>
      </c>
      <c r="G50" s="24">
        <f>SUM(G47:G49)</f>
        <v>1.9E-2</v>
      </c>
    </row>
    <row r="51" spans="1:7">
      <c r="B51" s="28" t="s">
        <v>93</v>
      </c>
    </row>
    <row r="52" spans="1:7">
      <c r="A52" s="3" t="s">
        <v>3</v>
      </c>
      <c r="B52" s="25">
        <f>B49</f>
        <v>2.5</v>
      </c>
      <c r="F52" s="3" t="s">
        <v>29</v>
      </c>
      <c r="G52" s="26">
        <f>1-G50</f>
        <v>0.98099999999999998</v>
      </c>
    </row>
    <row r="53" spans="1:7">
      <c r="A53" s="3" t="s">
        <v>25</v>
      </c>
      <c r="B53" s="25">
        <f>B52/$G$52</f>
        <v>2.5484199796126403</v>
      </c>
    </row>
    <row r="54" spans="1:7">
      <c r="A54" s="3" t="s">
        <v>24</v>
      </c>
      <c r="B54" s="14">
        <f>Calculations!D116</f>
        <v>6618.43</v>
      </c>
    </row>
    <row r="55" spans="1:7">
      <c r="A55" s="2" t="s">
        <v>30</v>
      </c>
      <c r="B55" s="4">
        <f>B53*B54</f>
        <v>16866.539245667689</v>
      </c>
    </row>
    <row r="58" spans="1:7" ht="15.75" thickBot="1"/>
    <row r="59" spans="1:7">
      <c r="A59" s="98" t="s">
        <v>84</v>
      </c>
      <c r="B59" s="99" t="s">
        <v>82</v>
      </c>
      <c r="D59" s="25"/>
    </row>
    <row r="60" spans="1:7">
      <c r="A60" s="100" t="s">
        <v>83</v>
      </c>
      <c r="B60" s="101">
        <f>+Calculations!Q70</f>
        <v>16866.539245667795</v>
      </c>
    </row>
    <row r="61" spans="1:7">
      <c r="A61" s="100" t="s">
        <v>12</v>
      </c>
      <c r="B61" s="101">
        <f>B60-B55</f>
        <v>1.0550138540565968E-10</v>
      </c>
    </row>
    <row r="62" spans="1:7">
      <c r="A62" s="100"/>
      <c r="B62" s="102"/>
    </row>
    <row r="63" spans="1:7">
      <c r="A63" s="103" t="s">
        <v>85</v>
      </c>
      <c r="B63" s="104" t="s">
        <v>82</v>
      </c>
    </row>
    <row r="64" spans="1:7">
      <c r="A64" s="100" t="s">
        <v>44</v>
      </c>
      <c r="B64" s="105">
        <f>Calculations!Q70</f>
        <v>16866.539245667795</v>
      </c>
    </row>
    <row r="65" spans="1:3" ht="15.75" thickBot="1">
      <c r="A65" s="106" t="s">
        <v>12</v>
      </c>
      <c r="B65" s="107">
        <f>B64-B55</f>
        <v>1.0550138540565968E-10</v>
      </c>
      <c r="C65" s="25">
        <f>B61-B65</f>
        <v>0</v>
      </c>
    </row>
  </sheetData>
  <mergeCells count="4">
    <mergeCell ref="A1:H1"/>
    <mergeCell ref="F46:G46"/>
    <mergeCell ref="A11:B11"/>
    <mergeCell ref="B43:C43"/>
  </mergeCells>
  <phoneticPr fontId="0" type="noConversion"/>
  <pageMargins left="0.28000000000000003" right="0.52" top="0.75" bottom="0.75" header="0.3" footer="0.3"/>
  <pageSetup scale="72" orientation="portrait" r:id="rId1"/>
  <headerFooter>
    <oddHeader>&amp;C&amp;"-,Bold"&amp;12Basin Disposal of Walla Walla &amp;"-,Regular"
Disposal Fee Reference</oddHeader>
    <oddFooter>&amp;L&amp;8&amp;F - &amp;A&amp;C&amp;D&amp;R&amp;P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7"/>
  <sheetViews>
    <sheetView tabSelected="1" zoomScale="90" zoomScaleNormal="90" workbookViewId="0">
      <pane xSplit="3" ySplit="1" topLeftCell="D83" activePane="bottomRight" state="frozen"/>
      <selection pane="topRight" activeCell="D1" sqref="D1"/>
      <selection pane="bottomLeft" activeCell="A6" sqref="A6"/>
      <selection pane="bottomRight" activeCell="C93" sqref="C93"/>
    </sheetView>
  </sheetViews>
  <sheetFormatPr defaultColWidth="8.85546875" defaultRowHeight="15"/>
  <cols>
    <col min="1" max="1" width="4.5703125" style="61" customWidth="1"/>
    <col min="2" max="2" width="10.85546875" style="65" bestFit="1" customWidth="1"/>
    <col min="3" max="3" width="35.5703125" style="61" bestFit="1" customWidth="1"/>
    <col min="4" max="4" width="18.85546875" style="62" bestFit="1" customWidth="1"/>
    <col min="5" max="5" width="10.42578125" style="61" bestFit="1" customWidth="1"/>
    <col min="6" max="6" width="14" style="61" bestFit="1" customWidth="1"/>
    <col min="7" max="7" width="15.140625" style="61" customWidth="1"/>
    <col min="8" max="8" width="21.42578125" style="61" customWidth="1"/>
    <col min="9" max="9" width="16.28515625" style="60" customWidth="1"/>
    <col min="10" max="11" width="12.28515625" style="61" customWidth="1"/>
    <col min="12" max="12" width="10.7109375" style="61" customWidth="1"/>
    <col min="13" max="13" width="16.5703125" style="61" customWidth="1"/>
    <col min="14" max="14" width="15.42578125" style="61" customWidth="1"/>
    <col min="15" max="16" width="17.7109375" style="61" bestFit="1" customWidth="1"/>
    <col min="17" max="17" width="16" style="61" customWidth="1"/>
    <col min="18" max="16384" width="8.85546875" style="61"/>
  </cols>
  <sheetData>
    <row r="1" spans="1:19" ht="45">
      <c r="A1" s="29"/>
      <c r="B1" s="87" t="s">
        <v>15</v>
      </c>
      <c r="C1" s="88" t="s">
        <v>17</v>
      </c>
      <c r="D1" s="87" t="s">
        <v>37</v>
      </c>
      <c r="E1" s="87" t="s">
        <v>0</v>
      </c>
      <c r="F1" s="29" t="s">
        <v>1</v>
      </c>
      <c r="G1" s="87" t="s">
        <v>10</v>
      </c>
      <c r="H1" s="87" t="s">
        <v>34</v>
      </c>
      <c r="I1" s="118" t="s">
        <v>35</v>
      </c>
      <c r="J1" s="116" t="s">
        <v>9</v>
      </c>
      <c r="K1" s="87" t="s">
        <v>2</v>
      </c>
      <c r="L1" s="87" t="s">
        <v>38</v>
      </c>
      <c r="M1" s="87" t="s">
        <v>194</v>
      </c>
      <c r="N1" s="87" t="s">
        <v>193</v>
      </c>
      <c r="O1" s="87" t="s">
        <v>36</v>
      </c>
      <c r="P1" s="87" t="s">
        <v>195</v>
      </c>
      <c r="Q1" s="87" t="s">
        <v>39</v>
      </c>
    </row>
    <row r="2" spans="1:19" s="63" customFormat="1" ht="15" customHeight="1">
      <c r="A2" s="181" t="s">
        <v>13</v>
      </c>
      <c r="B2" s="123"/>
      <c r="C2" s="46" t="s">
        <v>99</v>
      </c>
      <c r="D2" s="124">
        <v>1125</v>
      </c>
      <c r="E2" s="73">
        <f>References!$B$7</f>
        <v>4.333333333333333</v>
      </c>
      <c r="F2" s="72">
        <f>D2*E2*12</f>
        <v>58500</v>
      </c>
      <c r="G2" s="158">
        <f>References!B21</f>
        <v>47</v>
      </c>
      <c r="H2" s="74">
        <f>F2*G2</f>
        <v>2749500</v>
      </c>
      <c r="I2" s="117">
        <f>$D$119*H2</f>
        <v>1763700.4594495436</v>
      </c>
      <c r="J2" s="76">
        <f>(References!$C$49*I2)</f>
        <v>2204.6255743119314</v>
      </c>
      <c r="K2" s="76">
        <f>J2/References!$G$52</f>
        <v>2247.3247444566068</v>
      </c>
      <c r="L2" s="71">
        <f>K2/F2*E2</f>
        <v>0.16646849958937826</v>
      </c>
      <c r="M2" s="128">
        <v>20.59</v>
      </c>
      <c r="N2" s="170">
        <f>L2+M2</f>
        <v>20.756468499589378</v>
      </c>
      <c r="O2" s="71">
        <f>D2*M2*12</f>
        <v>277965</v>
      </c>
      <c r="P2" s="71">
        <f>D2*N2*12</f>
        <v>280212.32474445662</v>
      </c>
      <c r="Q2" s="75">
        <f>+P2-O2</f>
        <v>2247.3247444566223</v>
      </c>
      <c r="S2" s="52"/>
    </row>
    <row r="3" spans="1:19" s="63" customFormat="1">
      <c r="A3" s="180"/>
      <c r="B3" s="123"/>
      <c r="C3" s="46" t="s">
        <v>100</v>
      </c>
      <c r="D3" s="124">
        <v>195</v>
      </c>
      <c r="E3" s="73">
        <f>References!$B$7</f>
        <v>4.333333333333333</v>
      </c>
      <c r="F3" s="72">
        <f t="shared" ref="F3:F9" si="0">D3*E3*12</f>
        <v>10139.999999999998</v>
      </c>
      <c r="G3" s="158">
        <f>References!B14</f>
        <v>34</v>
      </c>
      <c r="H3" s="72">
        <f t="shared" ref="H3:H9" si="1">F3*G3</f>
        <v>344759.99999999994</v>
      </c>
      <c r="I3" s="48">
        <f>$D$119*H3</f>
        <v>221150.52569551722</v>
      </c>
      <c r="J3" s="71">
        <f>(References!$C$49*I3)</f>
        <v>276.43815711939675</v>
      </c>
      <c r="K3" s="71">
        <f>J3/References!$G$52</f>
        <v>281.79220909214757</v>
      </c>
      <c r="L3" s="71">
        <f>K3/F3*E3</f>
        <v>0.12042402097955025</v>
      </c>
      <c r="M3" s="128">
        <v>15.59</v>
      </c>
      <c r="N3" s="171">
        <f>L3+M3</f>
        <v>15.71042402097955</v>
      </c>
      <c r="O3" s="71">
        <f>D3*M3*12</f>
        <v>36480.600000000006</v>
      </c>
      <c r="P3" s="71">
        <f>D3*N3*12</f>
        <v>36762.392209092148</v>
      </c>
      <c r="Q3" s="75">
        <f t="shared" ref="Q3:Q9" si="2">+P3-O3</f>
        <v>281.792209092142</v>
      </c>
      <c r="S3" s="52"/>
    </row>
    <row r="4" spans="1:19" s="63" customFormat="1">
      <c r="A4" s="180"/>
      <c r="B4" s="123"/>
      <c r="C4" s="46" t="s">
        <v>101</v>
      </c>
      <c r="D4" s="124">
        <v>1</v>
      </c>
      <c r="E4" s="73">
        <f>References!$B$9</f>
        <v>1</v>
      </c>
      <c r="F4" s="72">
        <f t="shared" si="0"/>
        <v>12</v>
      </c>
      <c r="G4" s="158">
        <f>References!B21</f>
        <v>47</v>
      </c>
      <c r="H4" s="72">
        <f t="shared" si="1"/>
        <v>564</v>
      </c>
      <c r="I4" s="48">
        <f>$D$119*H4</f>
        <v>361.78470963067565</v>
      </c>
      <c r="J4" s="71">
        <f>(References!$C$49*I4)</f>
        <v>0.45223088703834496</v>
      </c>
      <c r="K4" s="71">
        <f>J4/References!$G$52</f>
        <v>0.46098969117058614</v>
      </c>
      <c r="L4" s="71">
        <f t="shared" ref="L4:L9" si="3">K4/F4*E4</f>
        <v>3.8415807597548847E-2</v>
      </c>
      <c r="M4" s="128">
        <v>5.92</v>
      </c>
      <c r="N4" s="171">
        <f t="shared" ref="N4:N39" si="4">L4+M4</f>
        <v>5.9584158075975484</v>
      </c>
      <c r="O4" s="71">
        <f>D4*M4*12</f>
        <v>71.039999999999992</v>
      </c>
      <c r="P4" s="71">
        <f>D4*N4*12</f>
        <v>71.500989691170588</v>
      </c>
      <c r="Q4" s="75">
        <f t="shared" si="2"/>
        <v>0.46098969117059596</v>
      </c>
      <c r="S4" s="52"/>
    </row>
    <row r="5" spans="1:19" s="63" customFormat="1">
      <c r="A5" s="180"/>
      <c r="B5" s="123"/>
      <c r="C5" s="46" t="s">
        <v>102</v>
      </c>
      <c r="D5" s="124">
        <v>1</v>
      </c>
      <c r="E5" s="73">
        <f>References!$B$9</f>
        <v>1</v>
      </c>
      <c r="F5" s="72">
        <f t="shared" si="0"/>
        <v>12</v>
      </c>
      <c r="G5" s="158">
        <f>References!B22</f>
        <v>68</v>
      </c>
      <c r="H5" s="72">
        <f t="shared" si="1"/>
        <v>816</v>
      </c>
      <c r="I5" s="48">
        <f>$D$119*H5</f>
        <v>523.43319691246688</v>
      </c>
      <c r="J5" s="71">
        <f>(References!$C$49*I5)</f>
        <v>0.65429149614058424</v>
      </c>
      <c r="K5" s="71">
        <f>J5/References!$G$52</f>
        <v>0.66696380850212467</v>
      </c>
      <c r="L5" s="71">
        <f>K5/F5*E5</f>
        <v>5.5580317375177053E-2</v>
      </c>
      <c r="M5" s="128">
        <v>6.11</v>
      </c>
      <c r="N5" s="171">
        <f>L5+M5</f>
        <v>6.1655803173751771</v>
      </c>
      <c r="O5" s="71">
        <f>D5*M5*12</f>
        <v>73.320000000000007</v>
      </c>
      <c r="P5" s="71">
        <f>D5*N5*12</f>
        <v>73.986963808502125</v>
      </c>
      <c r="Q5" s="75">
        <f t="shared" si="2"/>
        <v>0.66696380850211767</v>
      </c>
      <c r="S5" s="52"/>
    </row>
    <row r="6" spans="1:19" s="63" customFormat="1">
      <c r="A6" s="180"/>
      <c r="B6" s="123"/>
      <c r="C6" s="46" t="s">
        <v>103</v>
      </c>
      <c r="D6" s="124">
        <v>2086</v>
      </c>
      <c r="E6" s="73">
        <f>References!$B$7</f>
        <v>4.333333333333333</v>
      </c>
      <c r="F6" s="72">
        <f t="shared" si="0"/>
        <v>108471.99999999999</v>
      </c>
      <c r="G6" s="158">
        <f>References!B22</f>
        <v>68</v>
      </c>
      <c r="H6" s="72">
        <f t="shared" si="1"/>
        <v>7376095.9999999991</v>
      </c>
      <c r="I6" s="48">
        <f>$D$119*H6</f>
        <v>4731487.1446240917</v>
      </c>
      <c r="J6" s="71">
        <f>(References!$C$49*I6)</f>
        <v>5914.3589307801194</v>
      </c>
      <c r="K6" s="71">
        <f>J6/References!$G$52</f>
        <v>6028.9081863202036</v>
      </c>
      <c r="L6" s="71">
        <f>K6/F6*E6</f>
        <v>0.24084804195910051</v>
      </c>
      <c r="M6" s="128">
        <v>25.87</v>
      </c>
      <c r="N6" s="171">
        <f t="shared" si="4"/>
        <v>26.110848041959102</v>
      </c>
      <c r="O6" s="71">
        <f>D6*M6*12</f>
        <v>647577.84</v>
      </c>
      <c r="P6" s="71">
        <f>D6*N6*12</f>
        <v>653606.7481863203</v>
      </c>
      <c r="Q6" s="75">
        <f t="shared" si="2"/>
        <v>6028.9081863203319</v>
      </c>
      <c r="S6" s="52"/>
    </row>
    <row r="7" spans="1:19" s="63" customFormat="1">
      <c r="A7" s="180"/>
      <c r="B7" s="123"/>
      <c r="C7" s="67" t="s">
        <v>128</v>
      </c>
      <c r="D7" s="124"/>
      <c r="E7" s="73"/>
      <c r="F7" s="72"/>
      <c r="G7" s="158"/>
      <c r="H7" s="72"/>
      <c r="I7" s="48"/>
      <c r="J7" s="71"/>
      <c r="K7" s="71"/>
      <c r="L7" s="71"/>
      <c r="M7" s="128"/>
      <c r="N7" s="171"/>
      <c r="O7" s="71"/>
      <c r="P7" s="71"/>
      <c r="Q7" s="75">
        <f t="shared" si="2"/>
        <v>0</v>
      </c>
      <c r="S7" s="52"/>
    </row>
    <row r="8" spans="1:19" s="63" customFormat="1">
      <c r="A8" s="180"/>
      <c r="B8" s="125"/>
      <c r="C8" s="46" t="s">
        <v>99</v>
      </c>
      <c r="D8" s="124">
        <v>1</v>
      </c>
      <c r="E8" s="73">
        <f>References!$B$7</f>
        <v>4.333333333333333</v>
      </c>
      <c r="F8" s="72">
        <f t="shared" si="0"/>
        <v>52</v>
      </c>
      <c r="G8" s="158">
        <f>References!B21</f>
        <v>47</v>
      </c>
      <c r="H8" s="72">
        <f t="shared" si="1"/>
        <v>2444</v>
      </c>
      <c r="I8" s="48">
        <f>$D$119*H8</f>
        <v>1567.7337417329277</v>
      </c>
      <c r="J8" s="71">
        <f>(References!$C$49*I8)</f>
        <v>1.9596671771661613</v>
      </c>
      <c r="K8" s="71">
        <f>J8/References!$G$52</f>
        <v>1.9976219950725396</v>
      </c>
      <c r="L8" s="71">
        <f t="shared" si="3"/>
        <v>0.16646849958937829</v>
      </c>
      <c r="M8" s="128">
        <v>17.16</v>
      </c>
      <c r="N8" s="171">
        <f t="shared" si="4"/>
        <v>17.326468499589378</v>
      </c>
      <c r="O8" s="71">
        <f>D8*M8*12</f>
        <v>205.92000000000002</v>
      </c>
      <c r="P8" s="71">
        <f>D8*N8*12</f>
        <v>207.91762199507252</v>
      </c>
      <c r="Q8" s="75">
        <f t="shared" si="2"/>
        <v>1.9976219950725067</v>
      </c>
      <c r="S8" s="52"/>
    </row>
    <row r="9" spans="1:19" s="63" customFormat="1">
      <c r="A9" s="180"/>
      <c r="B9" s="123"/>
      <c r="C9" s="46" t="s">
        <v>101</v>
      </c>
      <c r="D9" s="124">
        <v>1</v>
      </c>
      <c r="E9" s="73">
        <f>References!$B$9</f>
        <v>1</v>
      </c>
      <c r="F9" s="72">
        <f t="shared" si="0"/>
        <v>12</v>
      </c>
      <c r="G9" s="158">
        <f>References!B21</f>
        <v>47</v>
      </c>
      <c r="H9" s="72">
        <f t="shared" si="1"/>
        <v>564</v>
      </c>
      <c r="I9" s="48">
        <f>$D$119*H9</f>
        <v>361.78470963067565</v>
      </c>
      <c r="J9" s="71">
        <f>(References!$C$49*I9)</f>
        <v>0.45223088703834496</v>
      </c>
      <c r="K9" s="71">
        <f>J9/References!$G$52</f>
        <v>0.46098969117058614</v>
      </c>
      <c r="L9" s="71">
        <f t="shared" si="3"/>
        <v>3.8415807597548847E-2</v>
      </c>
      <c r="M9" s="128">
        <v>3.89</v>
      </c>
      <c r="N9" s="171">
        <f t="shared" si="4"/>
        <v>3.928415807597549</v>
      </c>
      <c r="O9" s="71">
        <f>D9*M9*12</f>
        <v>46.68</v>
      </c>
      <c r="P9" s="71">
        <f>D9*N9*12</f>
        <v>47.140989691170589</v>
      </c>
      <c r="Q9" s="75">
        <f t="shared" si="2"/>
        <v>0.46098969117058886</v>
      </c>
      <c r="S9" s="52"/>
    </row>
    <row r="10" spans="1:19" s="63" customFormat="1">
      <c r="A10" s="180"/>
      <c r="B10" s="49"/>
      <c r="C10" s="129"/>
      <c r="D10" s="130"/>
      <c r="E10" s="122"/>
      <c r="F10" s="72"/>
      <c r="G10" s="127"/>
      <c r="H10" s="72"/>
      <c r="I10" s="48"/>
      <c r="J10" s="71"/>
      <c r="K10" s="71"/>
      <c r="L10" s="71"/>
      <c r="M10" s="128"/>
      <c r="N10" s="171"/>
      <c r="O10" s="71"/>
      <c r="P10" s="71"/>
      <c r="Q10" s="75"/>
    </row>
    <row r="11" spans="1:19" s="63" customFormat="1">
      <c r="A11" s="50"/>
      <c r="B11" s="89"/>
      <c r="C11" s="51" t="s">
        <v>16</v>
      </c>
      <c r="D11" s="53">
        <f>SUM(D2:D10)</f>
        <v>3410</v>
      </c>
      <c r="E11" s="54"/>
      <c r="F11" s="55">
        <f>SUM(F2:F10)</f>
        <v>177200</v>
      </c>
      <c r="G11" s="56"/>
      <c r="H11" s="90">
        <f>SUM(H2:H10)</f>
        <v>10474744</v>
      </c>
      <c r="I11" s="57">
        <f>SUM(I2:I10)</f>
        <v>6719152.8661270598</v>
      </c>
      <c r="J11" s="78"/>
      <c r="K11" s="78"/>
      <c r="L11" s="78"/>
      <c r="M11" s="78"/>
      <c r="N11" s="172"/>
      <c r="O11" s="77">
        <f>SUM(O2:O10)</f>
        <v>962420.4</v>
      </c>
      <c r="P11" s="77">
        <f>SUM(P2:P10)</f>
        <v>970982.01170505502</v>
      </c>
      <c r="Q11" s="77">
        <f>SUM(Q2:Q10)</f>
        <v>8561.611705055011</v>
      </c>
    </row>
    <row r="12" spans="1:19" s="63" customFormat="1" ht="15" customHeight="1">
      <c r="A12" s="181" t="s">
        <v>14</v>
      </c>
      <c r="B12" s="49"/>
      <c r="C12" s="131" t="s">
        <v>105</v>
      </c>
      <c r="D12" s="60"/>
      <c r="E12" s="73"/>
      <c r="F12" s="132">
        <v>1872</v>
      </c>
      <c r="G12" s="158">
        <f>References!B26</f>
        <v>29</v>
      </c>
      <c r="H12" s="72">
        <f t="shared" ref="H12:H33" si="5">F12*G12</f>
        <v>54288</v>
      </c>
      <c r="I12" s="48">
        <f>$D$119*H12</f>
        <v>34823.702688705882</v>
      </c>
      <c r="J12" s="71">
        <f>(References!$C$49*I12)</f>
        <v>43.529628360882391</v>
      </c>
      <c r="K12" s="71">
        <f>J12/References!$G$52</f>
        <v>44.372709847994287</v>
      </c>
      <c r="L12" s="71">
        <f>K12/F12</f>
        <v>2.3703370645296092E-2</v>
      </c>
      <c r="M12" s="71">
        <v>3.22</v>
      </c>
      <c r="N12" s="171">
        <f t="shared" si="4"/>
        <v>3.2437033706452962</v>
      </c>
      <c r="O12" s="71">
        <f>F12*M12</f>
        <v>6027.84</v>
      </c>
      <c r="P12" s="71">
        <f>F12*N12</f>
        <v>6072.2127098479941</v>
      </c>
      <c r="Q12" s="75">
        <f t="shared" ref="Q12:Q52" si="6">+P12-O12</f>
        <v>44.372709847993974</v>
      </c>
      <c r="S12" s="52"/>
    </row>
    <row r="13" spans="1:19" s="63" customFormat="1">
      <c r="A13" s="180"/>
      <c r="B13" s="49"/>
      <c r="C13" s="131" t="s">
        <v>106</v>
      </c>
      <c r="D13" s="60"/>
      <c r="E13" s="73"/>
      <c r="F13" s="133">
        <v>23036</v>
      </c>
      <c r="G13" s="158">
        <f>References!B21</f>
        <v>47</v>
      </c>
      <c r="H13" s="114">
        <f t="shared" si="5"/>
        <v>1082692</v>
      </c>
      <c r="I13" s="48">
        <f>$D$119*H13</f>
        <v>694506.04758768703</v>
      </c>
      <c r="J13" s="71">
        <f>(References!$C$49*I13)</f>
        <v>868.1325594846096</v>
      </c>
      <c r="K13" s="71">
        <f>J13/References!$G$52</f>
        <v>884.94654381713519</v>
      </c>
      <c r="L13" s="71">
        <f t="shared" ref="L13:L39" si="7">K13/F13</f>
        <v>3.8415807597548847E-2</v>
      </c>
      <c r="M13" s="71">
        <v>4.4400000000000004</v>
      </c>
      <c r="N13" s="171">
        <f t="shared" si="4"/>
        <v>4.4784158075975489</v>
      </c>
      <c r="O13" s="71">
        <f t="shared" ref="O13:O39" si="8">F13*M13</f>
        <v>102279.84000000001</v>
      </c>
      <c r="P13" s="71">
        <f t="shared" ref="P13:P39" si="9">F13*N13</f>
        <v>103164.78654381714</v>
      </c>
      <c r="Q13" s="75">
        <f t="shared" si="6"/>
        <v>884.9465438171319</v>
      </c>
      <c r="S13" s="52"/>
    </row>
    <row r="14" spans="1:19" s="63" customFormat="1">
      <c r="A14" s="180"/>
      <c r="B14" s="49"/>
      <c r="C14" s="131" t="s">
        <v>107</v>
      </c>
      <c r="D14" s="126"/>
      <c r="E14" s="73"/>
      <c r="F14" s="133">
        <v>33592</v>
      </c>
      <c r="G14" s="158">
        <f>References!B22</f>
        <v>68</v>
      </c>
      <c r="H14" s="114">
        <f t="shared" si="5"/>
        <v>2284256</v>
      </c>
      <c r="I14" s="48">
        <f>$D$119*H14</f>
        <v>1465263.9958902989</v>
      </c>
      <c r="J14" s="71">
        <f>(References!$C$49*I14)</f>
        <v>1831.5799948628753</v>
      </c>
      <c r="K14" s="71">
        <f>J14/References!$G$52</f>
        <v>1867.0540212669473</v>
      </c>
      <c r="L14" s="71">
        <f t="shared" si="7"/>
        <v>5.5580317375177046E-2</v>
      </c>
      <c r="M14" s="97">
        <v>5.6</v>
      </c>
      <c r="N14" s="171">
        <f t="shared" si="4"/>
        <v>5.6555803173751764</v>
      </c>
      <c r="O14" s="71">
        <f t="shared" si="8"/>
        <v>188115.19999999998</v>
      </c>
      <c r="P14" s="71">
        <f t="shared" si="9"/>
        <v>189982.25402126691</v>
      </c>
      <c r="Q14" s="75">
        <f t="shared" si="6"/>
        <v>1867.0540212669293</v>
      </c>
      <c r="S14" s="52"/>
    </row>
    <row r="15" spans="1:19" s="63" customFormat="1">
      <c r="A15" s="180"/>
      <c r="B15" s="49"/>
      <c r="C15" s="131" t="s">
        <v>129</v>
      </c>
      <c r="D15" s="126"/>
      <c r="E15" s="73"/>
      <c r="F15" s="132">
        <v>1296</v>
      </c>
      <c r="G15" s="160">
        <f>References!B28</f>
        <v>250</v>
      </c>
      <c r="H15" s="72">
        <f>F15*G15</f>
        <v>324000</v>
      </c>
      <c r="I15" s="48">
        <f>$D$119*H15</f>
        <v>207833.76936230302</v>
      </c>
      <c r="J15" s="71">
        <f>(References!$C$49*I15)</f>
        <v>259.792211702879</v>
      </c>
      <c r="K15" s="71">
        <f>J15/References!$G$52</f>
        <v>264.82386514054946</v>
      </c>
      <c r="L15" s="71">
        <f>K15/F15</f>
        <v>0.20433940211462148</v>
      </c>
      <c r="M15" s="146">
        <v>42.16</v>
      </c>
      <c r="N15" s="171">
        <f>L15+M15</f>
        <v>42.364339402114616</v>
      </c>
      <c r="O15" s="71">
        <f>F15*M15</f>
        <v>54639.359999999993</v>
      </c>
      <c r="P15" s="71">
        <f>F15*N15</f>
        <v>54904.183865140541</v>
      </c>
      <c r="Q15" s="75">
        <f t="shared" si="6"/>
        <v>264.82386514054815</v>
      </c>
      <c r="S15" s="52"/>
    </row>
    <row r="16" spans="1:19" s="63" customFormat="1">
      <c r="A16" s="180"/>
      <c r="B16" s="49"/>
      <c r="C16" s="150" t="s">
        <v>185</v>
      </c>
      <c r="D16" s="151"/>
      <c r="E16" s="152"/>
      <c r="F16" s="153">
        <v>120</v>
      </c>
      <c r="G16" s="161"/>
      <c r="H16" s="154"/>
      <c r="I16" s="155"/>
      <c r="J16" s="156"/>
      <c r="K16" s="156"/>
      <c r="L16" s="156"/>
      <c r="M16" s="174">
        <v>11.38</v>
      </c>
      <c r="N16" s="173">
        <f>L16+M16</f>
        <v>11.38</v>
      </c>
      <c r="O16" s="156">
        <f>F16*M16</f>
        <v>1365.6000000000001</v>
      </c>
      <c r="P16" s="156">
        <f>F16*N16</f>
        <v>1365.6000000000001</v>
      </c>
      <c r="Q16" s="75">
        <f t="shared" si="6"/>
        <v>0</v>
      </c>
      <c r="S16" s="52"/>
    </row>
    <row r="17" spans="1:19" s="63" customFormat="1">
      <c r="A17" s="180"/>
      <c r="B17" s="49"/>
      <c r="C17" s="150" t="s">
        <v>130</v>
      </c>
      <c r="D17" s="151"/>
      <c r="E17" s="152"/>
      <c r="F17" s="153">
        <v>120</v>
      </c>
      <c r="G17" s="161">
        <f>References!B27</f>
        <v>175</v>
      </c>
      <c r="H17" s="154">
        <f>F17*G17</f>
        <v>21000</v>
      </c>
      <c r="I17" s="155">
        <f>$D$119*H17</f>
        <v>13470.707273482603</v>
      </c>
      <c r="J17" s="156">
        <f>(References!$C$49*I17)</f>
        <v>16.838384091853268</v>
      </c>
      <c r="K17" s="156">
        <f>J17/References!$G$52</f>
        <v>17.164509777628204</v>
      </c>
      <c r="L17" s="156">
        <f>K17/F17</f>
        <v>0.14303758148023504</v>
      </c>
      <c r="M17" s="174">
        <v>14.17</v>
      </c>
      <c r="N17" s="173">
        <f>L17+M17</f>
        <v>14.313037581480234</v>
      </c>
      <c r="O17" s="156">
        <f>F17*M17</f>
        <v>1700.4</v>
      </c>
      <c r="P17" s="156">
        <f>F17*N17</f>
        <v>1717.564509777628</v>
      </c>
      <c r="Q17" s="75">
        <f t="shared" si="6"/>
        <v>17.164509777627927</v>
      </c>
      <c r="S17" s="52"/>
    </row>
    <row r="18" spans="1:19" s="63" customFormat="1">
      <c r="A18" s="180"/>
      <c r="B18" s="49"/>
      <c r="C18" s="131" t="s">
        <v>131</v>
      </c>
      <c r="D18" s="126"/>
      <c r="E18" s="73"/>
      <c r="F18" s="132">
        <v>1478.52</v>
      </c>
      <c r="G18" s="162">
        <f>References!B27</f>
        <v>175</v>
      </c>
      <c r="H18" s="72">
        <f>F18*G18</f>
        <v>258741</v>
      </c>
      <c r="I18" s="48">
        <f>$D$119*H18</f>
        <v>165972.58431657916</v>
      </c>
      <c r="J18" s="71">
        <f>(References!$C$49*I18)</f>
        <v>207.46573039572414</v>
      </c>
      <c r="K18" s="71">
        <f>J18/References!$G$52</f>
        <v>211.48392497015712</v>
      </c>
      <c r="L18" s="71">
        <f>K18/F18</f>
        <v>0.14303758148023504</v>
      </c>
      <c r="M18" s="175">
        <v>14.17</v>
      </c>
      <c r="N18" s="171">
        <f>L18+M18</f>
        <v>14.313037581480234</v>
      </c>
      <c r="O18" s="71">
        <f>F18*M18</f>
        <v>20950.628400000001</v>
      </c>
      <c r="P18" s="71">
        <f>F18*N18</f>
        <v>21162.112324970156</v>
      </c>
      <c r="Q18" s="75">
        <f t="shared" si="6"/>
        <v>211.48392497015448</v>
      </c>
      <c r="S18" s="52"/>
    </row>
    <row r="19" spans="1:19" s="63" customFormat="1">
      <c r="A19" s="180"/>
      <c r="B19" s="49"/>
      <c r="C19" s="131" t="s">
        <v>132</v>
      </c>
      <c r="D19" s="60"/>
      <c r="E19" s="73"/>
      <c r="F19" s="133">
        <v>24</v>
      </c>
      <c r="G19" s="162">
        <f>References!B27</f>
        <v>175</v>
      </c>
      <c r="H19" s="72">
        <f t="shared" si="5"/>
        <v>4200</v>
      </c>
      <c r="I19" s="48">
        <f>$D$119*H19</f>
        <v>2694.1414546965207</v>
      </c>
      <c r="J19" s="71">
        <f>(References!$C$49*I19)</f>
        <v>3.3676768183706538</v>
      </c>
      <c r="K19" s="71">
        <f>J19/References!$G$52</f>
        <v>3.432901955525641</v>
      </c>
      <c r="L19" s="71">
        <f t="shared" si="7"/>
        <v>0.14303758148023504</v>
      </c>
      <c r="M19" s="146">
        <v>17.57</v>
      </c>
      <c r="N19" s="171">
        <f t="shared" si="4"/>
        <v>17.713037581480236</v>
      </c>
      <c r="O19" s="71">
        <f t="shared" si="8"/>
        <v>421.68</v>
      </c>
      <c r="P19" s="71">
        <f t="shared" si="9"/>
        <v>425.11290195552567</v>
      </c>
      <c r="Q19" s="75">
        <f t="shared" si="6"/>
        <v>3.432901955525665</v>
      </c>
      <c r="S19" s="52"/>
    </row>
    <row r="20" spans="1:19" s="63" customFormat="1">
      <c r="A20" s="180"/>
      <c r="B20" s="49"/>
      <c r="C20" s="131" t="s">
        <v>133</v>
      </c>
      <c r="D20" s="60"/>
      <c r="E20" s="73"/>
      <c r="F20" s="132">
        <v>120</v>
      </c>
      <c r="G20" s="158">
        <f>References!B27</f>
        <v>175</v>
      </c>
      <c r="H20" s="72">
        <f t="shared" si="5"/>
        <v>21000</v>
      </c>
      <c r="I20" s="48">
        <f>$D$119*H20</f>
        <v>13470.707273482603</v>
      </c>
      <c r="J20" s="71">
        <f>(References!$C$49*I20)</f>
        <v>16.838384091853268</v>
      </c>
      <c r="K20" s="71">
        <f>J20/References!$G$52</f>
        <v>17.164509777628204</v>
      </c>
      <c r="L20" s="71">
        <f t="shared" si="7"/>
        <v>0.14303758148023504</v>
      </c>
      <c r="M20" s="146">
        <v>15.59</v>
      </c>
      <c r="N20" s="171">
        <f t="shared" si="4"/>
        <v>15.733037581480234</v>
      </c>
      <c r="O20" s="71">
        <f t="shared" si="8"/>
        <v>1870.8</v>
      </c>
      <c r="P20" s="71">
        <f t="shared" si="9"/>
        <v>1887.9645097776281</v>
      </c>
      <c r="Q20" s="75">
        <f t="shared" si="6"/>
        <v>17.164509777628155</v>
      </c>
      <c r="S20" s="52"/>
    </row>
    <row r="21" spans="1:19" s="63" customFormat="1">
      <c r="A21" s="180"/>
      <c r="B21" s="49"/>
      <c r="C21" s="150" t="s">
        <v>177</v>
      </c>
      <c r="D21" s="154"/>
      <c r="E21" s="152"/>
      <c r="F21" s="153">
        <v>1644</v>
      </c>
      <c r="G21" s="161"/>
      <c r="H21" s="154"/>
      <c r="I21" s="155"/>
      <c r="J21" s="156"/>
      <c r="K21" s="156"/>
      <c r="L21" s="156"/>
      <c r="M21" s="174">
        <v>11.93</v>
      </c>
      <c r="N21" s="173">
        <f>L21+M21</f>
        <v>11.93</v>
      </c>
      <c r="O21" s="156">
        <f>F21*M21</f>
        <v>19612.919999999998</v>
      </c>
      <c r="P21" s="156">
        <f>F21*N21</f>
        <v>19612.919999999998</v>
      </c>
      <c r="Q21" s="75">
        <f t="shared" si="6"/>
        <v>0</v>
      </c>
      <c r="S21" s="52"/>
    </row>
    <row r="22" spans="1:19" s="63" customFormat="1">
      <c r="A22" s="180"/>
      <c r="B22" s="49"/>
      <c r="C22" s="150" t="s">
        <v>134</v>
      </c>
      <c r="D22" s="154"/>
      <c r="E22" s="152"/>
      <c r="F22" s="153">
        <v>1644</v>
      </c>
      <c r="G22" s="161">
        <f>References!$B$28</f>
        <v>250</v>
      </c>
      <c r="H22" s="154">
        <f t="shared" si="5"/>
        <v>411000</v>
      </c>
      <c r="I22" s="155">
        <f>$D$119*H22</f>
        <v>263640.98520958808</v>
      </c>
      <c r="J22" s="156">
        <f>(References!$C$49*I22)</f>
        <v>329.55123151198541</v>
      </c>
      <c r="K22" s="156">
        <f>J22/References!$G$52</f>
        <v>335.93397707643771</v>
      </c>
      <c r="L22" s="156">
        <f t="shared" si="7"/>
        <v>0.20433940211462148</v>
      </c>
      <c r="M22" s="174">
        <v>22.18</v>
      </c>
      <c r="N22" s="173">
        <f t="shared" si="4"/>
        <v>22.38433940211462</v>
      </c>
      <c r="O22" s="156">
        <f t="shared" si="8"/>
        <v>36463.919999999998</v>
      </c>
      <c r="P22" s="156">
        <f t="shared" si="9"/>
        <v>36799.853977076433</v>
      </c>
      <c r="Q22" s="75">
        <f t="shared" si="6"/>
        <v>335.93397707643453</v>
      </c>
      <c r="S22" s="52"/>
    </row>
    <row r="23" spans="1:19" s="63" customFormat="1">
      <c r="A23" s="180"/>
      <c r="B23" s="49"/>
      <c r="C23" s="131" t="s">
        <v>135</v>
      </c>
      <c r="D23" s="60"/>
      <c r="E23" s="73"/>
      <c r="F23" s="132">
        <v>16263.72</v>
      </c>
      <c r="G23" s="158">
        <f>References!$B$28</f>
        <v>250</v>
      </c>
      <c r="H23" s="72">
        <f t="shared" si="5"/>
        <v>4065930</v>
      </c>
      <c r="I23" s="48">
        <f>$D$119*H23</f>
        <v>2608140.6106891008</v>
      </c>
      <c r="J23" s="71">
        <f>(References!$C$49*I23)</f>
        <v>3260.1757633613788</v>
      </c>
      <c r="K23" s="71">
        <f>J23/References!$G$52</f>
        <v>3323.3188209596115</v>
      </c>
      <c r="L23" s="71">
        <f t="shared" si="7"/>
        <v>0.20433940211462148</v>
      </c>
      <c r="M23" s="146">
        <v>22.18</v>
      </c>
      <c r="N23" s="171">
        <f t="shared" si="4"/>
        <v>22.38433940211462</v>
      </c>
      <c r="O23" s="71">
        <f t="shared" si="8"/>
        <v>360729.30959999998</v>
      </c>
      <c r="P23" s="71">
        <f t="shared" si="9"/>
        <v>364052.62842095958</v>
      </c>
      <c r="Q23" s="75">
        <f t="shared" si="6"/>
        <v>3323.3188209595974</v>
      </c>
      <c r="S23" s="52"/>
    </row>
    <row r="24" spans="1:19" s="63" customFormat="1">
      <c r="A24" s="180"/>
      <c r="B24" s="49"/>
      <c r="C24" s="150" t="s">
        <v>178</v>
      </c>
      <c r="D24" s="154"/>
      <c r="E24" s="152"/>
      <c r="F24" s="153">
        <v>204</v>
      </c>
      <c r="G24" s="161"/>
      <c r="H24" s="154"/>
      <c r="I24" s="155"/>
      <c r="J24" s="156"/>
      <c r="K24" s="156"/>
      <c r="L24" s="156"/>
      <c r="M24" s="174">
        <v>14.91</v>
      </c>
      <c r="N24" s="173">
        <f>L24+M24</f>
        <v>14.91</v>
      </c>
      <c r="O24" s="156">
        <f>F24*M24</f>
        <v>3041.64</v>
      </c>
      <c r="P24" s="156">
        <f>F24*N24</f>
        <v>3041.64</v>
      </c>
      <c r="Q24" s="75">
        <f t="shared" si="6"/>
        <v>0</v>
      </c>
      <c r="S24" s="52"/>
    </row>
    <row r="25" spans="1:19" s="63" customFormat="1">
      <c r="A25" s="180"/>
      <c r="B25" s="49"/>
      <c r="C25" s="150" t="s">
        <v>138</v>
      </c>
      <c r="D25" s="154"/>
      <c r="E25" s="152"/>
      <c r="F25" s="153">
        <v>204</v>
      </c>
      <c r="G25" s="161">
        <f>References!$B$29</f>
        <v>324</v>
      </c>
      <c r="H25" s="154">
        <f t="shared" si="5"/>
        <v>66096</v>
      </c>
      <c r="I25" s="155">
        <f>$D$119*H25</f>
        <v>42398.088949909819</v>
      </c>
      <c r="J25" s="156">
        <f>(References!$C$49*I25)</f>
        <v>52.997611187387321</v>
      </c>
      <c r="K25" s="156">
        <f>J25/References!$G$52</f>
        <v>54.024068488672093</v>
      </c>
      <c r="L25" s="156">
        <f t="shared" si="7"/>
        <v>0.26482386514054945</v>
      </c>
      <c r="M25" s="174">
        <v>25.69</v>
      </c>
      <c r="N25" s="173">
        <f t="shared" si="4"/>
        <v>25.954823865140551</v>
      </c>
      <c r="O25" s="156">
        <f t="shared" si="8"/>
        <v>5240.76</v>
      </c>
      <c r="P25" s="156">
        <f t="shared" si="9"/>
        <v>5294.7840684886723</v>
      </c>
      <c r="Q25" s="75">
        <f t="shared" si="6"/>
        <v>54.024068488672128</v>
      </c>
      <c r="S25" s="52"/>
    </row>
    <row r="26" spans="1:19" s="63" customFormat="1">
      <c r="A26" s="180"/>
      <c r="B26" s="49"/>
      <c r="C26" s="131" t="s">
        <v>139</v>
      </c>
      <c r="D26" s="60"/>
      <c r="E26" s="73"/>
      <c r="F26" s="132">
        <v>2917.08</v>
      </c>
      <c r="G26" s="158">
        <f>References!$B$29</f>
        <v>324</v>
      </c>
      <c r="H26" s="72">
        <f t="shared" si="5"/>
        <v>945133.91999999993</v>
      </c>
      <c r="I26" s="48">
        <f>$D$119*H26</f>
        <v>606267.73193138686</v>
      </c>
      <c r="J26" s="71">
        <f>(References!$C$49*I26)</f>
        <v>757.83466491423428</v>
      </c>
      <c r="K26" s="71">
        <f>J26/References!$G$52</f>
        <v>772.51240052419394</v>
      </c>
      <c r="L26" s="71">
        <f t="shared" si="7"/>
        <v>0.26482386514054945</v>
      </c>
      <c r="M26" s="146">
        <v>25.69</v>
      </c>
      <c r="N26" s="171">
        <f t="shared" si="4"/>
        <v>25.954823865140551</v>
      </c>
      <c r="O26" s="71">
        <f t="shared" si="8"/>
        <v>74939.785199999998</v>
      </c>
      <c r="P26" s="71">
        <f t="shared" si="9"/>
        <v>75712.297600524194</v>
      </c>
      <c r="Q26" s="75">
        <f t="shared" si="6"/>
        <v>772.51240052419598</v>
      </c>
      <c r="S26" s="52"/>
    </row>
    <row r="27" spans="1:19" s="63" customFormat="1">
      <c r="A27" s="180"/>
      <c r="B27" s="49"/>
      <c r="C27" s="150" t="s">
        <v>179</v>
      </c>
      <c r="D27" s="154"/>
      <c r="E27" s="152"/>
      <c r="F27" s="153">
        <v>36</v>
      </c>
      <c r="G27" s="161"/>
      <c r="H27" s="154"/>
      <c r="I27" s="155"/>
      <c r="J27" s="156"/>
      <c r="K27" s="156"/>
      <c r="L27" s="156"/>
      <c r="M27" s="174">
        <v>16.96</v>
      </c>
      <c r="N27" s="173">
        <f>L27+M27</f>
        <v>16.96</v>
      </c>
      <c r="O27" s="156">
        <f>F27*M27</f>
        <v>610.56000000000006</v>
      </c>
      <c r="P27" s="156">
        <f>F27*N27</f>
        <v>610.56000000000006</v>
      </c>
      <c r="Q27" s="75">
        <f t="shared" si="6"/>
        <v>0</v>
      </c>
      <c r="S27" s="52"/>
    </row>
    <row r="28" spans="1:19" s="63" customFormat="1">
      <c r="A28" s="180"/>
      <c r="B28" s="49"/>
      <c r="C28" s="150" t="s">
        <v>142</v>
      </c>
      <c r="D28" s="154"/>
      <c r="E28" s="152"/>
      <c r="F28" s="153">
        <v>36</v>
      </c>
      <c r="G28" s="161">
        <f>References!$B$30</f>
        <v>473</v>
      </c>
      <c r="H28" s="154">
        <f t="shared" si="5"/>
        <v>17028</v>
      </c>
      <c r="I28" s="155">
        <f>$D$119*H28</f>
        <v>10922.819212041037</v>
      </c>
      <c r="J28" s="156">
        <f>(References!$C$49*I28)</f>
        <v>13.653524015051309</v>
      </c>
      <c r="K28" s="156">
        <f>J28/References!$G$52</f>
        <v>13.9179653568311</v>
      </c>
      <c r="L28" s="156">
        <f t="shared" si="7"/>
        <v>0.38661014880086392</v>
      </c>
      <c r="M28" s="174">
        <v>37.92</v>
      </c>
      <c r="N28" s="173">
        <f t="shared" si="4"/>
        <v>38.306610148800864</v>
      </c>
      <c r="O28" s="156">
        <f t="shared" si="8"/>
        <v>1365.1200000000001</v>
      </c>
      <c r="P28" s="156">
        <f t="shared" si="9"/>
        <v>1379.0379653568311</v>
      </c>
      <c r="Q28" s="75">
        <f t="shared" si="6"/>
        <v>13.917965356831019</v>
      </c>
      <c r="S28" s="52"/>
    </row>
    <row r="29" spans="1:19" s="63" customFormat="1">
      <c r="A29" s="180"/>
      <c r="B29" s="49"/>
      <c r="C29" s="131" t="s">
        <v>143</v>
      </c>
      <c r="D29" s="60"/>
      <c r="E29" s="73"/>
      <c r="F29" s="133">
        <v>399.59999999999997</v>
      </c>
      <c r="G29" s="158">
        <f>References!$B$30</f>
        <v>473</v>
      </c>
      <c r="H29" s="72">
        <f t="shared" si="5"/>
        <v>189010.8</v>
      </c>
      <c r="I29" s="48">
        <f>$D$119*H29</f>
        <v>121243.2932536555</v>
      </c>
      <c r="J29" s="71">
        <f>(References!$C$49*I29)</f>
        <v>151.55411656706951</v>
      </c>
      <c r="K29" s="71">
        <f>J29/References!$G$52</f>
        <v>154.4894154608252</v>
      </c>
      <c r="L29" s="71">
        <f t="shared" si="7"/>
        <v>0.38661014880086392</v>
      </c>
      <c r="M29" s="146">
        <v>37.92</v>
      </c>
      <c r="N29" s="171">
        <f t="shared" si="4"/>
        <v>38.306610148800864</v>
      </c>
      <c r="O29" s="71">
        <f t="shared" si="8"/>
        <v>15152.831999999999</v>
      </c>
      <c r="P29" s="71">
        <f t="shared" si="9"/>
        <v>15307.321415460823</v>
      </c>
      <c r="Q29" s="75">
        <f t="shared" si="6"/>
        <v>154.4894154608246</v>
      </c>
      <c r="S29" s="52"/>
    </row>
    <row r="30" spans="1:19" s="63" customFormat="1">
      <c r="A30" s="180"/>
      <c r="B30" s="49"/>
      <c r="C30" s="131" t="s">
        <v>145</v>
      </c>
      <c r="D30" s="60"/>
      <c r="E30" s="73"/>
      <c r="F30" s="132">
        <v>12</v>
      </c>
      <c r="G30" s="158">
        <f>References!$B$30</f>
        <v>473</v>
      </c>
      <c r="H30" s="72">
        <f t="shared" si="5"/>
        <v>5676</v>
      </c>
      <c r="I30" s="48">
        <f>$D$119*H30</f>
        <v>3640.9397373470119</v>
      </c>
      <c r="J30" s="71">
        <f>(References!$C$49*I30)</f>
        <v>4.5511746716837687</v>
      </c>
      <c r="K30" s="71">
        <f>J30/References!$G$52</f>
        <v>4.6393217856103659</v>
      </c>
      <c r="L30" s="71">
        <f t="shared" si="7"/>
        <v>0.38661014880086381</v>
      </c>
      <c r="M30" s="146">
        <v>40.82</v>
      </c>
      <c r="N30" s="171">
        <f t="shared" si="4"/>
        <v>41.206610148800863</v>
      </c>
      <c r="O30" s="71">
        <f t="shared" si="8"/>
        <v>489.84000000000003</v>
      </c>
      <c r="P30" s="71">
        <f t="shared" si="9"/>
        <v>494.47932178561035</v>
      </c>
      <c r="Q30" s="75">
        <f t="shared" si="6"/>
        <v>4.6393217856103206</v>
      </c>
      <c r="S30" s="52"/>
    </row>
    <row r="31" spans="1:19" s="63" customFormat="1">
      <c r="A31" s="180"/>
      <c r="B31" s="49"/>
      <c r="C31" s="150" t="s">
        <v>180</v>
      </c>
      <c r="D31" s="154"/>
      <c r="E31" s="152"/>
      <c r="F31" s="153">
        <v>36</v>
      </c>
      <c r="G31" s="161"/>
      <c r="H31" s="154"/>
      <c r="I31" s="155"/>
      <c r="J31" s="156"/>
      <c r="K31" s="156"/>
      <c r="L31" s="156"/>
      <c r="M31" s="174">
        <v>18.5</v>
      </c>
      <c r="N31" s="173">
        <f>L31+M31</f>
        <v>18.5</v>
      </c>
      <c r="O31" s="156">
        <f>F31*M31</f>
        <v>666</v>
      </c>
      <c r="P31" s="156">
        <f>F31*N31</f>
        <v>666</v>
      </c>
      <c r="Q31" s="75">
        <f t="shared" si="6"/>
        <v>0</v>
      </c>
      <c r="S31" s="52"/>
    </row>
    <row r="32" spans="1:19" s="63" customFormat="1">
      <c r="A32" s="180"/>
      <c r="B32" s="49"/>
      <c r="C32" s="150" t="s">
        <v>146</v>
      </c>
      <c r="D32" s="154"/>
      <c r="E32" s="152"/>
      <c r="F32" s="153">
        <v>36</v>
      </c>
      <c r="G32" s="161">
        <f>References!$B$31</f>
        <v>613</v>
      </c>
      <c r="H32" s="154">
        <f t="shared" si="5"/>
        <v>22068</v>
      </c>
      <c r="I32" s="155">
        <f>$D$119*H32</f>
        <v>14155.788957676861</v>
      </c>
      <c r="J32" s="156">
        <f>(References!$C$49*I32)</f>
        <v>17.694736197096091</v>
      </c>
      <c r="K32" s="156">
        <f>J32/References!$G$52</f>
        <v>18.037447703461869</v>
      </c>
      <c r="L32" s="156">
        <f t="shared" si="7"/>
        <v>0.50104021398505194</v>
      </c>
      <c r="M32" s="174">
        <v>50.09</v>
      </c>
      <c r="N32" s="173">
        <f t="shared" si="4"/>
        <v>50.591040213985053</v>
      </c>
      <c r="O32" s="156">
        <f t="shared" si="8"/>
        <v>1803.2400000000002</v>
      </c>
      <c r="P32" s="156">
        <f t="shared" si="9"/>
        <v>1821.2774477034618</v>
      </c>
      <c r="Q32" s="75">
        <f t="shared" si="6"/>
        <v>18.037447703461567</v>
      </c>
      <c r="S32" s="52"/>
    </row>
    <row r="33" spans="1:19" s="63" customFormat="1">
      <c r="A33" s="180"/>
      <c r="B33" s="49"/>
      <c r="C33" s="131" t="s">
        <v>147</v>
      </c>
      <c r="D33" s="60"/>
      <c r="E33" s="73"/>
      <c r="F33" s="133">
        <v>399.59999999999997</v>
      </c>
      <c r="G33" s="162">
        <f>References!$B$31</f>
        <v>613</v>
      </c>
      <c r="H33" s="72">
        <f t="shared" si="5"/>
        <v>244954.8</v>
      </c>
      <c r="I33" s="48">
        <f>$D$119*H33</f>
        <v>157129.25743021315</v>
      </c>
      <c r="J33" s="71">
        <f>(References!$C$49*I33)</f>
        <v>196.4115717877666</v>
      </c>
      <c r="K33" s="71">
        <f>J33/References!$G$52</f>
        <v>200.21566950842671</v>
      </c>
      <c r="L33" s="71">
        <f t="shared" si="7"/>
        <v>0.50104021398505183</v>
      </c>
      <c r="M33" s="146">
        <v>50.09</v>
      </c>
      <c r="N33" s="171">
        <f t="shared" si="4"/>
        <v>50.591040213985053</v>
      </c>
      <c r="O33" s="71">
        <f t="shared" si="8"/>
        <v>20015.964</v>
      </c>
      <c r="P33" s="71">
        <f t="shared" si="9"/>
        <v>20216.179669508427</v>
      </c>
      <c r="Q33" s="75">
        <f t="shared" si="6"/>
        <v>200.2156695084268</v>
      </c>
      <c r="S33" s="52"/>
    </row>
    <row r="34" spans="1:19" s="63" customFormat="1">
      <c r="A34" s="180"/>
      <c r="B34" s="49"/>
      <c r="C34" s="131" t="s">
        <v>148</v>
      </c>
      <c r="D34" s="60"/>
      <c r="E34" s="73"/>
      <c r="F34" s="133">
        <v>1</v>
      </c>
      <c r="G34" s="162">
        <f>References!$B$31</f>
        <v>613</v>
      </c>
      <c r="H34" s="72">
        <f t="shared" ref="H34:H39" si="10">F34*G34</f>
        <v>613</v>
      </c>
      <c r="I34" s="48">
        <f>$D$119*H34</f>
        <v>393.21635993546835</v>
      </c>
      <c r="J34" s="71">
        <f>(References!$C$49*I34)</f>
        <v>0.49152044991933586</v>
      </c>
      <c r="K34" s="71">
        <f>J34/References!$G$52</f>
        <v>0.50104021398505183</v>
      </c>
      <c r="L34" s="71">
        <f t="shared" si="7"/>
        <v>0.50104021398505183</v>
      </c>
      <c r="M34" s="146">
        <v>53</v>
      </c>
      <c r="N34" s="171">
        <f t="shared" si="4"/>
        <v>53.50104021398505</v>
      </c>
      <c r="O34" s="71">
        <f t="shared" si="8"/>
        <v>53</v>
      </c>
      <c r="P34" s="71">
        <f t="shared" si="9"/>
        <v>53.50104021398505</v>
      </c>
      <c r="Q34" s="75">
        <f t="shared" si="6"/>
        <v>0.50104021398504983</v>
      </c>
      <c r="S34" s="52"/>
    </row>
    <row r="35" spans="1:19" s="63" customFormat="1">
      <c r="A35" s="180"/>
      <c r="B35" s="49"/>
      <c r="C35" s="131" t="s">
        <v>149</v>
      </c>
      <c r="D35" s="60"/>
      <c r="E35" s="73"/>
      <c r="F35" s="132">
        <v>1</v>
      </c>
      <c r="G35" s="162">
        <f>References!$B$31</f>
        <v>613</v>
      </c>
      <c r="H35" s="72">
        <f t="shared" si="10"/>
        <v>613</v>
      </c>
      <c r="I35" s="48">
        <f>$D$119*H35</f>
        <v>393.21635993546835</v>
      </c>
      <c r="J35" s="71">
        <f>(References!$C$49*I35)</f>
        <v>0.49152044991933586</v>
      </c>
      <c r="K35" s="71">
        <f>J35/References!$G$52</f>
        <v>0.50104021398505183</v>
      </c>
      <c r="L35" s="71">
        <f t="shared" si="7"/>
        <v>0.50104021398505183</v>
      </c>
      <c r="M35" s="146">
        <v>54.2</v>
      </c>
      <c r="N35" s="171">
        <f t="shared" si="4"/>
        <v>54.701040213985053</v>
      </c>
      <c r="O35" s="71">
        <f t="shared" si="8"/>
        <v>54.2</v>
      </c>
      <c r="P35" s="71">
        <f t="shared" si="9"/>
        <v>54.701040213985053</v>
      </c>
      <c r="Q35" s="75">
        <f t="shared" si="6"/>
        <v>0.50104021398504983</v>
      </c>
      <c r="S35" s="52"/>
    </row>
    <row r="36" spans="1:19" s="63" customFormat="1">
      <c r="A36" s="180"/>
      <c r="B36" s="49"/>
      <c r="C36" s="150" t="s">
        <v>181</v>
      </c>
      <c r="D36" s="154"/>
      <c r="E36" s="152"/>
      <c r="F36" s="153">
        <v>2</v>
      </c>
      <c r="G36" s="161"/>
      <c r="H36" s="154"/>
      <c r="I36" s="155"/>
      <c r="J36" s="156"/>
      <c r="K36" s="156"/>
      <c r="L36" s="156"/>
      <c r="M36" s="174">
        <v>18.75</v>
      </c>
      <c r="N36" s="173">
        <f>L36+M36</f>
        <v>18.75</v>
      </c>
      <c r="O36" s="156">
        <f>F36*M36</f>
        <v>37.5</v>
      </c>
      <c r="P36" s="156">
        <f>F36*N36</f>
        <v>37.5</v>
      </c>
      <c r="Q36" s="75">
        <f t="shared" si="6"/>
        <v>0</v>
      </c>
      <c r="S36" s="52"/>
    </row>
    <row r="37" spans="1:19" s="63" customFormat="1">
      <c r="A37" s="180"/>
      <c r="B37" s="49"/>
      <c r="C37" s="150" t="s">
        <v>150</v>
      </c>
      <c r="D37" s="154"/>
      <c r="E37" s="152"/>
      <c r="F37" s="153">
        <v>2</v>
      </c>
      <c r="G37" s="163">
        <v>766.25</v>
      </c>
      <c r="H37" s="157">
        <f t="shared" si="10"/>
        <v>1532.5</v>
      </c>
      <c r="I37" s="155">
        <f>$D$119*H37</f>
        <v>983.04089983867095</v>
      </c>
      <c r="J37" s="156">
        <f>(References!$C$49*I37)</f>
        <v>1.2288011247983397</v>
      </c>
      <c r="K37" s="156">
        <f>J37/References!$G$52</f>
        <v>1.2526005349626297</v>
      </c>
      <c r="L37" s="156">
        <f t="shared" si="7"/>
        <v>0.62630026748131484</v>
      </c>
      <c r="M37" s="174">
        <v>60.16</v>
      </c>
      <c r="N37" s="173">
        <f t="shared" si="4"/>
        <v>60.786300267481309</v>
      </c>
      <c r="O37" s="156">
        <f t="shared" si="8"/>
        <v>120.32</v>
      </c>
      <c r="P37" s="156">
        <f t="shared" si="9"/>
        <v>121.57260053496262</v>
      </c>
      <c r="Q37" s="75">
        <f t="shared" si="6"/>
        <v>1.2526005349626246</v>
      </c>
      <c r="S37" s="52"/>
    </row>
    <row r="38" spans="1:19" s="63" customFormat="1">
      <c r="A38" s="180"/>
      <c r="B38" s="49"/>
      <c r="C38" s="131" t="s">
        <v>151</v>
      </c>
      <c r="D38" s="60"/>
      <c r="E38" s="73"/>
      <c r="F38" s="132">
        <v>19.98</v>
      </c>
      <c r="G38" s="160">
        <v>766.25</v>
      </c>
      <c r="H38" s="114">
        <f t="shared" si="10"/>
        <v>15309.675000000001</v>
      </c>
      <c r="I38" s="48">
        <f>$D$119*H38</f>
        <v>9820.578589388324</v>
      </c>
      <c r="J38" s="71">
        <f>(References!$C$49*I38)</f>
        <v>12.275723236735416</v>
      </c>
      <c r="K38" s="71">
        <f>J38/References!$G$52</f>
        <v>12.513479344276673</v>
      </c>
      <c r="L38" s="71">
        <f t="shared" si="7"/>
        <v>0.62630026748131495</v>
      </c>
      <c r="M38" s="146">
        <v>60.16</v>
      </c>
      <c r="N38" s="171">
        <f t="shared" si="4"/>
        <v>60.786300267481309</v>
      </c>
      <c r="O38" s="71">
        <f t="shared" si="8"/>
        <v>1201.9967999999999</v>
      </c>
      <c r="P38" s="71">
        <f t="shared" si="9"/>
        <v>1214.5102793442766</v>
      </c>
      <c r="Q38" s="75">
        <f t="shared" si="6"/>
        <v>12.513479344276675</v>
      </c>
      <c r="S38" s="52"/>
    </row>
    <row r="39" spans="1:19" s="63" customFormat="1">
      <c r="A39" s="180"/>
      <c r="B39" s="49"/>
      <c r="C39" s="131" t="s">
        <v>152</v>
      </c>
      <c r="D39" s="60"/>
      <c r="E39" s="73"/>
      <c r="F39" s="133">
        <v>1</v>
      </c>
      <c r="G39" s="160">
        <v>766.25</v>
      </c>
      <c r="H39" s="114">
        <f t="shared" si="10"/>
        <v>766.25</v>
      </c>
      <c r="I39" s="48">
        <f>$D$119*H39</f>
        <v>491.52044991933548</v>
      </c>
      <c r="J39" s="71">
        <f>(References!$C$49*I39)</f>
        <v>0.61440056239916985</v>
      </c>
      <c r="K39" s="71">
        <f>J39/References!$G$52</f>
        <v>0.62630026748131484</v>
      </c>
      <c r="L39" s="71">
        <f t="shared" si="7"/>
        <v>0.62630026748131484</v>
      </c>
      <c r="M39" s="146">
        <v>67.489999999999995</v>
      </c>
      <c r="N39" s="171">
        <f t="shared" si="4"/>
        <v>68.116300267481307</v>
      </c>
      <c r="O39" s="71">
        <f t="shared" si="8"/>
        <v>67.489999999999995</v>
      </c>
      <c r="P39" s="71">
        <f t="shared" si="9"/>
        <v>68.116300267481307</v>
      </c>
      <c r="Q39" s="75">
        <f t="shared" si="6"/>
        <v>0.62630026748131229</v>
      </c>
      <c r="S39" s="52"/>
    </row>
    <row r="40" spans="1:19" s="63" customFormat="1">
      <c r="A40" s="180"/>
      <c r="B40" s="49"/>
      <c r="C40" s="131" t="s">
        <v>153</v>
      </c>
      <c r="D40" s="60"/>
      <c r="E40" s="73"/>
      <c r="F40" s="133">
        <v>1</v>
      </c>
      <c r="G40" s="160">
        <v>766.25</v>
      </c>
      <c r="H40" s="114">
        <f t="shared" ref="H40:H46" si="11">F40*G40</f>
        <v>766.25</v>
      </c>
      <c r="I40" s="48">
        <f>$D$119*H40</f>
        <v>491.52044991933548</v>
      </c>
      <c r="J40" s="71">
        <f>(References!$C$49*I40)</f>
        <v>0.61440056239916985</v>
      </c>
      <c r="K40" s="71">
        <f>J40/References!$G$52</f>
        <v>0.62630026748131484</v>
      </c>
      <c r="L40" s="71">
        <f t="shared" ref="L40:L46" si="12">K40/F40</f>
        <v>0.62630026748131484</v>
      </c>
      <c r="M40" s="146">
        <v>62.83</v>
      </c>
      <c r="N40" s="171">
        <f t="shared" ref="N40:N46" si="13">L40+M40</f>
        <v>63.456300267481311</v>
      </c>
      <c r="O40" s="71">
        <f t="shared" ref="O40:O46" si="14">F40*M40</f>
        <v>62.83</v>
      </c>
      <c r="P40" s="71">
        <f t="shared" ref="P40:P46" si="15">F40*N40</f>
        <v>63.456300267481311</v>
      </c>
      <c r="Q40" s="75">
        <f t="shared" si="6"/>
        <v>0.62630026748131229</v>
      </c>
      <c r="S40" s="52"/>
    </row>
    <row r="41" spans="1:19" s="63" customFormat="1">
      <c r="A41" s="180"/>
      <c r="B41" s="49"/>
      <c r="C41" s="150" t="s">
        <v>182</v>
      </c>
      <c r="D41" s="154"/>
      <c r="E41" s="152"/>
      <c r="F41" s="153">
        <v>7</v>
      </c>
      <c r="G41" s="161"/>
      <c r="H41" s="157"/>
      <c r="I41" s="155"/>
      <c r="J41" s="156"/>
      <c r="K41" s="156"/>
      <c r="L41" s="156"/>
      <c r="M41" s="174">
        <v>18.72</v>
      </c>
      <c r="N41" s="173">
        <f>L41+M41</f>
        <v>18.72</v>
      </c>
      <c r="O41" s="156">
        <f>F41*M41</f>
        <v>131.04</v>
      </c>
      <c r="P41" s="156">
        <f>F41*N41</f>
        <v>131.04</v>
      </c>
      <c r="Q41" s="75">
        <f t="shared" si="6"/>
        <v>0</v>
      </c>
      <c r="S41" s="52"/>
    </row>
    <row r="42" spans="1:19" s="63" customFormat="1">
      <c r="A42" s="180"/>
      <c r="B42" s="49"/>
      <c r="C42" s="150" t="s">
        <v>154</v>
      </c>
      <c r="D42" s="154"/>
      <c r="E42" s="152"/>
      <c r="F42" s="153">
        <v>7</v>
      </c>
      <c r="G42" s="161">
        <f>References!B32</f>
        <v>840</v>
      </c>
      <c r="H42" s="157">
        <f t="shared" si="11"/>
        <v>5880</v>
      </c>
      <c r="I42" s="155">
        <f>$D$119*H42</f>
        <v>3771.7980365751287</v>
      </c>
      <c r="J42" s="156">
        <f>(References!$C$49*I42)</f>
        <v>4.7147475457189154</v>
      </c>
      <c r="K42" s="156">
        <f>J42/References!$G$52</f>
        <v>4.806062737735898</v>
      </c>
      <c r="L42" s="156">
        <f t="shared" si="12"/>
        <v>0.68658039110512825</v>
      </c>
      <c r="M42" s="174">
        <v>69.63</v>
      </c>
      <c r="N42" s="173">
        <f t="shared" si="13"/>
        <v>70.31658039110512</v>
      </c>
      <c r="O42" s="156">
        <f t="shared" si="14"/>
        <v>487.40999999999997</v>
      </c>
      <c r="P42" s="156">
        <f t="shared" si="15"/>
        <v>492.21606273773585</v>
      </c>
      <c r="Q42" s="75">
        <f t="shared" si="6"/>
        <v>4.8060627377358855</v>
      </c>
      <c r="S42" s="52"/>
    </row>
    <row r="43" spans="1:19" s="63" customFormat="1">
      <c r="A43" s="180"/>
      <c r="B43" s="49"/>
      <c r="C43" s="131" t="s">
        <v>155</v>
      </c>
      <c r="D43" s="60"/>
      <c r="E43" s="73"/>
      <c r="F43" s="133">
        <v>76.59</v>
      </c>
      <c r="G43" s="158">
        <f>References!B32</f>
        <v>840</v>
      </c>
      <c r="H43" s="114">
        <f t="shared" si="11"/>
        <v>64335.600000000006</v>
      </c>
      <c r="I43" s="48">
        <f>$D$119*H43</f>
        <v>41268.858803041308</v>
      </c>
      <c r="J43" s="71">
        <f>(References!$C$49*I43)</f>
        <v>51.586073503801678</v>
      </c>
      <c r="K43" s="71">
        <f>J43/References!$G$52</f>
        <v>52.585192154741776</v>
      </c>
      <c r="L43" s="71">
        <f t="shared" si="12"/>
        <v>0.68658039110512825</v>
      </c>
      <c r="M43" s="146">
        <v>69.63</v>
      </c>
      <c r="N43" s="171">
        <f t="shared" si="13"/>
        <v>70.31658039110512</v>
      </c>
      <c r="O43" s="71">
        <f t="shared" si="14"/>
        <v>5332.9616999999998</v>
      </c>
      <c r="P43" s="71">
        <f t="shared" si="15"/>
        <v>5385.5468921547417</v>
      </c>
      <c r="Q43" s="75">
        <f t="shared" si="6"/>
        <v>52.58519215474189</v>
      </c>
      <c r="S43" s="52"/>
    </row>
    <row r="44" spans="1:19" s="63" customFormat="1">
      <c r="A44" s="180"/>
      <c r="B44" s="49"/>
      <c r="C44" s="131" t="s">
        <v>156</v>
      </c>
      <c r="D44" s="60"/>
      <c r="E44" s="73"/>
      <c r="F44" s="133">
        <v>1</v>
      </c>
      <c r="G44" s="158">
        <f>References!B32</f>
        <v>840</v>
      </c>
      <c r="H44" s="114">
        <f t="shared" si="11"/>
        <v>840</v>
      </c>
      <c r="I44" s="48">
        <f>$D$119*H44</f>
        <v>538.82829093930411</v>
      </c>
      <c r="J44" s="71">
        <f>(References!$C$49*I44)</f>
        <v>0.67353536367413069</v>
      </c>
      <c r="K44" s="71">
        <f>J44/References!$G$52</f>
        <v>0.68658039110512814</v>
      </c>
      <c r="L44" s="71">
        <f t="shared" si="12"/>
        <v>0.68658039110512814</v>
      </c>
      <c r="M44" s="146">
        <v>75.739999999999995</v>
      </c>
      <c r="N44" s="171">
        <f t="shared" si="13"/>
        <v>76.426580391105119</v>
      </c>
      <c r="O44" s="71">
        <f t="shared" si="14"/>
        <v>75.739999999999995</v>
      </c>
      <c r="P44" s="71">
        <f t="shared" si="15"/>
        <v>76.426580391105119</v>
      </c>
      <c r="Q44" s="75">
        <f t="shared" si="6"/>
        <v>0.68658039110512448</v>
      </c>
      <c r="S44" s="52"/>
    </row>
    <row r="45" spans="1:19" s="63" customFormat="1">
      <c r="A45" s="180"/>
      <c r="B45" s="49"/>
      <c r="C45" s="150" t="s">
        <v>183</v>
      </c>
      <c r="D45" s="154"/>
      <c r="E45" s="152"/>
      <c r="F45" s="153">
        <v>1</v>
      </c>
      <c r="G45" s="161"/>
      <c r="H45" s="157"/>
      <c r="I45" s="155"/>
      <c r="J45" s="156"/>
      <c r="K45" s="156"/>
      <c r="L45" s="156"/>
      <c r="M45" s="174">
        <v>20.04</v>
      </c>
      <c r="N45" s="173">
        <f>L45+M45</f>
        <v>20.04</v>
      </c>
      <c r="O45" s="156">
        <f>F45*M45</f>
        <v>20.04</v>
      </c>
      <c r="P45" s="156">
        <f>F45*N45</f>
        <v>20.04</v>
      </c>
      <c r="Q45" s="75">
        <f t="shared" si="6"/>
        <v>0</v>
      </c>
      <c r="S45" s="52"/>
    </row>
    <row r="46" spans="1:19" s="63" customFormat="1">
      <c r="A46" s="180"/>
      <c r="B46" s="49"/>
      <c r="C46" s="150" t="s">
        <v>157</v>
      </c>
      <c r="D46" s="154"/>
      <c r="E46" s="152"/>
      <c r="F46" s="153">
        <v>1</v>
      </c>
      <c r="G46" s="164">
        <f>References!B33</f>
        <v>980</v>
      </c>
      <c r="H46" s="157">
        <f t="shared" si="11"/>
        <v>980</v>
      </c>
      <c r="I46" s="155">
        <f t="shared" ref="I46:I52" si="16">$D$119*H46</f>
        <v>628.63300609585485</v>
      </c>
      <c r="J46" s="156">
        <f>(References!$C$49*I46)</f>
        <v>0.78579125761981927</v>
      </c>
      <c r="K46" s="156">
        <f>J46/References!$G$52</f>
        <v>0.80101045628931633</v>
      </c>
      <c r="L46" s="156">
        <f t="shared" si="12"/>
        <v>0.80101045628931633</v>
      </c>
      <c r="M46" s="174">
        <v>79.05</v>
      </c>
      <c r="N46" s="173">
        <f t="shared" si="13"/>
        <v>79.851010456289316</v>
      </c>
      <c r="O46" s="156">
        <f t="shared" si="14"/>
        <v>79.05</v>
      </c>
      <c r="P46" s="156">
        <f t="shared" si="15"/>
        <v>79.851010456289316</v>
      </c>
      <c r="Q46" s="75">
        <f t="shared" si="6"/>
        <v>0.801010456289319</v>
      </c>
      <c r="S46" s="52"/>
    </row>
    <row r="47" spans="1:19" s="63" customFormat="1">
      <c r="A47" s="180"/>
      <c r="B47" s="49"/>
      <c r="C47" s="131" t="s">
        <v>158</v>
      </c>
      <c r="D47" s="60"/>
      <c r="E47" s="73"/>
      <c r="F47" s="132">
        <v>23.310000000000002</v>
      </c>
      <c r="G47" s="159">
        <f>References!B33</f>
        <v>980</v>
      </c>
      <c r="H47" s="114">
        <f t="shared" ref="H47:H67" si="17">F47*G47</f>
        <v>22843.800000000003</v>
      </c>
      <c r="I47" s="48">
        <f t="shared" si="16"/>
        <v>14653.435372094378</v>
      </c>
      <c r="J47" s="71">
        <f>(References!$C$49*I47)</f>
        <v>18.316794215117987</v>
      </c>
      <c r="K47" s="71">
        <f>J47/References!$G$52</f>
        <v>18.671553736103963</v>
      </c>
      <c r="L47" s="71">
        <f t="shared" ref="L47:L67" si="18">K47/F47</f>
        <v>0.80101045628931622</v>
      </c>
      <c r="M47" s="71">
        <v>79.03</v>
      </c>
      <c r="N47" s="171">
        <f t="shared" ref="N47:N67" si="19">L47+M47</f>
        <v>79.83101045628932</v>
      </c>
      <c r="O47" s="71">
        <f t="shared" ref="O47:O67" si="20">F47*M47</f>
        <v>1842.1893000000002</v>
      </c>
      <c r="P47" s="71">
        <f t="shared" ref="P47:P67" si="21">F47*N47</f>
        <v>1860.8608537361042</v>
      </c>
      <c r="Q47" s="75">
        <f t="shared" si="6"/>
        <v>18.671553736103988</v>
      </c>
      <c r="S47" s="52"/>
    </row>
    <row r="48" spans="1:19" s="63" customFormat="1">
      <c r="A48" s="180"/>
      <c r="B48" s="49"/>
      <c r="C48" s="131" t="s">
        <v>159</v>
      </c>
      <c r="D48" s="60"/>
      <c r="E48" s="73"/>
      <c r="F48" s="132">
        <v>1</v>
      </c>
      <c r="G48" s="159">
        <f>References!B33</f>
        <v>980</v>
      </c>
      <c r="H48" s="114">
        <f t="shared" si="17"/>
        <v>980</v>
      </c>
      <c r="I48" s="48">
        <f t="shared" si="16"/>
        <v>628.63300609585485</v>
      </c>
      <c r="J48" s="71">
        <f>(References!$C$49*I48)</f>
        <v>0.78579125761981927</v>
      </c>
      <c r="K48" s="71">
        <f>J48/References!$G$52</f>
        <v>0.80101045628931633</v>
      </c>
      <c r="L48" s="71">
        <f t="shared" si="18"/>
        <v>0.80101045628931633</v>
      </c>
      <c r="M48" s="71">
        <v>84.11</v>
      </c>
      <c r="N48" s="171">
        <f t="shared" si="19"/>
        <v>84.911010456289318</v>
      </c>
      <c r="O48" s="71">
        <f t="shared" si="20"/>
        <v>84.11</v>
      </c>
      <c r="P48" s="71">
        <f t="shared" si="21"/>
        <v>84.911010456289318</v>
      </c>
      <c r="Q48" s="75">
        <f t="shared" si="6"/>
        <v>0.801010456289319</v>
      </c>
      <c r="S48" s="52"/>
    </row>
    <row r="49" spans="1:19" s="63" customFormat="1">
      <c r="A49" s="180"/>
      <c r="B49" s="49"/>
      <c r="C49" s="131" t="s">
        <v>160</v>
      </c>
      <c r="D49" s="60"/>
      <c r="E49" s="73"/>
      <c r="F49" s="132">
        <v>1</v>
      </c>
      <c r="G49" s="159">
        <f>References!B33</f>
        <v>980</v>
      </c>
      <c r="H49" s="114">
        <f t="shared" si="17"/>
        <v>980</v>
      </c>
      <c r="I49" s="48">
        <f t="shared" si="16"/>
        <v>628.63300609585485</v>
      </c>
      <c r="J49" s="71">
        <f>(References!$C$49*I49)</f>
        <v>0.78579125761981927</v>
      </c>
      <c r="K49" s="71">
        <f>J49/References!$G$52</f>
        <v>0.80101045628931633</v>
      </c>
      <c r="L49" s="71">
        <f t="shared" si="18"/>
        <v>0.80101045628931633</v>
      </c>
      <c r="M49" s="71">
        <v>81.33</v>
      </c>
      <c r="N49" s="171">
        <f t="shared" si="19"/>
        <v>82.131010456289317</v>
      </c>
      <c r="O49" s="71">
        <f t="shared" si="20"/>
        <v>81.33</v>
      </c>
      <c r="P49" s="71">
        <f t="shared" si="21"/>
        <v>82.131010456289317</v>
      </c>
      <c r="Q49" s="75">
        <f t="shared" si="6"/>
        <v>0.801010456289319</v>
      </c>
      <c r="S49" s="52"/>
    </row>
    <row r="50" spans="1:19" s="63" customFormat="1">
      <c r="A50" s="180"/>
      <c r="B50" s="49"/>
      <c r="C50" s="131" t="s">
        <v>184</v>
      </c>
      <c r="D50" s="60"/>
      <c r="E50" s="73"/>
      <c r="F50" s="132">
        <v>1</v>
      </c>
      <c r="G50" s="162"/>
      <c r="H50" s="114"/>
      <c r="I50" s="48">
        <f t="shared" si="16"/>
        <v>0</v>
      </c>
      <c r="J50" s="71">
        <f>(References!$C$49*I50)</f>
        <v>0</v>
      </c>
      <c r="K50" s="71">
        <f>J50/References!$G$52</f>
        <v>0</v>
      </c>
      <c r="L50" s="71">
        <f t="shared" si="18"/>
        <v>0</v>
      </c>
      <c r="M50" s="71">
        <v>25.8</v>
      </c>
      <c r="N50" s="171">
        <f>L50+M50</f>
        <v>25.8</v>
      </c>
      <c r="O50" s="71">
        <f>F50*M50</f>
        <v>25.8</v>
      </c>
      <c r="P50" s="71">
        <f>F50*N50</f>
        <v>25.8</v>
      </c>
      <c r="Q50" s="75">
        <f t="shared" si="6"/>
        <v>0</v>
      </c>
      <c r="S50" s="52"/>
    </row>
    <row r="51" spans="1:19" s="63" customFormat="1">
      <c r="A51" s="180"/>
      <c r="B51" s="49"/>
      <c r="C51" s="131" t="s">
        <v>162</v>
      </c>
      <c r="D51" s="60"/>
      <c r="E51" s="73"/>
      <c r="F51" s="132">
        <v>15</v>
      </c>
      <c r="G51" s="160">
        <v>1312.5</v>
      </c>
      <c r="H51" s="114">
        <f t="shared" si="17"/>
        <v>19687.5</v>
      </c>
      <c r="I51" s="48">
        <f t="shared" si="16"/>
        <v>12628.78806888994</v>
      </c>
      <c r="J51" s="71">
        <f>(References!$C$49*I51)</f>
        <v>15.78598508611244</v>
      </c>
      <c r="K51" s="71">
        <f>J51/References!$G$52</f>
        <v>16.091727916526441</v>
      </c>
      <c r="L51" s="71">
        <f t="shared" si="18"/>
        <v>1.0727818611017628</v>
      </c>
      <c r="M51" s="71">
        <v>100.3</v>
      </c>
      <c r="N51" s="171">
        <f t="shared" si="19"/>
        <v>101.37278186110176</v>
      </c>
      <c r="O51" s="71">
        <f t="shared" si="20"/>
        <v>1504.5</v>
      </c>
      <c r="P51" s="71">
        <f t="shared" si="21"/>
        <v>1520.5917279165265</v>
      </c>
      <c r="Q51" s="75">
        <f t="shared" si="6"/>
        <v>16.091727916526452</v>
      </c>
      <c r="S51" s="52"/>
    </row>
    <row r="52" spans="1:19" s="63" customFormat="1">
      <c r="A52" s="180"/>
      <c r="B52" s="49"/>
      <c r="C52" s="131" t="s">
        <v>163</v>
      </c>
      <c r="D52" s="60"/>
      <c r="E52" s="73"/>
      <c r="F52" s="132">
        <v>1</v>
      </c>
      <c r="G52" s="160">
        <v>1312.5</v>
      </c>
      <c r="H52" s="114">
        <f t="shared" si="17"/>
        <v>1312.5</v>
      </c>
      <c r="I52" s="48">
        <f t="shared" si="16"/>
        <v>841.91920459266271</v>
      </c>
      <c r="J52" s="71">
        <f>(References!$C$49*I52)</f>
        <v>1.0523990057408292</v>
      </c>
      <c r="K52" s="71">
        <f>J52/References!$G$52</f>
        <v>1.0727818611017628</v>
      </c>
      <c r="L52" s="71">
        <f t="shared" si="18"/>
        <v>1.0727818611017628</v>
      </c>
      <c r="M52" s="71">
        <v>97.69</v>
      </c>
      <c r="N52" s="171">
        <f t="shared" si="19"/>
        <v>98.762781861101757</v>
      </c>
      <c r="O52" s="71">
        <f t="shared" si="20"/>
        <v>97.69</v>
      </c>
      <c r="P52" s="71">
        <f t="shared" si="21"/>
        <v>98.762781861101757</v>
      </c>
      <c r="Q52" s="75">
        <f t="shared" si="6"/>
        <v>1.0727818611017597</v>
      </c>
      <c r="S52" s="52"/>
    </row>
    <row r="53" spans="1:19" s="63" customFormat="1">
      <c r="A53" s="180"/>
      <c r="B53" s="49"/>
      <c r="C53" s="148" t="s">
        <v>164</v>
      </c>
      <c r="D53" s="60"/>
      <c r="E53" s="73"/>
      <c r="F53" s="132"/>
      <c r="G53" s="158"/>
      <c r="H53" s="114"/>
      <c r="I53" s="48"/>
      <c r="J53" s="71"/>
      <c r="K53" s="71"/>
      <c r="L53" s="71"/>
      <c r="M53" s="71"/>
      <c r="N53" s="171"/>
      <c r="O53" s="71"/>
      <c r="P53" s="71"/>
      <c r="Q53" s="75"/>
      <c r="S53" s="52"/>
    </row>
    <row r="54" spans="1:19" s="63" customFormat="1">
      <c r="A54" s="180"/>
      <c r="B54" s="49"/>
      <c r="C54" s="131" t="s">
        <v>165</v>
      </c>
      <c r="D54" s="60"/>
      <c r="E54" s="73"/>
      <c r="F54" s="132">
        <v>4.33</v>
      </c>
      <c r="G54" s="158">
        <f>References!B26</f>
        <v>29</v>
      </c>
      <c r="H54" s="114">
        <f t="shared" si="17"/>
        <v>125.57000000000001</v>
      </c>
      <c r="I54" s="48">
        <f t="shared" ref="I54:I67" si="22">$D$119*H54</f>
        <v>80.54841487291479</v>
      </c>
      <c r="J54" s="71">
        <f>(References!$C$49*I54)</f>
        <v>0.10068551859114358</v>
      </c>
      <c r="K54" s="71">
        <f>J54/References!$G$52</f>
        <v>0.1026355948941321</v>
      </c>
      <c r="L54" s="71">
        <f t="shared" si="18"/>
        <v>2.3703370645296096E-2</v>
      </c>
      <c r="M54" s="71">
        <v>2.92</v>
      </c>
      <c r="N54" s="171">
        <f t="shared" si="19"/>
        <v>2.943703370645296</v>
      </c>
      <c r="O54" s="71">
        <f t="shared" si="20"/>
        <v>12.643599999999999</v>
      </c>
      <c r="P54" s="71">
        <f t="shared" si="21"/>
        <v>12.746235594894133</v>
      </c>
      <c r="Q54" s="75">
        <f t="shared" ref="Q54:Q67" si="23">+P54-O54</f>
        <v>0.10263559489413332</v>
      </c>
      <c r="S54" s="52"/>
    </row>
    <row r="55" spans="1:19" s="63" customFormat="1">
      <c r="A55" s="180"/>
      <c r="B55" s="49"/>
      <c r="C55" s="131" t="s">
        <v>166</v>
      </c>
      <c r="D55" s="60"/>
      <c r="E55" s="73"/>
      <c r="F55" s="132">
        <v>1</v>
      </c>
      <c r="G55" s="158">
        <f>References!B26</f>
        <v>29</v>
      </c>
      <c r="H55" s="114">
        <f t="shared" si="17"/>
        <v>29</v>
      </c>
      <c r="I55" s="48">
        <f t="shared" si="22"/>
        <v>18.602405282428357</v>
      </c>
      <c r="J55" s="71">
        <f>(References!$C$49*I55)</f>
        <v>2.3253006603035468E-2</v>
      </c>
      <c r="K55" s="71">
        <f>J55/References!$G$52</f>
        <v>2.3703370645296096E-2</v>
      </c>
      <c r="L55" s="71">
        <f t="shared" si="18"/>
        <v>2.3703370645296096E-2</v>
      </c>
      <c r="M55" s="71">
        <v>2.92</v>
      </c>
      <c r="N55" s="171">
        <f t="shared" si="19"/>
        <v>2.943703370645296</v>
      </c>
      <c r="O55" s="71">
        <f t="shared" si="20"/>
        <v>2.92</v>
      </c>
      <c r="P55" s="71">
        <f t="shared" si="21"/>
        <v>2.943703370645296</v>
      </c>
      <c r="Q55" s="75">
        <f t="shared" si="23"/>
        <v>2.370337064529604E-2</v>
      </c>
      <c r="S55" s="52"/>
    </row>
    <row r="56" spans="1:19" s="63" customFormat="1">
      <c r="A56" s="180"/>
      <c r="B56" s="49"/>
      <c r="C56" s="131" t="s">
        <v>167</v>
      </c>
      <c r="D56" s="60"/>
      <c r="E56" s="73"/>
      <c r="F56" s="132">
        <v>4.33</v>
      </c>
      <c r="G56" s="158">
        <f>References!B21</f>
        <v>47</v>
      </c>
      <c r="H56" s="114">
        <f t="shared" si="17"/>
        <v>203.51</v>
      </c>
      <c r="I56" s="48">
        <f t="shared" si="22"/>
        <v>130.54398272506879</v>
      </c>
      <c r="J56" s="71">
        <f>(References!$C$49*I56)</f>
        <v>0.16317997840633613</v>
      </c>
      <c r="K56" s="71">
        <f>J56/References!$G$52</f>
        <v>0.16634044689738647</v>
      </c>
      <c r="L56" s="71">
        <f t="shared" si="18"/>
        <v>3.841580759754884E-2</v>
      </c>
      <c r="M56" s="71">
        <v>3.9</v>
      </c>
      <c r="N56" s="171">
        <f t="shared" si="19"/>
        <v>3.9384158075975488</v>
      </c>
      <c r="O56" s="71">
        <f t="shared" si="20"/>
        <v>16.887</v>
      </c>
      <c r="P56" s="71">
        <f t="shared" si="21"/>
        <v>17.053340446897387</v>
      </c>
      <c r="Q56" s="75">
        <f t="shared" si="23"/>
        <v>0.16634044689738658</v>
      </c>
      <c r="S56" s="52"/>
    </row>
    <row r="57" spans="1:19" s="63" customFormat="1">
      <c r="A57" s="180"/>
      <c r="B57" s="49"/>
      <c r="C57" s="131" t="s">
        <v>168</v>
      </c>
      <c r="D57" s="60"/>
      <c r="E57" s="73"/>
      <c r="F57" s="132">
        <v>1</v>
      </c>
      <c r="G57" s="158">
        <f>References!B21</f>
        <v>47</v>
      </c>
      <c r="H57" s="114">
        <f t="shared" si="17"/>
        <v>47</v>
      </c>
      <c r="I57" s="48">
        <f t="shared" si="22"/>
        <v>30.148725802556303</v>
      </c>
      <c r="J57" s="71">
        <f>(References!$C$49*I57)</f>
        <v>3.7685907253195414E-2</v>
      </c>
      <c r="K57" s="71">
        <f>J57/References!$G$52</f>
        <v>3.841580759754884E-2</v>
      </c>
      <c r="L57" s="71">
        <f t="shared" si="18"/>
        <v>3.841580759754884E-2</v>
      </c>
      <c r="M57" s="71">
        <v>3.9</v>
      </c>
      <c r="N57" s="171">
        <f t="shared" si="19"/>
        <v>3.9384158075975488</v>
      </c>
      <c r="O57" s="71">
        <f t="shared" si="20"/>
        <v>3.9</v>
      </c>
      <c r="P57" s="71">
        <f t="shared" si="21"/>
        <v>3.9384158075975488</v>
      </c>
      <c r="Q57" s="75">
        <f t="shared" si="23"/>
        <v>3.8415807597548923E-2</v>
      </c>
      <c r="S57" s="52"/>
    </row>
    <row r="58" spans="1:19" s="63" customFormat="1">
      <c r="A58" s="180"/>
      <c r="B58" s="49"/>
      <c r="C58" s="131" t="s">
        <v>169</v>
      </c>
      <c r="D58" s="60"/>
      <c r="E58" s="73"/>
      <c r="F58" s="132">
        <v>21.65</v>
      </c>
      <c r="G58" s="158">
        <f>References!B22</f>
        <v>68</v>
      </c>
      <c r="H58" s="114">
        <f t="shared" si="17"/>
        <v>1472.1999999999998</v>
      </c>
      <c r="I58" s="48">
        <f t="shared" si="22"/>
        <v>944.36072609624216</v>
      </c>
      <c r="J58" s="71">
        <f>(References!$C$49*I58)</f>
        <v>1.1804509076203038</v>
      </c>
      <c r="K58" s="71">
        <f>J58/References!$G$52</f>
        <v>1.2033138711725828</v>
      </c>
      <c r="L58" s="71">
        <f t="shared" si="18"/>
        <v>5.5580317375177039E-2</v>
      </c>
      <c r="M58" s="71">
        <v>4.91</v>
      </c>
      <c r="N58" s="171">
        <f t="shared" si="19"/>
        <v>4.9655803173751769</v>
      </c>
      <c r="O58" s="71">
        <f t="shared" si="20"/>
        <v>106.30149999999999</v>
      </c>
      <c r="P58" s="71">
        <f t="shared" si="21"/>
        <v>107.50481387117257</v>
      </c>
      <c r="Q58" s="75">
        <f t="shared" si="23"/>
        <v>1.2033138711725826</v>
      </c>
      <c r="S58" s="52"/>
    </row>
    <row r="59" spans="1:19" s="63" customFormat="1">
      <c r="A59" s="180"/>
      <c r="B59" s="49"/>
      <c r="C59" s="131" t="s">
        <v>170</v>
      </c>
      <c r="D59" s="60"/>
      <c r="E59" s="73"/>
      <c r="F59" s="132">
        <v>1</v>
      </c>
      <c r="G59" s="158">
        <f>References!B22</f>
        <v>68</v>
      </c>
      <c r="H59" s="114">
        <f t="shared" si="17"/>
        <v>68</v>
      </c>
      <c r="I59" s="48">
        <f t="shared" si="22"/>
        <v>43.619433076038902</v>
      </c>
      <c r="J59" s="71">
        <f>(References!$C$49*I59)</f>
        <v>5.4524291345048673E-2</v>
      </c>
      <c r="K59" s="71">
        <f>J59/References!$G$52</f>
        <v>5.5580317375177039E-2</v>
      </c>
      <c r="L59" s="71">
        <f t="shared" si="18"/>
        <v>5.5580317375177039E-2</v>
      </c>
      <c r="M59" s="71">
        <v>4.91</v>
      </c>
      <c r="N59" s="171">
        <f t="shared" si="19"/>
        <v>4.9655803173751769</v>
      </c>
      <c r="O59" s="71">
        <f t="shared" si="20"/>
        <v>4.91</v>
      </c>
      <c r="P59" s="71">
        <f t="shared" si="21"/>
        <v>4.9655803173751769</v>
      </c>
      <c r="Q59" s="75">
        <f t="shared" si="23"/>
        <v>5.5580317375176769E-2</v>
      </c>
      <c r="S59" s="52"/>
    </row>
    <row r="60" spans="1:19" s="63" customFormat="1">
      <c r="A60" s="180"/>
      <c r="B60" s="49"/>
      <c r="C60" s="131" t="s">
        <v>167</v>
      </c>
      <c r="D60" s="60"/>
      <c r="E60" s="73"/>
      <c r="F60" s="132">
        <v>4.33</v>
      </c>
      <c r="G60" s="158">
        <f>References!B21</f>
        <v>47</v>
      </c>
      <c r="H60" s="114">
        <f t="shared" si="17"/>
        <v>203.51</v>
      </c>
      <c r="I60" s="48">
        <f t="shared" si="22"/>
        <v>130.54398272506879</v>
      </c>
      <c r="J60" s="71">
        <f>(References!$C$49*I60)</f>
        <v>0.16317997840633613</v>
      </c>
      <c r="K60" s="71">
        <f>J60/References!$G$52</f>
        <v>0.16634044689738647</v>
      </c>
      <c r="L60" s="71">
        <f t="shared" si="18"/>
        <v>3.841580759754884E-2</v>
      </c>
      <c r="M60" s="71">
        <v>3.9</v>
      </c>
      <c r="N60" s="171">
        <f t="shared" si="19"/>
        <v>3.9384158075975488</v>
      </c>
      <c r="O60" s="71">
        <f t="shared" si="20"/>
        <v>16.887</v>
      </c>
      <c r="P60" s="71">
        <f t="shared" si="21"/>
        <v>17.053340446897387</v>
      </c>
      <c r="Q60" s="75">
        <f t="shared" si="23"/>
        <v>0.16634044689738658</v>
      </c>
      <c r="S60" s="52"/>
    </row>
    <row r="61" spans="1:19" s="63" customFormat="1">
      <c r="A61" s="180"/>
      <c r="B61" s="49"/>
      <c r="C61" s="131" t="s">
        <v>168</v>
      </c>
      <c r="D61" s="60"/>
      <c r="E61" s="73"/>
      <c r="F61" s="132">
        <v>1</v>
      </c>
      <c r="G61" s="158">
        <f>References!B21</f>
        <v>47</v>
      </c>
      <c r="H61" s="114">
        <f t="shared" si="17"/>
        <v>47</v>
      </c>
      <c r="I61" s="48">
        <f t="shared" si="22"/>
        <v>30.148725802556303</v>
      </c>
      <c r="J61" s="71">
        <f>(References!$C$49*I61)</f>
        <v>3.7685907253195414E-2</v>
      </c>
      <c r="K61" s="71">
        <f>J61/References!$G$52</f>
        <v>3.841580759754884E-2</v>
      </c>
      <c r="L61" s="71">
        <f t="shared" si="18"/>
        <v>3.841580759754884E-2</v>
      </c>
      <c r="M61" s="71">
        <v>3.9</v>
      </c>
      <c r="N61" s="171">
        <f t="shared" si="19"/>
        <v>3.9384158075975488</v>
      </c>
      <c r="O61" s="71">
        <f t="shared" si="20"/>
        <v>3.9</v>
      </c>
      <c r="P61" s="71">
        <f t="shared" si="21"/>
        <v>3.9384158075975488</v>
      </c>
      <c r="Q61" s="75">
        <f t="shared" si="23"/>
        <v>3.8415807597548923E-2</v>
      </c>
      <c r="S61" s="52"/>
    </row>
    <row r="62" spans="1:19" s="63" customFormat="1">
      <c r="A62" s="180"/>
      <c r="B62" s="49"/>
      <c r="C62" s="131" t="s">
        <v>171</v>
      </c>
      <c r="D62" s="60"/>
      <c r="E62" s="73"/>
      <c r="F62" s="132">
        <v>4.33</v>
      </c>
      <c r="G62" s="158">
        <f>References!B27</f>
        <v>175</v>
      </c>
      <c r="H62" s="114">
        <f t="shared" si="17"/>
        <v>757.75</v>
      </c>
      <c r="I62" s="48">
        <f t="shared" si="22"/>
        <v>486.06802078483059</v>
      </c>
      <c r="J62" s="71">
        <f>(References!$C$49*I62)</f>
        <v>0.60758502598103881</v>
      </c>
      <c r="K62" s="71">
        <f>J62/References!$G$52</f>
        <v>0.61935272780941775</v>
      </c>
      <c r="L62" s="71">
        <f t="shared" si="18"/>
        <v>0.14303758148023504</v>
      </c>
      <c r="M62" s="71">
        <v>13.82</v>
      </c>
      <c r="N62" s="171">
        <f t="shared" si="19"/>
        <v>13.963037581480235</v>
      </c>
      <c r="O62" s="71">
        <f t="shared" si="20"/>
        <v>59.840600000000002</v>
      </c>
      <c r="P62" s="71">
        <f t="shared" si="21"/>
        <v>60.459952727809416</v>
      </c>
      <c r="Q62" s="75">
        <f t="shared" si="23"/>
        <v>0.61935272780941375</v>
      </c>
      <c r="S62" s="52"/>
    </row>
    <row r="63" spans="1:19" s="63" customFormat="1">
      <c r="A63" s="180"/>
      <c r="B63" s="49"/>
      <c r="C63" s="131" t="s">
        <v>172</v>
      </c>
      <c r="D63" s="60"/>
      <c r="E63" s="73"/>
      <c r="F63" s="132">
        <v>1</v>
      </c>
      <c r="G63" s="158">
        <f>References!B27</f>
        <v>175</v>
      </c>
      <c r="H63" s="114">
        <f t="shared" si="17"/>
        <v>175</v>
      </c>
      <c r="I63" s="48">
        <f t="shared" si="22"/>
        <v>112.25589394568836</v>
      </c>
      <c r="J63" s="71">
        <f>(References!$C$49*I63)</f>
        <v>0.14031986743211056</v>
      </c>
      <c r="K63" s="71">
        <f>J63/References!$G$52</f>
        <v>0.14303758148023502</v>
      </c>
      <c r="L63" s="71">
        <f t="shared" si="18"/>
        <v>0.14303758148023502</v>
      </c>
      <c r="M63" s="71">
        <v>19.239999999999998</v>
      </c>
      <c r="N63" s="171">
        <f t="shared" si="19"/>
        <v>19.383037581480234</v>
      </c>
      <c r="O63" s="71">
        <f t="shared" si="20"/>
        <v>19.239999999999998</v>
      </c>
      <c r="P63" s="71">
        <f t="shared" si="21"/>
        <v>19.383037581480234</v>
      </c>
      <c r="Q63" s="75">
        <f t="shared" si="23"/>
        <v>0.14303758148023604</v>
      </c>
      <c r="S63" s="52"/>
    </row>
    <row r="64" spans="1:19" s="63" customFormat="1">
      <c r="A64" s="180"/>
      <c r="B64" s="49"/>
      <c r="C64" s="131" t="s">
        <v>173</v>
      </c>
      <c r="D64" s="60"/>
      <c r="E64" s="73"/>
      <c r="F64" s="132">
        <v>4.33</v>
      </c>
      <c r="G64" s="158">
        <f>References!B28</f>
        <v>250</v>
      </c>
      <c r="H64" s="114">
        <f t="shared" si="17"/>
        <v>1082.5</v>
      </c>
      <c r="I64" s="48">
        <f t="shared" si="22"/>
        <v>694.38288683547228</v>
      </c>
      <c r="J64" s="71">
        <f>(References!$C$49*I64)</f>
        <v>0.86797860854434117</v>
      </c>
      <c r="K64" s="71">
        <f>J64/References!$G$52</f>
        <v>0.88478961115631105</v>
      </c>
      <c r="L64" s="71">
        <f t="shared" si="18"/>
        <v>0.20433940211462148</v>
      </c>
      <c r="M64" s="71">
        <v>19.82</v>
      </c>
      <c r="N64" s="171">
        <f t="shared" si="19"/>
        <v>20.02433940211462</v>
      </c>
      <c r="O64" s="71">
        <f t="shared" si="20"/>
        <v>85.820599999999999</v>
      </c>
      <c r="P64" s="71">
        <f t="shared" si="21"/>
        <v>86.705389611156306</v>
      </c>
      <c r="Q64" s="75">
        <f t="shared" si="23"/>
        <v>0.88478961115630739</v>
      </c>
      <c r="S64" s="52"/>
    </row>
    <row r="65" spans="1:19" s="63" customFormat="1">
      <c r="A65" s="180"/>
      <c r="B65" s="49"/>
      <c r="C65" s="131" t="s">
        <v>174</v>
      </c>
      <c r="D65" s="60"/>
      <c r="E65" s="73"/>
      <c r="F65" s="132">
        <v>1</v>
      </c>
      <c r="G65" s="158">
        <f>References!B28</f>
        <v>250</v>
      </c>
      <c r="H65" s="114">
        <f t="shared" si="17"/>
        <v>250</v>
      </c>
      <c r="I65" s="48">
        <f t="shared" si="22"/>
        <v>160.36556277955481</v>
      </c>
      <c r="J65" s="71">
        <f>(References!$C$49*I65)</f>
        <v>0.2004569534744437</v>
      </c>
      <c r="K65" s="71">
        <f>J65/References!$G$52</f>
        <v>0.20433940211462151</v>
      </c>
      <c r="L65" s="71">
        <f t="shared" si="18"/>
        <v>0.20433940211462151</v>
      </c>
      <c r="M65" s="71">
        <v>19.82</v>
      </c>
      <c r="N65" s="171">
        <f t="shared" si="19"/>
        <v>20.02433940211462</v>
      </c>
      <c r="O65" s="71">
        <f t="shared" si="20"/>
        <v>19.82</v>
      </c>
      <c r="P65" s="71">
        <f t="shared" si="21"/>
        <v>20.02433940211462</v>
      </c>
      <c r="Q65" s="75">
        <f t="shared" si="23"/>
        <v>0.20433940211461987</v>
      </c>
      <c r="S65" s="52"/>
    </row>
    <row r="66" spans="1:19" s="63" customFormat="1">
      <c r="A66" s="180"/>
      <c r="B66" s="49"/>
      <c r="C66" s="131" t="s">
        <v>175</v>
      </c>
      <c r="D66" s="60"/>
      <c r="E66" s="73"/>
      <c r="F66" s="132">
        <v>4.33</v>
      </c>
      <c r="G66" s="158">
        <f>References!B29</f>
        <v>324</v>
      </c>
      <c r="H66" s="114">
        <f t="shared" si="17"/>
        <v>1402.92</v>
      </c>
      <c r="I66" s="48">
        <f t="shared" si="22"/>
        <v>899.92022133877208</v>
      </c>
      <c r="J66" s="71">
        <f>(References!$C$49*I66)</f>
        <v>1.1249002766734661</v>
      </c>
      <c r="K66" s="71">
        <f>J66/References!$G$52</f>
        <v>1.1466873360585792</v>
      </c>
      <c r="L66" s="71">
        <f t="shared" si="18"/>
        <v>0.26482386514054945</v>
      </c>
      <c r="M66" s="71">
        <v>25.1</v>
      </c>
      <c r="N66" s="171">
        <f t="shared" si="19"/>
        <v>25.364823865140551</v>
      </c>
      <c r="O66" s="71">
        <f t="shared" si="20"/>
        <v>108.68300000000001</v>
      </c>
      <c r="P66" s="71">
        <f t="shared" si="21"/>
        <v>109.82968733605858</v>
      </c>
      <c r="Q66" s="75">
        <f t="shared" si="23"/>
        <v>1.1466873360585765</v>
      </c>
      <c r="S66" s="52"/>
    </row>
    <row r="67" spans="1:19" s="63" customFormat="1">
      <c r="A67" s="180"/>
      <c r="B67" s="49"/>
      <c r="C67" s="131" t="s">
        <v>176</v>
      </c>
      <c r="D67" s="60"/>
      <c r="E67" s="73"/>
      <c r="F67" s="132">
        <v>1</v>
      </c>
      <c r="G67" s="158">
        <f>References!B29</f>
        <v>324</v>
      </c>
      <c r="H67" s="114">
        <f t="shared" si="17"/>
        <v>324</v>
      </c>
      <c r="I67" s="48">
        <f t="shared" si="22"/>
        <v>207.83376936230303</v>
      </c>
      <c r="J67" s="71">
        <f>(References!$C$49*I67)</f>
        <v>0.25979221170287903</v>
      </c>
      <c r="K67" s="71">
        <f>J67/References!$G$52</f>
        <v>0.26482386514054945</v>
      </c>
      <c r="L67" s="71">
        <f t="shared" si="18"/>
        <v>0.26482386514054945</v>
      </c>
      <c r="M67" s="71">
        <v>25.1</v>
      </c>
      <c r="N67" s="171">
        <f t="shared" si="19"/>
        <v>25.364823865140551</v>
      </c>
      <c r="O67" s="71">
        <f t="shared" si="20"/>
        <v>25.1</v>
      </c>
      <c r="P67" s="71">
        <f t="shared" si="21"/>
        <v>25.364823865140551</v>
      </c>
      <c r="Q67" s="75">
        <f t="shared" si="23"/>
        <v>0.26482386514054923</v>
      </c>
      <c r="S67" s="52"/>
    </row>
    <row r="68" spans="1:19" s="63" customFormat="1">
      <c r="A68" s="180"/>
      <c r="B68" s="49"/>
      <c r="C68" s="131"/>
      <c r="D68" s="60"/>
      <c r="E68" s="73"/>
      <c r="F68" s="132"/>
      <c r="G68" s="158"/>
      <c r="H68" s="72"/>
      <c r="I68" s="48"/>
      <c r="J68" s="71"/>
      <c r="K68" s="71"/>
      <c r="L68" s="71"/>
      <c r="M68" s="71"/>
      <c r="N68" s="71"/>
      <c r="O68" s="71"/>
      <c r="P68" s="71"/>
      <c r="Q68" s="75"/>
      <c r="S68" s="52"/>
    </row>
    <row r="69" spans="1:19" s="63" customFormat="1">
      <c r="A69" s="50"/>
      <c r="B69" s="27"/>
      <c r="C69" s="51"/>
      <c r="D69" s="53">
        <f>SUM(D12:D46)</f>
        <v>0</v>
      </c>
      <c r="E69" s="53">
        <f>SUM(E12:E46)</f>
        <v>0</v>
      </c>
      <c r="F69" s="53">
        <f>SUM(F12:F68)</f>
        <v>85709.03</v>
      </c>
      <c r="G69" s="165">
        <f>SUM(G12:G68)</f>
        <v>20123</v>
      </c>
      <c r="H69" s="53">
        <f>SUM(H12:H68)</f>
        <v>10160702.555000002</v>
      </c>
      <c r="I69" s="53">
        <f>SUM(I12:I68)</f>
        <v>6517707.133872943</v>
      </c>
      <c r="J69" s="77"/>
      <c r="K69" s="77"/>
      <c r="L69" s="77"/>
      <c r="M69" s="77"/>
      <c r="N69" s="77"/>
      <c r="O69" s="147">
        <f>SUM(O12:O68)</f>
        <v>929349.29029999976</v>
      </c>
      <c r="P69" s="147">
        <f>SUM(P12:P68)</f>
        <v>937654.21784061263</v>
      </c>
      <c r="Q69" s="147">
        <f>SUM(Q12:Q68)</f>
        <v>8304.9275406127854</v>
      </c>
    </row>
    <row r="70" spans="1:19">
      <c r="C70" s="67"/>
      <c r="D70" s="68">
        <f>D11+D69</f>
        <v>3410</v>
      </c>
      <c r="E70" s="68"/>
      <c r="F70" s="109">
        <f>F11+F69</f>
        <v>262909.03000000003</v>
      </c>
      <c r="G70" s="68"/>
      <c r="H70" s="68">
        <f>H11+H69</f>
        <v>20635446.555</v>
      </c>
      <c r="I70" s="68">
        <f>I11+I69</f>
        <v>13236860.000000004</v>
      </c>
      <c r="J70" s="71"/>
      <c r="K70" s="79"/>
      <c r="L70" s="79"/>
      <c r="M70" s="79"/>
      <c r="N70" s="79"/>
      <c r="O70" s="79">
        <f>O11+O69</f>
        <v>1891769.6902999999</v>
      </c>
      <c r="P70" s="79">
        <f>P11+P69</f>
        <v>1908636.2295456678</v>
      </c>
      <c r="Q70" s="79">
        <f>Q11+Q69</f>
        <v>16866.539245667795</v>
      </c>
    </row>
    <row r="71" spans="1:19">
      <c r="G71" s="166"/>
      <c r="J71" s="59"/>
      <c r="P71" s="64"/>
    </row>
    <row r="72" spans="1:19">
      <c r="G72" s="166"/>
      <c r="J72" s="59"/>
      <c r="P72" s="64"/>
    </row>
    <row r="73" spans="1:19">
      <c r="A73" s="80"/>
      <c r="B73" s="81"/>
      <c r="C73" s="85" t="s">
        <v>91</v>
      </c>
      <c r="D73" s="82"/>
      <c r="E73" s="80"/>
      <c r="F73" s="80"/>
      <c r="G73" s="167"/>
      <c r="H73" s="80"/>
      <c r="I73" s="83"/>
      <c r="J73" s="84"/>
      <c r="K73" s="80"/>
      <c r="L73" s="80"/>
      <c r="M73" s="80"/>
      <c r="N73" s="80"/>
      <c r="O73" s="63"/>
      <c r="P73" s="108"/>
      <c r="Q73" s="63"/>
    </row>
    <row r="74" spans="1:19" s="63" customFormat="1" ht="15" customHeight="1">
      <c r="A74" s="180" t="s">
        <v>49</v>
      </c>
      <c r="B74" s="49">
        <v>20</v>
      </c>
      <c r="C74" s="131" t="s">
        <v>117</v>
      </c>
      <c r="D74" s="72">
        <v>0</v>
      </c>
      <c r="E74" s="73">
        <f>References!$B$7</f>
        <v>4.333333333333333</v>
      </c>
      <c r="F74" s="72">
        <f>E74*12</f>
        <v>52</v>
      </c>
      <c r="G74" s="72">
        <f>References!B14</f>
        <v>34</v>
      </c>
      <c r="H74" s="72">
        <f>F74*G74</f>
        <v>1768</v>
      </c>
      <c r="I74" s="48">
        <f t="shared" ref="I74:I87" si="24">$D$119*H74</f>
        <v>1134.1052599770114</v>
      </c>
      <c r="J74" s="71">
        <f>(References!$C$49*I74)</f>
        <v>1.4176315749712656</v>
      </c>
      <c r="K74" s="71">
        <f>J74/References!$G$52</f>
        <v>1.4450882517546031</v>
      </c>
      <c r="L74" s="71">
        <f>K74/F74*E74</f>
        <v>0.12042402097955024</v>
      </c>
      <c r="M74" s="97">
        <v>12.28</v>
      </c>
      <c r="N74" s="171">
        <f>L74+M74</f>
        <v>12.40042402097955</v>
      </c>
      <c r="O74" s="134"/>
      <c r="P74" s="71"/>
      <c r="Q74" s="71"/>
    </row>
    <row r="75" spans="1:19" s="63" customFormat="1">
      <c r="A75" s="180"/>
      <c r="B75" s="49">
        <v>20</v>
      </c>
      <c r="C75" s="112" t="s">
        <v>118</v>
      </c>
      <c r="D75" s="72">
        <v>0</v>
      </c>
      <c r="E75" s="73">
        <f>References!$B$7</f>
        <v>4.333333333333333</v>
      </c>
      <c r="F75" s="72">
        <f t="shared" ref="F75:F84" si="25">E75*12</f>
        <v>52</v>
      </c>
      <c r="G75" s="72">
        <f>References!B15</f>
        <v>51</v>
      </c>
      <c r="H75" s="72">
        <f t="shared" ref="H75:H84" si="26">F75*G75</f>
        <v>2652</v>
      </c>
      <c r="I75" s="48">
        <f t="shared" si="24"/>
        <v>1701.1578899655174</v>
      </c>
      <c r="J75" s="71">
        <f>(References!$C$49*I75)</f>
        <v>2.1264473624568985</v>
      </c>
      <c r="K75" s="71">
        <f>J75/References!$G$52</f>
        <v>2.1676323776319046</v>
      </c>
      <c r="L75" s="71">
        <f>K75/F75*E75</f>
        <v>0.18063603146932539</v>
      </c>
      <c r="M75" s="97">
        <v>16.440000000000001</v>
      </c>
      <c r="N75" s="171">
        <f>L75+M75</f>
        <v>16.620636031469328</v>
      </c>
      <c r="O75" s="71"/>
      <c r="P75" s="71"/>
      <c r="Q75" s="71"/>
    </row>
    <row r="76" spans="1:19" s="63" customFormat="1">
      <c r="A76" s="180"/>
      <c r="B76" s="49">
        <v>20</v>
      </c>
      <c r="C76" s="112" t="s">
        <v>119</v>
      </c>
      <c r="D76" s="72">
        <v>0</v>
      </c>
      <c r="E76" s="73">
        <f>References!$B$7</f>
        <v>4.333333333333333</v>
      </c>
      <c r="F76" s="72">
        <f t="shared" si="25"/>
        <v>52</v>
      </c>
      <c r="G76" s="72">
        <f>References!B16</f>
        <v>77</v>
      </c>
      <c r="H76" s="72">
        <f t="shared" si="26"/>
        <v>4004</v>
      </c>
      <c r="I76" s="48">
        <f t="shared" si="24"/>
        <v>2568.4148534773499</v>
      </c>
      <c r="J76" s="71">
        <f>(References!$C$49*I76)</f>
        <v>3.21051856684669</v>
      </c>
      <c r="K76" s="71">
        <f>J76/References!$G$52</f>
        <v>3.272699864267778</v>
      </c>
      <c r="L76" s="71">
        <f t="shared" ref="L76:L84" si="27">K76/F76*E76</f>
        <v>0.27272498868898148</v>
      </c>
      <c r="M76" s="97">
        <v>20.88</v>
      </c>
      <c r="N76" s="171">
        <f t="shared" ref="N76:N84" si="28">L76+M76</f>
        <v>21.152724988688981</v>
      </c>
      <c r="O76" s="71"/>
      <c r="P76" s="71"/>
      <c r="Q76" s="71"/>
    </row>
    <row r="77" spans="1:19" s="63" customFormat="1">
      <c r="A77" s="180"/>
      <c r="B77" s="49">
        <v>20</v>
      </c>
      <c r="C77" s="112" t="s">
        <v>120</v>
      </c>
      <c r="D77" s="72">
        <v>0</v>
      </c>
      <c r="E77" s="73">
        <f>References!$B$7</f>
        <v>4.333333333333333</v>
      </c>
      <c r="F77" s="72">
        <f t="shared" si="25"/>
        <v>52</v>
      </c>
      <c r="G77" s="72">
        <f>References!B17</f>
        <v>97</v>
      </c>
      <c r="H77" s="72">
        <f t="shared" si="26"/>
        <v>5044</v>
      </c>
      <c r="I77" s="48">
        <f t="shared" si="24"/>
        <v>3235.5355946402974</v>
      </c>
      <c r="J77" s="71">
        <f>(References!$C$49*I77)</f>
        <v>4.0444194933003752</v>
      </c>
      <c r="K77" s="71">
        <f>J77/References!$G$52</f>
        <v>4.1227517770646029</v>
      </c>
      <c r="L77" s="71">
        <f t="shared" si="27"/>
        <v>0.34356264808871684</v>
      </c>
      <c r="M77" s="97">
        <v>25.75</v>
      </c>
      <c r="N77" s="171">
        <f t="shared" si="28"/>
        <v>26.093562648088717</v>
      </c>
      <c r="O77" s="71"/>
      <c r="P77" s="71"/>
      <c r="Q77" s="71"/>
    </row>
    <row r="78" spans="1:19" s="63" customFormat="1">
      <c r="A78" s="180"/>
      <c r="B78" s="49">
        <v>20</v>
      </c>
      <c r="C78" s="112" t="s">
        <v>121</v>
      </c>
      <c r="D78" s="72">
        <v>0</v>
      </c>
      <c r="E78" s="73">
        <f>References!$B$7</f>
        <v>4.333333333333333</v>
      </c>
      <c r="F78" s="72">
        <f t="shared" si="25"/>
        <v>52</v>
      </c>
      <c r="G78" s="72">
        <f>References!B18</f>
        <v>117</v>
      </c>
      <c r="H78" s="72">
        <f t="shared" si="26"/>
        <v>6084</v>
      </c>
      <c r="I78" s="48">
        <f t="shared" si="24"/>
        <v>3902.6563358032454</v>
      </c>
      <c r="J78" s="71">
        <f>(References!$C$49*I78)</f>
        <v>4.8783204197540613</v>
      </c>
      <c r="K78" s="71">
        <f>J78/References!$G$52</f>
        <v>4.9728036898614283</v>
      </c>
      <c r="L78" s="71">
        <f t="shared" si="27"/>
        <v>0.4144003074884523</v>
      </c>
      <c r="M78" s="97">
        <v>30.87</v>
      </c>
      <c r="N78" s="171">
        <f t="shared" si="28"/>
        <v>31.284400307488454</v>
      </c>
      <c r="O78" s="71"/>
      <c r="P78" s="71"/>
      <c r="Q78" s="71"/>
    </row>
    <row r="79" spans="1:19" s="63" customFormat="1">
      <c r="A79" s="180"/>
      <c r="B79" s="49">
        <v>20</v>
      </c>
      <c r="C79" s="112" t="s">
        <v>122</v>
      </c>
      <c r="D79" s="72">
        <v>0</v>
      </c>
      <c r="E79" s="73">
        <f>References!$B$7</f>
        <v>4.333333333333333</v>
      </c>
      <c r="F79" s="72">
        <f t="shared" si="25"/>
        <v>52</v>
      </c>
      <c r="G79" s="72">
        <f>References!B19</f>
        <v>157</v>
      </c>
      <c r="H79" s="72">
        <f t="shared" si="26"/>
        <v>8164</v>
      </c>
      <c r="I79" s="48">
        <f t="shared" si="24"/>
        <v>5236.8978181291413</v>
      </c>
      <c r="J79" s="71">
        <f>(References!$C$49*I79)</f>
        <v>6.5461222726614325</v>
      </c>
      <c r="K79" s="71">
        <f>J79/References!$G$52</f>
        <v>6.672907515455079</v>
      </c>
      <c r="L79" s="71">
        <f t="shared" si="27"/>
        <v>0.55607562628792329</v>
      </c>
      <c r="M79" s="97">
        <v>36.57</v>
      </c>
      <c r="N79" s="171">
        <f>L79+M79</f>
        <v>37.126075626287921</v>
      </c>
      <c r="O79" s="71"/>
      <c r="P79" s="71"/>
      <c r="Q79" s="71"/>
    </row>
    <row r="80" spans="1:19" s="63" customFormat="1">
      <c r="A80" s="180"/>
      <c r="B80" s="49">
        <v>20</v>
      </c>
      <c r="C80" s="112" t="s">
        <v>115</v>
      </c>
      <c r="D80" s="72">
        <v>0</v>
      </c>
      <c r="E80" s="73">
        <f>References!B9</f>
        <v>1</v>
      </c>
      <c r="F80" s="72">
        <f t="shared" si="25"/>
        <v>12</v>
      </c>
      <c r="G80" s="72">
        <f>References!B14</f>
        <v>34</v>
      </c>
      <c r="H80" s="72">
        <f t="shared" si="26"/>
        <v>408</v>
      </c>
      <c r="I80" s="48">
        <f t="shared" si="24"/>
        <v>261.71659845623344</v>
      </c>
      <c r="J80" s="71">
        <f>(References!$C$49*I80)</f>
        <v>0.32714574807029212</v>
      </c>
      <c r="K80" s="71">
        <f>J80/References!$G$52</f>
        <v>0.33348190425106233</v>
      </c>
      <c r="L80" s="71">
        <f t="shared" si="27"/>
        <v>2.7790158687588527E-2</v>
      </c>
      <c r="M80" s="97">
        <v>4.91</v>
      </c>
      <c r="N80" s="171">
        <f t="shared" si="28"/>
        <v>4.937790158687589</v>
      </c>
      <c r="O80" s="71"/>
      <c r="P80" s="71"/>
      <c r="Q80" s="71"/>
    </row>
    <row r="81" spans="1:17" s="63" customFormat="1">
      <c r="A81" s="180"/>
      <c r="B81" s="49">
        <v>20</v>
      </c>
      <c r="C81" s="112" t="s">
        <v>116</v>
      </c>
      <c r="D81" s="72">
        <v>0</v>
      </c>
      <c r="E81" s="73">
        <f>References!C9</f>
        <v>2</v>
      </c>
      <c r="F81" s="72">
        <f t="shared" si="25"/>
        <v>24</v>
      </c>
      <c r="G81" s="72">
        <f>References!B14</f>
        <v>34</v>
      </c>
      <c r="H81" s="72">
        <f t="shared" si="26"/>
        <v>816</v>
      </c>
      <c r="I81" s="48">
        <f t="shared" si="24"/>
        <v>523.43319691246688</v>
      </c>
      <c r="J81" s="71">
        <f>(References!$C$49*I81)</f>
        <v>0.65429149614058424</v>
      </c>
      <c r="K81" s="71">
        <f>J81/References!$G$52</f>
        <v>0.66696380850212467</v>
      </c>
      <c r="L81" s="71">
        <f t="shared" si="27"/>
        <v>5.5580317375177053E-2</v>
      </c>
      <c r="M81" s="97">
        <v>9.86</v>
      </c>
      <c r="N81" s="171">
        <f t="shared" si="28"/>
        <v>9.9155803173751771</v>
      </c>
      <c r="O81" s="71"/>
      <c r="P81" s="71"/>
      <c r="Q81" s="71"/>
    </row>
    <row r="82" spans="1:17" s="63" customFormat="1">
      <c r="A82" s="180"/>
      <c r="B82" s="49">
        <v>20</v>
      </c>
      <c r="C82" s="112" t="s">
        <v>186</v>
      </c>
      <c r="D82" s="72">
        <v>0</v>
      </c>
      <c r="E82" s="73">
        <f>References!$B$7</f>
        <v>4.333333333333333</v>
      </c>
      <c r="F82" s="72">
        <f t="shared" si="25"/>
        <v>52</v>
      </c>
      <c r="G82" s="72">
        <f>References!B14</f>
        <v>34</v>
      </c>
      <c r="H82" s="72">
        <f t="shared" si="26"/>
        <v>1768</v>
      </c>
      <c r="I82" s="48">
        <f t="shared" si="24"/>
        <v>1134.1052599770114</v>
      </c>
      <c r="J82" s="71">
        <f>(References!$C$49*I82)</f>
        <v>1.4176315749712656</v>
      </c>
      <c r="K82" s="71">
        <f>J82/References!$G$52</f>
        <v>1.4450882517546031</v>
      </c>
      <c r="L82" s="71">
        <f t="shared" si="27"/>
        <v>0.12042402097955024</v>
      </c>
      <c r="M82" s="97">
        <v>12.97</v>
      </c>
      <c r="N82" s="171">
        <f t="shared" si="28"/>
        <v>13.090424020979551</v>
      </c>
      <c r="O82" s="71"/>
      <c r="P82" s="71"/>
      <c r="Q82" s="71"/>
    </row>
    <row r="83" spans="1:17" s="63" customFormat="1">
      <c r="A83" s="180"/>
      <c r="B83" s="49">
        <v>20</v>
      </c>
      <c r="C83" s="112" t="s">
        <v>187</v>
      </c>
      <c r="D83" s="72">
        <v>0</v>
      </c>
      <c r="E83" s="73">
        <f>References!$B$7</f>
        <v>4.333333333333333</v>
      </c>
      <c r="F83" s="72">
        <f t="shared" si="25"/>
        <v>52</v>
      </c>
      <c r="G83" s="72">
        <f>References!B22</f>
        <v>68</v>
      </c>
      <c r="H83" s="72">
        <f t="shared" si="26"/>
        <v>3536</v>
      </c>
      <c r="I83" s="48">
        <f t="shared" si="24"/>
        <v>2268.2105199540229</v>
      </c>
      <c r="J83" s="71">
        <f>(References!$C$49*I83)</f>
        <v>2.8352631499425311</v>
      </c>
      <c r="K83" s="71">
        <f>J83/References!$G$52</f>
        <v>2.8901765035092062</v>
      </c>
      <c r="L83" s="71">
        <f t="shared" si="27"/>
        <v>0.24084804195910048</v>
      </c>
      <c r="M83" s="97">
        <v>21.65</v>
      </c>
      <c r="N83" s="171">
        <f t="shared" si="28"/>
        <v>21.890848041959099</v>
      </c>
      <c r="O83" s="71"/>
      <c r="P83" s="71"/>
      <c r="Q83" s="71"/>
    </row>
    <row r="84" spans="1:17" s="63" customFormat="1">
      <c r="A84" s="180"/>
      <c r="B84" s="49">
        <v>20</v>
      </c>
      <c r="C84" s="112" t="s">
        <v>188</v>
      </c>
      <c r="D84" s="72">
        <v>0</v>
      </c>
      <c r="E84" s="73">
        <f>References!$B$7</f>
        <v>4.333333333333333</v>
      </c>
      <c r="F84" s="72">
        <f t="shared" si="25"/>
        <v>52</v>
      </c>
      <c r="G84" s="72">
        <f>References!B13</f>
        <v>20</v>
      </c>
      <c r="H84" s="72">
        <f t="shared" si="26"/>
        <v>1040</v>
      </c>
      <c r="I84" s="48">
        <f t="shared" si="24"/>
        <v>667.12074116294798</v>
      </c>
      <c r="J84" s="71">
        <f>(References!$C$49*I84)</f>
        <v>0.83390092645368574</v>
      </c>
      <c r="K84" s="71">
        <f>J84/References!$G$52</f>
        <v>0.85005191279682546</v>
      </c>
      <c r="L84" s="71">
        <f t="shared" si="27"/>
        <v>7.083765939973545E-2</v>
      </c>
      <c r="M84" s="97">
        <v>11.19</v>
      </c>
      <c r="N84" s="171">
        <f t="shared" si="28"/>
        <v>11.260837659399735</v>
      </c>
      <c r="O84" s="71"/>
      <c r="P84" s="71"/>
      <c r="Q84" s="71"/>
    </row>
    <row r="85" spans="1:17" s="63" customFormat="1" ht="15" customHeight="1">
      <c r="A85" s="145"/>
      <c r="B85" s="49">
        <v>20</v>
      </c>
      <c r="C85" s="46" t="s">
        <v>189</v>
      </c>
      <c r="D85" s="72">
        <v>0</v>
      </c>
      <c r="E85" s="73">
        <f>References!$B$7</f>
        <v>4.333333333333333</v>
      </c>
      <c r="F85" s="72">
        <f>E85*12</f>
        <v>52</v>
      </c>
      <c r="G85" s="72">
        <f>References!B14</f>
        <v>34</v>
      </c>
      <c r="H85" s="72">
        <f>F85*G85</f>
        <v>1768</v>
      </c>
      <c r="I85" s="48">
        <f t="shared" si="24"/>
        <v>1134.1052599770114</v>
      </c>
      <c r="J85" s="71">
        <f>(References!$C$49*I85)</f>
        <v>1.4176315749712656</v>
      </c>
      <c r="K85" s="71">
        <f>J85/References!$G$52</f>
        <v>1.4450882517546031</v>
      </c>
      <c r="L85" s="71">
        <f>K85/F85*E85</f>
        <v>0.12042402097955024</v>
      </c>
      <c r="M85" s="97">
        <v>7.83</v>
      </c>
      <c r="N85" s="171">
        <f>L85+M85</f>
        <v>7.9504240209795505</v>
      </c>
      <c r="O85" s="71"/>
      <c r="P85" s="71"/>
      <c r="Q85" s="71"/>
    </row>
    <row r="86" spans="1:17" s="63" customFormat="1">
      <c r="A86" s="145"/>
      <c r="B86" s="49" t="s">
        <v>104</v>
      </c>
      <c r="C86" s="149" t="s">
        <v>112</v>
      </c>
      <c r="D86" s="72">
        <v>0</v>
      </c>
      <c r="E86" s="73">
        <f>References!B9</f>
        <v>1</v>
      </c>
      <c r="F86" s="72">
        <f>E86*12</f>
        <v>12</v>
      </c>
      <c r="G86" s="72">
        <f>References!B24</f>
        <v>34</v>
      </c>
      <c r="H86" s="72">
        <f>F86*G86</f>
        <v>408</v>
      </c>
      <c r="I86" s="48">
        <f t="shared" si="24"/>
        <v>261.71659845623344</v>
      </c>
      <c r="J86" s="71">
        <f>(References!$C$49*I86)</f>
        <v>0.32714574807029212</v>
      </c>
      <c r="K86" s="71">
        <f>J86/References!$G$52</f>
        <v>0.33348190425106233</v>
      </c>
      <c r="L86" s="71">
        <f>K86/F86*E86</f>
        <v>2.7790158687588527E-2</v>
      </c>
      <c r="M86" s="97">
        <v>2.46</v>
      </c>
      <c r="N86" s="171">
        <f>L86+M86</f>
        <v>2.4877901586875883</v>
      </c>
      <c r="O86" s="71"/>
      <c r="P86" s="71"/>
      <c r="Q86" s="71"/>
    </row>
    <row r="87" spans="1:17" s="63" customFormat="1">
      <c r="A87" s="145"/>
      <c r="B87" s="49">
        <v>21</v>
      </c>
      <c r="C87" s="63" t="s">
        <v>113</v>
      </c>
      <c r="D87" s="72">
        <v>0</v>
      </c>
      <c r="E87" s="73">
        <f>References!B9</f>
        <v>1</v>
      </c>
      <c r="F87" s="72">
        <f>E87*12</f>
        <v>12</v>
      </c>
      <c r="G87" s="72">
        <f>References!B42</f>
        <v>125</v>
      </c>
      <c r="H87" s="72">
        <f>F87*G87</f>
        <v>1500</v>
      </c>
      <c r="I87" s="48">
        <f t="shared" si="24"/>
        <v>962.19337667732884</v>
      </c>
      <c r="J87" s="71">
        <f>(References!$C$49*I87)</f>
        <v>1.2027417208466622</v>
      </c>
      <c r="K87" s="71">
        <f>J87/References!$G$52</f>
        <v>1.226036412687729</v>
      </c>
      <c r="L87" s="71">
        <f>K87/F87*E87</f>
        <v>0.10216970105731076</v>
      </c>
      <c r="M87" s="97">
        <v>9.7899999999999991</v>
      </c>
      <c r="N87" s="171">
        <f>L87+M87</f>
        <v>9.8921697010573091</v>
      </c>
      <c r="O87" s="71"/>
      <c r="P87" s="71"/>
      <c r="Q87" s="71"/>
    </row>
    <row r="88" spans="1:17" s="63" customFormat="1">
      <c r="A88" s="145"/>
      <c r="B88" s="49"/>
      <c r="C88" s="115"/>
      <c r="D88" s="72"/>
      <c r="E88" s="73"/>
      <c r="F88" s="72"/>
      <c r="G88" s="72"/>
      <c r="H88" s="72"/>
      <c r="I88" s="48"/>
      <c r="J88" s="71"/>
      <c r="K88" s="71"/>
      <c r="L88" s="71"/>
      <c r="M88" s="97"/>
      <c r="N88" s="71"/>
      <c r="O88" s="71"/>
      <c r="P88" s="71"/>
      <c r="Q88" s="71"/>
    </row>
    <row r="89" spans="1:17" s="63" customFormat="1">
      <c r="A89" s="137"/>
      <c r="B89" s="138"/>
      <c r="C89" s="115"/>
      <c r="D89" s="139"/>
      <c r="E89" s="140"/>
      <c r="F89" s="141"/>
      <c r="G89" s="141"/>
      <c r="H89" s="141"/>
      <c r="I89" s="142"/>
      <c r="J89" s="143"/>
      <c r="K89" s="143"/>
      <c r="L89" s="143"/>
      <c r="M89" s="144"/>
      <c r="N89" s="143"/>
      <c r="O89" s="71"/>
      <c r="P89" s="71"/>
      <c r="Q89" s="71"/>
    </row>
    <row r="90" spans="1:17" s="63" customFormat="1">
      <c r="A90" s="181" t="s">
        <v>14</v>
      </c>
      <c r="B90" s="49">
        <v>21</v>
      </c>
      <c r="C90" s="112" t="s">
        <v>124</v>
      </c>
      <c r="D90" s="60">
        <v>0</v>
      </c>
      <c r="E90" s="73">
        <f>References!$B$9</f>
        <v>1</v>
      </c>
      <c r="F90" s="72">
        <f>E90*12</f>
        <v>12</v>
      </c>
      <c r="G90" s="72">
        <f>References!B42</f>
        <v>125</v>
      </c>
      <c r="H90" s="72">
        <f>F90*G90</f>
        <v>1500</v>
      </c>
      <c r="I90" s="48">
        <f t="shared" ref="I90:I105" si="29">$D$119*H90</f>
        <v>962.19337667732884</v>
      </c>
      <c r="J90" s="71">
        <f>(References!$C$49*I90)</f>
        <v>1.2027417208466622</v>
      </c>
      <c r="K90" s="71">
        <f>J90/References!$G$52</f>
        <v>1.226036412687729</v>
      </c>
      <c r="L90" s="71">
        <f>K90/F90</f>
        <v>0.10216970105731076</v>
      </c>
      <c r="M90" s="71">
        <v>8.89</v>
      </c>
      <c r="N90" s="171">
        <f>L90+M90</f>
        <v>8.9921697010573105</v>
      </c>
      <c r="O90" s="71"/>
      <c r="P90" s="71"/>
      <c r="Q90" s="71"/>
    </row>
    <row r="91" spans="1:17" s="63" customFormat="1">
      <c r="A91" s="180"/>
      <c r="B91" s="49">
        <v>21</v>
      </c>
      <c r="C91" s="112" t="s">
        <v>125</v>
      </c>
      <c r="D91" s="60">
        <v>0</v>
      </c>
      <c r="E91" s="73">
        <f>References!$B$9</f>
        <v>1</v>
      </c>
      <c r="F91" s="72">
        <f>E91*12</f>
        <v>12</v>
      </c>
      <c r="G91" s="72">
        <f>References!B42</f>
        <v>125</v>
      </c>
      <c r="H91" s="72">
        <f>F91*G91</f>
        <v>1500</v>
      </c>
      <c r="I91" s="48">
        <f t="shared" si="29"/>
        <v>962.19337667732884</v>
      </c>
      <c r="J91" s="71">
        <f>(References!$C$49*I91)</f>
        <v>1.2027417208466622</v>
      </c>
      <c r="K91" s="71">
        <f>J91/References!$G$52</f>
        <v>1.226036412687729</v>
      </c>
      <c r="L91" s="71">
        <f>K91/F91</f>
        <v>0.10216970105731076</v>
      </c>
      <c r="M91" s="71">
        <v>10.27</v>
      </c>
      <c r="N91" s="171">
        <f>L91+M91</f>
        <v>10.37216970105731</v>
      </c>
      <c r="O91" s="71"/>
      <c r="P91" s="71"/>
      <c r="Q91" s="71"/>
    </row>
    <row r="92" spans="1:17" s="63" customFormat="1">
      <c r="A92" s="180"/>
      <c r="B92" s="49">
        <v>21</v>
      </c>
      <c r="C92" s="112" t="s">
        <v>126</v>
      </c>
      <c r="D92" s="60">
        <v>0</v>
      </c>
      <c r="E92" s="73">
        <f>References!$B$9</f>
        <v>1</v>
      </c>
      <c r="F92" s="72">
        <f>E92*12</f>
        <v>12</v>
      </c>
      <c r="G92" s="72">
        <f>References!B42</f>
        <v>125</v>
      </c>
      <c r="H92" s="72">
        <f>F92*G92</f>
        <v>1500</v>
      </c>
      <c r="I92" s="48">
        <f t="shared" si="29"/>
        <v>962.19337667732884</v>
      </c>
      <c r="J92" s="71">
        <f>(References!$C$49*I92)</f>
        <v>1.2027417208466622</v>
      </c>
      <c r="K92" s="71">
        <f>J92/References!$G$52</f>
        <v>1.226036412687729</v>
      </c>
      <c r="L92" s="71">
        <f>K92/F92</f>
        <v>0.10216970105731076</v>
      </c>
      <c r="M92" s="71">
        <v>9.3000000000000007</v>
      </c>
      <c r="N92" s="171">
        <f>L92+M92</f>
        <v>9.4021697010573106</v>
      </c>
      <c r="O92" s="71"/>
      <c r="P92" s="71"/>
      <c r="Q92" s="71"/>
    </row>
    <row r="93" spans="1:17" s="63" customFormat="1">
      <c r="A93" s="180"/>
      <c r="B93" s="49" t="s">
        <v>192</v>
      </c>
      <c r="C93" s="168" t="s">
        <v>161</v>
      </c>
      <c r="D93" s="72"/>
      <c r="E93" s="73">
        <f>References!$B$9</f>
        <v>1</v>
      </c>
      <c r="F93" s="133">
        <v>1</v>
      </c>
      <c r="G93" s="160">
        <v>1312.5</v>
      </c>
      <c r="H93" s="114">
        <f>F93*G93</f>
        <v>1312.5</v>
      </c>
      <c r="I93" s="48">
        <f t="shared" si="29"/>
        <v>841.91920459266271</v>
      </c>
      <c r="J93" s="71">
        <f>(References!$C$49*I93)</f>
        <v>1.0523990057408292</v>
      </c>
      <c r="K93" s="71">
        <f>J93/References!$G$52</f>
        <v>1.0727818611017628</v>
      </c>
      <c r="L93" s="71">
        <f>K93/F93</f>
        <v>1.0727818611017628</v>
      </c>
      <c r="M93" s="71">
        <v>93.9</v>
      </c>
      <c r="N93" s="171">
        <f t="shared" ref="N93:N101" si="30">L93+M93</f>
        <v>94.972781861101765</v>
      </c>
      <c r="O93" s="71"/>
      <c r="P93" s="71"/>
      <c r="Q93" s="71"/>
    </row>
    <row r="94" spans="1:17" s="63" customFormat="1">
      <c r="A94" s="180"/>
      <c r="B94" s="49" t="s">
        <v>192</v>
      </c>
      <c r="C94" s="169" t="s">
        <v>136</v>
      </c>
      <c r="D94" s="60">
        <v>0</v>
      </c>
      <c r="E94" s="73">
        <f>References!$B$9</f>
        <v>1</v>
      </c>
      <c r="F94" s="72">
        <f t="shared" ref="F94:F101" si="31">E94*12</f>
        <v>12</v>
      </c>
      <c r="G94" s="72">
        <f>References!B28</f>
        <v>250</v>
      </c>
      <c r="H94" s="114">
        <f t="shared" ref="H94:H101" si="32">F94*G94</f>
        <v>3000</v>
      </c>
      <c r="I94" s="48">
        <f t="shared" si="29"/>
        <v>1924.3867533546577</v>
      </c>
      <c r="J94" s="71">
        <f>(References!$C$49*I94)</f>
        <v>2.4054834416933244</v>
      </c>
      <c r="K94" s="71">
        <f>J94/References!$G$52</f>
        <v>2.452072825375458</v>
      </c>
      <c r="L94" s="71">
        <f t="shared" ref="L94:L101" si="33">K94/F94</f>
        <v>0.20433940211462151</v>
      </c>
      <c r="M94" s="71">
        <v>22.98</v>
      </c>
      <c r="N94" s="171">
        <f t="shared" si="30"/>
        <v>23.18433940211462</v>
      </c>
      <c r="O94" s="71"/>
      <c r="P94" s="71"/>
      <c r="Q94" s="71"/>
    </row>
    <row r="95" spans="1:17" s="63" customFormat="1">
      <c r="A95" s="180"/>
      <c r="B95" s="49" t="s">
        <v>192</v>
      </c>
      <c r="C95" s="169" t="s">
        <v>137</v>
      </c>
      <c r="D95" s="60">
        <v>0</v>
      </c>
      <c r="E95" s="73">
        <f>References!$B$9</f>
        <v>1</v>
      </c>
      <c r="F95" s="72">
        <f t="shared" si="31"/>
        <v>12</v>
      </c>
      <c r="G95" s="72">
        <f>References!B28</f>
        <v>250</v>
      </c>
      <c r="H95" s="114">
        <f t="shared" si="32"/>
        <v>3000</v>
      </c>
      <c r="I95" s="48">
        <f t="shared" si="29"/>
        <v>1924.3867533546577</v>
      </c>
      <c r="J95" s="71">
        <f>(References!$C$49*I95)</f>
        <v>2.4054834416933244</v>
      </c>
      <c r="K95" s="71">
        <f>J95/References!$G$52</f>
        <v>2.452072825375458</v>
      </c>
      <c r="L95" s="71">
        <f t="shared" si="33"/>
        <v>0.20433940211462151</v>
      </c>
      <c r="M95" s="71">
        <v>20.65</v>
      </c>
      <c r="N95" s="171">
        <f t="shared" si="30"/>
        <v>20.854339402114618</v>
      </c>
      <c r="O95" s="71"/>
      <c r="P95" s="71"/>
      <c r="Q95" s="71"/>
    </row>
    <row r="96" spans="1:17" s="63" customFormat="1">
      <c r="A96" s="180"/>
      <c r="B96" s="49" t="s">
        <v>192</v>
      </c>
      <c r="C96" s="46" t="s">
        <v>140</v>
      </c>
      <c r="D96" s="60">
        <v>0</v>
      </c>
      <c r="E96" s="73">
        <f>References!$B$9</f>
        <v>1</v>
      </c>
      <c r="F96" s="72">
        <f t="shared" si="31"/>
        <v>12</v>
      </c>
      <c r="G96" s="72">
        <f>References!B29</f>
        <v>324</v>
      </c>
      <c r="H96" s="114">
        <f t="shared" si="32"/>
        <v>3888</v>
      </c>
      <c r="I96" s="48">
        <f t="shared" si="29"/>
        <v>2494.0052323476361</v>
      </c>
      <c r="J96" s="71">
        <f>(References!$C$49*I96)</f>
        <v>3.1175065404345479</v>
      </c>
      <c r="K96" s="71">
        <f>J96/References!$G$52</f>
        <v>3.1778863816865934</v>
      </c>
      <c r="L96" s="71">
        <f t="shared" si="33"/>
        <v>0.26482386514054945</v>
      </c>
      <c r="M96" s="71">
        <v>30.14</v>
      </c>
      <c r="N96" s="171">
        <f t="shared" si="30"/>
        <v>30.40482386514055</v>
      </c>
      <c r="O96" s="71"/>
      <c r="P96" s="71"/>
      <c r="Q96" s="71"/>
    </row>
    <row r="97" spans="1:17" s="63" customFormat="1">
      <c r="A97" s="180"/>
      <c r="B97" s="49" t="s">
        <v>192</v>
      </c>
      <c r="C97" s="46" t="s">
        <v>141</v>
      </c>
      <c r="D97" s="60">
        <v>0</v>
      </c>
      <c r="E97" s="73">
        <f>References!$B$9</f>
        <v>1</v>
      </c>
      <c r="F97" s="72">
        <f t="shared" si="31"/>
        <v>12</v>
      </c>
      <c r="G97" s="72">
        <f>References!B29</f>
        <v>324</v>
      </c>
      <c r="H97" s="114">
        <f t="shared" si="32"/>
        <v>3888</v>
      </c>
      <c r="I97" s="48">
        <f t="shared" si="29"/>
        <v>2494.0052323476361</v>
      </c>
      <c r="J97" s="71">
        <f>(References!$C$49*I97)</f>
        <v>3.1175065404345479</v>
      </c>
      <c r="K97" s="71">
        <f>J97/References!$G$52</f>
        <v>3.1778863816865934</v>
      </c>
      <c r="L97" s="71">
        <f t="shared" si="33"/>
        <v>0.26482386514054945</v>
      </c>
      <c r="M97" s="71">
        <v>27.29</v>
      </c>
      <c r="N97" s="171">
        <f t="shared" si="30"/>
        <v>27.554823865140548</v>
      </c>
      <c r="O97" s="71"/>
      <c r="P97" s="71"/>
      <c r="Q97" s="71"/>
    </row>
    <row r="98" spans="1:17" s="63" customFormat="1">
      <c r="A98" s="180"/>
      <c r="B98" s="49" t="s">
        <v>192</v>
      </c>
      <c r="C98" s="169" t="s">
        <v>144</v>
      </c>
      <c r="D98" s="60">
        <v>0</v>
      </c>
      <c r="E98" s="73">
        <f>References!$B$9</f>
        <v>1</v>
      </c>
      <c r="F98" s="72">
        <f t="shared" si="31"/>
        <v>12</v>
      </c>
      <c r="G98" s="72">
        <f>References!B30</f>
        <v>473</v>
      </c>
      <c r="H98" s="114">
        <f t="shared" si="32"/>
        <v>5676</v>
      </c>
      <c r="I98" s="48">
        <f t="shared" si="29"/>
        <v>3640.9397373470119</v>
      </c>
      <c r="J98" s="71">
        <f>(References!$C$49*I98)</f>
        <v>4.5511746716837687</v>
      </c>
      <c r="K98" s="71">
        <f>J98/References!$G$52</f>
        <v>4.6393217856103659</v>
      </c>
      <c r="L98" s="71">
        <f t="shared" si="33"/>
        <v>0.38661014880086381</v>
      </c>
      <c r="M98" s="71">
        <v>39.909999999999997</v>
      </c>
      <c r="N98" s="171">
        <f t="shared" si="30"/>
        <v>40.296610148800859</v>
      </c>
      <c r="O98" s="71"/>
      <c r="P98" s="71"/>
      <c r="Q98" s="71"/>
    </row>
    <row r="99" spans="1:17" s="63" customFormat="1">
      <c r="A99" s="180"/>
      <c r="B99" s="49" t="s">
        <v>191</v>
      </c>
      <c r="C99" s="112" t="s">
        <v>127</v>
      </c>
      <c r="D99" s="60">
        <v>0</v>
      </c>
      <c r="E99" s="73">
        <f>References!$B$9</f>
        <v>1</v>
      </c>
      <c r="F99" s="72">
        <f t="shared" si="31"/>
        <v>12</v>
      </c>
      <c r="G99" s="72">
        <f>References!B22</f>
        <v>68</v>
      </c>
      <c r="H99" s="72">
        <f t="shared" si="32"/>
        <v>816</v>
      </c>
      <c r="I99" s="48">
        <f t="shared" si="29"/>
        <v>523.43319691246688</v>
      </c>
      <c r="J99" s="71">
        <f>(References!$C$49*I99)</f>
        <v>0.65429149614058424</v>
      </c>
      <c r="K99" s="71">
        <f>J99/References!$G$52</f>
        <v>0.66696380850212467</v>
      </c>
      <c r="L99" s="71">
        <f t="shared" si="33"/>
        <v>5.5580317375177053E-2</v>
      </c>
      <c r="M99" s="71">
        <v>5.53</v>
      </c>
      <c r="N99" s="171">
        <f t="shared" si="30"/>
        <v>5.585580317375177</v>
      </c>
      <c r="O99" s="71"/>
      <c r="P99" s="71"/>
      <c r="Q99" s="71"/>
    </row>
    <row r="100" spans="1:17" s="63" customFormat="1">
      <c r="A100" s="180"/>
      <c r="B100" s="49" t="s">
        <v>191</v>
      </c>
      <c r="C100" s="112" t="s">
        <v>123</v>
      </c>
      <c r="D100" s="60">
        <v>0</v>
      </c>
      <c r="E100" s="73">
        <f>References!$B$9</f>
        <v>1</v>
      </c>
      <c r="F100" s="72">
        <f t="shared" si="31"/>
        <v>12</v>
      </c>
      <c r="G100" s="72">
        <f>References!B21</f>
        <v>47</v>
      </c>
      <c r="H100" s="114">
        <f t="shared" si="32"/>
        <v>564</v>
      </c>
      <c r="I100" s="48">
        <f t="shared" si="29"/>
        <v>361.78470963067565</v>
      </c>
      <c r="J100" s="71">
        <f>(References!$C$49*I100)</f>
        <v>0.45223088703834496</v>
      </c>
      <c r="K100" s="71">
        <f>J100/References!$G$52</f>
        <v>0.46098969117058614</v>
      </c>
      <c r="L100" s="71">
        <f t="shared" si="33"/>
        <v>3.8415807597548847E-2</v>
      </c>
      <c r="M100" s="71">
        <v>5.39</v>
      </c>
      <c r="N100" s="171">
        <f t="shared" si="30"/>
        <v>5.4284158075975482</v>
      </c>
      <c r="O100" s="71"/>
      <c r="P100" s="71"/>
      <c r="Q100" s="71"/>
    </row>
    <row r="101" spans="1:17" s="63" customFormat="1">
      <c r="A101" s="180"/>
      <c r="B101" s="49" t="s">
        <v>190</v>
      </c>
      <c r="C101" s="112" t="s">
        <v>123</v>
      </c>
      <c r="D101" s="60">
        <v>0</v>
      </c>
      <c r="E101" s="73">
        <f>References!$B$9</f>
        <v>1</v>
      </c>
      <c r="F101" s="72">
        <f t="shared" si="31"/>
        <v>12</v>
      </c>
      <c r="G101" s="72">
        <f>References!B21</f>
        <v>47</v>
      </c>
      <c r="H101" s="114">
        <f t="shared" si="32"/>
        <v>564</v>
      </c>
      <c r="I101" s="48">
        <f t="shared" si="29"/>
        <v>361.78470963067565</v>
      </c>
      <c r="J101" s="71">
        <f>(References!$C$49*I101)</f>
        <v>0.45223088703834496</v>
      </c>
      <c r="K101" s="71">
        <f>J101/References!$G$52</f>
        <v>0.46098969117058614</v>
      </c>
      <c r="L101" s="71">
        <f t="shared" si="33"/>
        <v>3.8415807597548847E-2</v>
      </c>
      <c r="M101" s="71">
        <v>3.83</v>
      </c>
      <c r="N101" s="171">
        <f t="shared" si="30"/>
        <v>3.868415807597549</v>
      </c>
      <c r="O101" s="71"/>
      <c r="P101" s="71"/>
      <c r="Q101" s="71"/>
    </row>
    <row r="102" spans="1:17" s="63" customFormat="1">
      <c r="A102" s="180"/>
      <c r="B102" s="49" t="s">
        <v>190</v>
      </c>
      <c r="C102" s="169" t="s">
        <v>108</v>
      </c>
      <c r="D102" s="60">
        <v>0</v>
      </c>
      <c r="E102" s="73">
        <f>References!$B$9</f>
        <v>1</v>
      </c>
      <c r="F102" s="72">
        <f>E102*12</f>
        <v>12</v>
      </c>
      <c r="G102" s="72">
        <f>References!B31</f>
        <v>613</v>
      </c>
      <c r="H102" s="114">
        <f>F102*G102</f>
        <v>7356</v>
      </c>
      <c r="I102" s="48">
        <f t="shared" si="29"/>
        <v>4718.5963192256204</v>
      </c>
      <c r="J102" s="71">
        <f>(References!$C$49*I102)</f>
        <v>5.8982453990320307</v>
      </c>
      <c r="K102" s="71">
        <f>J102/References!$G$52</f>
        <v>6.0124825678206228</v>
      </c>
      <c r="L102" s="71">
        <f>K102/F102</f>
        <v>0.50104021398505194</v>
      </c>
      <c r="M102" s="71">
        <v>45.03</v>
      </c>
      <c r="N102" s="171">
        <f>L102+M102</f>
        <v>45.531040213985051</v>
      </c>
      <c r="O102" s="71"/>
      <c r="P102" s="71"/>
      <c r="Q102" s="71"/>
    </row>
    <row r="103" spans="1:17" s="63" customFormat="1">
      <c r="A103" s="180"/>
      <c r="B103" s="49" t="s">
        <v>190</v>
      </c>
      <c r="C103" s="169" t="s">
        <v>109</v>
      </c>
      <c r="D103" s="60">
        <v>0</v>
      </c>
      <c r="E103" s="73">
        <f>References!$B$9</f>
        <v>1</v>
      </c>
      <c r="F103" s="72">
        <f>E103*12</f>
        <v>12</v>
      </c>
      <c r="G103" s="72">
        <f>References!B32</f>
        <v>840</v>
      </c>
      <c r="H103" s="72">
        <f>F103*G103</f>
        <v>10080</v>
      </c>
      <c r="I103" s="48">
        <f t="shared" si="29"/>
        <v>6465.9394912716498</v>
      </c>
      <c r="J103" s="71">
        <f>(References!$C$49*I103)</f>
        <v>8.0824243640895688</v>
      </c>
      <c r="K103" s="71">
        <f>J103/References!$G$52</f>
        <v>8.2389646932615381</v>
      </c>
      <c r="L103" s="71">
        <f>K103/F103</f>
        <v>0.68658039110512814</v>
      </c>
      <c r="M103" s="71">
        <v>62.02</v>
      </c>
      <c r="N103" s="171">
        <f>L103+M103</f>
        <v>62.706580391105135</v>
      </c>
      <c r="O103" s="71"/>
      <c r="P103" s="71"/>
      <c r="Q103" s="71"/>
    </row>
    <row r="104" spans="1:17" s="63" customFormat="1">
      <c r="A104" s="180"/>
      <c r="B104" s="49" t="s">
        <v>190</v>
      </c>
      <c r="C104" s="169" t="s">
        <v>110</v>
      </c>
      <c r="D104" s="60">
        <v>0</v>
      </c>
      <c r="E104" s="73">
        <f>References!$B$9</f>
        <v>1</v>
      </c>
      <c r="F104" s="72">
        <f>E104*12</f>
        <v>12</v>
      </c>
      <c r="G104" s="72">
        <f>References!B33</f>
        <v>980</v>
      </c>
      <c r="H104" s="114">
        <f>F104*G104</f>
        <v>11760</v>
      </c>
      <c r="I104" s="48">
        <f t="shared" si="29"/>
        <v>7543.5960731502573</v>
      </c>
      <c r="J104" s="71">
        <f>(References!$C$49*I104)</f>
        <v>9.4294950914378308</v>
      </c>
      <c r="K104" s="71">
        <f>J104/References!$G$52</f>
        <v>9.612125475471796</v>
      </c>
      <c r="L104" s="71">
        <f>K104/F104</f>
        <v>0.80101045628931633</v>
      </c>
      <c r="M104" s="71">
        <v>78.12</v>
      </c>
      <c r="N104" s="171">
        <f>L104+M104</f>
        <v>78.921010456289324</v>
      </c>
      <c r="O104" s="71"/>
      <c r="P104" s="71"/>
      <c r="Q104" s="71"/>
    </row>
    <row r="105" spans="1:17" s="63" customFormat="1">
      <c r="A105" s="180"/>
      <c r="B105" s="49" t="s">
        <v>190</v>
      </c>
      <c r="C105" s="169" t="s">
        <v>111</v>
      </c>
      <c r="D105" s="60">
        <v>0</v>
      </c>
      <c r="E105" s="73">
        <f>References!$B$9</f>
        <v>1</v>
      </c>
      <c r="F105" s="72">
        <f>E105*12</f>
        <v>12</v>
      </c>
      <c r="G105" s="136">
        <v>1312.5</v>
      </c>
      <c r="H105" s="114">
        <f>F105*G105</f>
        <v>15750</v>
      </c>
      <c r="I105" s="48">
        <f t="shared" si="29"/>
        <v>10103.030455111952</v>
      </c>
      <c r="J105" s="71">
        <f>(References!$C$49*I105)</f>
        <v>12.62878806888995</v>
      </c>
      <c r="K105" s="71">
        <f>J105/References!$G$52</f>
        <v>12.873382333221151</v>
      </c>
      <c r="L105" s="71">
        <f>K105/F105</f>
        <v>1.0727818611017625</v>
      </c>
      <c r="M105" s="71">
        <v>92.92</v>
      </c>
      <c r="N105" s="171">
        <f>L105+M105</f>
        <v>93.992781861101761</v>
      </c>
      <c r="O105" s="71"/>
      <c r="P105" s="71"/>
      <c r="Q105" s="71"/>
    </row>
    <row r="106" spans="1:17" s="63" customFormat="1">
      <c r="A106" s="145"/>
      <c r="B106" s="49"/>
      <c r="C106" s="135"/>
      <c r="D106" s="60"/>
      <c r="E106" s="73"/>
      <c r="F106" s="72"/>
      <c r="G106" s="72"/>
      <c r="H106" s="114"/>
      <c r="I106" s="48"/>
      <c r="J106" s="71"/>
      <c r="K106" s="71"/>
      <c r="L106" s="71"/>
      <c r="M106" s="71"/>
      <c r="N106" s="71"/>
      <c r="O106" s="71"/>
      <c r="P106" s="71"/>
      <c r="Q106" s="71"/>
    </row>
    <row r="107" spans="1:17" s="63" customFormat="1">
      <c r="A107" s="145"/>
      <c r="B107" s="49"/>
      <c r="C107" s="135"/>
      <c r="D107" s="60"/>
      <c r="E107" s="73"/>
      <c r="F107" s="72"/>
      <c r="G107" s="72"/>
      <c r="H107" s="114"/>
      <c r="I107" s="48"/>
      <c r="J107" s="71"/>
      <c r="K107" s="71"/>
      <c r="L107" s="71"/>
      <c r="M107" s="71"/>
      <c r="N107" s="71"/>
      <c r="O107" s="71"/>
      <c r="P107" s="71"/>
      <c r="Q107" s="71"/>
    </row>
    <row r="108" spans="1:17" s="63" customFormat="1">
      <c r="A108" s="145"/>
      <c r="B108" s="49"/>
      <c r="C108" s="135"/>
      <c r="D108" s="60"/>
      <c r="E108" s="73"/>
      <c r="F108" s="72"/>
      <c r="G108" s="72"/>
      <c r="H108" s="114"/>
      <c r="I108" s="48"/>
      <c r="J108" s="71"/>
      <c r="K108" s="71"/>
      <c r="L108" s="71"/>
      <c r="M108" s="71"/>
      <c r="N108" s="71"/>
      <c r="O108" s="71"/>
      <c r="P108" s="71"/>
      <c r="Q108" s="71"/>
    </row>
    <row r="109" spans="1:17" s="63" customFormat="1">
      <c r="A109" s="145"/>
      <c r="B109" s="49"/>
      <c r="C109" s="135"/>
      <c r="D109" s="60"/>
      <c r="E109" s="73"/>
      <c r="F109" s="72"/>
      <c r="G109" s="72"/>
      <c r="H109" s="114"/>
      <c r="I109" s="48"/>
      <c r="J109" s="71"/>
      <c r="K109" s="71"/>
      <c r="L109" s="71"/>
      <c r="M109" s="71"/>
      <c r="N109" s="71"/>
      <c r="O109" s="71"/>
      <c r="P109" s="71"/>
      <c r="Q109" s="71"/>
    </row>
    <row r="110" spans="1:17" s="63" customFormat="1">
      <c r="A110" s="121"/>
      <c r="B110" s="113"/>
      <c r="C110" s="115"/>
      <c r="D110" s="14"/>
      <c r="E110" s="110"/>
      <c r="F110" s="86"/>
      <c r="G110" s="86"/>
      <c r="H110" s="86"/>
      <c r="I110" s="111"/>
      <c r="J110" s="96"/>
      <c r="K110" s="96"/>
      <c r="L110" s="96"/>
      <c r="M110" s="96"/>
      <c r="N110" s="96"/>
      <c r="O110" s="71"/>
      <c r="P110" s="71"/>
      <c r="Q110" s="71"/>
    </row>
    <row r="111" spans="1:17">
      <c r="A111" s="66"/>
      <c r="C111" s="92"/>
      <c r="D111" s="40"/>
      <c r="E111" s="33"/>
      <c r="F111" s="60"/>
      <c r="G111" s="72"/>
      <c r="H111" s="60"/>
      <c r="J111" s="71"/>
      <c r="K111" s="97"/>
      <c r="L111" s="97"/>
      <c r="M111" s="97"/>
      <c r="N111" s="97"/>
      <c r="P111" s="64"/>
    </row>
    <row r="112" spans="1:17">
      <c r="A112" s="66"/>
      <c r="C112" s="69"/>
      <c r="P112" s="64"/>
    </row>
    <row r="113" spans="1:16">
      <c r="A113" s="66"/>
      <c r="C113" s="69"/>
      <c r="P113" s="64"/>
    </row>
    <row r="114" spans="1:16">
      <c r="A114" s="66"/>
      <c r="C114" s="179" t="s">
        <v>86</v>
      </c>
      <c r="D114" s="179"/>
      <c r="E114" s="91"/>
      <c r="F114" s="91"/>
      <c r="H114" s="95" t="s">
        <v>94</v>
      </c>
    </row>
    <row r="115" spans="1:16">
      <c r="A115" s="66"/>
      <c r="D115" s="58" t="s">
        <v>16</v>
      </c>
      <c r="E115" s="39"/>
      <c r="F115" s="39"/>
      <c r="H115" s="93" t="s">
        <v>114</v>
      </c>
      <c r="J115" s="43"/>
      <c r="O115" s="62"/>
    </row>
    <row r="116" spans="1:16">
      <c r="A116" s="66"/>
      <c r="C116" s="61" t="s">
        <v>32</v>
      </c>
      <c r="D116" s="70">
        <v>6618.43</v>
      </c>
      <c r="E116" s="60"/>
      <c r="F116" s="60"/>
      <c r="G116" s="47"/>
      <c r="H116" s="94" t="s">
        <v>95</v>
      </c>
      <c r="J116" s="43"/>
      <c r="O116" s="62"/>
    </row>
    <row r="117" spans="1:16">
      <c r="A117" s="66"/>
      <c r="C117" s="61" t="s">
        <v>33</v>
      </c>
      <c r="D117" s="38">
        <f>D116*2000</f>
        <v>13236860</v>
      </c>
      <c r="E117" s="38"/>
      <c r="F117" s="38"/>
      <c r="G117" s="38"/>
      <c r="H117" s="119" t="s">
        <v>97</v>
      </c>
      <c r="J117" s="43"/>
    </row>
    <row r="118" spans="1:16">
      <c r="A118" s="66"/>
      <c r="C118" s="61" t="s">
        <v>4</v>
      </c>
      <c r="D118" s="38">
        <f>F11+F69</f>
        <v>262909.03000000003</v>
      </c>
      <c r="E118" s="60"/>
      <c r="F118" s="60"/>
      <c r="G118" s="60"/>
      <c r="H118" s="120" t="s">
        <v>98</v>
      </c>
      <c r="J118" s="43"/>
      <c r="O118" s="62"/>
    </row>
    <row r="119" spans="1:16">
      <c r="C119" s="44" t="s">
        <v>11</v>
      </c>
      <c r="D119" s="37">
        <f>D117/$H$70</f>
        <v>0.6414622511182192</v>
      </c>
      <c r="E119" s="37"/>
      <c r="F119" s="37"/>
      <c r="G119" s="37"/>
      <c r="H119" s="32"/>
      <c r="J119" s="43"/>
      <c r="M119" s="42"/>
      <c r="N119" s="42"/>
      <c r="O119" s="41"/>
    </row>
    <row r="120" spans="1:16">
      <c r="G120" s="46"/>
      <c r="H120" s="34"/>
      <c r="J120" s="43"/>
      <c r="M120" s="45"/>
      <c r="N120" s="31"/>
      <c r="O120" s="64"/>
    </row>
    <row r="121" spans="1:16">
      <c r="D121" s="36"/>
      <c r="E121" s="35"/>
      <c r="G121" s="46"/>
      <c r="H121" s="34"/>
      <c r="J121" s="43"/>
      <c r="M121" s="45"/>
      <c r="N121" s="31"/>
      <c r="O121" s="64"/>
    </row>
    <row r="122" spans="1:16">
      <c r="D122" s="36"/>
      <c r="E122" s="35"/>
      <c r="G122" s="46"/>
      <c r="H122" s="34"/>
      <c r="J122" s="43"/>
      <c r="M122" s="45"/>
      <c r="N122" s="31"/>
      <c r="O122" s="64"/>
    </row>
    <row r="123" spans="1:16">
      <c r="D123" s="61"/>
      <c r="I123" s="61"/>
    </row>
    <row r="124" spans="1:16">
      <c r="D124" s="61"/>
      <c r="E124" s="43"/>
      <c r="I124" s="61"/>
    </row>
    <row r="125" spans="1:16">
      <c r="D125" s="61"/>
      <c r="I125" s="61"/>
    </row>
    <row r="126" spans="1:16">
      <c r="D126" s="61"/>
      <c r="I126" s="61"/>
    </row>
    <row r="127" spans="1:16">
      <c r="D127" s="61"/>
    </row>
  </sheetData>
  <mergeCells count="5">
    <mergeCell ref="C114:D114"/>
    <mergeCell ref="A74:A84"/>
    <mergeCell ref="A2:A10"/>
    <mergeCell ref="A12:A68"/>
    <mergeCell ref="A90:A105"/>
  </mergeCells>
  <phoneticPr fontId="0" type="noConversion"/>
  <pageMargins left="0.2" right="0.22" top="0.63" bottom="0.34" header="0.19" footer="0.17"/>
  <pageSetup paperSize="3" scale="79" fitToHeight="0" orientation="landscape" horizontalDpi="4294967293" r:id="rId1"/>
  <headerFooter>
    <oddHeader>&amp;C&amp;"-,Bold"&amp;12Basin Disposal of Walla Walla&amp;"-,Regular"
Disposal Fee Staff Calculations</oddHeader>
    <oddFooter>&amp;L&amp;Z&amp;F&amp;C  [Date]&amp;R&amp;P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072588CC59594B8061D4516808B512" ma:contentTypeVersion="104" ma:contentTypeDescription="" ma:contentTypeScope="" ma:versionID="85ee7e4580d3c4088585540591899e2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2016-11-18T08:00:00+00:00</OpenedDate>
    <Date1 xmlns="dc463f71-b30c-4ab2-9473-d307f9d35888">2016-11-18T08:00:00+00:00</Date1>
    <IsDocumentOrder xmlns="dc463f71-b30c-4ab2-9473-d307f9d35888" xsi:nil="true"/>
    <IsHighlyConfidential xmlns="dc463f71-b30c-4ab2-9473-d307f9d35888">false</IsHighlyConfidential>
    <CaseCompanyNames xmlns="dc463f71-b30c-4ab2-9473-d307f9d35888">Basin Disposal of Washington, LLC</CaseCompanyNames>
    <DocketNumber xmlns="dc463f71-b30c-4ab2-9473-d307f9d35888">161228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D2A8CD0-AF00-40F2-B31E-5B94DD90AA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F6488D-C4F8-4FDF-BC71-9EE2BFF16C36}"/>
</file>

<file path=customXml/itemProps3.xml><?xml version="1.0" encoding="utf-8"?>
<ds:datastoreItem xmlns:ds="http://schemas.openxmlformats.org/officeDocument/2006/customXml" ds:itemID="{13838375-1189-4892-A6D2-BB556694395F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6a7bd91e-004b-490a-8704-e368d63d59a0"/>
    <ds:schemaRef ds:uri="http://schemas.openxmlformats.org/package/2006/metadata/core-properties"/>
    <ds:schemaRef ds:uri="http://purl.org/dc/elements/1.1/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5609E716-E930-44B9-9D97-ED934B58A5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References</vt:lpstr>
      <vt:lpstr>Calculations</vt:lpstr>
      <vt:lpstr>Calculations!Print_Area</vt:lpstr>
      <vt:lpstr>Calculations!Print_Titles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Young</dc:creator>
  <cp:lastModifiedBy>Kredel, Ashley (UTC)</cp:lastModifiedBy>
  <cp:lastPrinted>2016-11-14T23:07:41Z</cp:lastPrinted>
  <dcterms:created xsi:type="dcterms:W3CDTF">2013-10-29T22:33:54Z</dcterms:created>
  <dcterms:modified xsi:type="dcterms:W3CDTF">2016-11-19T00:33:29Z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0x0101006E56B4D1795A2E4DB2F0B01679ED314A00A7072588CC59594B8061D4516808B512</vt:lpwstr>
  </property>
  <property fmtid="{D5CDD505-2E9C-101B-9397-08002B2CF9AE}" pid="3" name="_docset_NoMedatataSyncRequired">
    <vt:lpwstr>False</vt:lpwstr>
  </property>
</Properties>
</file>